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drawings/drawing2.xml" ContentType="application/vnd.openxmlformats-officedocument.drawing+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comments/comment5.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ounts" sheetId="2" state="visible" r:id="rId2"/>
    <sheet xmlns:r="http://schemas.openxmlformats.org/officeDocument/2006/relationships" name="Cross-tab" sheetId="3" state="visible" r:id="rId3"/>
    <sheet xmlns:r="http://schemas.openxmlformats.org/officeDocument/2006/relationships" name="Scale score" sheetId="4" state="visible" r:id="rId4"/>
    <sheet xmlns:r="http://schemas.openxmlformats.org/officeDocument/2006/relationships" name="Open answers" sheetId="5" state="visible" r:id="rId5"/>
    <sheet xmlns:r="http://schemas.openxmlformats.org/officeDocument/2006/relationships" name="Responses" sheetId="6" state="visible" r:id="rId6"/>
  </sheets>
  <definedNames/>
  <calcPr calcId="124519" fullCalcOnLoad="1"/>
</workbook>
</file>

<file path=xl/styles.xml><?xml version="1.0" encoding="utf-8"?>
<styleSheet xmlns="http://schemas.openxmlformats.org/spreadsheetml/2006/main">
  <numFmts count="1">
    <numFmt numFmtId="164" formatCode="0.0%"/>
  </numFmts>
  <fonts count="13">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b val="1"/>
      <color rgb="00231A2E"/>
      <sz val="11"/>
    </font>
    <font>
      <name val="Arial"/>
      <i val="1"/>
      <color rgb="005E5468"/>
      <sz val="10"/>
    </font>
  </fonts>
  <fills count="9">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7A4A00"/>
      </patternFill>
    </fill>
    <fill>
      <patternFill patternType="solid">
        <fgColor rgb="00D9D3E0"/>
      </patternFill>
    </fill>
    <fill>
      <patternFill patternType="solid">
        <fgColor rgb="005E5468"/>
      </patternFill>
    </fill>
  </fills>
  <borders count="6">
    <border>
      <left/>
      <right/>
      <top/>
      <bottom/>
      <diagonal/>
    </border>
    <border>
      <left style="thin">
        <color rgb="00C9C1D3"/>
      </left>
      <right style="thin">
        <color rgb="00C9C1D3"/>
      </right>
      <top style="thin">
        <color rgb="00C9C1D3"/>
      </top>
      <bottom style="thin">
        <color rgb="00C9C1D3"/>
      </bottom>
    </border>
    <border>
      <left/>
      <right/>
      <top style="thin">
        <color rgb="00C9C1D3"/>
      </top>
      <bottom/>
      <diagonal/>
    </border>
    <border>
      <left/>
      <right style="thin">
        <color rgb="00C9C1D3"/>
      </right>
      <top style="thin">
        <color rgb="00C9C1D3"/>
      </top>
      <bottom/>
      <diagonal/>
    </border>
    <border>
      <left/>
      <right/>
      <top style="thin">
        <color rgb="00C9C1D3"/>
      </top>
      <bottom style="thin">
        <color rgb="00C9C1D3"/>
      </bottom>
      <diagonal/>
    </border>
    <border>
      <left/>
      <right style="thin">
        <color rgb="00C9C1D3"/>
      </right>
      <top style="thin">
        <color rgb="00C9C1D3"/>
      </top>
      <bottom style="thin">
        <color rgb="00C9C1D3"/>
      </bottom>
      <diagonal/>
    </border>
  </borders>
  <cellStyleXfs count="1">
    <xf numFmtId="0" fontId="0" fillId="0" borderId="0"/>
  </cellStyleXfs>
  <cellXfs count="42">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5" fillId="0" borderId="1" applyAlignment="1" pivotButton="0" quotePrefix="0" xfId="0">
      <alignment vertical="center" wrapText="1"/>
    </xf>
    <xf numFmtId="0" fontId="11" fillId="4" borderId="1" applyAlignment="1" pivotButton="0" quotePrefix="0" xfId="0">
      <alignment horizontal="center" vertical="center"/>
    </xf>
    <xf numFmtId="0" fontId="12" fillId="3" borderId="1" applyAlignment="1" pivotButton="0" quotePrefix="0" xfId="0">
      <alignment vertical="center" wrapText="1"/>
    </xf>
    <xf numFmtId="0" fontId="3" fillId="6" borderId="1" applyAlignment="1" pivotButton="0" quotePrefix="0" xfId="0">
      <alignment vertical="center" wrapText="1"/>
    </xf>
    <xf numFmtId="0" fontId="6" fillId="4" borderId="1" applyAlignment="1" pivotButton="0" quotePrefix="0" xfId="0">
      <alignment horizontal="center" vertical="center"/>
    </xf>
    <xf numFmtId="164" fontId="6" fillId="4" borderId="1" applyAlignment="1" pivotButton="0" quotePrefix="0" xfId="0">
      <alignment horizontal="center" vertical="center"/>
    </xf>
    <xf numFmtId="0" fontId="5" fillId="3" borderId="1" applyAlignment="1" pivotButton="0" quotePrefix="0" xfId="0">
      <alignment vertical="center" wrapText="1"/>
    </xf>
    <xf numFmtId="0" fontId="5" fillId="4" borderId="1" applyAlignment="1" pivotButton="0" quotePrefix="0" xfId="0">
      <alignment horizontal="center" vertical="center"/>
    </xf>
    <xf numFmtId="0" fontId="0" fillId="0" borderId="4" pivotButton="0" quotePrefix="0" xfId="0"/>
    <xf numFmtId="0" fontId="0" fillId="0" borderId="5" pivotButton="0" quotePrefix="0" xfId="0"/>
    <xf numFmtId="0" fontId="12" fillId="3" borderId="1" applyAlignment="1" pivotButton="0" quotePrefix="0" xfId="0">
      <alignment horizontal="center" vertical="center"/>
    </xf>
    <xf numFmtId="0" fontId="5" fillId="3" borderId="1" applyAlignment="1" pivotButton="0" quotePrefix="0" xfId="0">
      <alignment horizontal="center" vertical="center"/>
    </xf>
    <xf numFmtId="0" fontId="3" fillId="2" borderId="1" applyAlignment="1" pivotButton="0" quotePrefix="0" xfId="0">
      <alignment horizontal="center" vertical="center" wrapText="1"/>
    </xf>
    <xf numFmtId="0" fontId="6" fillId="4" borderId="1" pivotButton="0" quotePrefix="0" xfId="0"/>
    <xf numFmtId="2" fontId="6" fillId="4" borderId="1" applyAlignment="1" pivotButton="0" quotePrefix="0" xfId="0">
      <alignment horizontal="center" vertical="center"/>
    </xf>
    <xf numFmtId="0" fontId="6" fillId="4" borderId="1" applyAlignment="1" pivotButton="0" quotePrefix="0" xfId="0">
      <alignment vertical="top" wrapText="1"/>
    </xf>
    <xf numFmtId="0" fontId="12" fillId="3" borderId="1" pivotButton="0" quotePrefix="0" xfId="0"/>
    <xf numFmtId="0" fontId="6" fillId="3" borderId="1" pivotButton="0" quotePrefix="0" xfId="0"/>
    <xf numFmtId="0" fontId="3" fillId="7" borderId="1" applyAlignment="1" pivotButton="0" quotePrefix="0" xfId="0">
      <alignment vertical="center" wrapText="1"/>
    </xf>
    <xf numFmtId="0" fontId="3" fillId="8" borderId="1" applyAlignment="1" pivotButton="0" quotePrefix="0" xfId="0">
      <alignment vertical="center" wrapText="1"/>
    </xf>
    <xf numFmtId="0" fontId="12" fillId="0" borderId="0" pivotButton="0" quotePrefix="0" xfId="0"/>
    <xf numFmtId="0" fontId="0" fillId="7" borderId="0" pivotButton="0" quotePrefix="0" xfId="0"/>
    <xf numFmtId="0" fontId="10"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Question 1: count per answer</a:t>
            </a:r>
          </a:p>
        </rich>
      </tx>
    </title>
    <plotArea>
      <barChart>
        <barDir val="bar"/>
        <grouping val="clustered"/>
        <ser>
          <idx val="0"/>
          <order val="0"/>
          <tx>
            <strRef>
              <f>'Counts'!B10</f>
            </strRef>
          </tx>
          <spPr>
            <a:solidFill xmlns:a="http://schemas.openxmlformats.org/drawingml/2006/main">
              <a:srgbClr val="4B2E83"/>
            </a:solidFill>
            <a:ln xmlns:a="http://schemas.openxmlformats.org/drawingml/2006/main">
              <a:prstDash val="solid"/>
            </a:ln>
          </spPr>
          <cat>
            <numRef>
              <f>'Counts'!$A$11:$A$20</f>
            </numRef>
          </cat>
          <val>
            <numRef>
              <f>'Counts'!$B$11:$B$20</f>
            </numRef>
          </val>
        </ser>
        <gapWidth val="150"/>
        <axId val="10"/>
        <axId val="100"/>
      </barChart>
      <catAx>
        <axId val="10"/>
        <scaling>
          <orientation val="maxMin"/>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Responses</a:t>
                </a:r>
              </a:p>
            </rich>
          </tx>
        </title>
        <majorTickMark val="none"/>
        <minorTickMark val="none"/>
        <crossAx val="10"/>
      </valAx>
    </plotArea>
    <plotVisOnly val="1"/>
    <dispBlanksAs val="gap"/>
  </chart>
</chartSpace>
</file>

<file path=xl/charts/chart2.xml><?xml version="1.0" encoding="utf-8"?>
<chartSpace xmlns="http://schemas.openxmlformats.org/drawingml/2006/chart">
  <style val="10"/>
  <chart>
    <title>
      <tx>
        <rich>
          <a:bodyPr xmlns:a="http://schemas.openxmlformats.org/drawingml/2006/main"/>
          <a:p xmlns:a="http://schemas.openxmlformats.org/drawingml/2006/main">
            <a:pPr>
              <a:defRPr/>
            </a:pPr>
            <a:r>
              <a:t>Scale answers: count per point</a:t>
            </a:r>
          </a:p>
        </rich>
      </tx>
    </title>
    <plotArea>
      <barChart>
        <barDir val="col"/>
        <grouping val="clustered"/>
        <ser>
          <idx val="0"/>
          <order val="0"/>
          <tx>
            <strRef>
              <f>'Scale score'!B10</f>
            </strRef>
          </tx>
          <spPr>
            <a:solidFill xmlns:a="http://schemas.openxmlformats.org/drawingml/2006/main">
              <a:srgbClr val="4B2E83"/>
            </a:solidFill>
            <a:ln xmlns:a="http://schemas.openxmlformats.org/drawingml/2006/main">
              <a:prstDash val="solid"/>
            </a:ln>
          </spPr>
          <cat>
            <numRef>
              <f>'Scale score'!$A$11:$A$21</f>
            </numRef>
          </cat>
          <val>
            <numRef>
              <f>'Scale score'!$B$11:$B$21</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Point on the scale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Responses</a:t>
                </a:r>
              </a:p>
            </rich>
          </tx>
        </title>
        <majorTickMark val="none"/>
        <minorTickMark val="none"/>
        <crossAx val="10"/>
      </valAx>
    </plotArea>
    <plotVisOnly val="1"/>
    <dispBlanksAs val="gap"/>
  </chart>
</chartSpace>
</file>

<file path=xl/comments/comment1.xml><?xml version="1.0" encoding="utf-8"?>
<comments xmlns="http://schemas.openxmlformats.org/spreadsheetml/2006/main">
  <authors>
    <author>HornetForms</author>
  </authors>
  <commentList>
    <comment ref="B8" authorId="0" shapeId="0">
      <text>
        <t>Type or paste the question exactly as it appears in row 1 of Responses.</t>
      </text>
    </comment>
    <comment ref="B9" authorId="0" shapeId="0">
      <text>
        <t>Yes for checkbox questions. No for single-choice, dropdown and scale questions.</t>
      </text>
    </comment>
    <comment ref="A10" authorId="0" shapeId="0">
      <text>
        <t>Type each answer option exactly as it appears in your export, one per row. Write-in Other answers show as their own text.</t>
      </text>
    </comment>
    <comment ref="B26" authorId="0" shapeId="0">
      <text>
        <t>Type or paste the question exactly as it appears in row 1 of Responses.</t>
      </text>
    </comment>
    <comment ref="B27" authorId="0" shapeId="0">
      <text>
        <t>Yes for checkbox questions. No for single-choice, dropdown and scale questions.</t>
      </text>
    </comment>
    <comment ref="A28" authorId="0" shapeId="0">
      <text>
        <t>Type each answer option exactly as it appears in your export, one per row. Write-in Other answers show as their own text.</t>
      </text>
    </comment>
    <comment ref="B44" authorId="0" shapeId="0">
      <text>
        <t>Type or paste the question exactly as it appears in row 1 of Responses.</t>
      </text>
    </comment>
    <comment ref="B45" authorId="0" shapeId="0">
      <text>
        <t>Yes for checkbox questions. No for single-choice, dropdown and scale questions.</t>
      </text>
    </comment>
    <comment ref="A46" authorId="0" shapeId="0">
      <text>
        <t>Type each answer option exactly as it appears in your export, one per row. Write-in Other answers show as their own text.</t>
      </text>
    </comment>
  </commentList>
</comments>
</file>

<file path=xl/comments/comment2.xml><?xml version="1.0" encoding="utf-8"?>
<comments xmlns="http://schemas.openxmlformats.org/spreadsheetml/2006/main">
  <authors>
    <author>HornetForms</author>
  </authors>
  <commentList>
    <comment ref="B5" authorId="0" shapeId="0">
      <text>
        <t>The question whose answers go down the side.</t>
      </text>
    </comment>
    <comment ref="B7" authorId="0" shapeId="0">
      <text>
        <t>The question that splits people into groups, for example age band, team or plan.</t>
      </text>
    </comment>
    <comment ref="B9" authorId="0" shapeId="0">
      <text>
        <t>Type each group answer here, exactly as in your export, one per column. The Scale score tab uses the same groups.</t>
      </text>
    </comment>
  </commentList>
</comments>
</file>

<file path=xl/comments/comment3.xml><?xml version="1.0" encoding="utf-8"?>
<comments xmlns="http://schemas.openxmlformats.org/spreadsheetml/2006/main">
  <authors>
    <author>HornetForms</author>
  </authors>
  <commentList>
    <comment ref="B5" authorId="0" shapeId="0">
      <text>
        <t>A rating, linear scale or 0 to 10 question.</t>
      </text>
    </comment>
    <comment ref="B6" authorId="0" shapeId="0">
      <text>
        <t>The lowest number on the scale, for example 1 (or 0 on a 0 to 10 question).</t>
      </text>
    </comment>
    <comment ref="B7" authorId="0" shapeId="0">
      <text>
        <t>The highest number on the scale, for example 5, 7 or 10.</t>
      </text>
    </comment>
    <comment ref="B8" authorId="0" shapeId="0">
      <text>
        <t>2 gives top-two box and bottom-two box. Use 1 for top box only.</t>
      </text>
    </comment>
    <comment ref="D24" authorId="0" shapeId="0">
      <text>
        <t>Share of answers at the top of the scale: with box size 2 on a 1 to 5 scale, that is 4s and 5s.</t>
      </text>
    </comment>
  </commentList>
</comments>
</file>

<file path=xl/comments/comment4.xml><?xml version="1.0" encoding="utf-8"?>
<comments xmlns="http://schemas.openxmlformats.org/spreadsheetml/2006/main">
  <authors>
    <author>HornetForms</author>
  </authors>
  <commentList>
    <comment ref="B5" authorId="0" shapeId="0">
      <text>
        <t>A short or long text question.</t>
      </text>
    </comment>
    <comment ref="E7" authorId="0" shapeId="0">
      <text>
        <t>Pick a code from the list in column H. Use Code 2 only when an answer makes two separate points.</t>
      </text>
    </comment>
  </commentList>
</comments>
</file>

<file path=xl/comments/comment5.xml><?xml version="1.0" encoding="utf-8"?>
<comments xmlns="http://schemas.openxmlformats.org/spreadsheetml/2006/main">
  <authors>
    <author>HornetForms</author>
  </authors>
  <commentList>
    <comment ref="A1" authorId="0" shapeId="0">
      <text>
        <t>Paste your HornetForms CSV here, starting at this cell, headers included. Rows 2 to 25 are EXAMPLE data: clear A2 to Z25 first.</t>
      </text>
    </comment>
    <comment ref="AB1" authorId="0" shapeId="0">
      <text>
        <t>Grey columns are worked out for you. Please do not type here.</t>
      </text>
    </comment>
  </commentList>
</comments>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drawing1.xml><?xml version="1.0" encoding="utf-8"?>
<wsDr xmlns="http://schemas.openxmlformats.org/drawingml/2006/spreadsheetDrawing">
  <oneCellAnchor>
    <from>
      <col>4</col>
      <colOff>0</colOff>
      <row>6</row>
      <rowOff>0</rowOff>
    </from>
    <ext cx="5400000" cy="30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7</col>
      <colOff>0</colOff>
      <row>4</row>
      <rowOff>0</rowOff>
    </from>
    <ext cx="5400000" cy="30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sheet1.xml><?xml version="1.0" encoding="utf-8"?>
<worksheet xmlns="http://schemas.openxmlformats.org/spreadsheetml/2006/main">
  <sheetPr>
    <tabColor rgb="00231A2E"/>
    <outlinePr summaryBelow="1" summaryRight="1"/>
    <pageSetUpPr/>
  </sheetPr>
  <dimension ref="B2:D30"/>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Survey analysis workbook</t>
        </is>
      </c>
    </row>
    <row r="3">
      <c r="B3" s="2" t="inlineStr">
        <is>
          <t>Paste a HornetForms CSV export and get counts, percentages, a cross-tab, a scale score, coded open answers and two charts. Works in Excel and Google Sheets.</t>
        </is>
      </c>
    </row>
    <row r="5">
      <c r="B5" s="3" t="inlineStr">
        <is>
          <t>Step</t>
        </is>
      </c>
      <c r="C5" s="3" t="inlineStr">
        <is>
          <t>What to do</t>
        </is>
      </c>
      <c r="D5" s="3" t="inlineStr">
        <is>
          <t>How</t>
        </is>
      </c>
    </row>
    <row r="6" ht="51" customHeight="1">
      <c r="B6" s="4" t="n">
        <v>1</v>
      </c>
      <c r="C6" s="5" t="inlineStr">
        <is>
          <t>Export your responses</t>
        </is>
      </c>
      <c r="D6" s="6" t="inlineStr">
        <is>
          <t>In HornetForms, open the survey's Responses page and download the CSV (every plan). Excel export (Pro and Business) works too. Using the Google Sheets integration? Copy the rows from that Sheet.</t>
        </is>
      </c>
    </row>
    <row r="7" ht="51" customHeight="1">
      <c r="B7" s="4" t="n">
        <v>2</v>
      </c>
      <c r="C7" s="5" t="inlineStr">
        <is>
          <t>Paste them on Responses</t>
        </is>
      </c>
      <c r="D7" s="6" t="inlineStr">
        <is>
          <t>First clear the example: select A2 to Z25 on Responses and press Delete. Then click A1 and paste your export, headers included. In Google Sheets, use File, Import, Upload, then pick Replace data starting at selected cell.</t>
        </is>
      </c>
    </row>
    <row r="8" ht="51" customHeight="1">
      <c r="B8" s="4" t="n">
        <v>3</v>
      </c>
      <c r="C8" s="5" t="inlineStr">
        <is>
          <t>Counts</t>
        </is>
      </c>
      <c r="D8" s="6" t="inlineStr">
        <is>
          <t>Type the column name of up to three questions and their answer options. Pick Yes for checkbox questions. You get a count and a percentage for each answer, plus how many people left it blank.</t>
        </is>
      </c>
    </row>
    <row r="9" ht="51" customHeight="1">
      <c r="B9" s="4" t="n">
        <v>4</v>
      </c>
      <c r="C9" s="5" t="inlineStr">
        <is>
          <t>Cross-tab</t>
        </is>
      </c>
      <c r="D9" s="6" t="inlineStr">
        <is>
          <t>Pick one question for the rows and a group question (for example plan, age band or team) for the columns. Type the group answers across row 9. Read the share table: it compares groups of different sizes fairly.</t>
        </is>
      </c>
    </row>
    <row r="10" ht="44" customHeight="1">
      <c r="B10" s="4" t="n">
        <v>5</v>
      </c>
      <c r="C10" s="5" t="inlineStr">
        <is>
          <t>Scale score</t>
        </is>
      </c>
      <c r="D10" s="6" t="inlineStr">
        <is>
          <t>Type the column name of a rating or linear scale question and its lowest and highest points. You get the mean, top box and bottom box for everyone and for each group.</t>
        </is>
      </c>
    </row>
    <row r="11" ht="44" customHeight="1">
      <c r="B11" s="4" t="n">
        <v>6</v>
      </c>
      <c r="C11" s="5" t="inlineStr">
        <is>
          <t>Open answers</t>
        </is>
      </c>
      <c r="D11" s="6" t="inlineStr">
        <is>
          <t>Type your open question's column name, write a short list of codes in column H, then give each answer a code. The counts show which themes come up most.</t>
        </is>
      </c>
    </row>
    <row r="13">
      <c r="B13" s="7" t="inlineStr">
        <is>
          <t>Colour key</t>
        </is>
      </c>
    </row>
    <row r="14">
      <c r="C14" s="8" t="inlineStr">
        <is>
          <t>Yellow</t>
        </is>
      </c>
      <c r="D14" s="9" t="inlineStr">
        <is>
          <t>You type or pick here.</t>
        </is>
      </c>
    </row>
    <row r="15">
      <c r="C15" s="10" t="inlineStr">
        <is>
          <t>Grey</t>
        </is>
      </c>
      <c r="D15" s="9" t="inlineStr">
        <is>
          <t>Worked out for you. Please do not type here.</t>
        </is>
      </c>
    </row>
    <row r="16">
      <c r="C16" s="11" t="inlineStr">
        <is>
          <t>Dark</t>
        </is>
      </c>
      <c r="D16" s="9" t="inlineStr">
        <is>
          <t>Column names. Keep the pasted headers as they come from HornetForms.</t>
        </is>
      </c>
    </row>
    <row r="18">
      <c r="B18" s="7" t="inlineStr">
        <is>
          <t>Good to know</t>
        </is>
      </c>
    </row>
    <row r="19" ht="34" customHeight="1">
      <c r="C19" s="12" t="inlineStr">
        <is>
          <t>The sheet finds each column by its header name, so column order does not matter. Copy the question text from row 1 of Responses into the yellow cell to avoid typos.</t>
        </is>
      </c>
    </row>
    <row r="20" ht="34" customHeight="1">
      <c r="C20" s="12" t="inlineStr">
        <is>
          <t>Percentages use the people who answered that question, not all responses. Blank answers are left out and counted on their own line.</t>
        </is>
      </c>
    </row>
    <row r="21" ht="34" customHeight="1">
      <c r="C21" s="12" t="inlineStr">
        <is>
          <t>Checkbox answers arrive in one cell, joined with a comma and a space (Online orders, Home delivery). Pick Yes for More than one answer allowed and each option is counted separately.</t>
        </is>
      </c>
    </row>
    <row r="22" ht="34" customHeight="1">
      <c r="C22" s="12" t="inlineStr">
        <is>
          <t>Do not sort or delete rows on Responses while you code open answers: the yellow codes line up with the answer numbers. Paste a fresh export over the old one instead.</t>
        </is>
      </c>
    </row>
    <row r="23" ht="28" customHeight="1">
      <c r="C23" s="12" t="inlineStr">
        <is>
          <t>There is room for 1,000 responses, three Counts questions with 10 options each, 5 groups and 200 open answers.</t>
        </is>
      </c>
    </row>
    <row r="24" ht="34" customHeight="1">
      <c r="C24" s="12" t="inlineStr">
        <is>
          <t>Paste into columns A to Z only (26 columns, about 22 questions). For a longer survey, delete the columns you do not need from the export before you paste, and keep Response ID in column A.</t>
        </is>
      </c>
    </row>
    <row r="26">
      <c r="B26" s="7" t="inlineStr">
        <is>
          <t>Example data</t>
        </is>
      </c>
    </row>
    <row r="27" ht="32" customHeight="1">
      <c r="C27" s="13" t="inlineStr">
        <is>
          <t>Rows 2 to 25 on Responses are EXAMPLE data (Response IDs start with EXAMPLE): a made-up customer survey with 24 responses, so you can see every tab work. Clear them before you add your own.</t>
        </is>
      </c>
    </row>
    <row r="29" ht="26" customHeight="1">
      <c r="C29" s="14" t="inlineStr">
        <is>
          <t>Guide: https://hornetforms.com/blog/how-to-analyze-survey-data</t>
        </is>
      </c>
    </row>
    <row r="30">
      <c r="C30" s="15" t="inlineStr">
        <is>
          <t>Made by HornetForms, hornetforms.com</t>
        </is>
      </c>
    </row>
  </sheetData>
  <mergeCells count="8">
    <mergeCell ref="C20:D20"/>
    <mergeCell ref="C29:D29"/>
    <mergeCell ref="C21:D21"/>
    <mergeCell ref="C24:D24"/>
    <mergeCell ref="C27:D27"/>
    <mergeCell ref="C19:D19"/>
    <mergeCell ref="C22:D22"/>
    <mergeCell ref="C23:D23"/>
  </mergeCells>
  <pageMargins left="0.75" right="0.75" top="1" bottom="1" header="0.5" footer="0.5"/>
</worksheet>
</file>

<file path=xl/worksheets/sheet2.xml><?xml version="1.0" encoding="utf-8"?>
<worksheet xmlns="http://schemas.openxmlformats.org/spreadsheetml/2006/main">
  <sheetPr>
    <tabColor rgb="004B2E83"/>
    <outlinePr summaryBelow="1" summaryRight="1"/>
    <pageSetUpPr/>
  </sheetPr>
  <dimension ref="A1:C58"/>
  <sheetViews>
    <sheetView workbookViewId="0">
      <pane ySplit="5" topLeftCell="A6" activePane="bottomLeft" state="frozen"/>
      <selection pane="bottomLeft" activeCell="A1" sqref="A1"/>
    </sheetView>
  </sheetViews>
  <sheetFormatPr baseColWidth="8" defaultRowHeight="15"/>
  <cols>
    <col width="34" customWidth="1" min="1" max="1"/>
    <col width="14" customWidth="1" min="2" max="2"/>
    <col width="22" customWidth="1" min="3" max="3"/>
    <col width="3" customWidth="1" min="4" max="4"/>
  </cols>
  <sheetData>
    <row r="1">
      <c r="A1" s="16" t="inlineStr">
        <is>
          <t>Counts and percentages</t>
        </is>
      </c>
    </row>
    <row r="2">
      <c r="A2" s="17" t="inlineStr">
        <is>
          <t>How many people picked each answer, and what share of the people who answered that is.</t>
        </is>
      </c>
    </row>
    <row r="3">
      <c r="A3" s="18">
        <f>IF(COUNTIF(Responses!$A$2:$A$1001,"EXAMPLE*")&gt;0,"You are looking at EXAMPLE data. Clear A2 to Z25 on Responses, then paste your own.","")</f>
        <v/>
      </c>
    </row>
    <row r="5">
      <c r="A5" s="19" t="inlineStr">
        <is>
          <t>Total responses</t>
        </is>
      </c>
      <c r="B5" s="20">
        <f>COUNTA(Responses!$A$2:$A$1001)</f>
        <v/>
      </c>
    </row>
    <row r="7">
      <c r="A7" s="7" t="inlineStr">
        <is>
          <t>Question 1</t>
        </is>
      </c>
    </row>
    <row r="8">
      <c r="A8" s="19" t="inlineStr">
        <is>
          <t>Column name in your export</t>
        </is>
      </c>
      <c r="B8" s="21" t="inlineStr">
        <is>
          <t>How did you hear about us?</t>
        </is>
      </c>
    </row>
    <row r="9">
      <c r="A9" s="19" t="inlineStr">
        <is>
          <t>More than one answer allowed?</t>
        </is>
      </c>
      <c r="B9" s="21" t="inlineStr">
        <is>
          <t>No</t>
        </is>
      </c>
    </row>
    <row r="10">
      <c r="A10" s="22" t="inlineStr">
        <is>
          <t>Answer option (type each one)</t>
        </is>
      </c>
      <c r="B10" s="3" t="inlineStr">
        <is>
          <t>Count</t>
        </is>
      </c>
      <c r="C10" s="3" t="inlineStr">
        <is>
          <t>% of people who answered</t>
        </is>
      </c>
    </row>
    <row r="11">
      <c r="A11" s="21" t="inlineStr">
        <is>
          <t>Friend or colleague</t>
        </is>
      </c>
      <c r="B11" s="23">
        <f>IF(TRIM($A11&amp;"")="","",IF($B$9="Yes",SUMPRODUCT(ISNUMBER(FIND(", "&amp;TRIM($A11&amp;"")&amp;", ",", "&amp;Responses!$AB$2:$AB$1001&amp;", "))*1),SUMPRODUCT((Responses!$AB$2:$AB$1001=TRIM($A11&amp;""))*1)))</f>
        <v/>
      </c>
      <c r="C11" s="24">
        <f>IF(OR(B11="",N(B21)=0),"",B11/B21)</f>
        <v/>
      </c>
    </row>
    <row r="12">
      <c r="A12" s="21" t="inlineStr">
        <is>
          <t>Search engine</t>
        </is>
      </c>
      <c r="B12" s="23">
        <f>IF(TRIM($A12&amp;"")="","",IF($B$9="Yes",SUMPRODUCT(ISNUMBER(FIND(", "&amp;TRIM($A12&amp;"")&amp;", ",", "&amp;Responses!$AB$2:$AB$1001&amp;", "))*1),SUMPRODUCT((Responses!$AB$2:$AB$1001=TRIM($A12&amp;""))*1)))</f>
        <v/>
      </c>
      <c r="C12" s="24">
        <f>IF(OR(B12="",N(B21)=0),"",B12/B21)</f>
        <v/>
      </c>
    </row>
    <row r="13">
      <c r="A13" s="21" t="inlineStr">
        <is>
          <t>Social media</t>
        </is>
      </c>
      <c r="B13" s="23">
        <f>IF(TRIM($A13&amp;"")="","",IF($B$9="Yes",SUMPRODUCT(ISNUMBER(FIND(", "&amp;TRIM($A13&amp;"")&amp;", ",", "&amp;Responses!$AB$2:$AB$1001&amp;", "))*1),SUMPRODUCT((Responses!$AB$2:$AB$1001=TRIM($A13&amp;""))*1)))</f>
        <v/>
      </c>
      <c r="C13" s="24">
        <f>IF(OR(B13="",N(B21)=0),"",B13/B21)</f>
        <v/>
      </c>
    </row>
    <row r="14">
      <c r="A14" s="21" t="inlineStr">
        <is>
          <t>Newsletter</t>
        </is>
      </c>
      <c r="B14" s="23">
        <f>IF(TRIM($A14&amp;"")="","",IF($B$9="Yes",SUMPRODUCT(ISNUMBER(FIND(", "&amp;TRIM($A14&amp;"")&amp;", ",", "&amp;Responses!$AB$2:$AB$1001&amp;", "))*1),SUMPRODUCT((Responses!$AB$2:$AB$1001=TRIM($A14&amp;""))*1)))</f>
        <v/>
      </c>
      <c r="C14" s="24">
        <f>IF(OR(B14="",N(B21)=0),"",B14/B21)</f>
        <v/>
      </c>
    </row>
    <row r="15">
      <c r="A15" s="21" t="inlineStr">
        <is>
          <t>Local event</t>
        </is>
      </c>
      <c r="B15" s="23">
        <f>IF(TRIM($A15&amp;"")="","",IF($B$9="Yes",SUMPRODUCT(ISNUMBER(FIND(", "&amp;TRIM($A15&amp;"")&amp;", ",", "&amp;Responses!$AB$2:$AB$1001&amp;", "))*1),SUMPRODUCT((Responses!$AB$2:$AB$1001=TRIM($A15&amp;""))*1)))</f>
        <v/>
      </c>
      <c r="C15" s="24">
        <f>IF(OR(B15="",N(B21)=0),"",B15/B21)</f>
        <v/>
      </c>
    </row>
    <row r="16">
      <c r="A16" s="25" t="n"/>
      <c r="B16" s="23">
        <f>IF(TRIM($A16&amp;"")="","",IF($B$9="Yes",SUMPRODUCT(ISNUMBER(FIND(", "&amp;TRIM($A16&amp;"")&amp;", ",", "&amp;Responses!$AB$2:$AB$1001&amp;", "))*1),SUMPRODUCT((Responses!$AB$2:$AB$1001=TRIM($A16&amp;""))*1)))</f>
        <v/>
      </c>
      <c r="C16" s="24">
        <f>IF(OR(B16="",N(B21)=0),"",B16/B21)</f>
        <v/>
      </c>
    </row>
    <row r="17">
      <c r="A17" s="25" t="n"/>
      <c r="B17" s="23">
        <f>IF(TRIM($A17&amp;"")="","",IF($B$9="Yes",SUMPRODUCT(ISNUMBER(FIND(", "&amp;TRIM($A17&amp;"")&amp;", ",", "&amp;Responses!$AB$2:$AB$1001&amp;", "))*1),SUMPRODUCT((Responses!$AB$2:$AB$1001=TRIM($A17&amp;""))*1)))</f>
        <v/>
      </c>
      <c r="C17" s="24">
        <f>IF(OR(B17="",N(B21)=0),"",B17/B21)</f>
        <v/>
      </c>
    </row>
    <row r="18">
      <c r="A18" s="25" t="n"/>
      <c r="B18" s="23">
        <f>IF(TRIM($A18&amp;"")="","",IF($B$9="Yes",SUMPRODUCT(ISNUMBER(FIND(", "&amp;TRIM($A18&amp;"")&amp;", ",", "&amp;Responses!$AB$2:$AB$1001&amp;", "))*1),SUMPRODUCT((Responses!$AB$2:$AB$1001=TRIM($A18&amp;""))*1)))</f>
        <v/>
      </c>
      <c r="C18" s="24">
        <f>IF(OR(B18="",N(B21)=0),"",B18/B21)</f>
        <v/>
      </c>
    </row>
    <row r="19">
      <c r="A19" s="25" t="n"/>
      <c r="B19" s="23">
        <f>IF(TRIM($A19&amp;"")="","",IF($B$9="Yes",SUMPRODUCT(ISNUMBER(FIND(", "&amp;TRIM($A19&amp;"")&amp;", ",", "&amp;Responses!$AB$2:$AB$1001&amp;", "))*1),SUMPRODUCT((Responses!$AB$2:$AB$1001=TRIM($A19&amp;""))*1)))</f>
        <v/>
      </c>
      <c r="C19" s="24">
        <f>IF(OR(B19="",N(B21)=0),"",B19/B21)</f>
        <v/>
      </c>
    </row>
    <row r="20">
      <c r="A20" s="25" t="n"/>
      <c r="B20" s="23">
        <f>IF(TRIM($A20&amp;"")="","",IF($B$9="Yes",SUMPRODUCT(ISNUMBER(FIND(", "&amp;TRIM($A20&amp;"")&amp;", ",", "&amp;Responses!$AB$2:$AB$1001&amp;", "))*1),SUMPRODUCT((Responses!$AB$2:$AB$1001=TRIM($A20&amp;""))*1)))</f>
        <v/>
      </c>
      <c r="C20" s="24">
        <f>IF(OR(B20="",N(B21)=0),"",B20/B21)</f>
        <v/>
      </c>
    </row>
    <row r="21">
      <c r="A21" s="19" t="inlineStr">
        <is>
          <t>People who answered</t>
        </is>
      </c>
      <c r="B21" s="26">
        <f>SUMPRODUCT((LEN(Responses!$AB$2:$AB$1001)&gt;0)*1)</f>
        <v/>
      </c>
      <c r="C21" s="15">
        <f>IF($B$9="Yes","Shares can add up to more than 100%.","")</f>
        <v/>
      </c>
    </row>
    <row r="22">
      <c r="A22" s="19" t="inlineStr">
        <is>
          <t>Left it blank</t>
        </is>
      </c>
      <c r="B22" s="26">
        <f>$B$5-B21</f>
        <v/>
      </c>
    </row>
    <row r="25">
      <c r="A25" s="7" t="inlineStr">
        <is>
          <t>Question 2</t>
        </is>
      </c>
    </row>
    <row r="26">
      <c r="A26" s="19" t="inlineStr">
        <is>
          <t>Column name in your export</t>
        </is>
      </c>
      <c r="B26" s="21" t="inlineStr">
        <is>
          <t>What do you use us for?</t>
        </is>
      </c>
    </row>
    <row r="27">
      <c r="A27" s="19" t="inlineStr">
        <is>
          <t>More than one answer allowed?</t>
        </is>
      </c>
      <c r="B27" s="21" t="inlineStr">
        <is>
          <t>Yes</t>
        </is>
      </c>
    </row>
    <row r="28">
      <c r="A28" s="22" t="inlineStr">
        <is>
          <t>Answer option (type each one)</t>
        </is>
      </c>
      <c r="B28" s="3" t="inlineStr">
        <is>
          <t>Count</t>
        </is>
      </c>
      <c r="C28" s="3" t="inlineStr">
        <is>
          <t>% of people who answered</t>
        </is>
      </c>
    </row>
    <row r="29">
      <c r="A29" s="21" t="inlineStr">
        <is>
          <t>Online orders</t>
        </is>
      </c>
      <c r="B29" s="23">
        <f>IF(TRIM($A29&amp;"")="","",IF($B$27="Yes",SUMPRODUCT(ISNUMBER(FIND(", "&amp;TRIM($A29&amp;"")&amp;", ",", "&amp;Responses!$AC$2:$AC$1001&amp;", "))*1),SUMPRODUCT((Responses!$AC$2:$AC$1001=TRIM($A29&amp;""))*1)))</f>
        <v/>
      </c>
      <c r="C29" s="24">
        <f>IF(OR(B29="",N(B39)=0),"",B29/B39)</f>
        <v/>
      </c>
    </row>
    <row r="30">
      <c r="A30" s="21" t="inlineStr">
        <is>
          <t>Home delivery</t>
        </is>
      </c>
      <c r="B30" s="23">
        <f>IF(TRIM($A30&amp;"")="","",IF($B$27="Yes",SUMPRODUCT(ISNUMBER(FIND(", "&amp;TRIM($A30&amp;"")&amp;", ",", "&amp;Responses!$AC$2:$AC$1001&amp;", "))*1),SUMPRODUCT((Responses!$AC$2:$AC$1001=TRIM($A30&amp;""))*1)))</f>
        <v/>
      </c>
      <c r="C30" s="24">
        <f>IF(OR(B30="",N(B39)=0),"",B30/B39)</f>
        <v/>
      </c>
    </row>
    <row r="31">
      <c r="A31" s="21" t="inlineStr">
        <is>
          <t>In-store pickup</t>
        </is>
      </c>
      <c r="B31" s="23">
        <f>IF(TRIM($A31&amp;"")="","",IF($B$27="Yes",SUMPRODUCT(ISNUMBER(FIND(", "&amp;TRIM($A31&amp;"")&amp;", ",", "&amp;Responses!$AC$2:$AC$1001&amp;", "))*1),SUMPRODUCT((Responses!$AC$2:$AC$1001=TRIM($A31&amp;""))*1)))</f>
        <v/>
      </c>
      <c r="C31" s="24">
        <f>IF(OR(B31="",N(B39)=0),"",B31/B39)</f>
        <v/>
      </c>
    </row>
    <row r="32">
      <c r="A32" s="21" t="inlineStr">
        <is>
          <t>Phone support</t>
        </is>
      </c>
      <c r="B32" s="23">
        <f>IF(TRIM($A32&amp;"")="","",IF($B$27="Yes",SUMPRODUCT(ISNUMBER(FIND(", "&amp;TRIM($A32&amp;"")&amp;", ",", "&amp;Responses!$AC$2:$AC$1001&amp;", "))*1),SUMPRODUCT((Responses!$AC$2:$AC$1001=TRIM($A32&amp;""))*1)))</f>
        <v/>
      </c>
      <c r="C32" s="24">
        <f>IF(OR(B32="",N(B39)=0),"",B32/B39)</f>
        <v/>
      </c>
    </row>
    <row r="33">
      <c r="A33" s="25" t="n"/>
      <c r="B33" s="23">
        <f>IF(TRIM($A33&amp;"")="","",IF($B$27="Yes",SUMPRODUCT(ISNUMBER(FIND(", "&amp;TRIM($A33&amp;"")&amp;", ",", "&amp;Responses!$AC$2:$AC$1001&amp;", "))*1),SUMPRODUCT((Responses!$AC$2:$AC$1001=TRIM($A33&amp;""))*1)))</f>
        <v/>
      </c>
      <c r="C33" s="24">
        <f>IF(OR(B33="",N(B39)=0),"",B33/B39)</f>
        <v/>
      </c>
    </row>
    <row r="34">
      <c r="A34" s="25" t="n"/>
      <c r="B34" s="23">
        <f>IF(TRIM($A34&amp;"")="","",IF($B$27="Yes",SUMPRODUCT(ISNUMBER(FIND(", "&amp;TRIM($A34&amp;"")&amp;", ",", "&amp;Responses!$AC$2:$AC$1001&amp;", "))*1),SUMPRODUCT((Responses!$AC$2:$AC$1001=TRIM($A34&amp;""))*1)))</f>
        <v/>
      </c>
      <c r="C34" s="24">
        <f>IF(OR(B34="",N(B39)=0),"",B34/B39)</f>
        <v/>
      </c>
    </row>
    <row r="35">
      <c r="A35" s="25" t="n"/>
      <c r="B35" s="23">
        <f>IF(TRIM($A35&amp;"")="","",IF($B$27="Yes",SUMPRODUCT(ISNUMBER(FIND(", "&amp;TRIM($A35&amp;"")&amp;", ",", "&amp;Responses!$AC$2:$AC$1001&amp;", "))*1),SUMPRODUCT((Responses!$AC$2:$AC$1001=TRIM($A35&amp;""))*1)))</f>
        <v/>
      </c>
      <c r="C35" s="24">
        <f>IF(OR(B35="",N(B39)=0),"",B35/B39)</f>
        <v/>
      </c>
    </row>
    <row r="36">
      <c r="A36" s="25" t="n"/>
      <c r="B36" s="23">
        <f>IF(TRIM($A36&amp;"")="","",IF($B$27="Yes",SUMPRODUCT(ISNUMBER(FIND(", "&amp;TRIM($A36&amp;"")&amp;", ",", "&amp;Responses!$AC$2:$AC$1001&amp;", "))*1),SUMPRODUCT((Responses!$AC$2:$AC$1001=TRIM($A36&amp;""))*1)))</f>
        <v/>
      </c>
      <c r="C36" s="24">
        <f>IF(OR(B36="",N(B39)=0),"",B36/B39)</f>
        <v/>
      </c>
    </row>
    <row r="37">
      <c r="A37" s="25" t="n"/>
      <c r="B37" s="23">
        <f>IF(TRIM($A37&amp;"")="","",IF($B$27="Yes",SUMPRODUCT(ISNUMBER(FIND(", "&amp;TRIM($A37&amp;"")&amp;", ",", "&amp;Responses!$AC$2:$AC$1001&amp;", "))*1),SUMPRODUCT((Responses!$AC$2:$AC$1001=TRIM($A37&amp;""))*1)))</f>
        <v/>
      </c>
      <c r="C37" s="24">
        <f>IF(OR(B37="",N(B39)=0),"",B37/B39)</f>
        <v/>
      </c>
    </row>
    <row r="38">
      <c r="A38" s="25" t="n"/>
      <c r="B38" s="23">
        <f>IF(TRIM($A38&amp;"")="","",IF($B$27="Yes",SUMPRODUCT(ISNUMBER(FIND(", "&amp;TRIM($A38&amp;"")&amp;", ",", "&amp;Responses!$AC$2:$AC$1001&amp;", "))*1),SUMPRODUCT((Responses!$AC$2:$AC$1001=TRIM($A38&amp;""))*1)))</f>
        <v/>
      </c>
      <c r="C38" s="24">
        <f>IF(OR(B38="",N(B39)=0),"",B38/B39)</f>
        <v/>
      </c>
    </row>
    <row r="39">
      <c r="A39" s="19" t="inlineStr">
        <is>
          <t>People who answered</t>
        </is>
      </c>
      <c r="B39" s="26">
        <f>SUMPRODUCT((LEN(Responses!$AC$2:$AC$1001)&gt;0)*1)</f>
        <v/>
      </c>
      <c r="C39" s="15">
        <f>IF($B$27="Yes","Shares can add up to more than 100%.","")</f>
        <v/>
      </c>
    </row>
    <row r="40">
      <c r="A40" s="19" t="inlineStr">
        <is>
          <t>Left it blank</t>
        </is>
      </c>
      <c r="B40" s="26">
        <f>$B$5-B39</f>
        <v/>
      </c>
    </row>
    <row r="43">
      <c r="A43" s="7" t="inlineStr">
        <is>
          <t>Question 3</t>
        </is>
      </c>
    </row>
    <row r="44">
      <c r="A44" s="19" t="inlineStr">
        <is>
          <t>Column name in your export</t>
        </is>
      </c>
      <c r="B44" s="21" t="inlineStr">
        <is>
          <t>How long have you been a customer?</t>
        </is>
      </c>
    </row>
    <row r="45">
      <c r="A45" s="19" t="inlineStr">
        <is>
          <t>More than one answer allowed?</t>
        </is>
      </c>
      <c r="B45" s="21" t="inlineStr">
        <is>
          <t>No</t>
        </is>
      </c>
    </row>
    <row r="46">
      <c r="A46" s="22" t="inlineStr">
        <is>
          <t>Answer option (type each one)</t>
        </is>
      </c>
      <c r="B46" s="3" t="inlineStr">
        <is>
          <t>Count</t>
        </is>
      </c>
      <c r="C46" s="3" t="inlineStr">
        <is>
          <t>% of people who answered</t>
        </is>
      </c>
    </row>
    <row r="47">
      <c r="A47" s="21" t="inlineStr">
        <is>
          <t>Less than a year</t>
        </is>
      </c>
      <c r="B47" s="23">
        <f>IF(TRIM($A47&amp;"")="","",IF($B$45="Yes",SUMPRODUCT(ISNUMBER(FIND(", "&amp;TRIM($A47&amp;"")&amp;", ",", "&amp;Responses!$AD$2:$AD$1001&amp;", "))*1),SUMPRODUCT((Responses!$AD$2:$AD$1001=TRIM($A47&amp;""))*1)))</f>
        <v/>
      </c>
      <c r="C47" s="24">
        <f>IF(OR(B47="",N(B57)=0),"",B47/B57)</f>
        <v/>
      </c>
    </row>
    <row r="48">
      <c r="A48" s="21" t="inlineStr">
        <is>
          <t>1 to 3 years</t>
        </is>
      </c>
      <c r="B48" s="23">
        <f>IF(TRIM($A48&amp;"")="","",IF($B$45="Yes",SUMPRODUCT(ISNUMBER(FIND(", "&amp;TRIM($A48&amp;"")&amp;", ",", "&amp;Responses!$AD$2:$AD$1001&amp;", "))*1),SUMPRODUCT((Responses!$AD$2:$AD$1001=TRIM($A48&amp;""))*1)))</f>
        <v/>
      </c>
      <c r="C48" s="24">
        <f>IF(OR(B48="",N(B57)=0),"",B48/B57)</f>
        <v/>
      </c>
    </row>
    <row r="49">
      <c r="A49" s="21" t="inlineStr">
        <is>
          <t>More than 3 years</t>
        </is>
      </c>
      <c r="B49" s="23">
        <f>IF(TRIM($A49&amp;"")="","",IF($B$45="Yes",SUMPRODUCT(ISNUMBER(FIND(", "&amp;TRIM($A49&amp;"")&amp;", ",", "&amp;Responses!$AD$2:$AD$1001&amp;", "))*1),SUMPRODUCT((Responses!$AD$2:$AD$1001=TRIM($A49&amp;""))*1)))</f>
        <v/>
      </c>
      <c r="C49" s="24">
        <f>IF(OR(B49="",N(B57)=0),"",B49/B57)</f>
        <v/>
      </c>
    </row>
    <row r="50">
      <c r="A50" s="25" t="n"/>
      <c r="B50" s="23">
        <f>IF(TRIM($A50&amp;"")="","",IF($B$45="Yes",SUMPRODUCT(ISNUMBER(FIND(", "&amp;TRIM($A50&amp;"")&amp;", ",", "&amp;Responses!$AD$2:$AD$1001&amp;", "))*1),SUMPRODUCT((Responses!$AD$2:$AD$1001=TRIM($A50&amp;""))*1)))</f>
        <v/>
      </c>
      <c r="C50" s="24">
        <f>IF(OR(B50="",N(B57)=0),"",B50/B57)</f>
        <v/>
      </c>
    </row>
    <row r="51">
      <c r="A51" s="25" t="n"/>
      <c r="B51" s="23">
        <f>IF(TRIM($A51&amp;"")="","",IF($B$45="Yes",SUMPRODUCT(ISNUMBER(FIND(", "&amp;TRIM($A51&amp;"")&amp;", ",", "&amp;Responses!$AD$2:$AD$1001&amp;", "))*1),SUMPRODUCT((Responses!$AD$2:$AD$1001=TRIM($A51&amp;""))*1)))</f>
        <v/>
      </c>
      <c r="C51" s="24">
        <f>IF(OR(B51="",N(B57)=0),"",B51/B57)</f>
        <v/>
      </c>
    </row>
    <row r="52">
      <c r="A52" s="25" t="n"/>
      <c r="B52" s="23">
        <f>IF(TRIM($A52&amp;"")="","",IF($B$45="Yes",SUMPRODUCT(ISNUMBER(FIND(", "&amp;TRIM($A52&amp;"")&amp;", ",", "&amp;Responses!$AD$2:$AD$1001&amp;", "))*1),SUMPRODUCT((Responses!$AD$2:$AD$1001=TRIM($A52&amp;""))*1)))</f>
        <v/>
      </c>
      <c r="C52" s="24">
        <f>IF(OR(B52="",N(B57)=0),"",B52/B57)</f>
        <v/>
      </c>
    </row>
    <row r="53">
      <c r="A53" s="25" t="n"/>
      <c r="B53" s="23">
        <f>IF(TRIM($A53&amp;"")="","",IF($B$45="Yes",SUMPRODUCT(ISNUMBER(FIND(", "&amp;TRIM($A53&amp;"")&amp;", ",", "&amp;Responses!$AD$2:$AD$1001&amp;", "))*1),SUMPRODUCT((Responses!$AD$2:$AD$1001=TRIM($A53&amp;""))*1)))</f>
        <v/>
      </c>
      <c r="C53" s="24">
        <f>IF(OR(B53="",N(B57)=0),"",B53/B57)</f>
        <v/>
      </c>
    </row>
    <row r="54">
      <c r="A54" s="25" t="n"/>
      <c r="B54" s="23">
        <f>IF(TRIM($A54&amp;"")="","",IF($B$45="Yes",SUMPRODUCT(ISNUMBER(FIND(", "&amp;TRIM($A54&amp;"")&amp;", ",", "&amp;Responses!$AD$2:$AD$1001&amp;", "))*1),SUMPRODUCT((Responses!$AD$2:$AD$1001=TRIM($A54&amp;""))*1)))</f>
        <v/>
      </c>
      <c r="C54" s="24">
        <f>IF(OR(B54="",N(B57)=0),"",B54/B57)</f>
        <v/>
      </c>
    </row>
    <row r="55">
      <c r="A55" s="25" t="n"/>
      <c r="B55" s="23">
        <f>IF(TRIM($A55&amp;"")="","",IF($B$45="Yes",SUMPRODUCT(ISNUMBER(FIND(", "&amp;TRIM($A55&amp;"")&amp;", ",", "&amp;Responses!$AD$2:$AD$1001&amp;", "))*1),SUMPRODUCT((Responses!$AD$2:$AD$1001=TRIM($A55&amp;""))*1)))</f>
        <v/>
      </c>
      <c r="C55" s="24">
        <f>IF(OR(B55="",N(B57)=0),"",B55/B57)</f>
        <v/>
      </c>
    </row>
    <row r="56">
      <c r="A56" s="25" t="n"/>
      <c r="B56" s="23">
        <f>IF(TRIM($A56&amp;"")="","",IF($B$45="Yes",SUMPRODUCT(ISNUMBER(FIND(", "&amp;TRIM($A56&amp;"")&amp;", ",", "&amp;Responses!$AD$2:$AD$1001&amp;", "))*1),SUMPRODUCT((Responses!$AD$2:$AD$1001=TRIM($A56&amp;""))*1)))</f>
        <v/>
      </c>
      <c r="C56" s="24">
        <f>IF(OR(B56="",N(B57)=0),"",B56/B57)</f>
        <v/>
      </c>
    </row>
    <row r="57">
      <c r="A57" s="19" t="inlineStr">
        <is>
          <t>People who answered</t>
        </is>
      </c>
      <c r="B57" s="26">
        <f>SUMPRODUCT((LEN(Responses!$AD$2:$AD$1001)&gt;0)*1)</f>
        <v/>
      </c>
      <c r="C57" s="15">
        <f>IF($B$45="Yes","Shares can add up to more than 100%.","")</f>
        <v/>
      </c>
    </row>
    <row r="58">
      <c r="A58" s="19" t="inlineStr">
        <is>
          <t>Left it blank</t>
        </is>
      </c>
      <c r="B58" s="26">
        <f>$B$5-B57</f>
        <v/>
      </c>
    </row>
  </sheetData>
  <mergeCells count="3">
    <mergeCell ref="B8:C8"/>
    <mergeCell ref="B44:C44"/>
    <mergeCell ref="B26:C26"/>
  </mergeCells>
  <dataValidations count="3">
    <dataValidation sqref="B9" showDropDown="0" showInputMessage="1" showErrorMessage="1" allowBlank="1" errorTitle="More than one answer?" error="Pick a value from the list. Pick Yes for checkbox questions, where one cell can hold several answers." promptTitle="More than one answer?" prompt="Pick Yes for checkbox questions, where one cell can hold several answers." type="list" errorStyle="warning">
      <formula1>"Yes,No"</formula1>
    </dataValidation>
    <dataValidation sqref="B27" showDropDown="0" showInputMessage="1" showErrorMessage="1" allowBlank="1" errorTitle="More than one answer?" error="Pick a value from the list. Pick Yes for checkbox questions, where one cell can hold several answers." promptTitle="More than one answer?" prompt="Pick Yes for checkbox questions, where one cell can hold several answers." type="list" errorStyle="warning">
      <formula1>"Yes,No"</formula1>
    </dataValidation>
    <dataValidation sqref="B45" showDropDown="0" showInputMessage="1" showErrorMessage="1" allowBlank="1" errorTitle="More than one answer?" error="Pick a value from the list. Pick Yes for checkbox questions, where one cell can hold several answers." promptTitle="More than one answer?" prompt="Pick Yes for checkbox questions, where one cell can hold several answers." type="list" errorStyle="warning">
      <formula1>"Yes,No"</formula1>
    </dataValidation>
  </dataValidations>
  <pageMargins left="0.75" right="0.75" top="1" bottom="1" header="0.5" footer="0.5"/>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G35"/>
  <sheetViews>
    <sheetView workbookViewId="0">
      <pane xSplit="1" ySplit="9" topLeftCell="B10" activePane="bottomRight" state="frozen"/>
      <selection pane="topRight"/>
      <selection pane="bottomLeft"/>
      <selection pane="bottomRight" activeCell="A1" sqref="A1"/>
    </sheetView>
  </sheetViews>
  <sheetFormatPr baseColWidth="8" defaultRowHeight="15"/>
  <cols>
    <col width="34" customWidth="1" min="1" max="1"/>
    <col width="18" customWidth="1" min="2" max="2"/>
    <col width="18" customWidth="1" min="3" max="3"/>
    <col width="18" customWidth="1" min="4" max="4"/>
    <col width="18" customWidth="1" min="5" max="5"/>
    <col width="18" customWidth="1" min="6" max="6"/>
    <col width="14" customWidth="1" min="7" max="7"/>
  </cols>
  <sheetData>
    <row r="1">
      <c r="A1" s="16" t="inlineStr">
        <is>
          <t>Cross-tab: one question by a group</t>
        </is>
      </c>
    </row>
    <row r="2">
      <c r="A2" s="17" t="inlineStr">
        <is>
          <t>Counts first, then the share of each group. Compare shares, not counts, when groups differ in size.</t>
        </is>
      </c>
    </row>
    <row r="3">
      <c r="A3" s="18">
        <f>IF(COUNTIF(Responses!$A$2:$A$1001,"EXAMPLE*")&gt;0,"You are looking at EXAMPLE data. Clear A2 to Z25 on Responses, then paste your own.","")</f>
        <v/>
      </c>
    </row>
    <row r="5">
      <c r="A5" s="19" t="inlineStr">
        <is>
          <t>Row question (column name)</t>
        </is>
      </c>
      <c r="B5" s="21" t="inlineStr">
        <is>
          <t>What do you use us for?</t>
        </is>
      </c>
      <c r="C5" s="27" t="n"/>
      <c r="D5" s="27" t="n"/>
      <c r="E5" s="27" t="n"/>
      <c r="F5" s="27" t="n"/>
      <c r="G5" s="28" t="n"/>
    </row>
    <row r="6">
      <c r="A6" s="19" t="inlineStr">
        <is>
          <t>More than one answer allowed?</t>
        </is>
      </c>
      <c r="B6" s="21" t="inlineStr">
        <is>
          <t>Yes</t>
        </is>
      </c>
    </row>
    <row r="7">
      <c r="A7" s="19" t="inlineStr">
        <is>
          <t>Group question (column name)</t>
        </is>
      </c>
      <c r="B7" s="21" t="inlineStr">
        <is>
          <t>How long have you been a customer?</t>
        </is>
      </c>
      <c r="C7" s="27" t="n"/>
      <c r="D7" s="27" t="n"/>
      <c r="E7" s="27" t="n"/>
      <c r="F7" s="27" t="n"/>
      <c r="G7" s="28" t="n"/>
    </row>
    <row r="9" ht="32" customHeight="1">
      <c r="A9" s="22" t="inlineStr">
        <is>
          <t>Row answers (type each one)</t>
        </is>
      </c>
      <c r="B9" s="29" t="inlineStr">
        <is>
          <t>Less than a year</t>
        </is>
      </c>
      <c r="C9" s="29" t="inlineStr">
        <is>
          <t>1 to 3 years</t>
        </is>
      </c>
      <c r="D9" s="29" t="inlineStr">
        <is>
          <t>More than 3 years</t>
        </is>
      </c>
      <c r="E9" s="30" t="n"/>
      <c r="F9" s="30" t="n"/>
      <c r="G9" s="3" t="inlineStr">
        <is>
          <t>Everyone</t>
        </is>
      </c>
    </row>
    <row r="10">
      <c r="A10" s="21" t="inlineStr">
        <is>
          <t>Online orders</t>
        </is>
      </c>
      <c r="B10" s="23">
        <f>IF(OR(TRIM($A10&amp;"")="",TRIM(B$9&amp;"")=""),"",IF($B$6="Yes",SUMPRODUCT((Responses!$AF$2:$AF$1001=TRIM(B$9&amp;""))*ISNUMBER(FIND(", "&amp;TRIM($A10&amp;"")&amp;", ",", "&amp;Responses!$AE$2:$AE$1001&amp;", "))),SUMPRODUCT((Responses!$AF$2:$AF$1001=TRIM(B$9&amp;""))*(Responses!$AE$2:$AE$1001=TRIM($A10&amp;"")))))</f>
        <v/>
      </c>
      <c r="C10" s="23">
        <f>IF(OR(TRIM($A10&amp;"")="",TRIM(C$9&amp;"")=""),"",IF($B$6="Yes",SUMPRODUCT((Responses!$AF$2:$AF$1001=TRIM(C$9&amp;""))*ISNUMBER(FIND(", "&amp;TRIM($A10&amp;"")&amp;", ",", "&amp;Responses!$AE$2:$AE$1001&amp;", "))),SUMPRODUCT((Responses!$AF$2:$AF$1001=TRIM(C$9&amp;""))*(Responses!$AE$2:$AE$1001=TRIM($A10&amp;"")))))</f>
        <v/>
      </c>
      <c r="D10" s="23">
        <f>IF(OR(TRIM($A10&amp;"")="",TRIM(D$9&amp;"")=""),"",IF($B$6="Yes",SUMPRODUCT((Responses!$AF$2:$AF$1001=TRIM(D$9&amp;""))*ISNUMBER(FIND(", "&amp;TRIM($A10&amp;"")&amp;", ",", "&amp;Responses!$AE$2:$AE$1001&amp;", "))),SUMPRODUCT((Responses!$AF$2:$AF$1001=TRIM(D$9&amp;""))*(Responses!$AE$2:$AE$1001=TRIM($A10&amp;"")))))</f>
        <v/>
      </c>
      <c r="E10" s="23">
        <f>IF(OR(TRIM($A10&amp;"")="",TRIM(E$9&amp;"")=""),"",IF($B$6="Yes",SUMPRODUCT((Responses!$AF$2:$AF$1001=TRIM(E$9&amp;""))*ISNUMBER(FIND(", "&amp;TRIM($A10&amp;"")&amp;", ",", "&amp;Responses!$AE$2:$AE$1001&amp;", "))),SUMPRODUCT((Responses!$AF$2:$AF$1001=TRIM(E$9&amp;""))*(Responses!$AE$2:$AE$1001=TRIM($A10&amp;"")))))</f>
        <v/>
      </c>
      <c r="F10" s="23">
        <f>IF(OR(TRIM($A10&amp;"")="",TRIM(F$9&amp;"")=""),"",IF($B$6="Yes",SUMPRODUCT((Responses!$AF$2:$AF$1001=TRIM(F$9&amp;""))*ISNUMBER(FIND(", "&amp;TRIM($A10&amp;"")&amp;", ",", "&amp;Responses!$AE$2:$AE$1001&amp;", "))),SUMPRODUCT((Responses!$AF$2:$AF$1001=TRIM(F$9&amp;""))*(Responses!$AE$2:$AE$1001=TRIM($A10&amp;"")))))</f>
        <v/>
      </c>
      <c r="G10" s="23">
        <f>IF(TRIM($A10&amp;"")="","",IF($B$6="Yes",SUMPRODUCT(ISNUMBER(FIND(", "&amp;TRIM($A10&amp;"")&amp;", ",", "&amp;Responses!$AE$2:$AE$1001&amp;", "))*1),SUMPRODUCT((Responses!$AE$2:$AE$1001=TRIM($A10&amp;""))*1)))</f>
        <v/>
      </c>
    </row>
    <row r="11">
      <c r="A11" s="21" t="inlineStr">
        <is>
          <t>Home delivery</t>
        </is>
      </c>
      <c r="B11" s="23">
        <f>IF(OR(TRIM($A11&amp;"")="",TRIM(B$9&amp;"")=""),"",IF($B$6="Yes",SUMPRODUCT((Responses!$AF$2:$AF$1001=TRIM(B$9&amp;""))*ISNUMBER(FIND(", "&amp;TRIM($A11&amp;"")&amp;", ",", "&amp;Responses!$AE$2:$AE$1001&amp;", "))),SUMPRODUCT((Responses!$AF$2:$AF$1001=TRIM(B$9&amp;""))*(Responses!$AE$2:$AE$1001=TRIM($A11&amp;"")))))</f>
        <v/>
      </c>
      <c r="C11" s="23">
        <f>IF(OR(TRIM($A11&amp;"")="",TRIM(C$9&amp;"")=""),"",IF($B$6="Yes",SUMPRODUCT((Responses!$AF$2:$AF$1001=TRIM(C$9&amp;""))*ISNUMBER(FIND(", "&amp;TRIM($A11&amp;"")&amp;", ",", "&amp;Responses!$AE$2:$AE$1001&amp;", "))),SUMPRODUCT((Responses!$AF$2:$AF$1001=TRIM(C$9&amp;""))*(Responses!$AE$2:$AE$1001=TRIM($A11&amp;"")))))</f>
        <v/>
      </c>
      <c r="D11" s="23">
        <f>IF(OR(TRIM($A11&amp;"")="",TRIM(D$9&amp;"")=""),"",IF($B$6="Yes",SUMPRODUCT((Responses!$AF$2:$AF$1001=TRIM(D$9&amp;""))*ISNUMBER(FIND(", "&amp;TRIM($A11&amp;"")&amp;", ",", "&amp;Responses!$AE$2:$AE$1001&amp;", "))),SUMPRODUCT((Responses!$AF$2:$AF$1001=TRIM(D$9&amp;""))*(Responses!$AE$2:$AE$1001=TRIM($A11&amp;"")))))</f>
        <v/>
      </c>
      <c r="E11" s="23">
        <f>IF(OR(TRIM($A11&amp;"")="",TRIM(E$9&amp;"")=""),"",IF($B$6="Yes",SUMPRODUCT((Responses!$AF$2:$AF$1001=TRIM(E$9&amp;""))*ISNUMBER(FIND(", "&amp;TRIM($A11&amp;"")&amp;", ",", "&amp;Responses!$AE$2:$AE$1001&amp;", "))),SUMPRODUCT((Responses!$AF$2:$AF$1001=TRIM(E$9&amp;""))*(Responses!$AE$2:$AE$1001=TRIM($A11&amp;"")))))</f>
        <v/>
      </c>
      <c r="F11" s="23">
        <f>IF(OR(TRIM($A11&amp;"")="",TRIM(F$9&amp;"")=""),"",IF($B$6="Yes",SUMPRODUCT((Responses!$AF$2:$AF$1001=TRIM(F$9&amp;""))*ISNUMBER(FIND(", "&amp;TRIM($A11&amp;"")&amp;", ",", "&amp;Responses!$AE$2:$AE$1001&amp;", "))),SUMPRODUCT((Responses!$AF$2:$AF$1001=TRIM(F$9&amp;""))*(Responses!$AE$2:$AE$1001=TRIM($A11&amp;"")))))</f>
        <v/>
      </c>
      <c r="G11" s="23">
        <f>IF(TRIM($A11&amp;"")="","",IF($B$6="Yes",SUMPRODUCT(ISNUMBER(FIND(", "&amp;TRIM($A11&amp;"")&amp;", ",", "&amp;Responses!$AE$2:$AE$1001&amp;", "))*1),SUMPRODUCT((Responses!$AE$2:$AE$1001=TRIM($A11&amp;""))*1)))</f>
        <v/>
      </c>
    </row>
    <row r="12">
      <c r="A12" s="21" t="inlineStr">
        <is>
          <t>In-store pickup</t>
        </is>
      </c>
      <c r="B12" s="23">
        <f>IF(OR(TRIM($A12&amp;"")="",TRIM(B$9&amp;"")=""),"",IF($B$6="Yes",SUMPRODUCT((Responses!$AF$2:$AF$1001=TRIM(B$9&amp;""))*ISNUMBER(FIND(", "&amp;TRIM($A12&amp;"")&amp;", ",", "&amp;Responses!$AE$2:$AE$1001&amp;", "))),SUMPRODUCT((Responses!$AF$2:$AF$1001=TRIM(B$9&amp;""))*(Responses!$AE$2:$AE$1001=TRIM($A12&amp;"")))))</f>
        <v/>
      </c>
      <c r="C12" s="23">
        <f>IF(OR(TRIM($A12&amp;"")="",TRIM(C$9&amp;"")=""),"",IF($B$6="Yes",SUMPRODUCT((Responses!$AF$2:$AF$1001=TRIM(C$9&amp;""))*ISNUMBER(FIND(", "&amp;TRIM($A12&amp;"")&amp;", ",", "&amp;Responses!$AE$2:$AE$1001&amp;", "))),SUMPRODUCT((Responses!$AF$2:$AF$1001=TRIM(C$9&amp;""))*(Responses!$AE$2:$AE$1001=TRIM($A12&amp;"")))))</f>
        <v/>
      </c>
      <c r="D12" s="23">
        <f>IF(OR(TRIM($A12&amp;"")="",TRIM(D$9&amp;"")=""),"",IF($B$6="Yes",SUMPRODUCT((Responses!$AF$2:$AF$1001=TRIM(D$9&amp;""))*ISNUMBER(FIND(", "&amp;TRIM($A12&amp;"")&amp;", ",", "&amp;Responses!$AE$2:$AE$1001&amp;", "))),SUMPRODUCT((Responses!$AF$2:$AF$1001=TRIM(D$9&amp;""))*(Responses!$AE$2:$AE$1001=TRIM($A12&amp;"")))))</f>
        <v/>
      </c>
      <c r="E12" s="23">
        <f>IF(OR(TRIM($A12&amp;"")="",TRIM(E$9&amp;"")=""),"",IF($B$6="Yes",SUMPRODUCT((Responses!$AF$2:$AF$1001=TRIM(E$9&amp;""))*ISNUMBER(FIND(", "&amp;TRIM($A12&amp;"")&amp;", ",", "&amp;Responses!$AE$2:$AE$1001&amp;", "))),SUMPRODUCT((Responses!$AF$2:$AF$1001=TRIM(E$9&amp;""))*(Responses!$AE$2:$AE$1001=TRIM($A12&amp;"")))))</f>
        <v/>
      </c>
      <c r="F12" s="23">
        <f>IF(OR(TRIM($A12&amp;"")="",TRIM(F$9&amp;"")=""),"",IF($B$6="Yes",SUMPRODUCT((Responses!$AF$2:$AF$1001=TRIM(F$9&amp;""))*ISNUMBER(FIND(", "&amp;TRIM($A12&amp;"")&amp;", ",", "&amp;Responses!$AE$2:$AE$1001&amp;", "))),SUMPRODUCT((Responses!$AF$2:$AF$1001=TRIM(F$9&amp;""))*(Responses!$AE$2:$AE$1001=TRIM($A12&amp;"")))))</f>
        <v/>
      </c>
      <c r="G12" s="23">
        <f>IF(TRIM($A12&amp;"")="","",IF($B$6="Yes",SUMPRODUCT(ISNUMBER(FIND(", "&amp;TRIM($A12&amp;"")&amp;", ",", "&amp;Responses!$AE$2:$AE$1001&amp;", "))*1),SUMPRODUCT((Responses!$AE$2:$AE$1001=TRIM($A12&amp;""))*1)))</f>
        <v/>
      </c>
    </row>
    <row r="13">
      <c r="A13" s="21" t="inlineStr">
        <is>
          <t>Phone support</t>
        </is>
      </c>
      <c r="B13" s="23">
        <f>IF(OR(TRIM($A13&amp;"")="",TRIM(B$9&amp;"")=""),"",IF($B$6="Yes",SUMPRODUCT((Responses!$AF$2:$AF$1001=TRIM(B$9&amp;""))*ISNUMBER(FIND(", "&amp;TRIM($A13&amp;"")&amp;", ",", "&amp;Responses!$AE$2:$AE$1001&amp;", "))),SUMPRODUCT((Responses!$AF$2:$AF$1001=TRIM(B$9&amp;""))*(Responses!$AE$2:$AE$1001=TRIM($A13&amp;"")))))</f>
        <v/>
      </c>
      <c r="C13" s="23">
        <f>IF(OR(TRIM($A13&amp;"")="",TRIM(C$9&amp;"")=""),"",IF($B$6="Yes",SUMPRODUCT((Responses!$AF$2:$AF$1001=TRIM(C$9&amp;""))*ISNUMBER(FIND(", "&amp;TRIM($A13&amp;"")&amp;", ",", "&amp;Responses!$AE$2:$AE$1001&amp;", "))),SUMPRODUCT((Responses!$AF$2:$AF$1001=TRIM(C$9&amp;""))*(Responses!$AE$2:$AE$1001=TRIM($A13&amp;"")))))</f>
        <v/>
      </c>
      <c r="D13" s="23">
        <f>IF(OR(TRIM($A13&amp;"")="",TRIM(D$9&amp;"")=""),"",IF($B$6="Yes",SUMPRODUCT((Responses!$AF$2:$AF$1001=TRIM(D$9&amp;""))*ISNUMBER(FIND(", "&amp;TRIM($A13&amp;"")&amp;", ",", "&amp;Responses!$AE$2:$AE$1001&amp;", "))),SUMPRODUCT((Responses!$AF$2:$AF$1001=TRIM(D$9&amp;""))*(Responses!$AE$2:$AE$1001=TRIM($A13&amp;"")))))</f>
        <v/>
      </c>
      <c r="E13" s="23">
        <f>IF(OR(TRIM($A13&amp;"")="",TRIM(E$9&amp;"")=""),"",IF($B$6="Yes",SUMPRODUCT((Responses!$AF$2:$AF$1001=TRIM(E$9&amp;""))*ISNUMBER(FIND(", "&amp;TRIM($A13&amp;"")&amp;", ",", "&amp;Responses!$AE$2:$AE$1001&amp;", "))),SUMPRODUCT((Responses!$AF$2:$AF$1001=TRIM(E$9&amp;""))*(Responses!$AE$2:$AE$1001=TRIM($A13&amp;"")))))</f>
        <v/>
      </c>
      <c r="F13" s="23">
        <f>IF(OR(TRIM($A13&amp;"")="",TRIM(F$9&amp;"")=""),"",IF($B$6="Yes",SUMPRODUCT((Responses!$AF$2:$AF$1001=TRIM(F$9&amp;""))*ISNUMBER(FIND(", "&amp;TRIM($A13&amp;"")&amp;", ",", "&amp;Responses!$AE$2:$AE$1001&amp;", "))),SUMPRODUCT((Responses!$AF$2:$AF$1001=TRIM(F$9&amp;""))*(Responses!$AE$2:$AE$1001=TRIM($A13&amp;"")))))</f>
        <v/>
      </c>
      <c r="G13" s="23">
        <f>IF(TRIM($A13&amp;"")="","",IF($B$6="Yes",SUMPRODUCT(ISNUMBER(FIND(", "&amp;TRIM($A13&amp;"")&amp;", ",", "&amp;Responses!$AE$2:$AE$1001&amp;", "))*1),SUMPRODUCT((Responses!$AE$2:$AE$1001=TRIM($A13&amp;""))*1)))</f>
        <v/>
      </c>
    </row>
    <row r="14">
      <c r="A14" s="25" t="n"/>
      <c r="B14" s="23">
        <f>IF(OR(TRIM($A14&amp;"")="",TRIM(B$9&amp;"")=""),"",IF($B$6="Yes",SUMPRODUCT((Responses!$AF$2:$AF$1001=TRIM(B$9&amp;""))*ISNUMBER(FIND(", "&amp;TRIM($A14&amp;"")&amp;", ",", "&amp;Responses!$AE$2:$AE$1001&amp;", "))),SUMPRODUCT((Responses!$AF$2:$AF$1001=TRIM(B$9&amp;""))*(Responses!$AE$2:$AE$1001=TRIM($A14&amp;"")))))</f>
        <v/>
      </c>
      <c r="C14" s="23">
        <f>IF(OR(TRIM($A14&amp;"")="",TRIM(C$9&amp;"")=""),"",IF($B$6="Yes",SUMPRODUCT((Responses!$AF$2:$AF$1001=TRIM(C$9&amp;""))*ISNUMBER(FIND(", "&amp;TRIM($A14&amp;"")&amp;", ",", "&amp;Responses!$AE$2:$AE$1001&amp;", "))),SUMPRODUCT((Responses!$AF$2:$AF$1001=TRIM(C$9&amp;""))*(Responses!$AE$2:$AE$1001=TRIM($A14&amp;"")))))</f>
        <v/>
      </c>
      <c r="D14" s="23">
        <f>IF(OR(TRIM($A14&amp;"")="",TRIM(D$9&amp;"")=""),"",IF($B$6="Yes",SUMPRODUCT((Responses!$AF$2:$AF$1001=TRIM(D$9&amp;""))*ISNUMBER(FIND(", "&amp;TRIM($A14&amp;"")&amp;", ",", "&amp;Responses!$AE$2:$AE$1001&amp;", "))),SUMPRODUCT((Responses!$AF$2:$AF$1001=TRIM(D$9&amp;""))*(Responses!$AE$2:$AE$1001=TRIM($A14&amp;"")))))</f>
        <v/>
      </c>
      <c r="E14" s="23">
        <f>IF(OR(TRIM($A14&amp;"")="",TRIM(E$9&amp;"")=""),"",IF($B$6="Yes",SUMPRODUCT((Responses!$AF$2:$AF$1001=TRIM(E$9&amp;""))*ISNUMBER(FIND(", "&amp;TRIM($A14&amp;"")&amp;", ",", "&amp;Responses!$AE$2:$AE$1001&amp;", "))),SUMPRODUCT((Responses!$AF$2:$AF$1001=TRIM(E$9&amp;""))*(Responses!$AE$2:$AE$1001=TRIM($A14&amp;"")))))</f>
        <v/>
      </c>
      <c r="F14" s="23">
        <f>IF(OR(TRIM($A14&amp;"")="",TRIM(F$9&amp;"")=""),"",IF($B$6="Yes",SUMPRODUCT((Responses!$AF$2:$AF$1001=TRIM(F$9&amp;""))*ISNUMBER(FIND(", "&amp;TRIM($A14&amp;"")&amp;", ",", "&amp;Responses!$AE$2:$AE$1001&amp;", "))),SUMPRODUCT((Responses!$AF$2:$AF$1001=TRIM(F$9&amp;""))*(Responses!$AE$2:$AE$1001=TRIM($A14&amp;"")))))</f>
        <v/>
      </c>
      <c r="G14" s="23">
        <f>IF(TRIM($A14&amp;"")="","",IF($B$6="Yes",SUMPRODUCT(ISNUMBER(FIND(", "&amp;TRIM($A14&amp;"")&amp;", ",", "&amp;Responses!$AE$2:$AE$1001&amp;", "))*1),SUMPRODUCT((Responses!$AE$2:$AE$1001=TRIM($A14&amp;""))*1)))</f>
        <v/>
      </c>
    </row>
    <row r="15">
      <c r="A15" s="25" t="n"/>
      <c r="B15" s="23">
        <f>IF(OR(TRIM($A15&amp;"")="",TRIM(B$9&amp;"")=""),"",IF($B$6="Yes",SUMPRODUCT((Responses!$AF$2:$AF$1001=TRIM(B$9&amp;""))*ISNUMBER(FIND(", "&amp;TRIM($A15&amp;"")&amp;", ",", "&amp;Responses!$AE$2:$AE$1001&amp;", "))),SUMPRODUCT((Responses!$AF$2:$AF$1001=TRIM(B$9&amp;""))*(Responses!$AE$2:$AE$1001=TRIM($A15&amp;"")))))</f>
        <v/>
      </c>
      <c r="C15" s="23">
        <f>IF(OR(TRIM($A15&amp;"")="",TRIM(C$9&amp;"")=""),"",IF($B$6="Yes",SUMPRODUCT((Responses!$AF$2:$AF$1001=TRIM(C$9&amp;""))*ISNUMBER(FIND(", "&amp;TRIM($A15&amp;"")&amp;", ",", "&amp;Responses!$AE$2:$AE$1001&amp;", "))),SUMPRODUCT((Responses!$AF$2:$AF$1001=TRIM(C$9&amp;""))*(Responses!$AE$2:$AE$1001=TRIM($A15&amp;"")))))</f>
        <v/>
      </c>
      <c r="D15" s="23">
        <f>IF(OR(TRIM($A15&amp;"")="",TRIM(D$9&amp;"")=""),"",IF($B$6="Yes",SUMPRODUCT((Responses!$AF$2:$AF$1001=TRIM(D$9&amp;""))*ISNUMBER(FIND(", "&amp;TRIM($A15&amp;"")&amp;", ",", "&amp;Responses!$AE$2:$AE$1001&amp;", "))),SUMPRODUCT((Responses!$AF$2:$AF$1001=TRIM(D$9&amp;""))*(Responses!$AE$2:$AE$1001=TRIM($A15&amp;"")))))</f>
        <v/>
      </c>
      <c r="E15" s="23">
        <f>IF(OR(TRIM($A15&amp;"")="",TRIM(E$9&amp;"")=""),"",IF($B$6="Yes",SUMPRODUCT((Responses!$AF$2:$AF$1001=TRIM(E$9&amp;""))*ISNUMBER(FIND(", "&amp;TRIM($A15&amp;"")&amp;", ",", "&amp;Responses!$AE$2:$AE$1001&amp;", "))),SUMPRODUCT((Responses!$AF$2:$AF$1001=TRIM(E$9&amp;""))*(Responses!$AE$2:$AE$1001=TRIM($A15&amp;"")))))</f>
        <v/>
      </c>
      <c r="F15" s="23">
        <f>IF(OR(TRIM($A15&amp;"")="",TRIM(F$9&amp;"")=""),"",IF($B$6="Yes",SUMPRODUCT((Responses!$AF$2:$AF$1001=TRIM(F$9&amp;""))*ISNUMBER(FIND(", "&amp;TRIM($A15&amp;"")&amp;", ",", "&amp;Responses!$AE$2:$AE$1001&amp;", "))),SUMPRODUCT((Responses!$AF$2:$AF$1001=TRIM(F$9&amp;""))*(Responses!$AE$2:$AE$1001=TRIM($A15&amp;"")))))</f>
        <v/>
      </c>
      <c r="G15" s="23">
        <f>IF(TRIM($A15&amp;"")="","",IF($B$6="Yes",SUMPRODUCT(ISNUMBER(FIND(", "&amp;TRIM($A15&amp;"")&amp;", ",", "&amp;Responses!$AE$2:$AE$1001&amp;", "))*1),SUMPRODUCT((Responses!$AE$2:$AE$1001=TRIM($A15&amp;""))*1)))</f>
        <v/>
      </c>
    </row>
    <row r="16">
      <c r="A16" s="25" t="n"/>
      <c r="B16" s="23">
        <f>IF(OR(TRIM($A16&amp;"")="",TRIM(B$9&amp;"")=""),"",IF($B$6="Yes",SUMPRODUCT((Responses!$AF$2:$AF$1001=TRIM(B$9&amp;""))*ISNUMBER(FIND(", "&amp;TRIM($A16&amp;"")&amp;", ",", "&amp;Responses!$AE$2:$AE$1001&amp;", "))),SUMPRODUCT((Responses!$AF$2:$AF$1001=TRIM(B$9&amp;""))*(Responses!$AE$2:$AE$1001=TRIM($A16&amp;"")))))</f>
        <v/>
      </c>
      <c r="C16" s="23">
        <f>IF(OR(TRIM($A16&amp;"")="",TRIM(C$9&amp;"")=""),"",IF($B$6="Yes",SUMPRODUCT((Responses!$AF$2:$AF$1001=TRIM(C$9&amp;""))*ISNUMBER(FIND(", "&amp;TRIM($A16&amp;"")&amp;", ",", "&amp;Responses!$AE$2:$AE$1001&amp;", "))),SUMPRODUCT((Responses!$AF$2:$AF$1001=TRIM(C$9&amp;""))*(Responses!$AE$2:$AE$1001=TRIM($A16&amp;"")))))</f>
        <v/>
      </c>
      <c r="D16" s="23">
        <f>IF(OR(TRIM($A16&amp;"")="",TRIM(D$9&amp;"")=""),"",IF($B$6="Yes",SUMPRODUCT((Responses!$AF$2:$AF$1001=TRIM(D$9&amp;""))*ISNUMBER(FIND(", "&amp;TRIM($A16&amp;"")&amp;", ",", "&amp;Responses!$AE$2:$AE$1001&amp;", "))),SUMPRODUCT((Responses!$AF$2:$AF$1001=TRIM(D$9&amp;""))*(Responses!$AE$2:$AE$1001=TRIM($A16&amp;"")))))</f>
        <v/>
      </c>
      <c r="E16" s="23">
        <f>IF(OR(TRIM($A16&amp;"")="",TRIM(E$9&amp;"")=""),"",IF($B$6="Yes",SUMPRODUCT((Responses!$AF$2:$AF$1001=TRIM(E$9&amp;""))*ISNUMBER(FIND(", "&amp;TRIM($A16&amp;"")&amp;", ",", "&amp;Responses!$AE$2:$AE$1001&amp;", "))),SUMPRODUCT((Responses!$AF$2:$AF$1001=TRIM(E$9&amp;""))*(Responses!$AE$2:$AE$1001=TRIM($A16&amp;"")))))</f>
        <v/>
      </c>
      <c r="F16" s="23">
        <f>IF(OR(TRIM($A16&amp;"")="",TRIM(F$9&amp;"")=""),"",IF($B$6="Yes",SUMPRODUCT((Responses!$AF$2:$AF$1001=TRIM(F$9&amp;""))*ISNUMBER(FIND(", "&amp;TRIM($A16&amp;"")&amp;", ",", "&amp;Responses!$AE$2:$AE$1001&amp;", "))),SUMPRODUCT((Responses!$AF$2:$AF$1001=TRIM(F$9&amp;""))*(Responses!$AE$2:$AE$1001=TRIM($A16&amp;"")))))</f>
        <v/>
      </c>
      <c r="G16" s="23">
        <f>IF(TRIM($A16&amp;"")="","",IF($B$6="Yes",SUMPRODUCT(ISNUMBER(FIND(", "&amp;TRIM($A16&amp;"")&amp;", ",", "&amp;Responses!$AE$2:$AE$1001&amp;", "))*1),SUMPRODUCT((Responses!$AE$2:$AE$1001=TRIM($A16&amp;""))*1)))</f>
        <v/>
      </c>
    </row>
    <row r="17">
      <c r="A17" s="25" t="n"/>
      <c r="B17" s="23">
        <f>IF(OR(TRIM($A17&amp;"")="",TRIM(B$9&amp;"")=""),"",IF($B$6="Yes",SUMPRODUCT((Responses!$AF$2:$AF$1001=TRIM(B$9&amp;""))*ISNUMBER(FIND(", "&amp;TRIM($A17&amp;"")&amp;", ",", "&amp;Responses!$AE$2:$AE$1001&amp;", "))),SUMPRODUCT((Responses!$AF$2:$AF$1001=TRIM(B$9&amp;""))*(Responses!$AE$2:$AE$1001=TRIM($A17&amp;"")))))</f>
        <v/>
      </c>
      <c r="C17" s="23">
        <f>IF(OR(TRIM($A17&amp;"")="",TRIM(C$9&amp;"")=""),"",IF($B$6="Yes",SUMPRODUCT((Responses!$AF$2:$AF$1001=TRIM(C$9&amp;""))*ISNUMBER(FIND(", "&amp;TRIM($A17&amp;"")&amp;", ",", "&amp;Responses!$AE$2:$AE$1001&amp;", "))),SUMPRODUCT((Responses!$AF$2:$AF$1001=TRIM(C$9&amp;""))*(Responses!$AE$2:$AE$1001=TRIM($A17&amp;"")))))</f>
        <v/>
      </c>
      <c r="D17" s="23">
        <f>IF(OR(TRIM($A17&amp;"")="",TRIM(D$9&amp;"")=""),"",IF($B$6="Yes",SUMPRODUCT((Responses!$AF$2:$AF$1001=TRIM(D$9&amp;""))*ISNUMBER(FIND(", "&amp;TRIM($A17&amp;"")&amp;", ",", "&amp;Responses!$AE$2:$AE$1001&amp;", "))),SUMPRODUCT((Responses!$AF$2:$AF$1001=TRIM(D$9&amp;""))*(Responses!$AE$2:$AE$1001=TRIM($A17&amp;"")))))</f>
        <v/>
      </c>
      <c r="E17" s="23">
        <f>IF(OR(TRIM($A17&amp;"")="",TRIM(E$9&amp;"")=""),"",IF($B$6="Yes",SUMPRODUCT((Responses!$AF$2:$AF$1001=TRIM(E$9&amp;""))*ISNUMBER(FIND(", "&amp;TRIM($A17&amp;"")&amp;", ",", "&amp;Responses!$AE$2:$AE$1001&amp;", "))),SUMPRODUCT((Responses!$AF$2:$AF$1001=TRIM(E$9&amp;""))*(Responses!$AE$2:$AE$1001=TRIM($A17&amp;"")))))</f>
        <v/>
      </c>
      <c r="F17" s="23">
        <f>IF(OR(TRIM($A17&amp;"")="",TRIM(F$9&amp;"")=""),"",IF($B$6="Yes",SUMPRODUCT((Responses!$AF$2:$AF$1001=TRIM(F$9&amp;""))*ISNUMBER(FIND(", "&amp;TRIM($A17&amp;"")&amp;", ",", "&amp;Responses!$AE$2:$AE$1001&amp;", "))),SUMPRODUCT((Responses!$AF$2:$AF$1001=TRIM(F$9&amp;""))*(Responses!$AE$2:$AE$1001=TRIM($A17&amp;"")))))</f>
        <v/>
      </c>
      <c r="G17" s="23">
        <f>IF(TRIM($A17&amp;"")="","",IF($B$6="Yes",SUMPRODUCT(ISNUMBER(FIND(", "&amp;TRIM($A17&amp;"")&amp;", ",", "&amp;Responses!$AE$2:$AE$1001&amp;", "))*1),SUMPRODUCT((Responses!$AE$2:$AE$1001=TRIM($A17&amp;""))*1)))</f>
        <v/>
      </c>
    </row>
    <row r="18">
      <c r="A18" s="25" t="n"/>
      <c r="B18" s="23">
        <f>IF(OR(TRIM($A18&amp;"")="",TRIM(B$9&amp;"")=""),"",IF($B$6="Yes",SUMPRODUCT((Responses!$AF$2:$AF$1001=TRIM(B$9&amp;""))*ISNUMBER(FIND(", "&amp;TRIM($A18&amp;"")&amp;", ",", "&amp;Responses!$AE$2:$AE$1001&amp;", "))),SUMPRODUCT((Responses!$AF$2:$AF$1001=TRIM(B$9&amp;""))*(Responses!$AE$2:$AE$1001=TRIM($A18&amp;"")))))</f>
        <v/>
      </c>
      <c r="C18" s="23">
        <f>IF(OR(TRIM($A18&amp;"")="",TRIM(C$9&amp;"")=""),"",IF($B$6="Yes",SUMPRODUCT((Responses!$AF$2:$AF$1001=TRIM(C$9&amp;""))*ISNUMBER(FIND(", "&amp;TRIM($A18&amp;"")&amp;", ",", "&amp;Responses!$AE$2:$AE$1001&amp;", "))),SUMPRODUCT((Responses!$AF$2:$AF$1001=TRIM(C$9&amp;""))*(Responses!$AE$2:$AE$1001=TRIM($A18&amp;"")))))</f>
        <v/>
      </c>
      <c r="D18" s="23">
        <f>IF(OR(TRIM($A18&amp;"")="",TRIM(D$9&amp;"")=""),"",IF($B$6="Yes",SUMPRODUCT((Responses!$AF$2:$AF$1001=TRIM(D$9&amp;""))*ISNUMBER(FIND(", "&amp;TRIM($A18&amp;"")&amp;", ",", "&amp;Responses!$AE$2:$AE$1001&amp;", "))),SUMPRODUCT((Responses!$AF$2:$AF$1001=TRIM(D$9&amp;""))*(Responses!$AE$2:$AE$1001=TRIM($A18&amp;"")))))</f>
        <v/>
      </c>
      <c r="E18" s="23">
        <f>IF(OR(TRIM($A18&amp;"")="",TRIM(E$9&amp;"")=""),"",IF($B$6="Yes",SUMPRODUCT((Responses!$AF$2:$AF$1001=TRIM(E$9&amp;""))*ISNUMBER(FIND(", "&amp;TRIM($A18&amp;"")&amp;", ",", "&amp;Responses!$AE$2:$AE$1001&amp;", "))),SUMPRODUCT((Responses!$AF$2:$AF$1001=TRIM(E$9&amp;""))*(Responses!$AE$2:$AE$1001=TRIM($A18&amp;"")))))</f>
        <v/>
      </c>
      <c r="F18" s="23">
        <f>IF(OR(TRIM($A18&amp;"")="",TRIM(F$9&amp;"")=""),"",IF($B$6="Yes",SUMPRODUCT((Responses!$AF$2:$AF$1001=TRIM(F$9&amp;""))*ISNUMBER(FIND(", "&amp;TRIM($A18&amp;"")&amp;", ",", "&amp;Responses!$AE$2:$AE$1001&amp;", "))),SUMPRODUCT((Responses!$AF$2:$AF$1001=TRIM(F$9&amp;""))*(Responses!$AE$2:$AE$1001=TRIM($A18&amp;"")))))</f>
        <v/>
      </c>
      <c r="G18" s="23">
        <f>IF(TRIM($A18&amp;"")="","",IF($B$6="Yes",SUMPRODUCT(ISNUMBER(FIND(", "&amp;TRIM($A18&amp;"")&amp;", ",", "&amp;Responses!$AE$2:$AE$1001&amp;", "))*1),SUMPRODUCT((Responses!$AE$2:$AE$1001=TRIM($A18&amp;""))*1)))</f>
        <v/>
      </c>
    </row>
    <row r="19">
      <c r="A19" s="25" t="n"/>
      <c r="B19" s="23">
        <f>IF(OR(TRIM($A19&amp;"")="",TRIM(B$9&amp;"")=""),"",IF($B$6="Yes",SUMPRODUCT((Responses!$AF$2:$AF$1001=TRIM(B$9&amp;""))*ISNUMBER(FIND(", "&amp;TRIM($A19&amp;"")&amp;", ",", "&amp;Responses!$AE$2:$AE$1001&amp;", "))),SUMPRODUCT((Responses!$AF$2:$AF$1001=TRIM(B$9&amp;""))*(Responses!$AE$2:$AE$1001=TRIM($A19&amp;"")))))</f>
        <v/>
      </c>
      <c r="C19" s="23">
        <f>IF(OR(TRIM($A19&amp;"")="",TRIM(C$9&amp;"")=""),"",IF($B$6="Yes",SUMPRODUCT((Responses!$AF$2:$AF$1001=TRIM(C$9&amp;""))*ISNUMBER(FIND(", "&amp;TRIM($A19&amp;"")&amp;", ",", "&amp;Responses!$AE$2:$AE$1001&amp;", "))),SUMPRODUCT((Responses!$AF$2:$AF$1001=TRIM(C$9&amp;""))*(Responses!$AE$2:$AE$1001=TRIM($A19&amp;"")))))</f>
        <v/>
      </c>
      <c r="D19" s="23">
        <f>IF(OR(TRIM($A19&amp;"")="",TRIM(D$9&amp;"")=""),"",IF($B$6="Yes",SUMPRODUCT((Responses!$AF$2:$AF$1001=TRIM(D$9&amp;""))*ISNUMBER(FIND(", "&amp;TRIM($A19&amp;"")&amp;", ",", "&amp;Responses!$AE$2:$AE$1001&amp;", "))),SUMPRODUCT((Responses!$AF$2:$AF$1001=TRIM(D$9&amp;""))*(Responses!$AE$2:$AE$1001=TRIM($A19&amp;"")))))</f>
        <v/>
      </c>
      <c r="E19" s="23">
        <f>IF(OR(TRIM($A19&amp;"")="",TRIM(E$9&amp;"")=""),"",IF($B$6="Yes",SUMPRODUCT((Responses!$AF$2:$AF$1001=TRIM(E$9&amp;""))*ISNUMBER(FIND(", "&amp;TRIM($A19&amp;"")&amp;", ",", "&amp;Responses!$AE$2:$AE$1001&amp;", "))),SUMPRODUCT((Responses!$AF$2:$AF$1001=TRIM(E$9&amp;""))*(Responses!$AE$2:$AE$1001=TRIM($A19&amp;"")))))</f>
        <v/>
      </c>
      <c r="F19" s="23">
        <f>IF(OR(TRIM($A19&amp;"")="",TRIM(F$9&amp;"")=""),"",IF($B$6="Yes",SUMPRODUCT((Responses!$AF$2:$AF$1001=TRIM(F$9&amp;""))*ISNUMBER(FIND(", "&amp;TRIM($A19&amp;"")&amp;", ",", "&amp;Responses!$AE$2:$AE$1001&amp;", "))),SUMPRODUCT((Responses!$AF$2:$AF$1001=TRIM(F$9&amp;""))*(Responses!$AE$2:$AE$1001=TRIM($A19&amp;"")))))</f>
        <v/>
      </c>
      <c r="G19" s="23">
        <f>IF(TRIM($A19&amp;"")="","",IF($B$6="Yes",SUMPRODUCT(ISNUMBER(FIND(", "&amp;TRIM($A19&amp;"")&amp;", ",", "&amp;Responses!$AE$2:$AE$1001&amp;", "))*1),SUMPRODUCT((Responses!$AE$2:$AE$1001=TRIM($A19&amp;""))*1)))</f>
        <v/>
      </c>
    </row>
    <row r="20">
      <c r="A20" s="19" t="inlineStr">
        <is>
          <t>People who answered</t>
        </is>
      </c>
      <c r="B20" s="26">
        <f>IF(TRIM(B$9&amp;"")="","",SUMPRODUCT((Responses!$AF$2:$AF$1001=TRIM(B$9&amp;""))*(LEN(Responses!$AE$2:$AE$1001)&gt;0)))</f>
        <v/>
      </c>
      <c r="C20" s="26">
        <f>IF(TRIM(C$9&amp;"")="","",SUMPRODUCT((Responses!$AF$2:$AF$1001=TRIM(C$9&amp;""))*(LEN(Responses!$AE$2:$AE$1001)&gt;0)))</f>
        <v/>
      </c>
      <c r="D20" s="26">
        <f>IF(TRIM(D$9&amp;"")="","",SUMPRODUCT((Responses!$AF$2:$AF$1001=TRIM(D$9&amp;""))*(LEN(Responses!$AE$2:$AE$1001)&gt;0)))</f>
        <v/>
      </c>
      <c r="E20" s="26">
        <f>IF(TRIM(E$9&amp;"")="","",SUMPRODUCT((Responses!$AF$2:$AF$1001=TRIM(E$9&amp;""))*(LEN(Responses!$AE$2:$AE$1001)&gt;0)))</f>
        <v/>
      </c>
      <c r="F20" s="26">
        <f>IF(TRIM(F$9&amp;"")="","",SUMPRODUCT((Responses!$AF$2:$AF$1001=TRIM(F$9&amp;""))*(LEN(Responses!$AE$2:$AE$1001)&gt;0)))</f>
        <v/>
      </c>
      <c r="G20" s="26">
        <f>SUMPRODUCT((LEN(Responses!$AE$2:$AE$1001)&gt;0)*1)</f>
        <v/>
      </c>
    </row>
    <row r="22">
      <c r="A22" s="7" t="inlineStr">
        <is>
          <t>Share of each group (column %)</t>
        </is>
      </c>
    </row>
    <row r="23" ht="32" customHeight="1">
      <c r="A23" s="31" t="inlineStr">
        <is>
          <t>Row answer</t>
        </is>
      </c>
      <c r="B23" s="31">
        <f>IF(B$9="","",B$9)</f>
        <v/>
      </c>
      <c r="C23" s="31">
        <f>IF(C$9="","",C$9)</f>
        <v/>
      </c>
      <c r="D23" s="31">
        <f>IF(D$9="","",D$9)</f>
        <v/>
      </c>
      <c r="E23" s="31">
        <f>IF(E$9="","",E$9)</f>
        <v/>
      </c>
      <c r="F23" s="31">
        <f>IF(F$9="","",F$9)</f>
        <v/>
      </c>
      <c r="G23" s="31">
        <f>IF(G$9="","",G$9)</f>
        <v/>
      </c>
    </row>
    <row r="24">
      <c r="A24" s="32">
        <f>IF(TRIM($A10&amp;"")="","",$A10)</f>
        <v/>
      </c>
      <c r="B24" s="24">
        <f>IF(OR(B10="",N(B$20)=0),"",B10/B$20)</f>
        <v/>
      </c>
      <c r="C24" s="24">
        <f>IF(OR(C10="",N(C$20)=0),"",C10/C$20)</f>
        <v/>
      </c>
      <c r="D24" s="24">
        <f>IF(OR(D10="",N(D$20)=0),"",D10/D$20)</f>
        <v/>
      </c>
      <c r="E24" s="24">
        <f>IF(OR(E10="",N(E$20)=0),"",E10/E$20)</f>
        <v/>
      </c>
      <c r="F24" s="24">
        <f>IF(OR(F10="",N(F$20)=0),"",F10/F$20)</f>
        <v/>
      </c>
      <c r="G24" s="24">
        <f>IF(OR(G10="",N(G$20)=0),"",G10/G$20)</f>
        <v/>
      </c>
    </row>
    <row r="25">
      <c r="A25" s="32">
        <f>IF(TRIM($A11&amp;"")="","",$A11)</f>
        <v/>
      </c>
      <c r="B25" s="24">
        <f>IF(OR(B11="",N(B$20)=0),"",B11/B$20)</f>
        <v/>
      </c>
      <c r="C25" s="24">
        <f>IF(OR(C11="",N(C$20)=0),"",C11/C$20)</f>
        <v/>
      </c>
      <c r="D25" s="24">
        <f>IF(OR(D11="",N(D$20)=0),"",D11/D$20)</f>
        <v/>
      </c>
      <c r="E25" s="24">
        <f>IF(OR(E11="",N(E$20)=0),"",E11/E$20)</f>
        <v/>
      </c>
      <c r="F25" s="24">
        <f>IF(OR(F11="",N(F$20)=0),"",F11/F$20)</f>
        <v/>
      </c>
      <c r="G25" s="24">
        <f>IF(OR(G11="",N(G$20)=0),"",G11/G$20)</f>
        <v/>
      </c>
    </row>
    <row r="26">
      <c r="A26" s="32">
        <f>IF(TRIM($A12&amp;"")="","",$A12)</f>
        <v/>
      </c>
      <c r="B26" s="24">
        <f>IF(OR(B12="",N(B$20)=0),"",B12/B$20)</f>
        <v/>
      </c>
      <c r="C26" s="24">
        <f>IF(OR(C12="",N(C$20)=0),"",C12/C$20)</f>
        <v/>
      </c>
      <c r="D26" s="24">
        <f>IF(OR(D12="",N(D$20)=0),"",D12/D$20)</f>
        <v/>
      </c>
      <c r="E26" s="24">
        <f>IF(OR(E12="",N(E$20)=0),"",E12/E$20)</f>
        <v/>
      </c>
      <c r="F26" s="24">
        <f>IF(OR(F12="",N(F$20)=0),"",F12/F$20)</f>
        <v/>
      </c>
      <c r="G26" s="24">
        <f>IF(OR(G12="",N(G$20)=0),"",G12/G$20)</f>
        <v/>
      </c>
    </row>
    <row r="27">
      <c r="A27" s="32">
        <f>IF(TRIM($A13&amp;"")="","",$A13)</f>
        <v/>
      </c>
      <c r="B27" s="24">
        <f>IF(OR(B13="",N(B$20)=0),"",B13/B$20)</f>
        <v/>
      </c>
      <c r="C27" s="24">
        <f>IF(OR(C13="",N(C$20)=0),"",C13/C$20)</f>
        <v/>
      </c>
      <c r="D27" s="24">
        <f>IF(OR(D13="",N(D$20)=0),"",D13/D$20)</f>
        <v/>
      </c>
      <c r="E27" s="24">
        <f>IF(OR(E13="",N(E$20)=0),"",E13/E$20)</f>
        <v/>
      </c>
      <c r="F27" s="24">
        <f>IF(OR(F13="",N(F$20)=0),"",F13/F$20)</f>
        <v/>
      </c>
      <c r="G27" s="24">
        <f>IF(OR(G13="",N(G$20)=0),"",G13/G$20)</f>
        <v/>
      </c>
    </row>
    <row r="28">
      <c r="A28" s="32">
        <f>IF(TRIM($A14&amp;"")="","",$A14)</f>
        <v/>
      </c>
      <c r="B28" s="24">
        <f>IF(OR(B14="",N(B$20)=0),"",B14/B$20)</f>
        <v/>
      </c>
      <c r="C28" s="24">
        <f>IF(OR(C14="",N(C$20)=0),"",C14/C$20)</f>
        <v/>
      </c>
      <c r="D28" s="24">
        <f>IF(OR(D14="",N(D$20)=0),"",D14/D$20)</f>
        <v/>
      </c>
      <c r="E28" s="24">
        <f>IF(OR(E14="",N(E$20)=0),"",E14/E$20)</f>
        <v/>
      </c>
      <c r="F28" s="24">
        <f>IF(OR(F14="",N(F$20)=0),"",F14/F$20)</f>
        <v/>
      </c>
      <c r="G28" s="24">
        <f>IF(OR(G14="",N(G$20)=0),"",G14/G$20)</f>
        <v/>
      </c>
    </row>
    <row r="29">
      <c r="A29" s="32">
        <f>IF(TRIM($A15&amp;"")="","",$A15)</f>
        <v/>
      </c>
      <c r="B29" s="24">
        <f>IF(OR(B15="",N(B$20)=0),"",B15/B$20)</f>
        <v/>
      </c>
      <c r="C29" s="24">
        <f>IF(OR(C15="",N(C$20)=0),"",C15/C$20)</f>
        <v/>
      </c>
      <c r="D29" s="24">
        <f>IF(OR(D15="",N(D$20)=0),"",D15/D$20)</f>
        <v/>
      </c>
      <c r="E29" s="24">
        <f>IF(OR(E15="",N(E$20)=0),"",E15/E$20)</f>
        <v/>
      </c>
      <c r="F29" s="24">
        <f>IF(OR(F15="",N(F$20)=0),"",F15/F$20)</f>
        <v/>
      </c>
      <c r="G29" s="24">
        <f>IF(OR(G15="",N(G$20)=0),"",G15/G$20)</f>
        <v/>
      </c>
    </row>
    <row r="30">
      <c r="A30" s="32">
        <f>IF(TRIM($A16&amp;"")="","",$A16)</f>
        <v/>
      </c>
      <c r="B30" s="24">
        <f>IF(OR(B16="",N(B$20)=0),"",B16/B$20)</f>
        <v/>
      </c>
      <c r="C30" s="24">
        <f>IF(OR(C16="",N(C$20)=0),"",C16/C$20)</f>
        <v/>
      </c>
      <c r="D30" s="24">
        <f>IF(OR(D16="",N(D$20)=0),"",D16/D$20)</f>
        <v/>
      </c>
      <c r="E30" s="24">
        <f>IF(OR(E16="",N(E$20)=0),"",E16/E$20)</f>
        <v/>
      </c>
      <c r="F30" s="24">
        <f>IF(OR(F16="",N(F$20)=0),"",F16/F$20)</f>
        <v/>
      </c>
      <c r="G30" s="24">
        <f>IF(OR(G16="",N(G$20)=0),"",G16/G$20)</f>
        <v/>
      </c>
    </row>
    <row r="31">
      <c r="A31" s="32">
        <f>IF(TRIM($A17&amp;"")="","",$A17)</f>
        <v/>
      </c>
      <c r="B31" s="24">
        <f>IF(OR(B17="",N(B$20)=0),"",B17/B$20)</f>
        <v/>
      </c>
      <c r="C31" s="24">
        <f>IF(OR(C17="",N(C$20)=0),"",C17/C$20)</f>
        <v/>
      </c>
      <c r="D31" s="24">
        <f>IF(OR(D17="",N(D$20)=0),"",D17/D$20)</f>
        <v/>
      </c>
      <c r="E31" s="24">
        <f>IF(OR(E17="",N(E$20)=0),"",E17/E$20)</f>
        <v/>
      </c>
      <c r="F31" s="24">
        <f>IF(OR(F17="",N(F$20)=0),"",F17/F$20)</f>
        <v/>
      </c>
      <c r="G31" s="24">
        <f>IF(OR(G17="",N(G$20)=0),"",G17/G$20)</f>
        <v/>
      </c>
    </row>
    <row r="32">
      <c r="A32" s="32">
        <f>IF(TRIM($A18&amp;"")="","",$A18)</f>
        <v/>
      </c>
      <c r="B32" s="24">
        <f>IF(OR(B18="",N(B$20)=0),"",B18/B$20)</f>
        <v/>
      </c>
      <c r="C32" s="24">
        <f>IF(OR(C18="",N(C$20)=0),"",C18/C$20)</f>
        <v/>
      </c>
      <c r="D32" s="24">
        <f>IF(OR(D18="",N(D$20)=0),"",D18/D$20)</f>
        <v/>
      </c>
      <c r="E32" s="24">
        <f>IF(OR(E18="",N(E$20)=0),"",E18/E$20)</f>
        <v/>
      </c>
      <c r="F32" s="24">
        <f>IF(OR(F18="",N(F$20)=0),"",F18/F$20)</f>
        <v/>
      </c>
      <c r="G32" s="24">
        <f>IF(OR(G18="",N(G$20)=0),"",G18/G$20)</f>
        <v/>
      </c>
    </row>
    <row r="33">
      <c r="A33" s="32">
        <f>IF(TRIM($A19&amp;"")="","",$A19)</f>
        <v/>
      </c>
      <c r="B33" s="24">
        <f>IF(OR(B19="",N(B$20)=0),"",B19/B$20)</f>
        <v/>
      </c>
      <c r="C33" s="24">
        <f>IF(OR(C19="",N(C$20)=0),"",C19/C$20)</f>
        <v/>
      </c>
      <c r="D33" s="24">
        <f>IF(OR(D19="",N(D$20)=0),"",D19/D$20)</f>
        <v/>
      </c>
      <c r="E33" s="24">
        <f>IF(OR(E19="",N(E$20)=0),"",E19/E$20)</f>
        <v/>
      </c>
      <c r="F33" s="24">
        <f>IF(OR(F19="",N(F$20)=0),"",F19/F$20)</f>
        <v/>
      </c>
      <c r="G33" s="24">
        <f>IF(OR(G19="",N(G$20)=0),"",G19/G$20)</f>
        <v/>
      </c>
    </row>
    <row r="34">
      <c r="A34" s="15" t="inlineStr">
        <is>
          <t>Each column shows the share of that group who picked the answer. People with no group answer count only in Everyone. With checkbox questions a column can add up to more than 100%.</t>
        </is>
      </c>
    </row>
    <row r="35">
      <c r="A35" s="15" t="inlineStr">
        <is>
          <t>Small groups move a lot: with 8 people, one answer is 12.5%. Report the group size next to the share.</t>
        </is>
      </c>
    </row>
  </sheetData>
  <mergeCells count="2">
    <mergeCell ref="B5:G5"/>
    <mergeCell ref="B7:G7"/>
  </mergeCells>
  <dataValidations count="1">
    <dataValidation sqref="B6" showDropDown="0" showInputMessage="1" showErrorMessage="1" allowBlank="1" errorTitle="More than one answer?" error="Pick a value from the list. Pick Yes for checkbox questions, where one cell can hold several answers." promptTitle="More than one answer?" prompt="Pick Yes for checkbox questions, where one cell can hold several answers." type="list" errorStyle="warning">
      <formula1>"Yes,No"</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4B2E83"/>
    <outlinePr summaryBelow="1" summaryRight="1"/>
    <pageSetUpPr/>
  </sheetPr>
  <dimension ref="A1:F32"/>
  <sheetViews>
    <sheetView workbookViewId="0">
      <selection activeCell="A1" sqref="A1"/>
    </sheetView>
  </sheetViews>
  <sheetFormatPr baseColWidth="8" defaultRowHeight="15"/>
  <cols>
    <col width="30" customWidth="1" min="1" max="1"/>
    <col width="12" customWidth="1" min="2" max="2"/>
    <col width="14" customWidth="1" min="3" max="3"/>
    <col width="14" customWidth="1" min="4" max="4"/>
    <col width="14" customWidth="1" min="5" max="5"/>
    <col width="20" customWidth="1" min="6" max="6"/>
    <col width="3" customWidth="1" min="7" max="7"/>
  </cols>
  <sheetData>
    <row r="1">
      <c r="A1" s="16" t="inlineStr">
        <is>
          <t>Scale score: mean and top box</t>
        </is>
      </c>
    </row>
    <row r="2">
      <c r="A2" s="17" t="inlineStr">
        <is>
          <t>For a rating or linear scale question. Top-two box is the share who picked one of the two highest points.</t>
        </is>
      </c>
    </row>
    <row r="3">
      <c r="A3" s="18">
        <f>IF(COUNTIF(Responses!$A$2:$A$1001,"EXAMPLE*")&gt;0,"You are looking at EXAMPLE data. Clear A2 to Z25 on Responses, then paste your own.","")</f>
        <v/>
      </c>
    </row>
    <row r="5">
      <c r="A5" s="19" t="inlineStr">
        <is>
          <t>Scale question (column name)</t>
        </is>
      </c>
      <c r="B5" s="21" t="inlineStr">
        <is>
          <t>Overall, how satisfied are you with us?</t>
        </is>
      </c>
      <c r="C5" s="27" t="n"/>
      <c r="D5" s="27" t="n"/>
      <c r="E5" s="27" t="n"/>
      <c r="F5" s="28" t="n"/>
    </row>
    <row r="6">
      <c r="A6" s="19" t="inlineStr">
        <is>
          <t>Lowest point</t>
        </is>
      </c>
      <c r="B6" s="29" t="n">
        <v>1</v>
      </c>
    </row>
    <row r="7">
      <c r="A7" s="19" t="inlineStr">
        <is>
          <t>Highest point</t>
        </is>
      </c>
      <c r="B7" s="29" t="n">
        <v>5</v>
      </c>
    </row>
    <row r="8">
      <c r="A8" s="19" t="inlineStr">
        <is>
          <t>Top and bottom box size</t>
        </is>
      </c>
      <c r="B8" s="29" t="n">
        <v>2</v>
      </c>
    </row>
    <row r="10">
      <c r="A10" s="3" t="inlineStr">
        <is>
          <t>Point</t>
        </is>
      </c>
      <c r="B10" s="3" t="inlineStr">
        <is>
          <t>Count</t>
        </is>
      </c>
      <c r="C10" s="3" t="inlineStr">
        <is>
          <t>% of answers</t>
        </is>
      </c>
    </row>
    <row r="11">
      <c r="A11" s="23">
        <f>IF($B$6+0&lt;=$B$7,$B$6+0,"")</f>
        <v/>
      </c>
      <c r="B11" s="23">
        <f>IF(A11="","",SUMPRODUCT(ISNUMBER(Responses!$AG$2:$AG$1001)*(Responses!$AG$2:$AG$1001=A11)))</f>
        <v/>
      </c>
      <c r="C11" s="24">
        <f>IF(OR(A11="",N($B$25)=0),"",B11/$B$25)</f>
        <v/>
      </c>
    </row>
    <row r="12">
      <c r="A12" s="23">
        <f>IF($B$6+1&lt;=$B$7,$B$6+1,"")</f>
        <v/>
      </c>
      <c r="B12" s="23">
        <f>IF(A12="","",SUMPRODUCT(ISNUMBER(Responses!$AG$2:$AG$1001)*(Responses!$AG$2:$AG$1001=A12)))</f>
        <v/>
      </c>
      <c r="C12" s="24">
        <f>IF(OR(A12="",N($B$25)=0),"",B12/$B$25)</f>
        <v/>
      </c>
    </row>
    <row r="13">
      <c r="A13" s="23">
        <f>IF($B$6+2&lt;=$B$7,$B$6+2,"")</f>
        <v/>
      </c>
      <c r="B13" s="23">
        <f>IF(A13="","",SUMPRODUCT(ISNUMBER(Responses!$AG$2:$AG$1001)*(Responses!$AG$2:$AG$1001=A13)))</f>
        <v/>
      </c>
      <c r="C13" s="24">
        <f>IF(OR(A13="",N($B$25)=0),"",B13/$B$25)</f>
        <v/>
      </c>
    </row>
    <row r="14">
      <c r="A14" s="23">
        <f>IF($B$6+3&lt;=$B$7,$B$6+3,"")</f>
        <v/>
      </c>
      <c r="B14" s="23">
        <f>IF(A14="","",SUMPRODUCT(ISNUMBER(Responses!$AG$2:$AG$1001)*(Responses!$AG$2:$AG$1001=A14)))</f>
        <v/>
      </c>
      <c r="C14" s="24">
        <f>IF(OR(A14="",N($B$25)=0),"",B14/$B$25)</f>
        <v/>
      </c>
    </row>
    <row r="15">
      <c r="A15" s="23">
        <f>IF($B$6+4&lt;=$B$7,$B$6+4,"")</f>
        <v/>
      </c>
      <c r="B15" s="23">
        <f>IF(A15="","",SUMPRODUCT(ISNUMBER(Responses!$AG$2:$AG$1001)*(Responses!$AG$2:$AG$1001=A15)))</f>
        <v/>
      </c>
      <c r="C15" s="24">
        <f>IF(OR(A15="",N($B$25)=0),"",B15/$B$25)</f>
        <v/>
      </c>
    </row>
    <row r="16">
      <c r="A16" s="23">
        <f>IF($B$6+5&lt;=$B$7,$B$6+5,"")</f>
        <v/>
      </c>
      <c r="B16" s="23">
        <f>IF(A16="","",SUMPRODUCT(ISNUMBER(Responses!$AG$2:$AG$1001)*(Responses!$AG$2:$AG$1001=A16)))</f>
        <v/>
      </c>
      <c r="C16" s="24">
        <f>IF(OR(A16="",N($B$25)=0),"",B16/$B$25)</f>
        <v/>
      </c>
    </row>
    <row r="17">
      <c r="A17" s="23">
        <f>IF($B$6+6&lt;=$B$7,$B$6+6,"")</f>
        <v/>
      </c>
      <c r="B17" s="23">
        <f>IF(A17="","",SUMPRODUCT(ISNUMBER(Responses!$AG$2:$AG$1001)*(Responses!$AG$2:$AG$1001=A17)))</f>
        <v/>
      </c>
      <c r="C17" s="24">
        <f>IF(OR(A17="",N($B$25)=0),"",B17/$B$25)</f>
        <v/>
      </c>
    </row>
    <row r="18">
      <c r="A18" s="23">
        <f>IF($B$6+7&lt;=$B$7,$B$6+7,"")</f>
        <v/>
      </c>
      <c r="B18" s="23">
        <f>IF(A18="","",SUMPRODUCT(ISNUMBER(Responses!$AG$2:$AG$1001)*(Responses!$AG$2:$AG$1001=A18)))</f>
        <v/>
      </c>
      <c r="C18" s="24">
        <f>IF(OR(A18="",N($B$25)=0),"",B18/$B$25)</f>
        <v/>
      </c>
    </row>
    <row r="19">
      <c r="A19" s="23">
        <f>IF($B$6+8&lt;=$B$7,$B$6+8,"")</f>
        <v/>
      </c>
      <c r="B19" s="23">
        <f>IF(A19="","",SUMPRODUCT(ISNUMBER(Responses!$AG$2:$AG$1001)*(Responses!$AG$2:$AG$1001=A19)))</f>
        <v/>
      </c>
      <c r="C19" s="24">
        <f>IF(OR(A19="",N($B$25)=0),"",B19/$B$25)</f>
        <v/>
      </c>
    </row>
    <row r="20">
      <c r="A20" s="23">
        <f>IF($B$6+9&lt;=$B$7,$B$6+9,"")</f>
        <v/>
      </c>
      <c r="B20" s="23">
        <f>IF(A20="","",SUMPRODUCT(ISNUMBER(Responses!$AG$2:$AG$1001)*(Responses!$AG$2:$AG$1001=A20)))</f>
        <v/>
      </c>
      <c r="C20" s="24">
        <f>IF(OR(A20="",N($B$25)=0),"",B20/$B$25)</f>
        <v/>
      </c>
    </row>
    <row r="21">
      <c r="A21" s="23">
        <f>IF($B$6+10&lt;=$B$7,$B$6+10,"")</f>
        <v/>
      </c>
      <c r="B21" s="23">
        <f>IF(A21="","",SUMPRODUCT(ISNUMBER(Responses!$AG$2:$AG$1001)*(Responses!$AG$2:$AG$1001=A21)))</f>
        <v/>
      </c>
      <c r="C21" s="24">
        <f>IF(OR(A21="",N($B$25)=0),"",B21/$B$25)</f>
        <v/>
      </c>
    </row>
    <row r="24" ht="32" customHeight="1">
      <c r="A24" s="31" t="inlineStr">
        <is>
          <t>Group</t>
        </is>
      </c>
      <c r="B24" s="31" t="inlineStr">
        <is>
          <t>Answers</t>
        </is>
      </c>
      <c r="C24" s="31" t="inlineStr">
        <is>
          <t>Mean</t>
        </is>
      </c>
      <c r="D24" s="31" t="inlineStr">
        <is>
          <t>Top box %</t>
        </is>
      </c>
      <c r="E24" s="31" t="inlineStr">
        <is>
          <t>Bottom box %</t>
        </is>
      </c>
      <c r="F24" s="31" t="inlineStr">
        <is>
          <t>Net (top minus bottom)</t>
        </is>
      </c>
    </row>
    <row r="25">
      <c r="A25" s="10" t="inlineStr">
        <is>
          <t>Everyone</t>
        </is>
      </c>
      <c r="B25" s="23">
        <f>IF(FALSE,"",SUMPRODUCT(ISNUMBER(Responses!$AG$2:$AG$1001)*1))</f>
        <v/>
      </c>
      <c r="C25" s="33">
        <f>IF(OR(N($B25)=0),"",SUMPRODUCT(ISNUMBER(Responses!$AG$2:$AG$1001)*1*1,Responses!$AG$2:$AG$1001)/$B25)</f>
        <v/>
      </c>
      <c r="D25" s="24">
        <f>IF(OR(N($B25)=0),"",SUMPRODUCT(ISNUMBER(Responses!$AG$2:$AG$1001)*1*(Responses!$AG$2:$AG$1001&gt;=($B$7-$B$8+1)))/$B25)</f>
        <v/>
      </c>
      <c r="E25" s="24">
        <f>IF(OR(N($B25)=0),"",SUMPRODUCT(ISNUMBER(Responses!$AG$2:$AG$1001)*1*(Responses!$AG$2:$AG$1001&lt;=($B$6+$B$8-1)))/$B25)</f>
        <v/>
      </c>
      <c r="F25" s="24">
        <f>IF(OR(N($B25)=0),"",D25-E25)</f>
        <v/>
      </c>
    </row>
    <row r="26">
      <c r="A26" s="10">
        <f>IF(TRIM('Cross-tab'!B$9&amp;"")="","",'Cross-tab'!B$9)</f>
        <v/>
      </c>
      <c r="B26" s="23">
        <f>IF($A26="","",SUMPRODUCT(ISNUMBER(Responses!$AG$2:$AG$1001)*(Responses!$AF$2:$AF$1001=$A26)))</f>
        <v/>
      </c>
      <c r="C26" s="33">
        <f>IF(OR($A26="",N($B26)=0),"",SUMPRODUCT(ISNUMBER(Responses!$AG$2:$AG$1001)*(Responses!$AF$2:$AF$1001=$A26)*1,Responses!$AG$2:$AG$1001)/$B26)</f>
        <v/>
      </c>
      <c r="D26" s="24">
        <f>IF(OR($A26="",N($B26)=0),"",SUMPRODUCT(ISNUMBER(Responses!$AG$2:$AG$1001)*(Responses!$AF$2:$AF$1001=$A26)*(Responses!$AG$2:$AG$1001&gt;=($B$7-$B$8+1)))/$B26)</f>
        <v/>
      </c>
      <c r="E26" s="24">
        <f>IF(OR($A26="",N($B26)=0),"",SUMPRODUCT(ISNUMBER(Responses!$AG$2:$AG$1001)*(Responses!$AF$2:$AF$1001=$A26)*(Responses!$AG$2:$AG$1001&lt;=($B$6+$B$8-1)))/$B26)</f>
        <v/>
      </c>
      <c r="F26" s="24">
        <f>IF(OR($A26="",N($B26)=0),"",D26-E26)</f>
        <v/>
      </c>
    </row>
    <row r="27">
      <c r="A27" s="10">
        <f>IF(TRIM('Cross-tab'!C$9&amp;"")="","",'Cross-tab'!C$9)</f>
        <v/>
      </c>
      <c r="B27" s="23">
        <f>IF($A27="","",SUMPRODUCT(ISNUMBER(Responses!$AG$2:$AG$1001)*(Responses!$AF$2:$AF$1001=$A27)))</f>
        <v/>
      </c>
      <c r="C27" s="33">
        <f>IF(OR($A27="",N($B27)=0),"",SUMPRODUCT(ISNUMBER(Responses!$AG$2:$AG$1001)*(Responses!$AF$2:$AF$1001=$A27)*1,Responses!$AG$2:$AG$1001)/$B27)</f>
        <v/>
      </c>
      <c r="D27" s="24">
        <f>IF(OR($A27="",N($B27)=0),"",SUMPRODUCT(ISNUMBER(Responses!$AG$2:$AG$1001)*(Responses!$AF$2:$AF$1001=$A27)*(Responses!$AG$2:$AG$1001&gt;=($B$7-$B$8+1)))/$B27)</f>
        <v/>
      </c>
      <c r="E27" s="24">
        <f>IF(OR($A27="",N($B27)=0),"",SUMPRODUCT(ISNUMBER(Responses!$AG$2:$AG$1001)*(Responses!$AF$2:$AF$1001=$A27)*(Responses!$AG$2:$AG$1001&lt;=($B$6+$B$8-1)))/$B27)</f>
        <v/>
      </c>
      <c r="F27" s="24">
        <f>IF(OR($A27="",N($B27)=0),"",D27-E27)</f>
        <v/>
      </c>
    </row>
    <row r="28">
      <c r="A28" s="10">
        <f>IF(TRIM('Cross-tab'!D$9&amp;"")="","",'Cross-tab'!D$9)</f>
        <v/>
      </c>
      <c r="B28" s="23">
        <f>IF($A28="","",SUMPRODUCT(ISNUMBER(Responses!$AG$2:$AG$1001)*(Responses!$AF$2:$AF$1001=$A28)))</f>
        <v/>
      </c>
      <c r="C28" s="33">
        <f>IF(OR($A28="",N($B28)=0),"",SUMPRODUCT(ISNUMBER(Responses!$AG$2:$AG$1001)*(Responses!$AF$2:$AF$1001=$A28)*1,Responses!$AG$2:$AG$1001)/$B28)</f>
        <v/>
      </c>
      <c r="D28" s="24">
        <f>IF(OR($A28="",N($B28)=0),"",SUMPRODUCT(ISNUMBER(Responses!$AG$2:$AG$1001)*(Responses!$AF$2:$AF$1001=$A28)*(Responses!$AG$2:$AG$1001&gt;=($B$7-$B$8+1)))/$B28)</f>
        <v/>
      </c>
      <c r="E28" s="24">
        <f>IF(OR($A28="",N($B28)=0),"",SUMPRODUCT(ISNUMBER(Responses!$AG$2:$AG$1001)*(Responses!$AF$2:$AF$1001=$A28)*(Responses!$AG$2:$AG$1001&lt;=($B$6+$B$8-1)))/$B28)</f>
        <v/>
      </c>
      <c r="F28" s="24">
        <f>IF(OR($A28="",N($B28)=0),"",D28-E28)</f>
        <v/>
      </c>
    </row>
    <row r="29">
      <c r="A29" s="10">
        <f>IF(TRIM('Cross-tab'!E$9&amp;"")="","",'Cross-tab'!E$9)</f>
        <v/>
      </c>
      <c r="B29" s="23">
        <f>IF($A29="","",SUMPRODUCT(ISNUMBER(Responses!$AG$2:$AG$1001)*(Responses!$AF$2:$AF$1001=$A29)))</f>
        <v/>
      </c>
      <c r="C29" s="33">
        <f>IF(OR($A29="",N($B29)=0),"",SUMPRODUCT(ISNUMBER(Responses!$AG$2:$AG$1001)*(Responses!$AF$2:$AF$1001=$A29)*1,Responses!$AG$2:$AG$1001)/$B29)</f>
        <v/>
      </c>
      <c r="D29" s="24">
        <f>IF(OR($A29="",N($B29)=0),"",SUMPRODUCT(ISNUMBER(Responses!$AG$2:$AG$1001)*(Responses!$AF$2:$AF$1001=$A29)*(Responses!$AG$2:$AG$1001&gt;=($B$7-$B$8+1)))/$B29)</f>
        <v/>
      </c>
      <c r="E29" s="24">
        <f>IF(OR($A29="",N($B29)=0),"",SUMPRODUCT(ISNUMBER(Responses!$AG$2:$AG$1001)*(Responses!$AF$2:$AF$1001=$A29)*(Responses!$AG$2:$AG$1001&lt;=($B$6+$B$8-1)))/$B29)</f>
        <v/>
      </c>
      <c r="F29" s="24">
        <f>IF(OR($A29="",N($B29)=0),"",D29-E29)</f>
        <v/>
      </c>
    </row>
    <row r="30">
      <c r="A30" s="10">
        <f>IF(TRIM('Cross-tab'!F$9&amp;"")="","",'Cross-tab'!F$9)</f>
        <v/>
      </c>
      <c r="B30" s="23">
        <f>IF($A30="","",SUMPRODUCT(ISNUMBER(Responses!$AG$2:$AG$1001)*(Responses!$AF$2:$AF$1001=$A30)))</f>
        <v/>
      </c>
      <c r="C30" s="33">
        <f>IF(OR($A30="",N($B30)=0),"",SUMPRODUCT(ISNUMBER(Responses!$AG$2:$AG$1001)*(Responses!$AF$2:$AF$1001=$A30)*1,Responses!$AG$2:$AG$1001)/$B30)</f>
        <v/>
      </c>
      <c r="D30" s="24">
        <f>IF(OR($A30="",N($B30)=0),"",SUMPRODUCT(ISNUMBER(Responses!$AG$2:$AG$1001)*(Responses!$AF$2:$AF$1001=$A30)*(Responses!$AG$2:$AG$1001&gt;=($B$7-$B$8+1)))/$B30)</f>
        <v/>
      </c>
      <c r="E30" s="24">
        <f>IF(OR($A30="",N($B30)=0),"",SUMPRODUCT(ISNUMBER(Responses!$AG$2:$AG$1001)*(Responses!$AF$2:$AF$1001=$A30)*(Responses!$AG$2:$AG$1001&lt;=($B$6+$B$8-1)))/$B30)</f>
        <v/>
      </c>
      <c r="F30" s="24">
        <f>IF(OR($A30="",N($B30)=0),"",D30-E30)</f>
        <v/>
      </c>
    </row>
    <row r="31">
      <c r="A31" s="15" t="inlineStr">
        <is>
          <t>Groups come from the Cross-tab tab (group question and group answers).</t>
        </is>
      </c>
    </row>
    <row r="32">
      <c r="A32" s="15" t="inlineStr">
        <is>
          <t>The gaps between scale points are not measured distances, so report the counts and the top box share next to the mean.</t>
        </is>
      </c>
    </row>
  </sheetData>
  <mergeCells count="1">
    <mergeCell ref="B5:F5"/>
  </mergeCells>
  <dataValidations count="3">
    <dataValidation sqref="B6" showDropDown="0" showInputMessage="1" showErrorMessage="1" allowBlank="1" errorTitle="Lowest point" error="Type a whole number from 0 to 10." promptTitle="Lowest point" prompt="The lowest number on the scale, for example 1 (or 0 on a 0 to 10 question)." type="whole" errorStyle="warning" operator="between">
      <formula1>0</formula1>
      <formula2>10</formula2>
    </dataValidation>
    <dataValidation sqref="B7" showDropDown="0" showInputMessage="1" showErrorMessage="1" allowBlank="1" errorTitle="Highest point" error="Type a whole number from 0 to 10." promptTitle="Highest point" prompt="The highest number on the scale, for example 5, 7 or 10." type="whole" errorStyle="warning" operator="between">
      <formula1>0</formula1>
      <formula2>10</formula2>
    </dataValidation>
    <dataValidation sqref="B8" showDropDown="0" showInputMessage="1" showErrorMessage="1" allowBlank="1" errorTitle="Top and bottom box size" error="Type a whole number from 0 to 10." promptTitle="Top and bottom box size" prompt="2 gives top-two box and bottom-two box. Use 1 for top box only." type="whole" errorStyle="warning" operator="between">
      <formula1>0</formula1>
      <formula2>10</formula2>
    </dataValidation>
  </dataValidations>
  <pageMargins left="0.75" right="0.75" top="1" bottom="1" header="0.5" footer="0.5"/>
  <drawing xmlns:r="http://schemas.openxmlformats.org/officeDocument/2006/relationships" r:id="rId1"/>
  <legacyDrawing xmlns:r="http://schemas.openxmlformats.org/officeDocument/2006/relationships" r:id="anysvml"/>
</worksheet>
</file>

<file path=xl/worksheets/sheet5.xml><?xml version="1.0" encoding="utf-8"?>
<worksheet xmlns="http://schemas.openxmlformats.org/spreadsheetml/2006/main">
  <sheetPr>
    <tabColor rgb="004B2E83"/>
    <outlinePr summaryBelow="1" summaryRight="1"/>
    <pageSetUpPr/>
  </sheetPr>
  <dimension ref="A1:J207"/>
  <sheetViews>
    <sheetView workbookViewId="0">
      <pane ySplit="7" topLeftCell="A8" activePane="bottomLeft" state="frozen"/>
      <selection pane="bottomLeft" activeCell="A1" sqref="A1"/>
    </sheetView>
  </sheetViews>
  <sheetFormatPr baseColWidth="8" defaultRowHeight="15"/>
  <cols>
    <col width="6" customWidth="1" min="1" max="1"/>
    <col width="24" customWidth="1" min="2" max="2"/>
    <col width="18" customWidth="1" min="3" max="3"/>
    <col width="52" customWidth="1" min="4" max="4"/>
    <col width="20" customWidth="1" min="5" max="5"/>
    <col width="20" customWidth="1" min="6" max="6"/>
    <col width="3" customWidth="1" min="7" max="7"/>
    <col width="26" customWidth="1" min="8" max="8"/>
    <col width="14" customWidth="1" min="9" max="9"/>
    <col width="12" customWidth="1" min="10" max="10"/>
  </cols>
  <sheetData>
    <row r="1">
      <c r="A1" s="16" t="inlineStr">
        <is>
          <t>Open answers: code them, then count the codes</t>
        </is>
      </c>
    </row>
    <row r="2">
      <c r="A2" s="17" t="inlineStr">
        <is>
          <t>Read each answer and give it up to two codes from your list. The counts on the right update as you go.</t>
        </is>
      </c>
    </row>
    <row r="3">
      <c r="A3" s="18">
        <f>IF(COUNTIF(Responses!$A$2:$A$1001,"EXAMPLE*")&gt;0,"You are looking at EXAMPLE data. Clear A2 to Z25 on Responses, then paste your own.","")</f>
        <v/>
      </c>
    </row>
    <row r="5">
      <c r="A5" s="19" t="inlineStr">
        <is>
          <t>Open question (column name)</t>
        </is>
      </c>
      <c r="B5" s="21" t="inlineStr">
        <is>
          <t>What is one thing we could do better?</t>
        </is>
      </c>
    </row>
    <row r="7" ht="32" customHeight="1">
      <c r="A7" s="3" t="inlineStr">
        <is>
          <t>#</t>
        </is>
      </c>
      <c r="B7" s="3" t="inlineStr">
        <is>
          <t>Response ID</t>
        </is>
      </c>
      <c r="C7" s="3" t="inlineStr">
        <is>
          <t>Group</t>
        </is>
      </c>
      <c r="D7" s="3" t="inlineStr">
        <is>
          <t>Answer</t>
        </is>
      </c>
      <c r="E7" s="22" t="inlineStr">
        <is>
          <t>Code 1</t>
        </is>
      </c>
      <c r="F7" s="22" t="inlineStr">
        <is>
          <t>Code 2</t>
        </is>
      </c>
      <c r="H7" s="22" t="inlineStr">
        <is>
          <t>Code (type your own)</t>
        </is>
      </c>
      <c r="I7" s="3" t="inlineStr">
        <is>
          <t>Answers with this code</t>
        </is>
      </c>
      <c r="J7" s="3" t="inlineStr">
        <is>
          <t>% of answers</t>
        </is>
      </c>
    </row>
    <row r="8">
      <c r="A8" s="32">
        <f>IF(ISNUMBER(MATCH(1,Responses!$AI$2:$AI$1001,0)),1,"")</f>
        <v/>
      </c>
      <c r="B8" s="32">
        <f>IF($A8="","",INDEX(Responses!$A$2:$A$1001,MATCH($A8,Responses!$AI$2:$AI$1001,0)))</f>
        <v/>
      </c>
      <c r="C8" s="32">
        <f>IF($A8="","",INDEX(Responses!$AF$2:$AF$1001,MATCH($A8,Responses!$AI$2:$AI$1001,0)))</f>
        <v/>
      </c>
      <c r="D8" s="34">
        <f>IF($A8="","",INDEX(Responses!$AH$2:$AH$1001,MATCH($A8,Responses!$AI$2:$AI$1001,0)))</f>
        <v/>
      </c>
      <c r="E8" s="35" t="inlineStr">
        <is>
          <t>Delivery speed</t>
        </is>
      </c>
      <c r="F8" s="36" t="n"/>
      <c r="H8" s="21" t="inlineStr">
        <is>
          <t>Delivery speed</t>
        </is>
      </c>
      <c r="I8" s="23">
        <f>IF(TRIM(H8&amp;"")="","",COUNTIF($E$8:$E$207,H8)+COUNTIF($F$8:$F$207,H8))</f>
        <v/>
      </c>
      <c r="J8" s="24">
        <f>IF(OR(I8="",N($I$22)=0),"",I8/$I$22)</f>
        <v/>
      </c>
    </row>
    <row r="9">
      <c r="A9" s="32">
        <f>IF(ISNUMBER(MATCH(2,Responses!$AI$2:$AI$1001,0)),2,"")</f>
        <v/>
      </c>
      <c r="B9" s="32">
        <f>IF($A9="","",INDEX(Responses!$A$2:$A$1001,MATCH($A9,Responses!$AI$2:$AI$1001,0)))</f>
        <v/>
      </c>
      <c r="C9" s="32">
        <f>IF($A9="","",INDEX(Responses!$AF$2:$AF$1001,MATCH($A9,Responses!$AI$2:$AI$1001,0)))</f>
        <v/>
      </c>
      <c r="D9" s="34">
        <f>IF($A9="","",INDEX(Responses!$AH$2:$AH$1001,MATCH($A9,Responses!$AI$2:$AI$1001,0)))</f>
        <v/>
      </c>
      <c r="E9" s="35" t="inlineStr">
        <is>
          <t>Stock</t>
        </is>
      </c>
      <c r="F9" s="35" t="inlineStr">
        <is>
          <t>Website and app</t>
        </is>
      </c>
      <c r="H9" s="21" t="inlineStr">
        <is>
          <t>Prices and fees</t>
        </is>
      </c>
      <c r="I9" s="23">
        <f>IF(TRIM(H9&amp;"")="","",COUNTIF($E$8:$E$207,H9)+COUNTIF($F$8:$F$207,H9))</f>
        <v/>
      </c>
      <c r="J9" s="24">
        <f>IF(OR(I9="",N($I$22)=0),"",I9/$I$22)</f>
        <v/>
      </c>
    </row>
    <row r="10">
      <c r="A10" s="32">
        <f>IF(ISNUMBER(MATCH(3,Responses!$AI$2:$AI$1001,0)),3,"")</f>
        <v/>
      </c>
      <c r="B10" s="32">
        <f>IF($A10="","",INDEX(Responses!$A$2:$A$1001,MATCH($A10,Responses!$AI$2:$AI$1001,0)))</f>
        <v/>
      </c>
      <c r="C10" s="32">
        <f>IF($A10="","",INDEX(Responses!$AF$2:$AF$1001,MATCH($A10,Responses!$AI$2:$AI$1001,0)))</f>
        <v/>
      </c>
      <c r="D10" s="34">
        <f>IF($A10="","",INDEX(Responses!$AH$2:$AH$1001,MATCH($A10,Responses!$AI$2:$AI$1001,0)))</f>
        <v/>
      </c>
      <c r="E10" s="35" t="inlineStr">
        <is>
          <t>Prices and fees</t>
        </is>
      </c>
      <c r="F10" s="36" t="n"/>
      <c r="H10" s="21" t="inlineStr">
        <is>
          <t>Stock</t>
        </is>
      </c>
      <c r="I10" s="23">
        <f>IF(TRIM(H10&amp;"")="","",COUNTIF($E$8:$E$207,H10)+COUNTIF($F$8:$F$207,H10))</f>
        <v/>
      </c>
      <c r="J10" s="24">
        <f>IF(OR(I10="",N($I$22)=0),"",I10/$I$22)</f>
        <v/>
      </c>
    </row>
    <row r="11">
      <c r="A11" s="32">
        <f>IF(ISNUMBER(MATCH(4,Responses!$AI$2:$AI$1001,0)),4,"")</f>
        <v/>
      </c>
      <c r="B11" s="32">
        <f>IF($A11="","",INDEX(Responses!$A$2:$A$1001,MATCH($A11,Responses!$AI$2:$AI$1001,0)))</f>
        <v/>
      </c>
      <c r="C11" s="32">
        <f>IF($A11="","",INDEX(Responses!$AF$2:$AF$1001,MATCH($A11,Responses!$AI$2:$AI$1001,0)))</f>
        <v/>
      </c>
      <c r="D11" s="34">
        <f>IF($A11="","",INDEX(Responses!$AH$2:$AH$1001,MATCH($A11,Responses!$AI$2:$AI$1001,0)))</f>
        <v/>
      </c>
      <c r="E11" s="35" t="inlineStr">
        <is>
          <t>Delivery speed</t>
        </is>
      </c>
      <c r="F11" s="36" t="n"/>
      <c r="H11" s="21" t="inlineStr">
        <is>
          <t>Phone support</t>
        </is>
      </c>
      <c r="I11" s="23">
        <f>IF(TRIM(H11&amp;"")="","",COUNTIF($E$8:$E$207,H11)+COUNTIF($F$8:$F$207,H11))</f>
        <v/>
      </c>
      <c r="J11" s="24">
        <f>IF(OR(I11="",N($I$22)=0),"",I11/$I$22)</f>
        <v/>
      </c>
    </row>
    <row r="12">
      <c r="A12" s="32">
        <f>IF(ISNUMBER(MATCH(5,Responses!$AI$2:$AI$1001,0)),5,"")</f>
        <v/>
      </c>
      <c r="B12" s="32">
        <f>IF($A12="","",INDEX(Responses!$A$2:$A$1001,MATCH($A12,Responses!$AI$2:$AI$1001,0)))</f>
        <v/>
      </c>
      <c r="C12" s="32">
        <f>IF($A12="","",INDEX(Responses!$AF$2:$AF$1001,MATCH($A12,Responses!$AI$2:$AI$1001,0)))</f>
        <v/>
      </c>
      <c r="D12" s="34">
        <f>IF($A12="","",INDEX(Responses!$AH$2:$AH$1001,MATCH($A12,Responses!$AI$2:$AI$1001,0)))</f>
        <v/>
      </c>
      <c r="E12" s="35" t="inlineStr">
        <is>
          <t>Phone support</t>
        </is>
      </c>
      <c r="F12" s="36" t="n"/>
      <c r="H12" s="21" t="inlineStr">
        <is>
          <t>Website and app</t>
        </is>
      </c>
      <c r="I12" s="23">
        <f>IF(TRIM(H12&amp;"")="","",COUNTIF($E$8:$E$207,H12)+COUNTIF($F$8:$F$207,H12))</f>
        <v/>
      </c>
      <c r="J12" s="24">
        <f>IF(OR(I12="",N($I$22)=0),"",I12/$I$22)</f>
        <v/>
      </c>
    </row>
    <row r="13">
      <c r="A13" s="32">
        <f>IF(ISNUMBER(MATCH(6,Responses!$AI$2:$AI$1001,0)),6,"")</f>
        <v/>
      </c>
      <c r="B13" s="32">
        <f>IF($A13="","",INDEX(Responses!$A$2:$A$1001,MATCH($A13,Responses!$AI$2:$AI$1001,0)))</f>
        <v/>
      </c>
      <c r="C13" s="32">
        <f>IF($A13="","",INDEX(Responses!$AF$2:$AF$1001,MATCH($A13,Responses!$AI$2:$AI$1001,0)))</f>
        <v/>
      </c>
      <c r="D13" s="34">
        <f>IF($A13="","",INDEX(Responses!$AH$2:$AH$1001,MATCH($A13,Responses!$AI$2:$AI$1001,0)))</f>
        <v/>
      </c>
      <c r="E13" s="35" t="inlineStr">
        <is>
          <t>No change needed</t>
        </is>
      </c>
      <c r="F13" s="36" t="n"/>
      <c r="H13" s="21" t="inlineStr">
        <is>
          <t>No change needed</t>
        </is>
      </c>
      <c r="I13" s="23">
        <f>IF(TRIM(H13&amp;"")="","",COUNTIF($E$8:$E$207,H13)+COUNTIF($F$8:$F$207,H13))</f>
        <v/>
      </c>
      <c r="J13" s="24">
        <f>IF(OR(I13="",N($I$22)=0),"",I13/$I$22)</f>
        <v/>
      </c>
    </row>
    <row r="14">
      <c r="A14" s="32">
        <f>IF(ISNUMBER(MATCH(7,Responses!$AI$2:$AI$1001,0)),7,"")</f>
        <v/>
      </c>
      <c r="B14" s="32">
        <f>IF($A14="","",INDEX(Responses!$A$2:$A$1001,MATCH($A14,Responses!$AI$2:$AI$1001,0)))</f>
        <v/>
      </c>
      <c r="C14" s="32">
        <f>IF($A14="","",INDEX(Responses!$AF$2:$AF$1001,MATCH($A14,Responses!$AI$2:$AI$1001,0)))</f>
        <v/>
      </c>
      <c r="D14" s="34">
        <f>IF($A14="","",INDEX(Responses!$AH$2:$AH$1001,MATCH($A14,Responses!$AI$2:$AI$1001,0)))</f>
        <v/>
      </c>
      <c r="E14" s="35" t="inlineStr">
        <is>
          <t>Website and app</t>
        </is>
      </c>
      <c r="F14" s="36" t="n"/>
      <c r="H14" s="25" t="n"/>
      <c r="I14" s="23">
        <f>IF(TRIM(H14&amp;"")="","",COUNTIF($E$8:$E$207,H14)+COUNTIF($F$8:$F$207,H14))</f>
        <v/>
      </c>
      <c r="J14" s="24">
        <f>IF(OR(I14="",N($I$22)=0),"",I14/$I$22)</f>
        <v/>
      </c>
    </row>
    <row r="15">
      <c r="A15" s="32">
        <f>IF(ISNUMBER(MATCH(8,Responses!$AI$2:$AI$1001,0)),8,"")</f>
        <v/>
      </c>
      <c r="B15" s="32">
        <f>IF($A15="","",INDEX(Responses!$A$2:$A$1001,MATCH($A15,Responses!$AI$2:$AI$1001,0)))</f>
        <v/>
      </c>
      <c r="C15" s="32">
        <f>IF($A15="","",INDEX(Responses!$AF$2:$AF$1001,MATCH($A15,Responses!$AI$2:$AI$1001,0)))</f>
        <v/>
      </c>
      <c r="D15" s="34">
        <f>IF($A15="","",INDEX(Responses!$AH$2:$AH$1001,MATCH($A15,Responses!$AI$2:$AI$1001,0)))</f>
        <v/>
      </c>
      <c r="E15" s="35" t="inlineStr">
        <is>
          <t>Prices and fees</t>
        </is>
      </c>
      <c r="F15" s="36" t="n"/>
      <c r="H15" s="25" t="n"/>
      <c r="I15" s="23">
        <f>IF(TRIM(H15&amp;"")="","",COUNTIF($E$8:$E$207,H15)+COUNTIF($F$8:$F$207,H15))</f>
        <v/>
      </c>
      <c r="J15" s="24">
        <f>IF(OR(I15="",N($I$22)=0),"",I15/$I$22)</f>
        <v/>
      </c>
    </row>
    <row r="16">
      <c r="A16" s="32">
        <f>IF(ISNUMBER(MATCH(9,Responses!$AI$2:$AI$1001,0)),9,"")</f>
        <v/>
      </c>
      <c r="B16" s="32">
        <f>IF($A16="","",INDEX(Responses!$A$2:$A$1001,MATCH($A16,Responses!$AI$2:$AI$1001,0)))</f>
        <v/>
      </c>
      <c r="C16" s="32">
        <f>IF($A16="","",INDEX(Responses!$AF$2:$AF$1001,MATCH($A16,Responses!$AI$2:$AI$1001,0)))</f>
        <v/>
      </c>
      <c r="D16" s="34">
        <f>IF($A16="","",INDEX(Responses!$AH$2:$AH$1001,MATCH($A16,Responses!$AI$2:$AI$1001,0)))</f>
        <v/>
      </c>
      <c r="E16" s="35" t="inlineStr">
        <is>
          <t>Phone support</t>
        </is>
      </c>
      <c r="F16" s="36" t="n"/>
      <c r="H16" s="25" t="n"/>
      <c r="I16" s="23">
        <f>IF(TRIM(H16&amp;"")="","",COUNTIF($E$8:$E$207,H16)+COUNTIF($F$8:$F$207,H16))</f>
        <v/>
      </c>
      <c r="J16" s="24">
        <f>IF(OR(I16="",N($I$22)=0),"",I16/$I$22)</f>
        <v/>
      </c>
    </row>
    <row r="17">
      <c r="A17" s="32">
        <f>IF(ISNUMBER(MATCH(10,Responses!$AI$2:$AI$1001,0)),10,"")</f>
        <v/>
      </c>
      <c r="B17" s="32">
        <f>IF($A17="","",INDEX(Responses!$A$2:$A$1001,MATCH($A17,Responses!$AI$2:$AI$1001,0)))</f>
        <v/>
      </c>
      <c r="C17" s="32">
        <f>IF($A17="","",INDEX(Responses!$AF$2:$AF$1001,MATCH($A17,Responses!$AI$2:$AI$1001,0)))</f>
        <v/>
      </c>
      <c r="D17" s="34">
        <f>IF($A17="","",INDEX(Responses!$AH$2:$AH$1001,MATCH($A17,Responses!$AI$2:$AI$1001,0)))</f>
        <v/>
      </c>
      <c r="E17" s="35" t="inlineStr">
        <is>
          <t>Stock</t>
        </is>
      </c>
      <c r="F17" s="36" t="n"/>
      <c r="H17" s="25" t="n"/>
      <c r="I17" s="23">
        <f>IF(TRIM(H17&amp;"")="","",COUNTIF($E$8:$E$207,H17)+COUNTIF($F$8:$F$207,H17))</f>
        <v/>
      </c>
      <c r="J17" s="24">
        <f>IF(OR(I17="",N($I$22)=0),"",I17/$I$22)</f>
        <v/>
      </c>
    </row>
    <row r="18">
      <c r="A18" s="32">
        <f>IF(ISNUMBER(MATCH(11,Responses!$AI$2:$AI$1001,0)),11,"")</f>
        <v/>
      </c>
      <c r="B18" s="32">
        <f>IF($A18="","",INDEX(Responses!$A$2:$A$1001,MATCH($A18,Responses!$AI$2:$AI$1001,0)))</f>
        <v/>
      </c>
      <c r="C18" s="32">
        <f>IF($A18="","",INDEX(Responses!$AF$2:$AF$1001,MATCH($A18,Responses!$AI$2:$AI$1001,0)))</f>
        <v/>
      </c>
      <c r="D18" s="34">
        <f>IF($A18="","",INDEX(Responses!$AH$2:$AH$1001,MATCH($A18,Responses!$AI$2:$AI$1001,0)))</f>
        <v/>
      </c>
      <c r="E18" s="35" t="inlineStr">
        <is>
          <t>No change needed</t>
        </is>
      </c>
      <c r="F18" s="36" t="n"/>
      <c r="H18" s="25" t="n"/>
      <c r="I18" s="23">
        <f>IF(TRIM(H18&amp;"")="","",COUNTIF($E$8:$E$207,H18)+COUNTIF($F$8:$F$207,H18))</f>
        <v/>
      </c>
      <c r="J18" s="24">
        <f>IF(OR(I18="",N($I$22)=0),"",I18/$I$22)</f>
        <v/>
      </c>
    </row>
    <row r="19">
      <c r="A19" s="32">
        <f>IF(ISNUMBER(MATCH(12,Responses!$AI$2:$AI$1001,0)),12,"")</f>
        <v/>
      </c>
      <c r="B19" s="32">
        <f>IF($A19="","",INDEX(Responses!$A$2:$A$1001,MATCH($A19,Responses!$AI$2:$AI$1001,0)))</f>
        <v/>
      </c>
      <c r="C19" s="32">
        <f>IF($A19="","",INDEX(Responses!$AF$2:$AF$1001,MATCH($A19,Responses!$AI$2:$AI$1001,0)))</f>
        <v/>
      </c>
      <c r="D19" s="34">
        <f>IF($A19="","",INDEX(Responses!$AH$2:$AH$1001,MATCH($A19,Responses!$AI$2:$AI$1001,0)))</f>
        <v/>
      </c>
      <c r="E19" s="35" t="inlineStr">
        <is>
          <t>Delivery speed</t>
        </is>
      </c>
      <c r="F19" s="36" t="n"/>
      <c r="H19" s="25" t="n"/>
      <c r="I19" s="23">
        <f>IF(TRIM(H19&amp;"")="","",COUNTIF($E$8:$E$207,H19)+COUNTIF($F$8:$F$207,H19))</f>
        <v/>
      </c>
      <c r="J19" s="24">
        <f>IF(OR(I19="",N($I$22)=0),"",I19/$I$22)</f>
        <v/>
      </c>
    </row>
    <row r="20">
      <c r="A20" s="32">
        <f>IF(ISNUMBER(MATCH(13,Responses!$AI$2:$AI$1001,0)),13,"")</f>
        <v/>
      </c>
      <c r="B20" s="32">
        <f>IF($A20="","",INDEX(Responses!$A$2:$A$1001,MATCH($A20,Responses!$AI$2:$AI$1001,0)))</f>
        <v/>
      </c>
      <c r="C20" s="32">
        <f>IF($A20="","",INDEX(Responses!$AF$2:$AF$1001,MATCH($A20,Responses!$AI$2:$AI$1001,0)))</f>
        <v/>
      </c>
      <c r="D20" s="34">
        <f>IF($A20="","",INDEX(Responses!$AH$2:$AH$1001,MATCH($A20,Responses!$AI$2:$AI$1001,0)))</f>
        <v/>
      </c>
      <c r="E20" s="35" t="inlineStr">
        <is>
          <t>Prices and fees</t>
        </is>
      </c>
      <c r="F20" s="36" t="n"/>
    </row>
    <row r="21">
      <c r="A21" s="32">
        <f>IF(ISNUMBER(MATCH(14,Responses!$AI$2:$AI$1001,0)),14,"")</f>
        <v/>
      </c>
      <c r="B21" s="32">
        <f>IF($A21="","",INDEX(Responses!$A$2:$A$1001,MATCH($A21,Responses!$AI$2:$AI$1001,0)))</f>
        <v/>
      </c>
      <c r="C21" s="32">
        <f>IF($A21="","",INDEX(Responses!$AF$2:$AF$1001,MATCH($A21,Responses!$AI$2:$AI$1001,0)))</f>
        <v/>
      </c>
      <c r="D21" s="34">
        <f>IF($A21="","",INDEX(Responses!$AH$2:$AH$1001,MATCH($A21,Responses!$AI$2:$AI$1001,0)))</f>
        <v/>
      </c>
      <c r="E21" s="35" t="inlineStr">
        <is>
          <t>Delivery speed</t>
        </is>
      </c>
      <c r="F21" s="36" t="n"/>
    </row>
    <row r="22">
      <c r="A22" s="32">
        <f>IF(ISNUMBER(MATCH(15,Responses!$AI$2:$AI$1001,0)),15,"")</f>
        <v/>
      </c>
      <c r="B22" s="32">
        <f>IF($A22="","",INDEX(Responses!$A$2:$A$1001,MATCH($A22,Responses!$AI$2:$AI$1001,0)))</f>
        <v/>
      </c>
      <c r="C22" s="32">
        <f>IF($A22="","",INDEX(Responses!$AF$2:$AF$1001,MATCH($A22,Responses!$AI$2:$AI$1001,0)))</f>
        <v/>
      </c>
      <c r="D22" s="34">
        <f>IF($A22="","",INDEX(Responses!$AH$2:$AH$1001,MATCH($A22,Responses!$AI$2:$AI$1001,0)))</f>
        <v/>
      </c>
      <c r="E22" s="35" t="inlineStr">
        <is>
          <t>Stock</t>
        </is>
      </c>
      <c r="F22" s="36" t="n"/>
      <c r="H22" s="19" t="inlineStr">
        <is>
          <t>Answers to code</t>
        </is>
      </c>
      <c r="I22" s="26">
        <f>COUNT(Responses!$AI$2:$AI$1001)</f>
        <v/>
      </c>
    </row>
    <row r="23">
      <c r="A23" s="32">
        <f>IF(ISNUMBER(MATCH(16,Responses!$AI$2:$AI$1001,0)),16,"")</f>
        <v/>
      </c>
      <c r="B23" s="32">
        <f>IF($A23="","",INDEX(Responses!$A$2:$A$1001,MATCH($A23,Responses!$AI$2:$AI$1001,0)))</f>
        <v/>
      </c>
      <c r="C23" s="32">
        <f>IF($A23="","",INDEX(Responses!$AF$2:$AF$1001,MATCH($A23,Responses!$AI$2:$AI$1001,0)))</f>
        <v/>
      </c>
      <c r="D23" s="34">
        <f>IF($A23="","",INDEX(Responses!$AH$2:$AH$1001,MATCH($A23,Responses!$AI$2:$AI$1001,0)))</f>
        <v/>
      </c>
      <c r="E23" s="35" t="inlineStr">
        <is>
          <t>No change needed</t>
        </is>
      </c>
      <c r="F23" s="36" t="n"/>
      <c r="H23" s="19" t="inlineStr">
        <is>
          <t>Coded so far</t>
        </is>
      </c>
      <c r="I23" s="26">
        <f>SUMPRODUCT((LEN($E$8:$E$207)&gt;0)*1)</f>
        <v/>
      </c>
    </row>
    <row r="24">
      <c r="A24" s="32">
        <f>IF(ISNUMBER(MATCH(17,Responses!$AI$2:$AI$1001,0)),17,"")</f>
        <v/>
      </c>
      <c r="B24" s="32">
        <f>IF($A24="","",INDEX(Responses!$A$2:$A$1001,MATCH($A24,Responses!$AI$2:$AI$1001,0)))</f>
        <v/>
      </c>
      <c r="C24" s="32">
        <f>IF($A24="","",INDEX(Responses!$AF$2:$AF$1001,MATCH($A24,Responses!$AI$2:$AI$1001,0)))</f>
        <v/>
      </c>
      <c r="D24" s="34">
        <f>IF($A24="","",INDEX(Responses!$AH$2:$AH$1001,MATCH($A24,Responses!$AI$2:$AI$1001,0)))</f>
        <v/>
      </c>
      <c r="E24" s="35" t="inlineStr">
        <is>
          <t>Phone support</t>
        </is>
      </c>
      <c r="F24" s="36" t="n"/>
      <c r="H24" s="19" t="inlineStr">
        <is>
          <t>Still to code</t>
        </is>
      </c>
      <c r="I24" s="26">
        <f>I22-I23</f>
        <v/>
      </c>
    </row>
    <row r="25">
      <c r="A25" s="32">
        <f>IF(ISNUMBER(MATCH(18,Responses!$AI$2:$AI$1001,0)),18,"")</f>
        <v/>
      </c>
      <c r="B25" s="32">
        <f>IF($A25="","",INDEX(Responses!$A$2:$A$1001,MATCH($A25,Responses!$AI$2:$AI$1001,0)))</f>
        <v/>
      </c>
      <c r="C25" s="32">
        <f>IF($A25="","",INDEX(Responses!$AF$2:$AF$1001,MATCH($A25,Responses!$AI$2:$AI$1001,0)))</f>
        <v/>
      </c>
      <c r="D25" s="34">
        <f>IF($A25="","",INDEX(Responses!$AH$2:$AH$1001,MATCH($A25,Responses!$AI$2:$AI$1001,0)))</f>
        <v/>
      </c>
      <c r="E25" s="35" t="inlineStr">
        <is>
          <t>Website and app</t>
        </is>
      </c>
      <c r="F25" s="36" t="n"/>
    </row>
    <row r="26">
      <c r="A26" s="32">
        <f>IF(ISNUMBER(MATCH(19,Responses!$AI$2:$AI$1001,0)),19,"")</f>
        <v/>
      </c>
      <c r="B26" s="32">
        <f>IF($A26="","",INDEX(Responses!$A$2:$A$1001,MATCH($A26,Responses!$AI$2:$AI$1001,0)))</f>
        <v/>
      </c>
      <c r="C26" s="32">
        <f>IF($A26="","",INDEX(Responses!$AF$2:$AF$1001,MATCH($A26,Responses!$AI$2:$AI$1001,0)))</f>
        <v/>
      </c>
      <c r="D26" s="34">
        <f>IF($A26="","",INDEX(Responses!$AH$2:$AH$1001,MATCH($A26,Responses!$AI$2:$AI$1001,0)))</f>
        <v/>
      </c>
      <c r="E26" s="36" t="n"/>
      <c r="F26" s="36" t="n"/>
      <c r="H26" s="15" t="inlineStr">
        <is>
          <t>An answer can carry two codes, so the shares can add up to more than 100%.</t>
        </is>
      </c>
    </row>
    <row r="27">
      <c r="A27" s="32">
        <f>IF(ISNUMBER(MATCH(20,Responses!$AI$2:$AI$1001,0)),20,"")</f>
        <v/>
      </c>
      <c r="B27" s="32">
        <f>IF($A27="","",INDEX(Responses!$A$2:$A$1001,MATCH($A27,Responses!$AI$2:$AI$1001,0)))</f>
        <v/>
      </c>
      <c r="C27" s="32">
        <f>IF($A27="","",INDEX(Responses!$AF$2:$AF$1001,MATCH($A27,Responses!$AI$2:$AI$1001,0)))</f>
        <v/>
      </c>
      <c r="D27" s="34">
        <f>IF($A27="","",INDEX(Responses!$AH$2:$AH$1001,MATCH($A27,Responses!$AI$2:$AI$1001,0)))</f>
        <v/>
      </c>
      <c r="E27" s="36" t="n"/>
      <c r="F27" s="36" t="n"/>
      <c r="H27" s="15" t="inlineStr">
        <is>
          <t>Keep the row order on Responses: the yellow codes line up with the answer numbers.</t>
        </is>
      </c>
    </row>
    <row r="28">
      <c r="A28" s="32">
        <f>IF(ISNUMBER(MATCH(21,Responses!$AI$2:$AI$1001,0)),21,"")</f>
        <v/>
      </c>
      <c r="B28" s="32">
        <f>IF($A28="","",INDEX(Responses!$A$2:$A$1001,MATCH($A28,Responses!$AI$2:$AI$1001,0)))</f>
        <v/>
      </c>
      <c r="C28" s="32">
        <f>IF($A28="","",INDEX(Responses!$AF$2:$AF$1001,MATCH($A28,Responses!$AI$2:$AI$1001,0)))</f>
        <v/>
      </c>
      <c r="D28" s="34">
        <f>IF($A28="","",INDEX(Responses!$AH$2:$AH$1001,MATCH($A28,Responses!$AI$2:$AI$1001,0)))</f>
        <v/>
      </c>
      <c r="E28" s="36" t="n"/>
      <c r="F28" s="36" t="n"/>
    </row>
    <row r="29">
      <c r="A29" s="32">
        <f>IF(ISNUMBER(MATCH(22,Responses!$AI$2:$AI$1001,0)),22,"")</f>
        <v/>
      </c>
      <c r="B29" s="32">
        <f>IF($A29="","",INDEX(Responses!$A$2:$A$1001,MATCH($A29,Responses!$AI$2:$AI$1001,0)))</f>
        <v/>
      </c>
      <c r="C29" s="32">
        <f>IF($A29="","",INDEX(Responses!$AF$2:$AF$1001,MATCH($A29,Responses!$AI$2:$AI$1001,0)))</f>
        <v/>
      </c>
      <c r="D29" s="34">
        <f>IF($A29="","",INDEX(Responses!$AH$2:$AH$1001,MATCH($A29,Responses!$AI$2:$AI$1001,0)))</f>
        <v/>
      </c>
      <c r="E29" s="36" t="n"/>
      <c r="F29" s="36" t="n"/>
    </row>
    <row r="30">
      <c r="A30" s="32">
        <f>IF(ISNUMBER(MATCH(23,Responses!$AI$2:$AI$1001,0)),23,"")</f>
        <v/>
      </c>
      <c r="B30" s="32">
        <f>IF($A30="","",INDEX(Responses!$A$2:$A$1001,MATCH($A30,Responses!$AI$2:$AI$1001,0)))</f>
        <v/>
      </c>
      <c r="C30" s="32">
        <f>IF($A30="","",INDEX(Responses!$AF$2:$AF$1001,MATCH($A30,Responses!$AI$2:$AI$1001,0)))</f>
        <v/>
      </c>
      <c r="D30" s="34">
        <f>IF($A30="","",INDEX(Responses!$AH$2:$AH$1001,MATCH($A30,Responses!$AI$2:$AI$1001,0)))</f>
        <v/>
      </c>
      <c r="E30" s="36" t="n"/>
      <c r="F30" s="36" t="n"/>
    </row>
    <row r="31">
      <c r="A31" s="32">
        <f>IF(ISNUMBER(MATCH(24,Responses!$AI$2:$AI$1001,0)),24,"")</f>
        <v/>
      </c>
      <c r="B31" s="32">
        <f>IF($A31="","",INDEX(Responses!$A$2:$A$1001,MATCH($A31,Responses!$AI$2:$AI$1001,0)))</f>
        <v/>
      </c>
      <c r="C31" s="32">
        <f>IF($A31="","",INDEX(Responses!$AF$2:$AF$1001,MATCH($A31,Responses!$AI$2:$AI$1001,0)))</f>
        <v/>
      </c>
      <c r="D31" s="34">
        <f>IF($A31="","",INDEX(Responses!$AH$2:$AH$1001,MATCH($A31,Responses!$AI$2:$AI$1001,0)))</f>
        <v/>
      </c>
      <c r="E31" s="36" t="n"/>
      <c r="F31" s="36" t="n"/>
    </row>
    <row r="32">
      <c r="A32" s="32">
        <f>IF(ISNUMBER(MATCH(25,Responses!$AI$2:$AI$1001,0)),25,"")</f>
        <v/>
      </c>
      <c r="B32" s="32">
        <f>IF($A32="","",INDEX(Responses!$A$2:$A$1001,MATCH($A32,Responses!$AI$2:$AI$1001,0)))</f>
        <v/>
      </c>
      <c r="C32" s="32">
        <f>IF($A32="","",INDEX(Responses!$AF$2:$AF$1001,MATCH($A32,Responses!$AI$2:$AI$1001,0)))</f>
        <v/>
      </c>
      <c r="D32" s="34">
        <f>IF($A32="","",INDEX(Responses!$AH$2:$AH$1001,MATCH($A32,Responses!$AI$2:$AI$1001,0)))</f>
        <v/>
      </c>
      <c r="E32" s="36" t="n"/>
      <c r="F32" s="36" t="n"/>
    </row>
    <row r="33">
      <c r="A33" s="32">
        <f>IF(ISNUMBER(MATCH(26,Responses!$AI$2:$AI$1001,0)),26,"")</f>
        <v/>
      </c>
      <c r="B33" s="32">
        <f>IF($A33="","",INDEX(Responses!$A$2:$A$1001,MATCH($A33,Responses!$AI$2:$AI$1001,0)))</f>
        <v/>
      </c>
      <c r="C33" s="32">
        <f>IF($A33="","",INDEX(Responses!$AF$2:$AF$1001,MATCH($A33,Responses!$AI$2:$AI$1001,0)))</f>
        <v/>
      </c>
      <c r="D33" s="34">
        <f>IF($A33="","",INDEX(Responses!$AH$2:$AH$1001,MATCH($A33,Responses!$AI$2:$AI$1001,0)))</f>
        <v/>
      </c>
      <c r="E33" s="36" t="n"/>
      <c r="F33" s="36" t="n"/>
    </row>
    <row r="34">
      <c r="A34" s="32">
        <f>IF(ISNUMBER(MATCH(27,Responses!$AI$2:$AI$1001,0)),27,"")</f>
        <v/>
      </c>
      <c r="B34" s="32">
        <f>IF($A34="","",INDEX(Responses!$A$2:$A$1001,MATCH($A34,Responses!$AI$2:$AI$1001,0)))</f>
        <v/>
      </c>
      <c r="C34" s="32">
        <f>IF($A34="","",INDEX(Responses!$AF$2:$AF$1001,MATCH($A34,Responses!$AI$2:$AI$1001,0)))</f>
        <v/>
      </c>
      <c r="D34" s="34">
        <f>IF($A34="","",INDEX(Responses!$AH$2:$AH$1001,MATCH($A34,Responses!$AI$2:$AI$1001,0)))</f>
        <v/>
      </c>
      <c r="E34" s="36" t="n"/>
      <c r="F34" s="36" t="n"/>
    </row>
    <row r="35">
      <c r="A35" s="32">
        <f>IF(ISNUMBER(MATCH(28,Responses!$AI$2:$AI$1001,0)),28,"")</f>
        <v/>
      </c>
      <c r="B35" s="32">
        <f>IF($A35="","",INDEX(Responses!$A$2:$A$1001,MATCH($A35,Responses!$AI$2:$AI$1001,0)))</f>
        <v/>
      </c>
      <c r="C35" s="32">
        <f>IF($A35="","",INDEX(Responses!$AF$2:$AF$1001,MATCH($A35,Responses!$AI$2:$AI$1001,0)))</f>
        <v/>
      </c>
      <c r="D35" s="34">
        <f>IF($A35="","",INDEX(Responses!$AH$2:$AH$1001,MATCH($A35,Responses!$AI$2:$AI$1001,0)))</f>
        <v/>
      </c>
      <c r="E35" s="36" t="n"/>
      <c r="F35" s="36" t="n"/>
    </row>
    <row r="36">
      <c r="A36" s="32">
        <f>IF(ISNUMBER(MATCH(29,Responses!$AI$2:$AI$1001,0)),29,"")</f>
        <v/>
      </c>
      <c r="B36" s="32">
        <f>IF($A36="","",INDEX(Responses!$A$2:$A$1001,MATCH($A36,Responses!$AI$2:$AI$1001,0)))</f>
        <v/>
      </c>
      <c r="C36" s="32">
        <f>IF($A36="","",INDEX(Responses!$AF$2:$AF$1001,MATCH($A36,Responses!$AI$2:$AI$1001,0)))</f>
        <v/>
      </c>
      <c r="D36" s="34">
        <f>IF($A36="","",INDEX(Responses!$AH$2:$AH$1001,MATCH($A36,Responses!$AI$2:$AI$1001,0)))</f>
        <v/>
      </c>
      <c r="E36" s="36" t="n"/>
      <c r="F36" s="36" t="n"/>
    </row>
    <row r="37">
      <c r="A37" s="32">
        <f>IF(ISNUMBER(MATCH(30,Responses!$AI$2:$AI$1001,0)),30,"")</f>
        <v/>
      </c>
      <c r="B37" s="32">
        <f>IF($A37="","",INDEX(Responses!$A$2:$A$1001,MATCH($A37,Responses!$AI$2:$AI$1001,0)))</f>
        <v/>
      </c>
      <c r="C37" s="32">
        <f>IF($A37="","",INDEX(Responses!$AF$2:$AF$1001,MATCH($A37,Responses!$AI$2:$AI$1001,0)))</f>
        <v/>
      </c>
      <c r="D37" s="34">
        <f>IF($A37="","",INDEX(Responses!$AH$2:$AH$1001,MATCH($A37,Responses!$AI$2:$AI$1001,0)))</f>
        <v/>
      </c>
      <c r="E37" s="36" t="n"/>
      <c r="F37" s="36" t="n"/>
    </row>
    <row r="38">
      <c r="A38" s="32">
        <f>IF(ISNUMBER(MATCH(31,Responses!$AI$2:$AI$1001,0)),31,"")</f>
        <v/>
      </c>
      <c r="B38" s="32">
        <f>IF($A38="","",INDEX(Responses!$A$2:$A$1001,MATCH($A38,Responses!$AI$2:$AI$1001,0)))</f>
        <v/>
      </c>
      <c r="C38" s="32">
        <f>IF($A38="","",INDEX(Responses!$AF$2:$AF$1001,MATCH($A38,Responses!$AI$2:$AI$1001,0)))</f>
        <v/>
      </c>
      <c r="D38" s="34">
        <f>IF($A38="","",INDEX(Responses!$AH$2:$AH$1001,MATCH($A38,Responses!$AI$2:$AI$1001,0)))</f>
        <v/>
      </c>
      <c r="E38" s="36" t="n"/>
      <c r="F38" s="36" t="n"/>
    </row>
    <row r="39">
      <c r="A39" s="32">
        <f>IF(ISNUMBER(MATCH(32,Responses!$AI$2:$AI$1001,0)),32,"")</f>
        <v/>
      </c>
      <c r="B39" s="32">
        <f>IF($A39="","",INDEX(Responses!$A$2:$A$1001,MATCH($A39,Responses!$AI$2:$AI$1001,0)))</f>
        <v/>
      </c>
      <c r="C39" s="32">
        <f>IF($A39="","",INDEX(Responses!$AF$2:$AF$1001,MATCH($A39,Responses!$AI$2:$AI$1001,0)))</f>
        <v/>
      </c>
      <c r="D39" s="34">
        <f>IF($A39="","",INDEX(Responses!$AH$2:$AH$1001,MATCH($A39,Responses!$AI$2:$AI$1001,0)))</f>
        <v/>
      </c>
      <c r="E39" s="36" t="n"/>
      <c r="F39" s="36" t="n"/>
    </row>
    <row r="40">
      <c r="A40" s="32">
        <f>IF(ISNUMBER(MATCH(33,Responses!$AI$2:$AI$1001,0)),33,"")</f>
        <v/>
      </c>
      <c r="B40" s="32">
        <f>IF($A40="","",INDEX(Responses!$A$2:$A$1001,MATCH($A40,Responses!$AI$2:$AI$1001,0)))</f>
        <v/>
      </c>
      <c r="C40" s="32">
        <f>IF($A40="","",INDEX(Responses!$AF$2:$AF$1001,MATCH($A40,Responses!$AI$2:$AI$1001,0)))</f>
        <v/>
      </c>
      <c r="D40" s="34">
        <f>IF($A40="","",INDEX(Responses!$AH$2:$AH$1001,MATCH($A40,Responses!$AI$2:$AI$1001,0)))</f>
        <v/>
      </c>
      <c r="E40" s="36" t="n"/>
      <c r="F40" s="36" t="n"/>
    </row>
    <row r="41">
      <c r="A41" s="32">
        <f>IF(ISNUMBER(MATCH(34,Responses!$AI$2:$AI$1001,0)),34,"")</f>
        <v/>
      </c>
      <c r="B41" s="32">
        <f>IF($A41="","",INDEX(Responses!$A$2:$A$1001,MATCH($A41,Responses!$AI$2:$AI$1001,0)))</f>
        <v/>
      </c>
      <c r="C41" s="32">
        <f>IF($A41="","",INDEX(Responses!$AF$2:$AF$1001,MATCH($A41,Responses!$AI$2:$AI$1001,0)))</f>
        <v/>
      </c>
      <c r="D41" s="34">
        <f>IF($A41="","",INDEX(Responses!$AH$2:$AH$1001,MATCH($A41,Responses!$AI$2:$AI$1001,0)))</f>
        <v/>
      </c>
      <c r="E41" s="36" t="n"/>
      <c r="F41" s="36" t="n"/>
    </row>
    <row r="42">
      <c r="A42" s="32">
        <f>IF(ISNUMBER(MATCH(35,Responses!$AI$2:$AI$1001,0)),35,"")</f>
        <v/>
      </c>
      <c r="B42" s="32">
        <f>IF($A42="","",INDEX(Responses!$A$2:$A$1001,MATCH($A42,Responses!$AI$2:$AI$1001,0)))</f>
        <v/>
      </c>
      <c r="C42" s="32">
        <f>IF($A42="","",INDEX(Responses!$AF$2:$AF$1001,MATCH($A42,Responses!$AI$2:$AI$1001,0)))</f>
        <v/>
      </c>
      <c r="D42" s="34">
        <f>IF($A42="","",INDEX(Responses!$AH$2:$AH$1001,MATCH($A42,Responses!$AI$2:$AI$1001,0)))</f>
        <v/>
      </c>
      <c r="E42" s="36" t="n"/>
      <c r="F42" s="36" t="n"/>
    </row>
    <row r="43">
      <c r="A43" s="32">
        <f>IF(ISNUMBER(MATCH(36,Responses!$AI$2:$AI$1001,0)),36,"")</f>
        <v/>
      </c>
      <c r="B43" s="32">
        <f>IF($A43="","",INDEX(Responses!$A$2:$A$1001,MATCH($A43,Responses!$AI$2:$AI$1001,0)))</f>
        <v/>
      </c>
      <c r="C43" s="32">
        <f>IF($A43="","",INDEX(Responses!$AF$2:$AF$1001,MATCH($A43,Responses!$AI$2:$AI$1001,0)))</f>
        <v/>
      </c>
      <c r="D43" s="34">
        <f>IF($A43="","",INDEX(Responses!$AH$2:$AH$1001,MATCH($A43,Responses!$AI$2:$AI$1001,0)))</f>
        <v/>
      </c>
      <c r="E43" s="36" t="n"/>
      <c r="F43" s="36" t="n"/>
    </row>
    <row r="44">
      <c r="A44" s="32">
        <f>IF(ISNUMBER(MATCH(37,Responses!$AI$2:$AI$1001,0)),37,"")</f>
        <v/>
      </c>
      <c r="B44" s="32">
        <f>IF($A44="","",INDEX(Responses!$A$2:$A$1001,MATCH($A44,Responses!$AI$2:$AI$1001,0)))</f>
        <v/>
      </c>
      <c r="C44" s="32">
        <f>IF($A44="","",INDEX(Responses!$AF$2:$AF$1001,MATCH($A44,Responses!$AI$2:$AI$1001,0)))</f>
        <v/>
      </c>
      <c r="D44" s="34">
        <f>IF($A44="","",INDEX(Responses!$AH$2:$AH$1001,MATCH($A44,Responses!$AI$2:$AI$1001,0)))</f>
        <v/>
      </c>
      <c r="E44" s="36" t="n"/>
      <c r="F44" s="36" t="n"/>
    </row>
    <row r="45">
      <c r="A45" s="32">
        <f>IF(ISNUMBER(MATCH(38,Responses!$AI$2:$AI$1001,0)),38,"")</f>
        <v/>
      </c>
      <c r="B45" s="32">
        <f>IF($A45="","",INDEX(Responses!$A$2:$A$1001,MATCH($A45,Responses!$AI$2:$AI$1001,0)))</f>
        <v/>
      </c>
      <c r="C45" s="32">
        <f>IF($A45="","",INDEX(Responses!$AF$2:$AF$1001,MATCH($A45,Responses!$AI$2:$AI$1001,0)))</f>
        <v/>
      </c>
      <c r="D45" s="34">
        <f>IF($A45="","",INDEX(Responses!$AH$2:$AH$1001,MATCH($A45,Responses!$AI$2:$AI$1001,0)))</f>
        <v/>
      </c>
      <c r="E45" s="36" t="n"/>
      <c r="F45" s="36" t="n"/>
    </row>
    <row r="46">
      <c r="A46" s="32">
        <f>IF(ISNUMBER(MATCH(39,Responses!$AI$2:$AI$1001,0)),39,"")</f>
        <v/>
      </c>
      <c r="B46" s="32">
        <f>IF($A46="","",INDEX(Responses!$A$2:$A$1001,MATCH($A46,Responses!$AI$2:$AI$1001,0)))</f>
        <v/>
      </c>
      <c r="C46" s="32">
        <f>IF($A46="","",INDEX(Responses!$AF$2:$AF$1001,MATCH($A46,Responses!$AI$2:$AI$1001,0)))</f>
        <v/>
      </c>
      <c r="D46" s="34">
        <f>IF($A46="","",INDEX(Responses!$AH$2:$AH$1001,MATCH($A46,Responses!$AI$2:$AI$1001,0)))</f>
        <v/>
      </c>
      <c r="E46" s="36" t="n"/>
      <c r="F46" s="36" t="n"/>
    </row>
    <row r="47">
      <c r="A47" s="32">
        <f>IF(ISNUMBER(MATCH(40,Responses!$AI$2:$AI$1001,0)),40,"")</f>
        <v/>
      </c>
      <c r="B47" s="32">
        <f>IF($A47="","",INDEX(Responses!$A$2:$A$1001,MATCH($A47,Responses!$AI$2:$AI$1001,0)))</f>
        <v/>
      </c>
      <c r="C47" s="32">
        <f>IF($A47="","",INDEX(Responses!$AF$2:$AF$1001,MATCH($A47,Responses!$AI$2:$AI$1001,0)))</f>
        <v/>
      </c>
      <c r="D47" s="34">
        <f>IF($A47="","",INDEX(Responses!$AH$2:$AH$1001,MATCH($A47,Responses!$AI$2:$AI$1001,0)))</f>
        <v/>
      </c>
      <c r="E47" s="36" t="n"/>
      <c r="F47" s="36" t="n"/>
    </row>
    <row r="48">
      <c r="A48" s="32">
        <f>IF(ISNUMBER(MATCH(41,Responses!$AI$2:$AI$1001,0)),41,"")</f>
        <v/>
      </c>
      <c r="B48" s="32">
        <f>IF($A48="","",INDEX(Responses!$A$2:$A$1001,MATCH($A48,Responses!$AI$2:$AI$1001,0)))</f>
        <v/>
      </c>
      <c r="C48" s="32">
        <f>IF($A48="","",INDEX(Responses!$AF$2:$AF$1001,MATCH($A48,Responses!$AI$2:$AI$1001,0)))</f>
        <v/>
      </c>
      <c r="D48" s="34">
        <f>IF($A48="","",INDEX(Responses!$AH$2:$AH$1001,MATCH($A48,Responses!$AI$2:$AI$1001,0)))</f>
        <v/>
      </c>
      <c r="E48" s="36" t="n"/>
      <c r="F48" s="36" t="n"/>
    </row>
    <row r="49">
      <c r="A49" s="32">
        <f>IF(ISNUMBER(MATCH(42,Responses!$AI$2:$AI$1001,0)),42,"")</f>
        <v/>
      </c>
      <c r="B49" s="32">
        <f>IF($A49="","",INDEX(Responses!$A$2:$A$1001,MATCH($A49,Responses!$AI$2:$AI$1001,0)))</f>
        <v/>
      </c>
      <c r="C49" s="32">
        <f>IF($A49="","",INDEX(Responses!$AF$2:$AF$1001,MATCH($A49,Responses!$AI$2:$AI$1001,0)))</f>
        <v/>
      </c>
      <c r="D49" s="34">
        <f>IF($A49="","",INDEX(Responses!$AH$2:$AH$1001,MATCH($A49,Responses!$AI$2:$AI$1001,0)))</f>
        <v/>
      </c>
      <c r="E49" s="36" t="n"/>
      <c r="F49" s="36" t="n"/>
    </row>
    <row r="50">
      <c r="A50" s="32">
        <f>IF(ISNUMBER(MATCH(43,Responses!$AI$2:$AI$1001,0)),43,"")</f>
        <v/>
      </c>
      <c r="B50" s="32">
        <f>IF($A50="","",INDEX(Responses!$A$2:$A$1001,MATCH($A50,Responses!$AI$2:$AI$1001,0)))</f>
        <v/>
      </c>
      <c r="C50" s="32">
        <f>IF($A50="","",INDEX(Responses!$AF$2:$AF$1001,MATCH($A50,Responses!$AI$2:$AI$1001,0)))</f>
        <v/>
      </c>
      <c r="D50" s="34">
        <f>IF($A50="","",INDEX(Responses!$AH$2:$AH$1001,MATCH($A50,Responses!$AI$2:$AI$1001,0)))</f>
        <v/>
      </c>
      <c r="E50" s="36" t="n"/>
      <c r="F50" s="36" t="n"/>
    </row>
    <row r="51">
      <c r="A51" s="32">
        <f>IF(ISNUMBER(MATCH(44,Responses!$AI$2:$AI$1001,0)),44,"")</f>
        <v/>
      </c>
      <c r="B51" s="32">
        <f>IF($A51="","",INDEX(Responses!$A$2:$A$1001,MATCH($A51,Responses!$AI$2:$AI$1001,0)))</f>
        <v/>
      </c>
      <c r="C51" s="32">
        <f>IF($A51="","",INDEX(Responses!$AF$2:$AF$1001,MATCH($A51,Responses!$AI$2:$AI$1001,0)))</f>
        <v/>
      </c>
      <c r="D51" s="34">
        <f>IF($A51="","",INDEX(Responses!$AH$2:$AH$1001,MATCH($A51,Responses!$AI$2:$AI$1001,0)))</f>
        <v/>
      </c>
      <c r="E51" s="36" t="n"/>
      <c r="F51" s="36" t="n"/>
    </row>
    <row r="52">
      <c r="A52" s="32">
        <f>IF(ISNUMBER(MATCH(45,Responses!$AI$2:$AI$1001,0)),45,"")</f>
        <v/>
      </c>
      <c r="B52" s="32">
        <f>IF($A52="","",INDEX(Responses!$A$2:$A$1001,MATCH($A52,Responses!$AI$2:$AI$1001,0)))</f>
        <v/>
      </c>
      <c r="C52" s="32">
        <f>IF($A52="","",INDEX(Responses!$AF$2:$AF$1001,MATCH($A52,Responses!$AI$2:$AI$1001,0)))</f>
        <v/>
      </c>
      <c r="D52" s="34">
        <f>IF($A52="","",INDEX(Responses!$AH$2:$AH$1001,MATCH($A52,Responses!$AI$2:$AI$1001,0)))</f>
        <v/>
      </c>
      <c r="E52" s="36" t="n"/>
      <c r="F52" s="36" t="n"/>
    </row>
    <row r="53">
      <c r="A53" s="32">
        <f>IF(ISNUMBER(MATCH(46,Responses!$AI$2:$AI$1001,0)),46,"")</f>
        <v/>
      </c>
      <c r="B53" s="32">
        <f>IF($A53="","",INDEX(Responses!$A$2:$A$1001,MATCH($A53,Responses!$AI$2:$AI$1001,0)))</f>
        <v/>
      </c>
      <c r="C53" s="32">
        <f>IF($A53="","",INDEX(Responses!$AF$2:$AF$1001,MATCH($A53,Responses!$AI$2:$AI$1001,0)))</f>
        <v/>
      </c>
      <c r="D53" s="34">
        <f>IF($A53="","",INDEX(Responses!$AH$2:$AH$1001,MATCH($A53,Responses!$AI$2:$AI$1001,0)))</f>
        <v/>
      </c>
      <c r="E53" s="36" t="n"/>
      <c r="F53" s="36" t="n"/>
    </row>
    <row r="54">
      <c r="A54" s="32">
        <f>IF(ISNUMBER(MATCH(47,Responses!$AI$2:$AI$1001,0)),47,"")</f>
        <v/>
      </c>
      <c r="B54" s="32">
        <f>IF($A54="","",INDEX(Responses!$A$2:$A$1001,MATCH($A54,Responses!$AI$2:$AI$1001,0)))</f>
        <v/>
      </c>
      <c r="C54" s="32">
        <f>IF($A54="","",INDEX(Responses!$AF$2:$AF$1001,MATCH($A54,Responses!$AI$2:$AI$1001,0)))</f>
        <v/>
      </c>
      <c r="D54" s="34">
        <f>IF($A54="","",INDEX(Responses!$AH$2:$AH$1001,MATCH($A54,Responses!$AI$2:$AI$1001,0)))</f>
        <v/>
      </c>
      <c r="E54" s="36" t="n"/>
      <c r="F54" s="36" t="n"/>
    </row>
    <row r="55">
      <c r="A55" s="32">
        <f>IF(ISNUMBER(MATCH(48,Responses!$AI$2:$AI$1001,0)),48,"")</f>
        <v/>
      </c>
      <c r="B55" s="32">
        <f>IF($A55="","",INDEX(Responses!$A$2:$A$1001,MATCH($A55,Responses!$AI$2:$AI$1001,0)))</f>
        <v/>
      </c>
      <c r="C55" s="32">
        <f>IF($A55="","",INDEX(Responses!$AF$2:$AF$1001,MATCH($A55,Responses!$AI$2:$AI$1001,0)))</f>
        <v/>
      </c>
      <c r="D55" s="34">
        <f>IF($A55="","",INDEX(Responses!$AH$2:$AH$1001,MATCH($A55,Responses!$AI$2:$AI$1001,0)))</f>
        <v/>
      </c>
      <c r="E55" s="36" t="n"/>
      <c r="F55" s="36" t="n"/>
    </row>
    <row r="56">
      <c r="A56" s="32">
        <f>IF(ISNUMBER(MATCH(49,Responses!$AI$2:$AI$1001,0)),49,"")</f>
        <v/>
      </c>
      <c r="B56" s="32">
        <f>IF($A56="","",INDEX(Responses!$A$2:$A$1001,MATCH($A56,Responses!$AI$2:$AI$1001,0)))</f>
        <v/>
      </c>
      <c r="C56" s="32">
        <f>IF($A56="","",INDEX(Responses!$AF$2:$AF$1001,MATCH($A56,Responses!$AI$2:$AI$1001,0)))</f>
        <v/>
      </c>
      <c r="D56" s="34">
        <f>IF($A56="","",INDEX(Responses!$AH$2:$AH$1001,MATCH($A56,Responses!$AI$2:$AI$1001,0)))</f>
        <v/>
      </c>
      <c r="E56" s="36" t="n"/>
      <c r="F56" s="36" t="n"/>
    </row>
    <row r="57">
      <c r="A57" s="32">
        <f>IF(ISNUMBER(MATCH(50,Responses!$AI$2:$AI$1001,0)),50,"")</f>
        <v/>
      </c>
      <c r="B57" s="32">
        <f>IF($A57="","",INDEX(Responses!$A$2:$A$1001,MATCH($A57,Responses!$AI$2:$AI$1001,0)))</f>
        <v/>
      </c>
      <c r="C57" s="32">
        <f>IF($A57="","",INDEX(Responses!$AF$2:$AF$1001,MATCH($A57,Responses!$AI$2:$AI$1001,0)))</f>
        <v/>
      </c>
      <c r="D57" s="34">
        <f>IF($A57="","",INDEX(Responses!$AH$2:$AH$1001,MATCH($A57,Responses!$AI$2:$AI$1001,0)))</f>
        <v/>
      </c>
      <c r="E57" s="36" t="n"/>
      <c r="F57" s="36" t="n"/>
    </row>
    <row r="58">
      <c r="A58" s="32">
        <f>IF(ISNUMBER(MATCH(51,Responses!$AI$2:$AI$1001,0)),51,"")</f>
        <v/>
      </c>
      <c r="B58" s="32">
        <f>IF($A58="","",INDEX(Responses!$A$2:$A$1001,MATCH($A58,Responses!$AI$2:$AI$1001,0)))</f>
        <v/>
      </c>
      <c r="C58" s="32">
        <f>IF($A58="","",INDEX(Responses!$AF$2:$AF$1001,MATCH($A58,Responses!$AI$2:$AI$1001,0)))</f>
        <v/>
      </c>
      <c r="D58" s="34">
        <f>IF($A58="","",INDEX(Responses!$AH$2:$AH$1001,MATCH($A58,Responses!$AI$2:$AI$1001,0)))</f>
        <v/>
      </c>
      <c r="E58" s="36" t="n"/>
      <c r="F58" s="36" t="n"/>
    </row>
    <row r="59">
      <c r="A59" s="32">
        <f>IF(ISNUMBER(MATCH(52,Responses!$AI$2:$AI$1001,0)),52,"")</f>
        <v/>
      </c>
      <c r="B59" s="32">
        <f>IF($A59="","",INDEX(Responses!$A$2:$A$1001,MATCH($A59,Responses!$AI$2:$AI$1001,0)))</f>
        <v/>
      </c>
      <c r="C59" s="32">
        <f>IF($A59="","",INDEX(Responses!$AF$2:$AF$1001,MATCH($A59,Responses!$AI$2:$AI$1001,0)))</f>
        <v/>
      </c>
      <c r="D59" s="34">
        <f>IF($A59="","",INDEX(Responses!$AH$2:$AH$1001,MATCH($A59,Responses!$AI$2:$AI$1001,0)))</f>
        <v/>
      </c>
      <c r="E59" s="36" t="n"/>
      <c r="F59" s="36" t="n"/>
    </row>
    <row r="60">
      <c r="A60" s="32">
        <f>IF(ISNUMBER(MATCH(53,Responses!$AI$2:$AI$1001,0)),53,"")</f>
        <v/>
      </c>
      <c r="B60" s="32">
        <f>IF($A60="","",INDEX(Responses!$A$2:$A$1001,MATCH($A60,Responses!$AI$2:$AI$1001,0)))</f>
        <v/>
      </c>
      <c r="C60" s="32">
        <f>IF($A60="","",INDEX(Responses!$AF$2:$AF$1001,MATCH($A60,Responses!$AI$2:$AI$1001,0)))</f>
        <v/>
      </c>
      <c r="D60" s="34">
        <f>IF($A60="","",INDEX(Responses!$AH$2:$AH$1001,MATCH($A60,Responses!$AI$2:$AI$1001,0)))</f>
        <v/>
      </c>
      <c r="E60" s="36" t="n"/>
      <c r="F60" s="36" t="n"/>
    </row>
    <row r="61">
      <c r="A61" s="32">
        <f>IF(ISNUMBER(MATCH(54,Responses!$AI$2:$AI$1001,0)),54,"")</f>
        <v/>
      </c>
      <c r="B61" s="32">
        <f>IF($A61="","",INDEX(Responses!$A$2:$A$1001,MATCH($A61,Responses!$AI$2:$AI$1001,0)))</f>
        <v/>
      </c>
      <c r="C61" s="32">
        <f>IF($A61="","",INDEX(Responses!$AF$2:$AF$1001,MATCH($A61,Responses!$AI$2:$AI$1001,0)))</f>
        <v/>
      </c>
      <c r="D61" s="34">
        <f>IF($A61="","",INDEX(Responses!$AH$2:$AH$1001,MATCH($A61,Responses!$AI$2:$AI$1001,0)))</f>
        <v/>
      </c>
      <c r="E61" s="36" t="n"/>
      <c r="F61" s="36" t="n"/>
    </row>
    <row r="62">
      <c r="A62" s="32">
        <f>IF(ISNUMBER(MATCH(55,Responses!$AI$2:$AI$1001,0)),55,"")</f>
        <v/>
      </c>
      <c r="B62" s="32">
        <f>IF($A62="","",INDEX(Responses!$A$2:$A$1001,MATCH($A62,Responses!$AI$2:$AI$1001,0)))</f>
        <v/>
      </c>
      <c r="C62" s="32">
        <f>IF($A62="","",INDEX(Responses!$AF$2:$AF$1001,MATCH($A62,Responses!$AI$2:$AI$1001,0)))</f>
        <v/>
      </c>
      <c r="D62" s="34">
        <f>IF($A62="","",INDEX(Responses!$AH$2:$AH$1001,MATCH($A62,Responses!$AI$2:$AI$1001,0)))</f>
        <v/>
      </c>
      <c r="E62" s="36" t="n"/>
      <c r="F62" s="36" t="n"/>
    </row>
    <row r="63">
      <c r="A63" s="32">
        <f>IF(ISNUMBER(MATCH(56,Responses!$AI$2:$AI$1001,0)),56,"")</f>
        <v/>
      </c>
      <c r="B63" s="32">
        <f>IF($A63="","",INDEX(Responses!$A$2:$A$1001,MATCH($A63,Responses!$AI$2:$AI$1001,0)))</f>
        <v/>
      </c>
      <c r="C63" s="32">
        <f>IF($A63="","",INDEX(Responses!$AF$2:$AF$1001,MATCH($A63,Responses!$AI$2:$AI$1001,0)))</f>
        <v/>
      </c>
      <c r="D63" s="34">
        <f>IF($A63="","",INDEX(Responses!$AH$2:$AH$1001,MATCH($A63,Responses!$AI$2:$AI$1001,0)))</f>
        <v/>
      </c>
      <c r="E63" s="36" t="n"/>
      <c r="F63" s="36" t="n"/>
    </row>
    <row r="64">
      <c r="A64" s="32">
        <f>IF(ISNUMBER(MATCH(57,Responses!$AI$2:$AI$1001,0)),57,"")</f>
        <v/>
      </c>
      <c r="B64" s="32">
        <f>IF($A64="","",INDEX(Responses!$A$2:$A$1001,MATCH($A64,Responses!$AI$2:$AI$1001,0)))</f>
        <v/>
      </c>
      <c r="C64" s="32">
        <f>IF($A64="","",INDEX(Responses!$AF$2:$AF$1001,MATCH($A64,Responses!$AI$2:$AI$1001,0)))</f>
        <v/>
      </c>
      <c r="D64" s="34">
        <f>IF($A64="","",INDEX(Responses!$AH$2:$AH$1001,MATCH($A64,Responses!$AI$2:$AI$1001,0)))</f>
        <v/>
      </c>
      <c r="E64" s="36" t="n"/>
      <c r="F64" s="36" t="n"/>
    </row>
    <row r="65">
      <c r="A65" s="32">
        <f>IF(ISNUMBER(MATCH(58,Responses!$AI$2:$AI$1001,0)),58,"")</f>
        <v/>
      </c>
      <c r="B65" s="32">
        <f>IF($A65="","",INDEX(Responses!$A$2:$A$1001,MATCH($A65,Responses!$AI$2:$AI$1001,0)))</f>
        <v/>
      </c>
      <c r="C65" s="32">
        <f>IF($A65="","",INDEX(Responses!$AF$2:$AF$1001,MATCH($A65,Responses!$AI$2:$AI$1001,0)))</f>
        <v/>
      </c>
      <c r="D65" s="34">
        <f>IF($A65="","",INDEX(Responses!$AH$2:$AH$1001,MATCH($A65,Responses!$AI$2:$AI$1001,0)))</f>
        <v/>
      </c>
      <c r="E65" s="36" t="n"/>
      <c r="F65" s="36" t="n"/>
    </row>
    <row r="66">
      <c r="A66" s="32">
        <f>IF(ISNUMBER(MATCH(59,Responses!$AI$2:$AI$1001,0)),59,"")</f>
        <v/>
      </c>
      <c r="B66" s="32">
        <f>IF($A66="","",INDEX(Responses!$A$2:$A$1001,MATCH($A66,Responses!$AI$2:$AI$1001,0)))</f>
        <v/>
      </c>
      <c r="C66" s="32">
        <f>IF($A66="","",INDEX(Responses!$AF$2:$AF$1001,MATCH($A66,Responses!$AI$2:$AI$1001,0)))</f>
        <v/>
      </c>
      <c r="D66" s="34">
        <f>IF($A66="","",INDEX(Responses!$AH$2:$AH$1001,MATCH($A66,Responses!$AI$2:$AI$1001,0)))</f>
        <v/>
      </c>
      <c r="E66" s="36" t="n"/>
      <c r="F66" s="36" t="n"/>
    </row>
    <row r="67">
      <c r="A67" s="32">
        <f>IF(ISNUMBER(MATCH(60,Responses!$AI$2:$AI$1001,0)),60,"")</f>
        <v/>
      </c>
      <c r="B67" s="32">
        <f>IF($A67="","",INDEX(Responses!$A$2:$A$1001,MATCH($A67,Responses!$AI$2:$AI$1001,0)))</f>
        <v/>
      </c>
      <c r="C67" s="32">
        <f>IF($A67="","",INDEX(Responses!$AF$2:$AF$1001,MATCH($A67,Responses!$AI$2:$AI$1001,0)))</f>
        <v/>
      </c>
      <c r="D67" s="34">
        <f>IF($A67="","",INDEX(Responses!$AH$2:$AH$1001,MATCH($A67,Responses!$AI$2:$AI$1001,0)))</f>
        <v/>
      </c>
      <c r="E67" s="36" t="n"/>
      <c r="F67" s="36" t="n"/>
    </row>
    <row r="68">
      <c r="A68" s="32">
        <f>IF(ISNUMBER(MATCH(61,Responses!$AI$2:$AI$1001,0)),61,"")</f>
        <v/>
      </c>
      <c r="B68" s="32">
        <f>IF($A68="","",INDEX(Responses!$A$2:$A$1001,MATCH($A68,Responses!$AI$2:$AI$1001,0)))</f>
        <v/>
      </c>
      <c r="C68" s="32">
        <f>IF($A68="","",INDEX(Responses!$AF$2:$AF$1001,MATCH($A68,Responses!$AI$2:$AI$1001,0)))</f>
        <v/>
      </c>
      <c r="D68" s="34">
        <f>IF($A68="","",INDEX(Responses!$AH$2:$AH$1001,MATCH($A68,Responses!$AI$2:$AI$1001,0)))</f>
        <v/>
      </c>
      <c r="E68" s="36" t="n"/>
      <c r="F68" s="36" t="n"/>
    </row>
    <row r="69">
      <c r="A69" s="32">
        <f>IF(ISNUMBER(MATCH(62,Responses!$AI$2:$AI$1001,0)),62,"")</f>
        <v/>
      </c>
      <c r="B69" s="32">
        <f>IF($A69="","",INDEX(Responses!$A$2:$A$1001,MATCH($A69,Responses!$AI$2:$AI$1001,0)))</f>
        <v/>
      </c>
      <c r="C69" s="32">
        <f>IF($A69="","",INDEX(Responses!$AF$2:$AF$1001,MATCH($A69,Responses!$AI$2:$AI$1001,0)))</f>
        <v/>
      </c>
      <c r="D69" s="34">
        <f>IF($A69="","",INDEX(Responses!$AH$2:$AH$1001,MATCH($A69,Responses!$AI$2:$AI$1001,0)))</f>
        <v/>
      </c>
      <c r="E69" s="36" t="n"/>
      <c r="F69" s="36" t="n"/>
    </row>
    <row r="70">
      <c r="A70" s="32">
        <f>IF(ISNUMBER(MATCH(63,Responses!$AI$2:$AI$1001,0)),63,"")</f>
        <v/>
      </c>
      <c r="B70" s="32">
        <f>IF($A70="","",INDEX(Responses!$A$2:$A$1001,MATCH($A70,Responses!$AI$2:$AI$1001,0)))</f>
        <v/>
      </c>
      <c r="C70" s="32">
        <f>IF($A70="","",INDEX(Responses!$AF$2:$AF$1001,MATCH($A70,Responses!$AI$2:$AI$1001,0)))</f>
        <v/>
      </c>
      <c r="D70" s="34">
        <f>IF($A70="","",INDEX(Responses!$AH$2:$AH$1001,MATCH($A70,Responses!$AI$2:$AI$1001,0)))</f>
        <v/>
      </c>
      <c r="E70" s="36" t="n"/>
      <c r="F70" s="36" t="n"/>
    </row>
    <row r="71">
      <c r="A71" s="32">
        <f>IF(ISNUMBER(MATCH(64,Responses!$AI$2:$AI$1001,0)),64,"")</f>
        <v/>
      </c>
      <c r="B71" s="32">
        <f>IF($A71="","",INDEX(Responses!$A$2:$A$1001,MATCH($A71,Responses!$AI$2:$AI$1001,0)))</f>
        <v/>
      </c>
      <c r="C71" s="32">
        <f>IF($A71="","",INDEX(Responses!$AF$2:$AF$1001,MATCH($A71,Responses!$AI$2:$AI$1001,0)))</f>
        <v/>
      </c>
      <c r="D71" s="34">
        <f>IF($A71="","",INDEX(Responses!$AH$2:$AH$1001,MATCH($A71,Responses!$AI$2:$AI$1001,0)))</f>
        <v/>
      </c>
      <c r="E71" s="36" t="n"/>
      <c r="F71" s="36" t="n"/>
    </row>
    <row r="72">
      <c r="A72" s="32">
        <f>IF(ISNUMBER(MATCH(65,Responses!$AI$2:$AI$1001,0)),65,"")</f>
        <v/>
      </c>
      <c r="B72" s="32">
        <f>IF($A72="","",INDEX(Responses!$A$2:$A$1001,MATCH($A72,Responses!$AI$2:$AI$1001,0)))</f>
        <v/>
      </c>
      <c r="C72" s="32">
        <f>IF($A72="","",INDEX(Responses!$AF$2:$AF$1001,MATCH($A72,Responses!$AI$2:$AI$1001,0)))</f>
        <v/>
      </c>
      <c r="D72" s="34">
        <f>IF($A72="","",INDEX(Responses!$AH$2:$AH$1001,MATCH($A72,Responses!$AI$2:$AI$1001,0)))</f>
        <v/>
      </c>
      <c r="E72" s="36" t="n"/>
      <c r="F72" s="36" t="n"/>
    </row>
    <row r="73">
      <c r="A73" s="32">
        <f>IF(ISNUMBER(MATCH(66,Responses!$AI$2:$AI$1001,0)),66,"")</f>
        <v/>
      </c>
      <c r="B73" s="32">
        <f>IF($A73="","",INDEX(Responses!$A$2:$A$1001,MATCH($A73,Responses!$AI$2:$AI$1001,0)))</f>
        <v/>
      </c>
      <c r="C73" s="32">
        <f>IF($A73="","",INDEX(Responses!$AF$2:$AF$1001,MATCH($A73,Responses!$AI$2:$AI$1001,0)))</f>
        <v/>
      </c>
      <c r="D73" s="34">
        <f>IF($A73="","",INDEX(Responses!$AH$2:$AH$1001,MATCH($A73,Responses!$AI$2:$AI$1001,0)))</f>
        <v/>
      </c>
      <c r="E73" s="36" t="n"/>
      <c r="F73" s="36" t="n"/>
    </row>
    <row r="74">
      <c r="A74" s="32">
        <f>IF(ISNUMBER(MATCH(67,Responses!$AI$2:$AI$1001,0)),67,"")</f>
        <v/>
      </c>
      <c r="B74" s="32">
        <f>IF($A74="","",INDEX(Responses!$A$2:$A$1001,MATCH($A74,Responses!$AI$2:$AI$1001,0)))</f>
        <v/>
      </c>
      <c r="C74" s="32">
        <f>IF($A74="","",INDEX(Responses!$AF$2:$AF$1001,MATCH($A74,Responses!$AI$2:$AI$1001,0)))</f>
        <v/>
      </c>
      <c r="D74" s="34">
        <f>IF($A74="","",INDEX(Responses!$AH$2:$AH$1001,MATCH($A74,Responses!$AI$2:$AI$1001,0)))</f>
        <v/>
      </c>
      <c r="E74" s="36" t="n"/>
      <c r="F74" s="36" t="n"/>
    </row>
    <row r="75">
      <c r="A75" s="32">
        <f>IF(ISNUMBER(MATCH(68,Responses!$AI$2:$AI$1001,0)),68,"")</f>
        <v/>
      </c>
      <c r="B75" s="32">
        <f>IF($A75="","",INDEX(Responses!$A$2:$A$1001,MATCH($A75,Responses!$AI$2:$AI$1001,0)))</f>
        <v/>
      </c>
      <c r="C75" s="32">
        <f>IF($A75="","",INDEX(Responses!$AF$2:$AF$1001,MATCH($A75,Responses!$AI$2:$AI$1001,0)))</f>
        <v/>
      </c>
      <c r="D75" s="34">
        <f>IF($A75="","",INDEX(Responses!$AH$2:$AH$1001,MATCH($A75,Responses!$AI$2:$AI$1001,0)))</f>
        <v/>
      </c>
      <c r="E75" s="36" t="n"/>
      <c r="F75" s="36" t="n"/>
    </row>
    <row r="76">
      <c r="A76" s="32">
        <f>IF(ISNUMBER(MATCH(69,Responses!$AI$2:$AI$1001,0)),69,"")</f>
        <v/>
      </c>
      <c r="B76" s="32">
        <f>IF($A76="","",INDEX(Responses!$A$2:$A$1001,MATCH($A76,Responses!$AI$2:$AI$1001,0)))</f>
        <v/>
      </c>
      <c r="C76" s="32">
        <f>IF($A76="","",INDEX(Responses!$AF$2:$AF$1001,MATCH($A76,Responses!$AI$2:$AI$1001,0)))</f>
        <v/>
      </c>
      <c r="D76" s="34">
        <f>IF($A76="","",INDEX(Responses!$AH$2:$AH$1001,MATCH($A76,Responses!$AI$2:$AI$1001,0)))</f>
        <v/>
      </c>
      <c r="E76" s="36" t="n"/>
      <c r="F76" s="36" t="n"/>
    </row>
    <row r="77">
      <c r="A77" s="32">
        <f>IF(ISNUMBER(MATCH(70,Responses!$AI$2:$AI$1001,0)),70,"")</f>
        <v/>
      </c>
      <c r="B77" s="32">
        <f>IF($A77="","",INDEX(Responses!$A$2:$A$1001,MATCH($A77,Responses!$AI$2:$AI$1001,0)))</f>
        <v/>
      </c>
      <c r="C77" s="32">
        <f>IF($A77="","",INDEX(Responses!$AF$2:$AF$1001,MATCH($A77,Responses!$AI$2:$AI$1001,0)))</f>
        <v/>
      </c>
      <c r="D77" s="34">
        <f>IF($A77="","",INDEX(Responses!$AH$2:$AH$1001,MATCH($A77,Responses!$AI$2:$AI$1001,0)))</f>
        <v/>
      </c>
      <c r="E77" s="36" t="n"/>
      <c r="F77" s="36" t="n"/>
    </row>
    <row r="78">
      <c r="A78" s="32">
        <f>IF(ISNUMBER(MATCH(71,Responses!$AI$2:$AI$1001,0)),71,"")</f>
        <v/>
      </c>
      <c r="B78" s="32">
        <f>IF($A78="","",INDEX(Responses!$A$2:$A$1001,MATCH($A78,Responses!$AI$2:$AI$1001,0)))</f>
        <v/>
      </c>
      <c r="C78" s="32">
        <f>IF($A78="","",INDEX(Responses!$AF$2:$AF$1001,MATCH($A78,Responses!$AI$2:$AI$1001,0)))</f>
        <v/>
      </c>
      <c r="D78" s="34">
        <f>IF($A78="","",INDEX(Responses!$AH$2:$AH$1001,MATCH($A78,Responses!$AI$2:$AI$1001,0)))</f>
        <v/>
      </c>
      <c r="E78" s="36" t="n"/>
      <c r="F78" s="36" t="n"/>
    </row>
    <row r="79">
      <c r="A79" s="32">
        <f>IF(ISNUMBER(MATCH(72,Responses!$AI$2:$AI$1001,0)),72,"")</f>
        <v/>
      </c>
      <c r="B79" s="32">
        <f>IF($A79="","",INDEX(Responses!$A$2:$A$1001,MATCH($A79,Responses!$AI$2:$AI$1001,0)))</f>
        <v/>
      </c>
      <c r="C79" s="32">
        <f>IF($A79="","",INDEX(Responses!$AF$2:$AF$1001,MATCH($A79,Responses!$AI$2:$AI$1001,0)))</f>
        <v/>
      </c>
      <c r="D79" s="34">
        <f>IF($A79="","",INDEX(Responses!$AH$2:$AH$1001,MATCH($A79,Responses!$AI$2:$AI$1001,0)))</f>
        <v/>
      </c>
      <c r="E79" s="36" t="n"/>
      <c r="F79" s="36" t="n"/>
    </row>
    <row r="80">
      <c r="A80" s="32">
        <f>IF(ISNUMBER(MATCH(73,Responses!$AI$2:$AI$1001,0)),73,"")</f>
        <v/>
      </c>
      <c r="B80" s="32">
        <f>IF($A80="","",INDEX(Responses!$A$2:$A$1001,MATCH($A80,Responses!$AI$2:$AI$1001,0)))</f>
        <v/>
      </c>
      <c r="C80" s="32">
        <f>IF($A80="","",INDEX(Responses!$AF$2:$AF$1001,MATCH($A80,Responses!$AI$2:$AI$1001,0)))</f>
        <v/>
      </c>
      <c r="D80" s="34">
        <f>IF($A80="","",INDEX(Responses!$AH$2:$AH$1001,MATCH($A80,Responses!$AI$2:$AI$1001,0)))</f>
        <v/>
      </c>
      <c r="E80" s="36" t="n"/>
      <c r="F80" s="36" t="n"/>
    </row>
    <row r="81">
      <c r="A81" s="32">
        <f>IF(ISNUMBER(MATCH(74,Responses!$AI$2:$AI$1001,0)),74,"")</f>
        <v/>
      </c>
      <c r="B81" s="32">
        <f>IF($A81="","",INDEX(Responses!$A$2:$A$1001,MATCH($A81,Responses!$AI$2:$AI$1001,0)))</f>
        <v/>
      </c>
      <c r="C81" s="32">
        <f>IF($A81="","",INDEX(Responses!$AF$2:$AF$1001,MATCH($A81,Responses!$AI$2:$AI$1001,0)))</f>
        <v/>
      </c>
      <c r="D81" s="34">
        <f>IF($A81="","",INDEX(Responses!$AH$2:$AH$1001,MATCH($A81,Responses!$AI$2:$AI$1001,0)))</f>
        <v/>
      </c>
      <c r="E81" s="36" t="n"/>
      <c r="F81" s="36" t="n"/>
    </row>
    <row r="82">
      <c r="A82" s="32">
        <f>IF(ISNUMBER(MATCH(75,Responses!$AI$2:$AI$1001,0)),75,"")</f>
        <v/>
      </c>
      <c r="B82" s="32">
        <f>IF($A82="","",INDEX(Responses!$A$2:$A$1001,MATCH($A82,Responses!$AI$2:$AI$1001,0)))</f>
        <v/>
      </c>
      <c r="C82" s="32">
        <f>IF($A82="","",INDEX(Responses!$AF$2:$AF$1001,MATCH($A82,Responses!$AI$2:$AI$1001,0)))</f>
        <v/>
      </c>
      <c r="D82" s="34">
        <f>IF($A82="","",INDEX(Responses!$AH$2:$AH$1001,MATCH($A82,Responses!$AI$2:$AI$1001,0)))</f>
        <v/>
      </c>
      <c r="E82" s="36" t="n"/>
      <c r="F82" s="36" t="n"/>
    </row>
    <row r="83">
      <c r="A83" s="32">
        <f>IF(ISNUMBER(MATCH(76,Responses!$AI$2:$AI$1001,0)),76,"")</f>
        <v/>
      </c>
      <c r="B83" s="32">
        <f>IF($A83="","",INDEX(Responses!$A$2:$A$1001,MATCH($A83,Responses!$AI$2:$AI$1001,0)))</f>
        <v/>
      </c>
      <c r="C83" s="32">
        <f>IF($A83="","",INDEX(Responses!$AF$2:$AF$1001,MATCH($A83,Responses!$AI$2:$AI$1001,0)))</f>
        <v/>
      </c>
      <c r="D83" s="34">
        <f>IF($A83="","",INDEX(Responses!$AH$2:$AH$1001,MATCH($A83,Responses!$AI$2:$AI$1001,0)))</f>
        <v/>
      </c>
      <c r="E83" s="36" t="n"/>
      <c r="F83" s="36" t="n"/>
    </row>
    <row r="84">
      <c r="A84" s="32">
        <f>IF(ISNUMBER(MATCH(77,Responses!$AI$2:$AI$1001,0)),77,"")</f>
        <v/>
      </c>
      <c r="B84" s="32">
        <f>IF($A84="","",INDEX(Responses!$A$2:$A$1001,MATCH($A84,Responses!$AI$2:$AI$1001,0)))</f>
        <v/>
      </c>
      <c r="C84" s="32">
        <f>IF($A84="","",INDEX(Responses!$AF$2:$AF$1001,MATCH($A84,Responses!$AI$2:$AI$1001,0)))</f>
        <v/>
      </c>
      <c r="D84" s="34">
        <f>IF($A84="","",INDEX(Responses!$AH$2:$AH$1001,MATCH($A84,Responses!$AI$2:$AI$1001,0)))</f>
        <v/>
      </c>
      <c r="E84" s="36" t="n"/>
      <c r="F84" s="36" t="n"/>
    </row>
    <row r="85">
      <c r="A85" s="32">
        <f>IF(ISNUMBER(MATCH(78,Responses!$AI$2:$AI$1001,0)),78,"")</f>
        <v/>
      </c>
      <c r="B85" s="32">
        <f>IF($A85="","",INDEX(Responses!$A$2:$A$1001,MATCH($A85,Responses!$AI$2:$AI$1001,0)))</f>
        <v/>
      </c>
      <c r="C85" s="32">
        <f>IF($A85="","",INDEX(Responses!$AF$2:$AF$1001,MATCH($A85,Responses!$AI$2:$AI$1001,0)))</f>
        <v/>
      </c>
      <c r="D85" s="34">
        <f>IF($A85="","",INDEX(Responses!$AH$2:$AH$1001,MATCH($A85,Responses!$AI$2:$AI$1001,0)))</f>
        <v/>
      </c>
      <c r="E85" s="36" t="n"/>
      <c r="F85" s="36" t="n"/>
    </row>
    <row r="86">
      <c r="A86" s="32">
        <f>IF(ISNUMBER(MATCH(79,Responses!$AI$2:$AI$1001,0)),79,"")</f>
        <v/>
      </c>
      <c r="B86" s="32">
        <f>IF($A86="","",INDEX(Responses!$A$2:$A$1001,MATCH($A86,Responses!$AI$2:$AI$1001,0)))</f>
        <v/>
      </c>
      <c r="C86" s="32">
        <f>IF($A86="","",INDEX(Responses!$AF$2:$AF$1001,MATCH($A86,Responses!$AI$2:$AI$1001,0)))</f>
        <v/>
      </c>
      <c r="D86" s="34">
        <f>IF($A86="","",INDEX(Responses!$AH$2:$AH$1001,MATCH($A86,Responses!$AI$2:$AI$1001,0)))</f>
        <v/>
      </c>
      <c r="E86" s="36" t="n"/>
      <c r="F86" s="36" t="n"/>
    </row>
    <row r="87">
      <c r="A87" s="32">
        <f>IF(ISNUMBER(MATCH(80,Responses!$AI$2:$AI$1001,0)),80,"")</f>
        <v/>
      </c>
      <c r="B87" s="32">
        <f>IF($A87="","",INDEX(Responses!$A$2:$A$1001,MATCH($A87,Responses!$AI$2:$AI$1001,0)))</f>
        <v/>
      </c>
      <c r="C87" s="32">
        <f>IF($A87="","",INDEX(Responses!$AF$2:$AF$1001,MATCH($A87,Responses!$AI$2:$AI$1001,0)))</f>
        <v/>
      </c>
      <c r="D87" s="34">
        <f>IF($A87="","",INDEX(Responses!$AH$2:$AH$1001,MATCH($A87,Responses!$AI$2:$AI$1001,0)))</f>
        <v/>
      </c>
      <c r="E87" s="36" t="n"/>
      <c r="F87" s="36" t="n"/>
    </row>
    <row r="88">
      <c r="A88" s="32">
        <f>IF(ISNUMBER(MATCH(81,Responses!$AI$2:$AI$1001,0)),81,"")</f>
        <v/>
      </c>
      <c r="B88" s="32">
        <f>IF($A88="","",INDEX(Responses!$A$2:$A$1001,MATCH($A88,Responses!$AI$2:$AI$1001,0)))</f>
        <v/>
      </c>
      <c r="C88" s="32">
        <f>IF($A88="","",INDEX(Responses!$AF$2:$AF$1001,MATCH($A88,Responses!$AI$2:$AI$1001,0)))</f>
        <v/>
      </c>
      <c r="D88" s="34">
        <f>IF($A88="","",INDEX(Responses!$AH$2:$AH$1001,MATCH($A88,Responses!$AI$2:$AI$1001,0)))</f>
        <v/>
      </c>
      <c r="E88" s="36" t="n"/>
      <c r="F88" s="36" t="n"/>
    </row>
    <row r="89">
      <c r="A89" s="32">
        <f>IF(ISNUMBER(MATCH(82,Responses!$AI$2:$AI$1001,0)),82,"")</f>
        <v/>
      </c>
      <c r="B89" s="32">
        <f>IF($A89="","",INDEX(Responses!$A$2:$A$1001,MATCH($A89,Responses!$AI$2:$AI$1001,0)))</f>
        <v/>
      </c>
      <c r="C89" s="32">
        <f>IF($A89="","",INDEX(Responses!$AF$2:$AF$1001,MATCH($A89,Responses!$AI$2:$AI$1001,0)))</f>
        <v/>
      </c>
      <c r="D89" s="34">
        <f>IF($A89="","",INDEX(Responses!$AH$2:$AH$1001,MATCH($A89,Responses!$AI$2:$AI$1001,0)))</f>
        <v/>
      </c>
      <c r="E89" s="36" t="n"/>
      <c r="F89" s="36" t="n"/>
    </row>
    <row r="90">
      <c r="A90" s="32">
        <f>IF(ISNUMBER(MATCH(83,Responses!$AI$2:$AI$1001,0)),83,"")</f>
        <v/>
      </c>
      <c r="B90" s="32">
        <f>IF($A90="","",INDEX(Responses!$A$2:$A$1001,MATCH($A90,Responses!$AI$2:$AI$1001,0)))</f>
        <v/>
      </c>
      <c r="C90" s="32">
        <f>IF($A90="","",INDEX(Responses!$AF$2:$AF$1001,MATCH($A90,Responses!$AI$2:$AI$1001,0)))</f>
        <v/>
      </c>
      <c r="D90" s="34">
        <f>IF($A90="","",INDEX(Responses!$AH$2:$AH$1001,MATCH($A90,Responses!$AI$2:$AI$1001,0)))</f>
        <v/>
      </c>
      <c r="E90" s="36" t="n"/>
      <c r="F90" s="36" t="n"/>
    </row>
    <row r="91">
      <c r="A91" s="32">
        <f>IF(ISNUMBER(MATCH(84,Responses!$AI$2:$AI$1001,0)),84,"")</f>
        <v/>
      </c>
      <c r="B91" s="32">
        <f>IF($A91="","",INDEX(Responses!$A$2:$A$1001,MATCH($A91,Responses!$AI$2:$AI$1001,0)))</f>
        <v/>
      </c>
      <c r="C91" s="32">
        <f>IF($A91="","",INDEX(Responses!$AF$2:$AF$1001,MATCH($A91,Responses!$AI$2:$AI$1001,0)))</f>
        <v/>
      </c>
      <c r="D91" s="34">
        <f>IF($A91="","",INDEX(Responses!$AH$2:$AH$1001,MATCH($A91,Responses!$AI$2:$AI$1001,0)))</f>
        <v/>
      </c>
      <c r="E91" s="36" t="n"/>
      <c r="F91" s="36" t="n"/>
    </row>
    <row r="92">
      <c r="A92" s="32">
        <f>IF(ISNUMBER(MATCH(85,Responses!$AI$2:$AI$1001,0)),85,"")</f>
        <v/>
      </c>
      <c r="B92" s="32">
        <f>IF($A92="","",INDEX(Responses!$A$2:$A$1001,MATCH($A92,Responses!$AI$2:$AI$1001,0)))</f>
        <v/>
      </c>
      <c r="C92" s="32">
        <f>IF($A92="","",INDEX(Responses!$AF$2:$AF$1001,MATCH($A92,Responses!$AI$2:$AI$1001,0)))</f>
        <v/>
      </c>
      <c r="D92" s="34">
        <f>IF($A92="","",INDEX(Responses!$AH$2:$AH$1001,MATCH($A92,Responses!$AI$2:$AI$1001,0)))</f>
        <v/>
      </c>
      <c r="E92" s="36" t="n"/>
      <c r="F92" s="36" t="n"/>
    </row>
    <row r="93">
      <c r="A93" s="32">
        <f>IF(ISNUMBER(MATCH(86,Responses!$AI$2:$AI$1001,0)),86,"")</f>
        <v/>
      </c>
      <c r="B93" s="32">
        <f>IF($A93="","",INDEX(Responses!$A$2:$A$1001,MATCH($A93,Responses!$AI$2:$AI$1001,0)))</f>
        <v/>
      </c>
      <c r="C93" s="32">
        <f>IF($A93="","",INDEX(Responses!$AF$2:$AF$1001,MATCH($A93,Responses!$AI$2:$AI$1001,0)))</f>
        <v/>
      </c>
      <c r="D93" s="34">
        <f>IF($A93="","",INDEX(Responses!$AH$2:$AH$1001,MATCH($A93,Responses!$AI$2:$AI$1001,0)))</f>
        <v/>
      </c>
      <c r="E93" s="36" t="n"/>
      <c r="F93" s="36" t="n"/>
    </row>
    <row r="94">
      <c r="A94" s="32">
        <f>IF(ISNUMBER(MATCH(87,Responses!$AI$2:$AI$1001,0)),87,"")</f>
        <v/>
      </c>
      <c r="B94" s="32">
        <f>IF($A94="","",INDEX(Responses!$A$2:$A$1001,MATCH($A94,Responses!$AI$2:$AI$1001,0)))</f>
        <v/>
      </c>
      <c r="C94" s="32">
        <f>IF($A94="","",INDEX(Responses!$AF$2:$AF$1001,MATCH($A94,Responses!$AI$2:$AI$1001,0)))</f>
        <v/>
      </c>
      <c r="D94" s="34">
        <f>IF($A94="","",INDEX(Responses!$AH$2:$AH$1001,MATCH($A94,Responses!$AI$2:$AI$1001,0)))</f>
        <v/>
      </c>
      <c r="E94" s="36" t="n"/>
      <c r="F94" s="36" t="n"/>
    </row>
    <row r="95">
      <c r="A95" s="32">
        <f>IF(ISNUMBER(MATCH(88,Responses!$AI$2:$AI$1001,0)),88,"")</f>
        <v/>
      </c>
      <c r="B95" s="32">
        <f>IF($A95="","",INDEX(Responses!$A$2:$A$1001,MATCH($A95,Responses!$AI$2:$AI$1001,0)))</f>
        <v/>
      </c>
      <c r="C95" s="32">
        <f>IF($A95="","",INDEX(Responses!$AF$2:$AF$1001,MATCH($A95,Responses!$AI$2:$AI$1001,0)))</f>
        <v/>
      </c>
      <c r="D95" s="34">
        <f>IF($A95="","",INDEX(Responses!$AH$2:$AH$1001,MATCH($A95,Responses!$AI$2:$AI$1001,0)))</f>
        <v/>
      </c>
      <c r="E95" s="36" t="n"/>
      <c r="F95" s="36" t="n"/>
    </row>
    <row r="96">
      <c r="A96" s="32">
        <f>IF(ISNUMBER(MATCH(89,Responses!$AI$2:$AI$1001,0)),89,"")</f>
        <v/>
      </c>
      <c r="B96" s="32">
        <f>IF($A96="","",INDEX(Responses!$A$2:$A$1001,MATCH($A96,Responses!$AI$2:$AI$1001,0)))</f>
        <v/>
      </c>
      <c r="C96" s="32">
        <f>IF($A96="","",INDEX(Responses!$AF$2:$AF$1001,MATCH($A96,Responses!$AI$2:$AI$1001,0)))</f>
        <v/>
      </c>
      <c r="D96" s="34">
        <f>IF($A96="","",INDEX(Responses!$AH$2:$AH$1001,MATCH($A96,Responses!$AI$2:$AI$1001,0)))</f>
        <v/>
      </c>
      <c r="E96" s="36" t="n"/>
      <c r="F96" s="36" t="n"/>
    </row>
    <row r="97">
      <c r="A97" s="32">
        <f>IF(ISNUMBER(MATCH(90,Responses!$AI$2:$AI$1001,0)),90,"")</f>
        <v/>
      </c>
      <c r="B97" s="32">
        <f>IF($A97="","",INDEX(Responses!$A$2:$A$1001,MATCH($A97,Responses!$AI$2:$AI$1001,0)))</f>
        <v/>
      </c>
      <c r="C97" s="32">
        <f>IF($A97="","",INDEX(Responses!$AF$2:$AF$1001,MATCH($A97,Responses!$AI$2:$AI$1001,0)))</f>
        <v/>
      </c>
      <c r="D97" s="34">
        <f>IF($A97="","",INDEX(Responses!$AH$2:$AH$1001,MATCH($A97,Responses!$AI$2:$AI$1001,0)))</f>
        <v/>
      </c>
      <c r="E97" s="36" t="n"/>
      <c r="F97" s="36" t="n"/>
    </row>
    <row r="98">
      <c r="A98" s="32">
        <f>IF(ISNUMBER(MATCH(91,Responses!$AI$2:$AI$1001,0)),91,"")</f>
        <v/>
      </c>
      <c r="B98" s="32">
        <f>IF($A98="","",INDEX(Responses!$A$2:$A$1001,MATCH($A98,Responses!$AI$2:$AI$1001,0)))</f>
        <v/>
      </c>
      <c r="C98" s="32">
        <f>IF($A98="","",INDEX(Responses!$AF$2:$AF$1001,MATCH($A98,Responses!$AI$2:$AI$1001,0)))</f>
        <v/>
      </c>
      <c r="D98" s="34">
        <f>IF($A98="","",INDEX(Responses!$AH$2:$AH$1001,MATCH($A98,Responses!$AI$2:$AI$1001,0)))</f>
        <v/>
      </c>
      <c r="E98" s="36" t="n"/>
      <c r="F98" s="36" t="n"/>
    </row>
    <row r="99">
      <c r="A99" s="32">
        <f>IF(ISNUMBER(MATCH(92,Responses!$AI$2:$AI$1001,0)),92,"")</f>
        <v/>
      </c>
      <c r="B99" s="32">
        <f>IF($A99="","",INDEX(Responses!$A$2:$A$1001,MATCH($A99,Responses!$AI$2:$AI$1001,0)))</f>
        <v/>
      </c>
      <c r="C99" s="32">
        <f>IF($A99="","",INDEX(Responses!$AF$2:$AF$1001,MATCH($A99,Responses!$AI$2:$AI$1001,0)))</f>
        <v/>
      </c>
      <c r="D99" s="34">
        <f>IF($A99="","",INDEX(Responses!$AH$2:$AH$1001,MATCH($A99,Responses!$AI$2:$AI$1001,0)))</f>
        <v/>
      </c>
      <c r="E99" s="36" t="n"/>
      <c r="F99" s="36" t="n"/>
    </row>
    <row r="100">
      <c r="A100" s="32">
        <f>IF(ISNUMBER(MATCH(93,Responses!$AI$2:$AI$1001,0)),93,"")</f>
        <v/>
      </c>
      <c r="B100" s="32">
        <f>IF($A100="","",INDEX(Responses!$A$2:$A$1001,MATCH($A100,Responses!$AI$2:$AI$1001,0)))</f>
        <v/>
      </c>
      <c r="C100" s="32">
        <f>IF($A100="","",INDEX(Responses!$AF$2:$AF$1001,MATCH($A100,Responses!$AI$2:$AI$1001,0)))</f>
        <v/>
      </c>
      <c r="D100" s="34">
        <f>IF($A100="","",INDEX(Responses!$AH$2:$AH$1001,MATCH($A100,Responses!$AI$2:$AI$1001,0)))</f>
        <v/>
      </c>
      <c r="E100" s="36" t="n"/>
      <c r="F100" s="36" t="n"/>
    </row>
    <row r="101">
      <c r="A101" s="32">
        <f>IF(ISNUMBER(MATCH(94,Responses!$AI$2:$AI$1001,0)),94,"")</f>
        <v/>
      </c>
      <c r="B101" s="32">
        <f>IF($A101="","",INDEX(Responses!$A$2:$A$1001,MATCH($A101,Responses!$AI$2:$AI$1001,0)))</f>
        <v/>
      </c>
      <c r="C101" s="32">
        <f>IF($A101="","",INDEX(Responses!$AF$2:$AF$1001,MATCH($A101,Responses!$AI$2:$AI$1001,0)))</f>
        <v/>
      </c>
      <c r="D101" s="34">
        <f>IF($A101="","",INDEX(Responses!$AH$2:$AH$1001,MATCH($A101,Responses!$AI$2:$AI$1001,0)))</f>
        <v/>
      </c>
      <c r="E101" s="36" t="n"/>
      <c r="F101" s="36" t="n"/>
    </row>
    <row r="102">
      <c r="A102" s="32">
        <f>IF(ISNUMBER(MATCH(95,Responses!$AI$2:$AI$1001,0)),95,"")</f>
        <v/>
      </c>
      <c r="B102" s="32">
        <f>IF($A102="","",INDEX(Responses!$A$2:$A$1001,MATCH($A102,Responses!$AI$2:$AI$1001,0)))</f>
        <v/>
      </c>
      <c r="C102" s="32">
        <f>IF($A102="","",INDEX(Responses!$AF$2:$AF$1001,MATCH($A102,Responses!$AI$2:$AI$1001,0)))</f>
        <v/>
      </c>
      <c r="D102" s="34">
        <f>IF($A102="","",INDEX(Responses!$AH$2:$AH$1001,MATCH($A102,Responses!$AI$2:$AI$1001,0)))</f>
        <v/>
      </c>
      <c r="E102" s="36" t="n"/>
      <c r="F102" s="36" t="n"/>
    </row>
    <row r="103">
      <c r="A103" s="32">
        <f>IF(ISNUMBER(MATCH(96,Responses!$AI$2:$AI$1001,0)),96,"")</f>
        <v/>
      </c>
      <c r="B103" s="32">
        <f>IF($A103="","",INDEX(Responses!$A$2:$A$1001,MATCH($A103,Responses!$AI$2:$AI$1001,0)))</f>
        <v/>
      </c>
      <c r="C103" s="32">
        <f>IF($A103="","",INDEX(Responses!$AF$2:$AF$1001,MATCH($A103,Responses!$AI$2:$AI$1001,0)))</f>
        <v/>
      </c>
      <c r="D103" s="34">
        <f>IF($A103="","",INDEX(Responses!$AH$2:$AH$1001,MATCH($A103,Responses!$AI$2:$AI$1001,0)))</f>
        <v/>
      </c>
      <c r="E103" s="36" t="n"/>
      <c r="F103" s="36" t="n"/>
    </row>
    <row r="104">
      <c r="A104" s="32">
        <f>IF(ISNUMBER(MATCH(97,Responses!$AI$2:$AI$1001,0)),97,"")</f>
        <v/>
      </c>
      <c r="B104" s="32">
        <f>IF($A104="","",INDEX(Responses!$A$2:$A$1001,MATCH($A104,Responses!$AI$2:$AI$1001,0)))</f>
        <v/>
      </c>
      <c r="C104" s="32">
        <f>IF($A104="","",INDEX(Responses!$AF$2:$AF$1001,MATCH($A104,Responses!$AI$2:$AI$1001,0)))</f>
        <v/>
      </c>
      <c r="D104" s="34">
        <f>IF($A104="","",INDEX(Responses!$AH$2:$AH$1001,MATCH($A104,Responses!$AI$2:$AI$1001,0)))</f>
        <v/>
      </c>
      <c r="E104" s="36" t="n"/>
      <c r="F104" s="36" t="n"/>
    </row>
    <row r="105">
      <c r="A105" s="32">
        <f>IF(ISNUMBER(MATCH(98,Responses!$AI$2:$AI$1001,0)),98,"")</f>
        <v/>
      </c>
      <c r="B105" s="32">
        <f>IF($A105="","",INDEX(Responses!$A$2:$A$1001,MATCH($A105,Responses!$AI$2:$AI$1001,0)))</f>
        <v/>
      </c>
      <c r="C105" s="32">
        <f>IF($A105="","",INDEX(Responses!$AF$2:$AF$1001,MATCH($A105,Responses!$AI$2:$AI$1001,0)))</f>
        <v/>
      </c>
      <c r="D105" s="34">
        <f>IF($A105="","",INDEX(Responses!$AH$2:$AH$1001,MATCH($A105,Responses!$AI$2:$AI$1001,0)))</f>
        <v/>
      </c>
      <c r="E105" s="36" t="n"/>
      <c r="F105" s="36" t="n"/>
    </row>
    <row r="106">
      <c r="A106" s="32">
        <f>IF(ISNUMBER(MATCH(99,Responses!$AI$2:$AI$1001,0)),99,"")</f>
        <v/>
      </c>
      <c r="B106" s="32">
        <f>IF($A106="","",INDEX(Responses!$A$2:$A$1001,MATCH($A106,Responses!$AI$2:$AI$1001,0)))</f>
        <v/>
      </c>
      <c r="C106" s="32">
        <f>IF($A106="","",INDEX(Responses!$AF$2:$AF$1001,MATCH($A106,Responses!$AI$2:$AI$1001,0)))</f>
        <v/>
      </c>
      <c r="D106" s="34">
        <f>IF($A106="","",INDEX(Responses!$AH$2:$AH$1001,MATCH($A106,Responses!$AI$2:$AI$1001,0)))</f>
        <v/>
      </c>
      <c r="E106" s="36" t="n"/>
      <c r="F106" s="36" t="n"/>
    </row>
    <row r="107">
      <c r="A107" s="32">
        <f>IF(ISNUMBER(MATCH(100,Responses!$AI$2:$AI$1001,0)),100,"")</f>
        <v/>
      </c>
      <c r="B107" s="32">
        <f>IF($A107="","",INDEX(Responses!$A$2:$A$1001,MATCH($A107,Responses!$AI$2:$AI$1001,0)))</f>
        <v/>
      </c>
      <c r="C107" s="32">
        <f>IF($A107="","",INDEX(Responses!$AF$2:$AF$1001,MATCH($A107,Responses!$AI$2:$AI$1001,0)))</f>
        <v/>
      </c>
      <c r="D107" s="34">
        <f>IF($A107="","",INDEX(Responses!$AH$2:$AH$1001,MATCH($A107,Responses!$AI$2:$AI$1001,0)))</f>
        <v/>
      </c>
      <c r="E107" s="36" t="n"/>
      <c r="F107" s="36" t="n"/>
    </row>
    <row r="108">
      <c r="A108" s="32">
        <f>IF(ISNUMBER(MATCH(101,Responses!$AI$2:$AI$1001,0)),101,"")</f>
        <v/>
      </c>
      <c r="B108" s="32">
        <f>IF($A108="","",INDEX(Responses!$A$2:$A$1001,MATCH($A108,Responses!$AI$2:$AI$1001,0)))</f>
        <v/>
      </c>
      <c r="C108" s="32">
        <f>IF($A108="","",INDEX(Responses!$AF$2:$AF$1001,MATCH($A108,Responses!$AI$2:$AI$1001,0)))</f>
        <v/>
      </c>
      <c r="D108" s="34">
        <f>IF($A108="","",INDEX(Responses!$AH$2:$AH$1001,MATCH($A108,Responses!$AI$2:$AI$1001,0)))</f>
        <v/>
      </c>
      <c r="E108" s="36" t="n"/>
      <c r="F108" s="36" t="n"/>
    </row>
    <row r="109">
      <c r="A109" s="32">
        <f>IF(ISNUMBER(MATCH(102,Responses!$AI$2:$AI$1001,0)),102,"")</f>
        <v/>
      </c>
      <c r="B109" s="32">
        <f>IF($A109="","",INDEX(Responses!$A$2:$A$1001,MATCH($A109,Responses!$AI$2:$AI$1001,0)))</f>
        <v/>
      </c>
      <c r="C109" s="32">
        <f>IF($A109="","",INDEX(Responses!$AF$2:$AF$1001,MATCH($A109,Responses!$AI$2:$AI$1001,0)))</f>
        <v/>
      </c>
      <c r="D109" s="34">
        <f>IF($A109="","",INDEX(Responses!$AH$2:$AH$1001,MATCH($A109,Responses!$AI$2:$AI$1001,0)))</f>
        <v/>
      </c>
      <c r="E109" s="36" t="n"/>
      <c r="F109" s="36" t="n"/>
    </row>
    <row r="110">
      <c r="A110" s="32">
        <f>IF(ISNUMBER(MATCH(103,Responses!$AI$2:$AI$1001,0)),103,"")</f>
        <v/>
      </c>
      <c r="B110" s="32">
        <f>IF($A110="","",INDEX(Responses!$A$2:$A$1001,MATCH($A110,Responses!$AI$2:$AI$1001,0)))</f>
        <v/>
      </c>
      <c r="C110" s="32">
        <f>IF($A110="","",INDEX(Responses!$AF$2:$AF$1001,MATCH($A110,Responses!$AI$2:$AI$1001,0)))</f>
        <v/>
      </c>
      <c r="D110" s="34">
        <f>IF($A110="","",INDEX(Responses!$AH$2:$AH$1001,MATCH($A110,Responses!$AI$2:$AI$1001,0)))</f>
        <v/>
      </c>
      <c r="E110" s="36" t="n"/>
      <c r="F110" s="36" t="n"/>
    </row>
    <row r="111">
      <c r="A111" s="32">
        <f>IF(ISNUMBER(MATCH(104,Responses!$AI$2:$AI$1001,0)),104,"")</f>
        <v/>
      </c>
      <c r="B111" s="32">
        <f>IF($A111="","",INDEX(Responses!$A$2:$A$1001,MATCH($A111,Responses!$AI$2:$AI$1001,0)))</f>
        <v/>
      </c>
      <c r="C111" s="32">
        <f>IF($A111="","",INDEX(Responses!$AF$2:$AF$1001,MATCH($A111,Responses!$AI$2:$AI$1001,0)))</f>
        <v/>
      </c>
      <c r="D111" s="34">
        <f>IF($A111="","",INDEX(Responses!$AH$2:$AH$1001,MATCH($A111,Responses!$AI$2:$AI$1001,0)))</f>
        <v/>
      </c>
      <c r="E111" s="36" t="n"/>
      <c r="F111" s="36" t="n"/>
    </row>
    <row r="112">
      <c r="A112" s="32">
        <f>IF(ISNUMBER(MATCH(105,Responses!$AI$2:$AI$1001,0)),105,"")</f>
        <v/>
      </c>
      <c r="B112" s="32">
        <f>IF($A112="","",INDEX(Responses!$A$2:$A$1001,MATCH($A112,Responses!$AI$2:$AI$1001,0)))</f>
        <v/>
      </c>
      <c r="C112" s="32">
        <f>IF($A112="","",INDEX(Responses!$AF$2:$AF$1001,MATCH($A112,Responses!$AI$2:$AI$1001,0)))</f>
        <v/>
      </c>
      <c r="D112" s="34">
        <f>IF($A112="","",INDEX(Responses!$AH$2:$AH$1001,MATCH($A112,Responses!$AI$2:$AI$1001,0)))</f>
        <v/>
      </c>
      <c r="E112" s="36" t="n"/>
      <c r="F112" s="36" t="n"/>
    </row>
    <row r="113">
      <c r="A113" s="32">
        <f>IF(ISNUMBER(MATCH(106,Responses!$AI$2:$AI$1001,0)),106,"")</f>
        <v/>
      </c>
      <c r="B113" s="32">
        <f>IF($A113="","",INDEX(Responses!$A$2:$A$1001,MATCH($A113,Responses!$AI$2:$AI$1001,0)))</f>
        <v/>
      </c>
      <c r="C113" s="32">
        <f>IF($A113="","",INDEX(Responses!$AF$2:$AF$1001,MATCH($A113,Responses!$AI$2:$AI$1001,0)))</f>
        <v/>
      </c>
      <c r="D113" s="34">
        <f>IF($A113="","",INDEX(Responses!$AH$2:$AH$1001,MATCH($A113,Responses!$AI$2:$AI$1001,0)))</f>
        <v/>
      </c>
      <c r="E113" s="36" t="n"/>
      <c r="F113" s="36" t="n"/>
    </row>
    <row r="114">
      <c r="A114" s="32">
        <f>IF(ISNUMBER(MATCH(107,Responses!$AI$2:$AI$1001,0)),107,"")</f>
        <v/>
      </c>
      <c r="B114" s="32">
        <f>IF($A114="","",INDEX(Responses!$A$2:$A$1001,MATCH($A114,Responses!$AI$2:$AI$1001,0)))</f>
        <v/>
      </c>
      <c r="C114" s="32">
        <f>IF($A114="","",INDEX(Responses!$AF$2:$AF$1001,MATCH($A114,Responses!$AI$2:$AI$1001,0)))</f>
        <v/>
      </c>
      <c r="D114" s="34">
        <f>IF($A114="","",INDEX(Responses!$AH$2:$AH$1001,MATCH($A114,Responses!$AI$2:$AI$1001,0)))</f>
        <v/>
      </c>
      <c r="E114" s="36" t="n"/>
      <c r="F114" s="36" t="n"/>
    </row>
    <row r="115">
      <c r="A115" s="32">
        <f>IF(ISNUMBER(MATCH(108,Responses!$AI$2:$AI$1001,0)),108,"")</f>
        <v/>
      </c>
      <c r="B115" s="32">
        <f>IF($A115="","",INDEX(Responses!$A$2:$A$1001,MATCH($A115,Responses!$AI$2:$AI$1001,0)))</f>
        <v/>
      </c>
      <c r="C115" s="32">
        <f>IF($A115="","",INDEX(Responses!$AF$2:$AF$1001,MATCH($A115,Responses!$AI$2:$AI$1001,0)))</f>
        <v/>
      </c>
      <c r="D115" s="34">
        <f>IF($A115="","",INDEX(Responses!$AH$2:$AH$1001,MATCH($A115,Responses!$AI$2:$AI$1001,0)))</f>
        <v/>
      </c>
      <c r="E115" s="36" t="n"/>
      <c r="F115" s="36" t="n"/>
    </row>
    <row r="116">
      <c r="A116" s="32">
        <f>IF(ISNUMBER(MATCH(109,Responses!$AI$2:$AI$1001,0)),109,"")</f>
        <v/>
      </c>
      <c r="B116" s="32">
        <f>IF($A116="","",INDEX(Responses!$A$2:$A$1001,MATCH($A116,Responses!$AI$2:$AI$1001,0)))</f>
        <v/>
      </c>
      <c r="C116" s="32">
        <f>IF($A116="","",INDEX(Responses!$AF$2:$AF$1001,MATCH($A116,Responses!$AI$2:$AI$1001,0)))</f>
        <v/>
      </c>
      <c r="D116" s="34">
        <f>IF($A116="","",INDEX(Responses!$AH$2:$AH$1001,MATCH($A116,Responses!$AI$2:$AI$1001,0)))</f>
        <v/>
      </c>
      <c r="E116" s="36" t="n"/>
      <c r="F116" s="36" t="n"/>
    </row>
    <row r="117">
      <c r="A117" s="32">
        <f>IF(ISNUMBER(MATCH(110,Responses!$AI$2:$AI$1001,0)),110,"")</f>
        <v/>
      </c>
      <c r="B117" s="32">
        <f>IF($A117="","",INDEX(Responses!$A$2:$A$1001,MATCH($A117,Responses!$AI$2:$AI$1001,0)))</f>
        <v/>
      </c>
      <c r="C117" s="32">
        <f>IF($A117="","",INDEX(Responses!$AF$2:$AF$1001,MATCH($A117,Responses!$AI$2:$AI$1001,0)))</f>
        <v/>
      </c>
      <c r="D117" s="34">
        <f>IF($A117="","",INDEX(Responses!$AH$2:$AH$1001,MATCH($A117,Responses!$AI$2:$AI$1001,0)))</f>
        <v/>
      </c>
      <c r="E117" s="36" t="n"/>
      <c r="F117" s="36" t="n"/>
    </row>
    <row r="118">
      <c r="A118" s="32">
        <f>IF(ISNUMBER(MATCH(111,Responses!$AI$2:$AI$1001,0)),111,"")</f>
        <v/>
      </c>
      <c r="B118" s="32">
        <f>IF($A118="","",INDEX(Responses!$A$2:$A$1001,MATCH($A118,Responses!$AI$2:$AI$1001,0)))</f>
        <v/>
      </c>
      <c r="C118" s="32">
        <f>IF($A118="","",INDEX(Responses!$AF$2:$AF$1001,MATCH($A118,Responses!$AI$2:$AI$1001,0)))</f>
        <v/>
      </c>
      <c r="D118" s="34">
        <f>IF($A118="","",INDEX(Responses!$AH$2:$AH$1001,MATCH($A118,Responses!$AI$2:$AI$1001,0)))</f>
        <v/>
      </c>
      <c r="E118" s="36" t="n"/>
      <c r="F118" s="36" t="n"/>
    </row>
    <row r="119">
      <c r="A119" s="32">
        <f>IF(ISNUMBER(MATCH(112,Responses!$AI$2:$AI$1001,0)),112,"")</f>
        <v/>
      </c>
      <c r="B119" s="32">
        <f>IF($A119="","",INDEX(Responses!$A$2:$A$1001,MATCH($A119,Responses!$AI$2:$AI$1001,0)))</f>
        <v/>
      </c>
      <c r="C119" s="32">
        <f>IF($A119="","",INDEX(Responses!$AF$2:$AF$1001,MATCH($A119,Responses!$AI$2:$AI$1001,0)))</f>
        <v/>
      </c>
      <c r="D119" s="34">
        <f>IF($A119="","",INDEX(Responses!$AH$2:$AH$1001,MATCH($A119,Responses!$AI$2:$AI$1001,0)))</f>
        <v/>
      </c>
      <c r="E119" s="36" t="n"/>
      <c r="F119" s="36" t="n"/>
    </row>
    <row r="120">
      <c r="A120" s="32">
        <f>IF(ISNUMBER(MATCH(113,Responses!$AI$2:$AI$1001,0)),113,"")</f>
        <v/>
      </c>
      <c r="B120" s="32">
        <f>IF($A120="","",INDEX(Responses!$A$2:$A$1001,MATCH($A120,Responses!$AI$2:$AI$1001,0)))</f>
        <v/>
      </c>
      <c r="C120" s="32">
        <f>IF($A120="","",INDEX(Responses!$AF$2:$AF$1001,MATCH($A120,Responses!$AI$2:$AI$1001,0)))</f>
        <v/>
      </c>
      <c r="D120" s="34">
        <f>IF($A120="","",INDEX(Responses!$AH$2:$AH$1001,MATCH($A120,Responses!$AI$2:$AI$1001,0)))</f>
        <v/>
      </c>
      <c r="E120" s="36" t="n"/>
      <c r="F120" s="36" t="n"/>
    </row>
    <row r="121">
      <c r="A121" s="32">
        <f>IF(ISNUMBER(MATCH(114,Responses!$AI$2:$AI$1001,0)),114,"")</f>
        <v/>
      </c>
      <c r="B121" s="32">
        <f>IF($A121="","",INDEX(Responses!$A$2:$A$1001,MATCH($A121,Responses!$AI$2:$AI$1001,0)))</f>
        <v/>
      </c>
      <c r="C121" s="32">
        <f>IF($A121="","",INDEX(Responses!$AF$2:$AF$1001,MATCH($A121,Responses!$AI$2:$AI$1001,0)))</f>
        <v/>
      </c>
      <c r="D121" s="34">
        <f>IF($A121="","",INDEX(Responses!$AH$2:$AH$1001,MATCH($A121,Responses!$AI$2:$AI$1001,0)))</f>
        <v/>
      </c>
      <c r="E121" s="36" t="n"/>
      <c r="F121" s="36" t="n"/>
    </row>
    <row r="122">
      <c r="A122" s="32">
        <f>IF(ISNUMBER(MATCH(115,Responses!$AI$2:$AI$1001,0)),115,"")</f>
        <v/>
      </c>
      <c r="B122" s="32">
        <f>IF($A122="","",INDEX(Responses!$A$2:$A$1001,MATCH($A122,Responses!$AI$2:$AI$1001,0)))</f>
        <v/>
      </c>
      <c r="C122" s="32">
        <f>IF($A122="","",INDEX(Responses!$AF$2:$AF$1001,MATCH($A122,Responses!$AI$2:$AI$1001,0)))</f>
        <v/>
      </c>
      <c r="D122" s="34">
        <f>IF($A122="","",INDEX(Responses!$AH$2:$AH$1001,MATCH($A122,Responses!$AI$2:$AI$1001,0)))</f>
        <v/>
      </c>
      <c r="E122" s="36" t="n"/>
      <c r="F122" s="36" t="n"/>
    </row>
    <row r="123">
      <c r="A123" s="32">
        <f>IF(ISNUMBER(MATCH(116,Responses!$AI$2:$AI$1001,0)),116,"")</f>
        <v/>
      </c>
      <c r="B123" s="32">
        <f>IF($A123="","",INDEX(Responses!$A$2:$A$1001,MATCH($A123,Responses!$AI$2:$AI$1001,0)))</f>
        <v/>
      </c>
      <c r="C123" s="32">
        <f>IF($A123="","",INDEX(Responses!$AF$2:$AF$1001,MATCH($A123,Responses!$AI$2:$AI$1001,0)))</f>
        <v/>
      </c>
      <c r="D123" s="34">
        <f>IF($A123="","",INDEX(Responses!$AH$2:$AH$1001,MATCH($A123,Responses!$AI$2:$AI$1001,0)))</f>
        <v/>
      </c>
      <c r="E123" s="36" t="n"/>
      <c r="F123" s="36" t="n"/>
    </row>
    <row r="124">
      <c r="A124" s="32">
        <f>IF(ISNUMBER(MATCH(117,Responses!$AI$2:$AI$1001,0)),117,"")</f>
        <v/>
      </c>
      <c r="B124" s="32">
        <f>IF($A124="","",INDEX(Responses!$A$2:$A$1001,MATCH($A124,Responses!$AI$2:$AI$1001,0)))</f>
        <v/>
      </c>
      <c r="C124" s="32">
        <f>IF($A124="","",INDEX(Responses!$AF$2:$AF$1001,MATCH($A124,Responses!$AI$2:$AI$1001,0)))</f>
        <v/>
      </c>
      <c r="D124" s="34">
        <f>IF($A124="","",INDEX(Responses!$AH$2:$AH$1001,MATCH($A124,Responses!$AI$2:$AI$1001,0)))</f>
        <v/>
      </c>
      <c r="E124" s="36" t="n"/>
      <c r="F124" s="36" t="n"/>
    </row>
    <row r="125">
      <c r="A125" s="32">
        <f>IF(ISNUMBER(MATCH(118,Responses!$AI$2:$AI$1001,0)),118,"")</f>
        <v/>
      </c>
      <c r="B125" s="32">
        <f>IF($A125="","",INDEX(Responses!$A$2:$A$1001,MATCH($A125,Responses!$AI$2:$AI$1001,0)))</f>
        <v/>
      </c>
      <c r="C125" s="32">
        <f>IF($A125="","",INDEX(Responses!$AF$2:$AF$1001,MATCH($A125,Responses!$AI$2:$AI$1001,0)))</f>
        <v/>
      </c>
      <c r="D125" s="34">
        <f>IF($A125="","",INDEX(Responses!$AH$2:$AH$1001,MATCH($A125,Responses!$AI$2:$AI$1001,0)))</f>
        <v/>
      </c>
      <c r="E125" s="36" t="n"/>
      <c r="F125" s="36" t="n"/>
    </row>
    <row r="126">
      <c r="A126" s="32">
        <f>IF(ISNUMBER(MATCH(119,Responses!$AI$2:$AI$1001,0)),119,"")</f>
        <v/>
      </c>
      <c r="B126" s="32">
        <f>IF($A126="","",INDEX(Responses!$A$2:$A$1001,MATCH($A126,Responses!$AI$2:$AI$1001,0)))</f>
        <v/>
      </c>
      <c r="C126" s="32">
        <f>IF($A126="","",INDEX(Responses!$AF$2:$AF$1001,MATCH($A126,Responses!$AI$2:$AI$1001,0)))</f>
        <v/>
      </c>
      <c r="D126" s="34">
        <f>IF($A126="","",INDEX(Responses!$AH$2:$AH$1001,MATCH($A126,Responses!$AI$2:$AI$1001,0)))</f>
        <v/>
      </c>
      <c r="E126" s="36" t="n"/>
      <c r="F126" s="36" t="n"/>
    </row>
    <row r="127">
      <c r="A127" s="32">
        <f>IF(ISNUMBER(MATCH(120,Responses!$AI$2:$AI$1001,0)),120,"")</f>
        <v/>
      </c>
      <c r="B127" s="32">
        <f>IF($A127="","",INDEX(Responses!$A$2:$A$1001,MATCH($A127,Responses!$AI$2:$AI$1001,0)))</f>
        <v/>
      </c>
      <c r="C127" s="32">
        <f>IF($A127="","",INDEX(Responses!$AF$2:$AF$1001,MATCH($A127,Responses!$AI$2:$AI$1001,0)))</f>
        <v/>
      </c>
      <c r="D127" s="34">
        <f>IF($A127="","",INDEX(Responses!$AH$2:$AH$1001,MATCH($A127,Responses!$AI$2:$AI$1001,0)))</f>
        <v/>
      </c>
      <c r="E127" s="36" t="n"/>
      <c r="F127" s="36" t="n"/>
    </row>
    <row r="128">
      <c r="A128" s="32">
        <f>IF(ISNUMBER(MATCH(121,Responses!$AI$2:$AI$1001,0)),121,"")</f>
        <v/>
      </c>
      <c r="B128" s="32">
        <f>IF($A128="","",INDEX(Responses!$A$2:$A$1001,MATCH($A128,Responses!$AI$2:$AI$1001,0)))</f>
        <v/>
      </c>
      <c r="C128" s="32">
        <f>IF($A128="","",INDEX(Responses!$AF$2:$AF$1001,MATCH($A128,Responses!$AI$2:$AI$1001,0)))</f>
        <v/>
      </c>
      <c r="D128" s="34">
        <f>IF($A128="","",INDEX(Responses!$AH$2:$AH$1001,MATCH($A128,Responses!$AI$2:$AI$1001,0)))</f>
        <v/>
      </c>
      <c r="E128" s="36" t="n"/>
      <c r="F128" s="36" t="n"/>
    </row>
    <row r="129">
      <c r="A129" s="32">
        <f>IF(ISNUMBER(MATCH(122,Responses!$AI$2:$AI$1001,0)),122,"")</f>
        <v/>
      </c>
      <c r="B129" s="32">
        <f>IF($A129="","",INDEX(Responses!$A$2:$A$1001,MATCH($A129,Responses!$AI$2:$AI$1001,0)))</f>
        <v/>
      </c>
      <c r="C129" s="32">
        <f>IF($A129="","",INDEX(Responses!$AF$2:$AF$1001,MATCH($A129,Responses!$AI$2:$AI$1001,0)))</f>
        <v/>
      </c>
      <c r="D129" s="34">
        <f>IF($A129="","",INDEX(Responses!$AH$2:$AH$1001,MATCH($A129,Responses!$AI$2:$AI$1001,0)))</f>
        <v/>
      </c>
      <c r="E129" s="36" t="n"/>
      <c r="F129" s="36" t="n"/>
    </row>
    <row r="130">
      <c r="A130" s="32">
        <f>IF(ISNUMBER(MATCH(123,Responses!$AI$2:$AI$1001,0)),123,"")</f>
        <v/>
      </c>
      <c r="B130" s="32">
        <f>IF($A130="","",INDEX(Responses!$A$2:$A$1001,MATCH($A130,Responses!$AI$2:$AI$1001,0)))</f>
        <v/>
      </c>
      <c r="C130" s="32">
        <f>IF($A130="","",INDEX(Responses!$AF$2:$AF$1001,MATCH($A130,Responses!$AI$2:$AI$1001,0)))</f>
        <v/>
      </c>
      <c r="D130" s="34">
        <f>IF($A130="","",INDEX(Responses!$AH$2:$AH$1001,MATCH($A130,Responses!$AI$2:$AI$1001,0)))</f>
        <v/>
      </c>
      <c r="E130" s="36" t="n"/>
      <c r="F130" s="36" t="n"/>
    </row>
    <row r="131">
      <c r="A131" s="32">
        <f>IF(ISNUMBER(MATCH(124,Responses!$AI$2:$AI$1001,0)),124,"")</f>
        <v/>
      </c>
      <c r="B131" s="32">
        <f>IF($A131="","",INDEX(Responses!$A$2:$A$1001,MATCH($A131,Responses!$AI$2:$AI$1001,0)))</f>
        <v/>
      </c>
      <c r="C131" s="32">
        <f>IF($A131="","",INDEX(Responses!$AF$2:$AF$1001,MATCH($A131,Responses!$AI$2:$AI$1001,0)))</f>
        <v/>
      </c>
      <c r="D131" s="34">
        <f>IF($A131="","",INDEX(Responses!$AH$2:$AH$1001,MATCH($A131,Responses!$AI$2:$AI$1001,0)))</f>
        <v/>
      </c>
      <c r="E131" s="36" t="n"/>
      <c r="F131" s="36" t="n"/>
    </row>
    <row r="132">
      <c r="A132" s="32">
        <f>IF(ISNUMBER(MATCH(125,Responses!$AI$2:$AI$1001,0)),125,"")</f>
        <v/>
      </c>
      <c r="B132" s="32">
        <f>IF($A132="","",INDEX(Responses!$A$2:$A$1001,MATCH($A132,Responses!$AI$2:$AI$1001,0)))</f>
        <v/>
      </c>
      <c r="C132" s="32">
        <f>IF($A132="","",INDEX(Responses!$AF$2:$AF$1001,MATCH($A132,Responses!$AI$2:$AI$1001,0)))</f>
        <v/>
      </c>
      <c r="D132" s="34">
        <f>IF($A132="","",INDEX(Responses!$AH$2:$AH$1001,MATCH($A132,Responses!$AI$2:$AI$1001,0)))</f>
        <v/>
      </c>
      <c r="E132" s="36" t="n"/>
      <c r="F132" s="36" t="n"/>
    </row>
    <row r="133">
      <c r="A133" s="32">
        <f>IF(ISNUMBER(MATCH(126,Responses!$AI$2:$AI$1001,0)),126,"")</f>
        <v/>
      </c>
      <c r="B133" s="32">
        <f>IF($A133="","",INDEX(Responses!$A$2:$A$1001,MATCH($A133,Responses!$AI$2:$AI$1001,0)))</f>
        <v/>
      </c>
      <c r="C133" s="32">
        <f>IF($A133="","",INDEX(Responses!$AF$2:$AF$1001,MATCH($A133,Responses!$AI$2:$AI$1001,0)))</f>
        <v/>
      </c>
      <c r="D133" s="34">
        <f>IF($A133="","",INDEX(Responses!$AH$2:$AH$1001,MATCH($A133,Responses!$AI$2:$AI$1001,0)))</f>
        <v/>
      </c>
      <c r="E133" s="36" t="n"/>
      <c r="F133" s="36" t="n"/>
    </row>
    <row r="134">
      <c r="A134" s="32">
        <f>IF(ISNUMBER(MATCH(127,Responses!$AI$2:$AI$1001,0)),127,"")</f>
        <v/>
      </c>
      <c r="B134" s="32">
        <f>IF($A134="","",INDEX(Responses!$A$2:$A$1001,MATCH($A134,Responses!$AI$2:$AI$1001,0)))</f>
        <v/>
      </c>
      <c r="C134" s="32">
        <f>IF($A134="","",INDEX(Responses!$AF$2:$AF$1001,MATCH($A134,Responses!$AI$2:$AI$1001,0)))</f>
        <v/>
      </c>
      <c r="D134" s="34">
        <f>IF($A134="","",INDEX(Responses!$AH$2:$AH$1001,MATCH($A134,Responses!$AI$2:$AI$1001,0)))</f>
        <v/>
      </c>
      <c r="E134" s="36" t="n"/>
      <c r="F134" s="36" t="n"/>
    </row>
    <row r="135">
      <c r="A135" s="32">
        <f>IF(ISNUMBER(MATCH(128,Responses!$AI$2:$AI$1001,0)),128,"")</f>
        <v/>
      </c>
      <c r="B135" s="32">
        <f>IF($A135="","",INDEX(Responses!$A$2:$A$1001,MATCH($A135,Responses!$AI$2:$AI$1001,0)))</f>
        <v/>
      </c>
      <c r="C135" s="32">
        <f>IF($A135="","",INDEX(Responses!$AF$2:$AF$1001,MATCH($A135,Responses!$AI$2:$AI$1001,0)))</f>
        <v/>
      </c>
      <c r="D135" s="34">
        <f>IF($A135="","",INDEX(Responses!$AH$2:$AH$1001,MATCH($A135,Responses!$AI$2:$AI$1001,0)))</f>
        <v/>
      </c>
      <c r="E135" s="36" t="n"/>
      <c r="F135" s="36" t="n"/>
    </row>
    <row r="136">
      <c r="A136" s="32">
        <f>IF(ISNUMBER(MATCH(129,Responses!$AI$2:$AI$1001,0)),129,"")</f>
        <v/>
      </c>
      <c r="B136" s="32">
        <f>IF($A136="","",INDEX(Responses!$A$2:$A$1001,MATCH($A136,Responses!$AI$2:$AI$1001,0)))</f>
        <v/>
      </c>
      <c r="C136" s="32">
        <f>IF($A136="","",INDEX(Responses!$AF$2:$AF$1001,MATCH($A136,Responses!$AI$2:$AI$1001,0)))</f>
        <v/>
      </c>
      <c r="D136" s="34">
        <f>IF($A136="","",INDEX(Responses!$AH$2:$AH$1001,MATCH($A136,Responses!$AI$2:$AI$1001,0)))</f>
        <v/>
      </c>
      <c r="E136" s="36" t="n"/>
      <c r="F136" s="36" t="n"/>
    </row>
    <row r="137">
      <c r="A137" s="32">
        <f>IF(ISNUMBER(MATCH(130,Responses!$AI$2:$AI$1001,0)),130,"")</f>
        <v/>
      </c>
      <c r="B137" s="32">
        <f>IF($A137="","",INDEX(Responses!$A$2:$A$1001,MATCH($A137,Responses!$AI$2:$AI$1001,0)))</f>
        <v/>
      </c>
      <c r="C137" s="32">
        <f>IF($A137="","",INDEX(Responses!$AF$2:$AF$1001,MATCH($A137,Responses!$AI$2:$AI$1001,0)))</f>
        <v/>
      </c>
      <c r="D137" s="34">
        <f>IF($A137="","",INDEX(Responses!$AH$2:$AH$1001,MATCH($A137,Responses!$AI$2:$AI$1001,0)))</f>
        <v/>
      </c>
      <c r="E137" s="36" t="n"/>
      <c r="F137" s="36" t="n"/>
    </row>
    <row r="138">
      <c r="A138" s="32">
        <f>IF(ISNUMBER(MATCH(131,Responses!$AI$2:$AI$1001,0)),131,"")</f>
        <v/>
      </c>
      <c r="B138" s="32">
        <f>IF($A138="","",INDEX(Responses!$A$2:$A$1001,MATCH($A138,Responses!$AI$2:$AI$1001,0)))</f>
        <v/>
      </c>
      <c r="C138" s="32">
        <f>IF($A138="","",INDEX(Responses!$AF$2:$AF$1001,MATCH($A138,Responses!$AI$2:$AI$1001,0)))</f>
        <v/>
      </c>
      <c r="D138" s="34">
        <f>IF($A138="","",INDEX(Responses!$AH$2:$AH$1001,MATCH($A138,Responses!$AI$2:$AI$1001,0)))</f>
        <v/>
      </c>
      <c r="E138" s="36" t="n"/>
      <c r="F138" s="36" t="n"/>
    </row>
    <row r="139">
      <c r="A139" s="32">
        <f>IF(ISNUMBER(MATCH(132,Responses!$AI$2:$AI$1001,0)),132,"")</f>
        <v/>
      </c>
      <c r="B139" s="32">
        <f>IF($A139="","",INDEX(Responses!$A$2:$A$1001,MATCH($A139,Responses!$AI$2:$AI$1001,0)))</f>
        <v/>
      </c>
      <c r="C139" s="32">
        <f>IF($A139="","",INDEX(Responses!$AF$2:$AF$1001,MATCH($A139,Responses!$AI$2:$AI$1001,0)))</f>
        <v/>
      </c>
      <c r="D139" s="34">
        <f>IF($A139="","",INDEX(Responses!$AH$2:$AH$1001,MATCH($A139,Responses!$AI$2:$AI$1001,0)))</f>
        <v/>
      </c>
      <c r="E139" s="36" t="n"/>
      <c r="F139" s="36" t="n"/>
    </row>
    <row r="140">
      <c r="A140" s="32">
        <f>IF(ISNUMBER(MATCH(133,Responses!$AI$2:$AI$1001,0)),133,"")</f>
        <v/>
      </c>
      <c r="B140" s="32">
        <f>IF($A140="","",INDEX(Responses!$A$2:$A$1001,MATCH($A140,Responses!$AI$2:$AI$1001,0)))</f>
        <v/>
      </c>
      <c r="C140" s="32">
        <f>IF($A140="","",INDEX(Responses!$AF$2:$AF$1001,MATCH($A140,Responses!$AI$2:$AI$1001,0)))</f>
        <v/>
      </c>
      <c r="D140" s="34">
        <f>IF($A140="","",INDEX(Responses!$AH$2:$AH$1001,MATCH($A140,Responses!$AI$2:$AI$1001,0)))</f>
        <v/>
      </c>
      <c r="E140" s="36" t="n"/>
      <c r="F140" s="36" t="n"/>
    </row>
    <row r="141">
      <c r="A141" s="32">
        <f>IF(ISNUMBER(MATCH(134,Responses!$AI$2:$AI$1001,0)),134,"")</f>
        <v/>
      </c>
      <c r="B141" s="32">
        <f>IF($A141="","",INDEX(Responses!$A$2:$A$1001,MATCH($A141,Responses!$AI$2:$AI$1001,0)))</f>
        <v/>
      </c>
      <c r="C141" s="32">
        <f>IF($A141="","",INDEX(Responses!$AF$2:$AF$1001,MATCH($A141,Responses!$AI$2:$AI$1001,0)))</f>
        <v/>
      </c>
      <c r="D141" s="34">
        <f>IF($A141="","",INDEX(Responses!$AH$2:$AH$1001,MATCH($A141,Responses!$AI$2:$AI$1001,0)))</f>
        <v/>
      </c>
      <c r="E141" s="36" t="n"/>
      <c r="F141" s="36" t="n"/>
    </row>
    <row r="142">
      <c r="A142" s="32">
        <f>IF(ISNUMBER(MATCH(135,Responses!$AI$2:$AI$1001,0)),135,"")</f>
        <v/>
      </c>
      <c r="B142" s="32">
        <f>IF($A142="","",INDEX(Responses!$A$2:$A$1001,MATCH($A142,Responses!$AI$2:$AI$1001,0)))</f>
        <v/>
      </c>
      <c r="C142" s="32">
        <f>IF($A142="","",INDEX(Responses!$AF$2:$AF$1001,MATCH($A142,Responses!$AI$2:$AI$1001,0)))</f>
        <v/>
      </c>
      <c r="D142" s="34">
        <f>IF($A142="","",INDEX(Responses!$AH$2:$AH$1001,MATCH($A142,Responses!$AI$2:$AI$1001,0)))</f>
        <v/>
      </c>
      <c r="E142" s="36" t="n"/>
      <c r="F142" s="36" t="n"/>
    </row>
    <row r="143">
      <c r="A143" s="32">
        <f>IF(ISNUMBER(MATCH(136,Responses!$AI$2:$AI$1001,0)),136,"")</f>
        <v/>
      </c>
      <c r="B143" s="32">
        <f>IF($A143="","",INDEX(Responses!$A$2:$A$1001,MATCH($A143,Responses!$AI$2:$AI$1001,0)))</f>
        <v/>
      </c>
      <c r="C143" s="32">
        <f>IF($A143="","",INDEX(Responses!$AF$2:$AF$1001,MATCH($A143,Responses!$AI$2:$AI$1001,0)))</f>
        <v/>
      </c>
      <c r="D143" s="34">
        <f>IF($A143="","",INDEX(Responses!$AH$2:$AH$1001,MATCH($A143,Responses!$AI$2:$AI$1001,0)))</f>
        <v/>
      </c>
      <c r="E143" s="36" t="n"/>
      <c r="F143" s="36" t="n"/>
    </row>
    <row r="144">
      <c r="A144" s="32">
        <f>IF(ISNUMBER(MATCH(137,Responses!$AI$2:$AI$1001,0)),137,"")</f>
        <v/>
      </c>
      <c r="B144" s="32">
        <f>IF($A144="","",INDEX(Responses!$A$2:$A$1001,MATCH($A144,Responses!$AI$2:$AI$1001,0)))</f>
        <v/>
      </c>
      <c r="C144" s="32">
        <f>IF($A144="","",INDEX(Responses!$AF$2:$AF$1001,MATCH($A144,Responses!$AI$2:$AI$1001,0)))</f>
        <v/>
      </c>
      <c r="D144" s="34">
        <f>IF($A144="","",INDEX(Responses!$AH$2:$AH$1001,MATCH($A144,Responses!$AI$2:$AI$1001,0)))</f>
        <v/>
      </c>
      <c r="E144" s="36" t="n"/>
      <c r="F144" s="36" t="n"/>
    </row>
    <row r="145">
      <c r="A145" s="32">
        <f>IF(ISNUMBER(MATCH(138,Responses!$AI$2:$AI$1001,0)),138,"")</f>
        <v/>
      </c>
      <c r="B145" s="32">
        <f>IF($A145="","",INDEX(Responses!$A$2:$A$1001,MATCH($A145,Responses!$AI$2:$AI$1001,0)))</f>
        <v/>
      </c>
      <c r="C145" s="32">
        <f>IF($A145="","",INDEX(Responses!$AF$2:$AF$1001,MATCH($A145,Responses!$AI$2:$AI$1001,0)))</f>
        <v/>
      </c>
      <c r="D145" s="34">
        <f>IF($A145="","",INDEX(Responses!$AH$2:$AH$1001,MATCH($A145,Responses!$AI$2:$AI$1001,0)))</f>
        <v/>
      </c>
      <c r="E145" s="36" t="n"/>
      <c r="F145" s="36" t="n"/>
    </row>
    <row r="146">
      <c r="A146" s="32">
        <f>IF(ISNUMBER(MATCH(139,Responses!$AI$2:$AI$1001,0)),139,"")</f>
        <v/>
      </c>
      <c r="B146" s="32">
        <f>IF($A146="","",INDEX(Responses!$A$2:$A$1001,MATCH($A146,Responses!$AI$2:$AI$1001,0)))</f>
        <v/>
      </c>
      <c r="C146" s="32">
        <f>IF($A146="","",INDEX(Responses!$AF$2:$AF$1001,MATCH($A146,Responses!$AI$2:$AI$1001,0)))</f>
        <v/>
      </c>
      <c r="D146" s="34">
        <f>IF($A146="","",INDEX(Responses!$AH$2:$AH$1001,MATCH($A146,Responses!$AI$2:$AI$1001,0)))</f>
        <v/>
      </c>
      <c r="E146" s="36" t="n"/>
      <c r="F146" s="36" t="n"/>
    </row>
    <row r="147">
      <c r="A147" s="32">
        <f>IF(ISNUMBER(MATCH(140,Responses!$AI$2:$AI$1001,0)),140,"")</f>
        <v/>
      </c>
      <c r="B147" s="32">
        <f>IF($A147="","",INDEX(Responses!$A$2:$A$1001,MATCH($A147,Responses!$AI$2:$AI$1001,0)))</f>
        <v/>
      </c>
      <c r="C147" s="32">
        <f>IF($A147="","",INDEX(Responses!$AF$2:$AF$1001,MATCH($A147,Responses!$AI$2:$AI$1001,0)))</f>
        <v/>
      </c>
      <c r="D147" s="34">
        <f>IF($A147="","",INDEX(Responses!$AH$2:$AH$1001,MATCH($A147,Responses!$AI$2:$AI$1001,0)))</f>
        <v/>
      </c>
      <c r="E147" s="36" t="n"/>
      <c r="F147" s="36" t="n"/>
    </row>
    <row r="148">
      <c r="A148" s="32">
        <f>IF(ISNUMBER(MATCH(141,Responses!$AI$2:$AI$1001,0)),141,"")</f>
        <v/>
      </c>
      <c r="B148" s="32">
        <f>IF($A148="","",INDEX(Responses!$A$2:$A$1001,MATCH($A148,Responses!$AI$2:$AI$1001,0)))</f>
        <v/>
      </c>
      <c r="C148" s="32">
        <f>IF($A148="","",INDEX(Responses!$AF$2:$AF$1001,MATCH($A148,Responses!$AI$2:$AI$1001,0)))</f>
        <v/>
      </c>
      <c r="D148" s="34">
        <f>IF($A148="","",INDEX(Responses!$AH$2:$AH$1001,MATCH($A148,Responses!$AI$2:$AI$1001,0)))</f>
        <v/>
      </c>
      <c r="E148" s="36" t="n"/>
      <c r="F148" s="36" t="n"/>
    </row>
    <row r="149">
      <c r="A149" s="32">
        <f>IF(ISNUMBER(MATCH(142,Responses!$AI$2:$AI$1001,0)),142,"")</f>
        <v/>
      </c>
      <c r="B149" s="32">
        <f>IF($A149="","",INDEX(Responses!$A$2:$A$1001,MATCH($A149,Responses!$AI$2:$AI$1001,0)))</f>
        <v/>
      </c>
      <c r="C149" s="32">
        <f>IF($A149="","",INDEX(Responses!$AF$2:$AF$1001,MATCH($A149,Responses!$AI$2:$AI$1001,0)))</f>
        <v/>
      </c>
      <c r="D149" s="34">
        <f>IF($A149="","",INDEX(Responses!$AH$2:$AH$1001,MATCH($A149,Responses!$AI$2:$AI$1001,0)))</f>
        <v/>
      </c>
      <c r="E149" s="36" t="n"/>
      <c r="F149" s="36" t="n"/>
    </row>
    <row r="150">
      <c r="A150" s="32">
        <f>IF(ISNUMBER(MATCH(143,Responses!$AI$2:$AI$1001,0)),143,"")</f>
        <v/>
      </c>
      <c r="B150" s="32">
        <f>IF($A150="","",INDEX(Responses!$A$2:$A$1001,MATCH($A150,Responses!$AI$2:$AI$1001,0)))</f>
        <v/>
      </c>
      <c r="C150" s="32">
        <f>IF($A150="","",INDEX(Responses!$AF$2:$AF$1001,MATCH($A150,Responses!$AI$2:$AI$1001,0)))</f>
        <v/>
      </c>
      <c r="D150" s="34">
        <f>IF($A150="","",INDEX(Responses!$AH$2:$AH$1001,MATCH($A150,Responses!$AI$2:$AI$1001,0)))</f>
        <v/>
      </c>
      <c r="E150" s="36" t="n"/>
      <c r="F150" s="36" t="n"/>
    </row>
    <row r="151">
      <c r="A151" s="32">
        <f>IF(ISNUMBER(MATCH(144,Responses!$AI$2:$AI$1001,0)),144,"")</f>
        <v/>
      </c>
      <c r="B151" s="32">
        <f>IF($A151="","",INDEX(Responses!$A$2:$A$1001,MATCH($A151,Responses!$AI$2:$AI$1001,0)))</f>
        <v/>
      </c>
      <c r="C151" s="32">
        <f>IF($A151="","",INDEX(Responses!$AF$2:$AF$1001,MATCH($A151,Responses!$AI$2:$AI$1001,0)))</f>
        <v/>
      </c>
      <c r="D151" s="34">
        <f>IF($A151="","",INDEX(Responses!$AH$2:$AH$1001,MATCH($A151,Responses!$AI$2:$AI$1001,0)))</f>
        <v/>
      </c>
      <c r="E151" s="36" t="n"/>
      <c r="F151" s="36" t="n"/>
    </row>
    <row r="152">
      <c r="A152" s="32">
        <f>IF(ISNUMBER(MATCH(145,Responses!$AI$2:$AI$1001,0)),145,"")</f>
        <v/>
      </c>
      <c r="B152" s="32">
        <f>IF($A152="","",INDEX(Responses!$A$2:$A$1001,MATCH($A152,Responses!$AI$2:$AI$1001,0)))</f>
        <v/>
      </c>
      <c r="C152" s="32">
        <f>IF($A152="","",INDEX(Responses!$AF$2:$AF$1001,MATCH($A152,Responses!$AI$2:$AI$1001,0)))</f>
        <v/>
      </c>
      <c r="D152" s="34">
        <f>IF($A152="","",INDEX(Responses!$AH$2:$AH$1001,MATCH($A152,Responses!$AI$2:$AI$1001,0)))</f>
        <v/>
      </c>
      <c r="E152" s="36" t="n"/>
      <c r="F152" s="36" t="n"/>
    </row>
    <row r="153">
      <c r="A153" s="32">
        <f>IF(ISNUMBER(MATCH(146,Responses!$AI$2:$AI$1001,0)),146,"")</f>
        <v/>
      </c>
      <c r="B153" s="32">
        <f>IF($A153="","",INDEX(Responses!$A$2:$A$1001,MATCH($A153,Responses!$AI$2:$AI$1001,0)))</f>
        <v/>
      </c>
      <c r="C153" s="32">
        <f>IF($A153="","",INDEX(Responses!$AF$2:$AF$1001,MATCH($A153,Responses!$AI$2:$AI$1001,0)))</f>
        <v/>
      </c>
      <c r="D153" s="34">
        <f>IF($A153="","",INDEX(Responses!$AH$2:$AH$1001,MATCH($A153,Responses!$AI$2:$AI$1001,0)))</f>
        <v/>
      </c>
      <c r="E153" s="36" t="n"/>
      <c r="F153" s="36" t="n"/>
    </row>
    <row r="154">
      <c r="A154" s="32">
        <f>IF(ISNUMBER(MATCH(147,Responses!$AI$2:$AI$1001,0)),147,"")</f>
        <v/>
      </c>
      <c r="B154" s="32">
        <f>IF($A154="","",INDEX(Responses!$A$2:$A$1001,MATCH($A154,Responses!$AI$2:$AI$1001,0)))</f>
        <v/>
      </c>
      <c r="C154" s="32">
        <f>IF($A154="","",INDEX(Responses!$AF$2:$AF$1001,MATCH($A154,Responses!$AI$2:$AI$1001,0)))</f>
        <v/>
      </c>
      <c r="D154" s="34">
        <f>IF($A154="","",INDEX(Responses!$AH$2:$AH$1001,MATCH($A154,Responses!$AI$2:$AI$1001,0)))</f>
        <v/>
      </c>
      <c r="E154" s="36" t="n"/>
      <c r="F154" s="36" t="n"/>
    </row>
    <row r="155">
      <c r="A155" s="32">
        <f>IF(ISNUMBER(MATCH(148,Responses!$AI$2:$AI$1001,0)),148,"")</f>
        <v/>
      </c>
      <c r="B155" s="32">
        <f>IF($A155="","",INDEX(Responses!$A$2:$A$1001,MATCH($A155,Responses!$AI$2:$AI$1001,0)))</f>
        <v/>
      </c>
      <c r="C155" s="32">
        <f>IF($A155="","",INDEX(Responses!$AF$2:$AF$1001,MATCH($A155,Responses!$AI$2:$AI$1001,0)))</f>
        <v/>
      </c>
      <c r="D155" s="34">
        <f>IF($A155="","",INDEX(Responses!$AH$2:$AH$1001,MATCH($A155,Responses!$AI$2:$AI$1001,0)))</f>
        <v/>
      </c>
      <c r="E155" s="36" t="n"/>
      <c r="F155" s="36" t="n"/>
    </row>
    <row r="156">
      <c r="A156" s="32">
        <f>IF(ISNUMBER(MATCH(149,Responses!$AI$2:$AI$1001,0)),149,"")</f>
        <v/>
      </c>
      <c r="B156" s="32">
        <f>IF($A156="","",INDEX(Responses!$A$2:$A$1001,MATCH($A156,Responses!$AI$2:$AI$1001,0)))</f>
        <v/>
      </c>
      <c r="C156" s="32">
        <f>IF($A156="","",INDEX(Responses!$AF$2:$AF$1001,MATCH($A156,Responses!$AI$2:$AI$1001,0)))</f>
        <v/>
      </c>
      <c r="D156" s="34">
        <f>IF($A156="","",INDEX(Responses!$AH$2:$AH$1001,MATCH($A156,Responses!$AI$2:$AI$1001,0)))</f>
        <v/>
      </c>
      <c r="E156" s="36" t="n"/>
      <c r="F156" s="36" t="n"/>
    </row>
    <row r="157">
      <c r="A157" s="32">
        <f>IF(ISNUMBER(MATCH(150,Responses!$AI$2:$AI$1001,0)),150,"")</f>
        <v/>
      </c>
      <c r="B157" s="32">
        <f>IF($A157="","",INDEX(Responses!$A$2:$A$1001,MATCH($A157,Responses!$AI$2:$AI$1001,0)))</f>
        <v/>
      </c>
      <c r="C157" s="32">
        <f>IF($A157="","",INDEX(Responses!$AF$2:$AF$1001,MATCH($A157,Responses!$AI$2:$AI$1001,0)))</f>
        <v/>
      </c>
      <c r="D157" s="34">
        <f>IF($A157="","",INDEX(Responses!$AH$2:$AH$1001,MATCH($A157,Responses!$AI$2:$AI$1001,0)))</f>
        <v/>
      </c>
      <c r="E157" s="36" t="n"/>
      <c r="F157" s="36" t="n"/>
    </row>
    <row r="158">
      <c r="A158" s="32">
        <f>IF(ISNUMBER(MATCH(151,Responses!$AI$2:$AI$1001,0)),151,"")</f>
        <v/>
      </c>
      <c r="B158" s="32">
        <f>IF($A158="","",INDEX(Responses!$A$2:$A$1001,MATCH($A158,Responses!$AI$2:$AI$1001,0)))</f>
        <v/>
      </c>
      <c r="C158" s="32">
        <f>IF($A158="","",INDEX(Responses!$AF$2:$AF$1001,MATCH($A158,Responses!$AI$2:$AI$1001,0)))</f>
        <v/>
      </c>
      <c r="D158" s="34">
        <f>IF($A158="","",INDEX(Responses!$AH$2:$AH$1001,MATCH($A158,Responses!$AI$2:$AI$1001,0)))</f>
        <v/>
      </c>
      <c r="E158" s="36" t="n"/>
      <c r="F158" s="36" t="n"/>
    </row>
    <row r="159">
      <c r="A159" s="32">
        <f>IF(ISNUMBER(MATCH(152,Responses!$AI$2:$AI$1001,0)),152,"")</f>
        <v/>
      </c>
      <c r="B159" s="32">
        <f>IF($A159="","",INDEX(Responses!$A$2:$A$1001,MATCH($A159,Responses!$AI$2:$AI$1001,0)))</f>
        <v/>
      </c>
      <c r="C159" s="32">
        <f>IF($A159="","",INDEX(Responses!$AF$2:$AF$1001,MATCH($A159,Responses!$AI$2:$AI$1001,0)))</f>
        <v/>
      </c>
      <c r="D159" s="34">
        <f>IF($A159="","",INDEX(Responses!$AH$2:$AH$1001,MATCH($A159,Responses!$AI$2:$AI$1001,0)))</f>
        <v/>
      </c>
      <c r="E159" s="36" t="n"/>
      <c r="F159" s="36" t="n"/>
    </row>
    <row r="160">
      <c r="A160" s="32">
        <f>IF(ISNUMBER(MATCH(153,Responses!$AI$2:$AI$1001,0)),153,"")</f>
        <v/>
      </c>
      <c r="B160" s="32">
        <f>IF($A160="","",INDEX(Responses!$A$2:$A$1001,MATCH($A160,Responses!$AI$2:$AI$1001,0)))</f>
        <v/>
      </c>
      <c r="C160" s="32">
        <f>IF($A160="","",INDEX(Responses!$AF$2:$AF$1001,MATCH($A160,Responses!$AI$2:$AI$1001,0)))</f>
        <v/>
      </c>
      <c r="D160" s="34">
        <f>IF($A160="","",INDEX(Responses!$AH$2:$AH$1001,MATCH($A160,Responses!$AI$2:$AI$1001,0)))</f>
        <v/>
      </c>
      <c r="E160" s="36" t="n"/>
      <c r="F160" s="36" t="n"/>
    </row>
    <row r="161">
      <c r="A161" s="32">
        <f>IF(ISNUMBER(MATCH(154,Responses!$AI$2:$AI$1001,0)),154,"")</f>
        <v/>
      </c>
      <c r="B161" s="32">
        <f>IF($A161="","",INDEX(Responses!$A$2:$A$1001,MATCH($A161,Responses!$AI$2:$AI$1001,0)))</f>
        <v/>
      </c>
      <c r="C161" s="32">
        <f>IF($A161="","",INDEX(Responses!$AF$2:$AF$1001,MATCH($A161,Responses!$AI$2:$AI$1001,0)))</f>
        <v/>
      </c>
      <c r="D161" s="34">
        <f>IF($A161="","",INDEX(Responses!$AH$2:$AH$1001,MATCH($A161,Responses!$AI$2:$AI$1001,0)))</f>
        <v/>
      </c>
      <c r="E161" s="36" t="n"/>
      <c r="F161" s="36" t="n"/>
    </row>
    <row r="162">
      <c r="A162" s="32">
        <f>IF(ISNUMBER(MATCH(155,Responses!$AI$2:$AI$1001,0)),155,"")</f>
        <v/>
      </c>
      <c r="B162" s="32">
        <f>IF($A162="","",INDEX(Responses!$A$2:$A$1001,MATCH($A162,Responses!$AI$2:$AI$1001,0)))</f>
        <v/>
      </c>
      <c r="C162" s="32">
        <f>IF($A162="","",INDEX(Responses!$AF$2:$AF$1001,MATCH($A162,Responses!$AI$2:$AI$1001,0)))</f>
        <v/>
      </c>
      <c r="D162" s="34">
        <f>IF($A162="","",INDEX(Responses!$AH$2:$AH$1001,MATCH($A162,Responses!$AI$2:$AI$1001,0)))</f>
        <v/>
      </c>
      <c r="E162" s="36" t="n"/>
      <c r="F162" s="36" t="n"/>
    </row>
    <row r="163">
      <c r="A163" s="32">
        <f>IF(ISNUMBER(MATCH(156,Responses!$AI$2:$AI$1001,0)),156,"")</f>
        <v/>
      </c>
      <c r="B163" s="32">
        <f>IF($A163="","",INDEX(Responses!$A$2:$A$1001,MATCH($A163,Responses!$AI$2:$AI$1001,0)))</f>
        <v/>
      </c>
      <c r="C163" s="32">
        <f>IF($A163="","",INDEX(Responses!$AF$2:$AF$1001,MATCH($A163,Responses!$AI$2:$AI$1001,0)))</f>
        <v/>
      </c>
      <c r="D163" s="34">
        <f>IF($A163="","",INDEX(Responses!$AH$2:$AH$1001,MATCH($A163,Responses!$AI$2:$AI$1001,0)))</f>
        <v/>
      </c>
      <c r="E163" s="36" t="n"/>
      <c r="F163" s="36" t="n"/>
    </row>
    <row r="164">
      <c r="A164" s="32">
        <f>IF(ISNUMBER(MATCH(157,Responses!$AI$2:$AI$1001,0)),157,"")</f>
        <v/>
      </c>
      <c r="B164" s="32">
        <f>IF($A164="","",INDEX(Responses!$A$2:$A$1001,MATCH($A164,Responses!$AI$2:$AI$1001,0)))</f>
        <v/>
      </c>
      <c r="C164" s="32">
        <f>IF($A164="","",INDEX(Responses!$AF$2:$AF$1001,MATCH($A164,Responses!$AI$2:$AI$1001,0)))</f>
        <v/>
      </c>
      <c r="D164" s="34">
        <f>IF($A164="","",INDEX(Responses!$AH$2:$AH$1001,MATCH($A164,Responses!$AI$2:$AI$1001,0)))</f>
        <v/>
      </c>
      <c r="E164" s="36" t="n"/>
      <c r="F164" s="36" t="n"/>
    </row>
    <row r="165">
      <c r="A165" s="32">
        <f>IF(ISNUMBER(MATCH(158,Responses!$AI$2:$AI$1001,0)),158,"")</f>
        <v/>
      </c>
      <c r="B165" s="32">
        <f>IF($A165="","",INDEX(Responses!$A$2:$A$1001,MATCH($A165,Responses!$AI$2:$AI$1001,0)))</f>
        <v/>
      </c>
      <c r="C165" s="32">
        <f>IF($A165="","",INDEX(Responses!$AF$2:$AF$1001,MATCH($A165,Responses!$AI$2:$AI$1001,0)))</f>
        <v/>
      </c>
      <c r="D165" s="34">
        <f>IF($A165="","",INDEX(Responses!$AH$2:$AH$1001,MATCH($A165,Responses!$AI$2:$AI$1001,0)))</f>
        <v/>
      </c>
      <c r="E165" s="36" t="n"/>
      <c r="F165" s="36" t="n"/>
    </row>
    <row r="166">
      <c r="A166" s="32">
        <f>IF(ISNUMBER(MATCH(159,Responses!$AI$2:$AI$1001,0)),159,"")</f>
        <v/>
      </c>
      <c r="B166" s="32">
        <f>IF($A166="","",INDEX(Responses!$A$2:$A$1001,MATCH($A166,Responses!$AI$2:$AI$1001,0)))</f>
        <v/>
      </c>
      <c r="C166" s="32">
        <f>IF($A166="","",INDEX(Responses!$AF$2:$AF$1001,MATCH($A166,Responses!$AI$2:$AI$1001,0)))</f>
        <v/>
      </c>
      <c r="D166" s="34">
        <f>IF($A166="","",INDEX(Responses!$AH$2:$AH$1001,MATCH($A166,Responses!$AI$2:$AI$1001,0)))</f>
        <v/>
      </c>
      <c r="E166" s="36" t="n"/>
      <c r="F166" s="36" t="n"/>
    </row>
    <row r="167">
      <c r="A167" s="32">
        <f>IF(ISNUMBER(MATCH(160,Responses!$AI$2:$AI$1001,0)),160,"")</f>
        <v/>
      </c>
      <c r="B167" s="32">
        <f>IF($A167="","",INDEX(Responses!$A$2:$A$1001,MATCH($A167,Responses!$AI$2:$AI$1001,0)))</f>
        <v/>
      </c>
      <c r="C167" s="32">
        <f>IF($A167="","",INDEX(Responses!$AF$2:$AF$1001,MATCH($A167,Responses!$AI$2:$AI$1001,0)))</f>
        <v/>
      </c>
      <c r="D167" s="34">
        <f>IF($A167="","",INDEX(Responses!$AH$2:$AH$1001,MATCH($A167,Responses!$AI$2:$AI$1001,0)))</f>
        <v/>
      </c>
      <c r="E167" s="36" t="n"/>
      <c r="F167" s="36" t="n"/>
    </row>
    <row r="168">
      <c r="A168" s="32">
        <f>IF(ISNUMBER(MATCH(161,Responses!$AI$2:$AI$1001,0)),161,"")</f>
        <v/>
      </c>
      <c r="B168" s="32">
        <f>IF($A168="","",INDEX(Responses!$A$2:$A$1001,MATCH($A168,Responses!$AI$2:$AI$1001,0)))</f>
        <v/>
      </c>
      <c r="C168" s="32">
        <f>IF($A168="","",INDEX(Responses!$AF$2:$AF$1001,MATCH($A168,Responses!$AI$2:$AI$1001,0)))</f>
        <v/>
      </c>
      <c r="D168" s="34">
        <f>IF($A168="","",INDEX(Responses!$AH$2:$AH$1001,MATCH($A168,Responses!$AI$2:$AI$1001,0)))</f>
        <v/>
      </c>
      <c r="E168" s="36" t="n"/>
      <c r="F168" s="36" t="n"/>
    </row>
    <row r="169">
      <c r="A169" s="32">
        <f>IF(ISNUMBER(MATCH(162,Responses!$AI$2:$AI$1001,0)),162,"")</f>
        <v/>
      </c>
      <c r="B169" s="32">
        <f>IF($A169="","",INDEX(Responses!$A$2:$A$1001,MATCH($A169,Responses!$AI$2:$AI$1001,0)))</f>
        <v/>
      </c>
      <c r="C169" s="32">
        <f>IF($A169="","",INDEX(Responses!$AF$2:$AF$1001,MATCH($A169,Responses!$AI$2:$AI$1001,0)))</f>
        <v/>
      </c>
      <c r="D169" s="34">
        <f>IF($A169="","",INDEX(Responses!$AH$2:$AH$1001,MATCH($A169,Responses!$AI$2:$AI$1001,0)))</f>
        <v/>
      </c>
      <c r="E169" s="36" t="n"/>
      <c r="F169" s="36" t="n"/>
    </row>
    <row r="170">
      <c r="A170" s="32">
        <f>IF(ISNUMBER(MATCH(163,Responses!$AI$2:$AI$1001,0)),163,"")</f>
        <v/>
      </c>
      <c r="B170" s="32">
        <f>IF($A170="","",INDEX(Responses!$A$2:$A$1001,MATCH($A170,Responses!$AI$2:$AI$1001,0)))</f>
        <v/>
      </c>
      <c r="C170" s="32">
        <f>IF($A170="","",INDEX(Responses!$AF$2:$AF$1001,MATCH($A170,Responses!$AI$2:$AI$1001,0)))</f>
        <v/>
      </c>
      <c r="D170" s="34">
        <f>IF($A170="","",INDEX(Responses!$AH$2:$AH$1001,MATCH($A170,Responses!$AI$2:$AI$1001,0)))</f>
        <v/>
      </c>
      <c r="E170" s="36" t="n"/>
      <c r="F170" s="36" t="n"/>
    </row>
    <row r="171">
      <c r="A171" s="32">
        <f>IF(ISNUMBER(MATCH(164,Responses!$AI$2:$AI$1001,0)),164,"")</f>
        <v/>
      </c>
      <c r="B171" s="32">
        <f>IF($A171="","",INDEX(Responses!$A$2:$A$1001,MATCH($A171,Responses!$AI$2:$AI$1001,0)))</f>
        <v/>
      </c>
      <c r="C171" s="32">
        <f>IF($A171="","",INDEX(Responses!$AF$2:$AF$1001,MATCH($A171,Responses!$AI$2:$AI$1001,0)))</f>
        <v/>
      </c>
      <c r="D171" s="34">
        <f>IF($A171="","",INDEX(Responses!$AH$2:$AH$1001,MATCH($A171,Responses!$AI$2:$AI$1001,0)))</f>
        <v/>
      </c>
      <c r="E171" s="36" t="n"/>
      <c r="F171" s="36" t="n"/>
    </row>
    <row r="172">
      <c r="A172" s="32">
        <f>IF(ISNUMBER(MATCH(165,Responses!$AI$2:$AI$1001,0)),165,"")</f>
        <v/>
      </c>
      <c r="B172" s="32">
        <f>IF($A172="","",INDEX(Responses!$A$2:$A$1001,MATCH($A172,Responses!$AI$2:$AI$1001,0)))</f>
        <v/>
      </c>
      <c r="C172" s="32">
        <f>IF($A172="","",INDEX(Responses!$AF$2:$AF$1001,MATCH($A172,Responses!$AI$2:$AI$1001,0)))</f>
        <v/>
      </c>
      <c r="D172" s="34">
        <f>IF($A172="","",INDEX(Responses!$AH$2:$AH$1001,MATCH($A172,Responses!$AI$2:$AI$1001,0)))</f>
        <v/>
      </c>
      <c r="E172" s="36" t="n"/>
      <c r="F172" s="36" t="n"/>
    </row>
    <row r="173">
      <c r="A173" s="32">
        <f>IF(ISNUMBER(MATCH(166,Responses!$AI$2:$AI$1001,0)),166,"")</f>
        <v/>
      </c>
      <c r="B173" s="32">
        <f>IF($A173="","",INDEX(Responses!$A$2:$A$1001,MATCH($A173,Responses!$AI$2:$AI$1001,0)))</f>
        <v/>
      </c>
      <c r="C173" s="32">
        <f>IF($A173="","",INDEX(Responses!$AF$2:$AF$1001,MATCH($A173,Responses!$AI$2:$AI$1001,0)))</f>
        <v/>
      </c>
      <c r="D173" s="34">
        <f>IF($A173="","",INDEX(Responses!$AH$2:$AH$1001,MATCH($A173,Responses!$AI$2:$AI$1001,0)))</f>
        <v/>
      </c>
      <c r="E173" s="36" t="n"/>
      <c r="F173" s="36" t="n"/>
    </row>
    <row r="174">
      <c r="A174" s="32">
        <f>IF(ISNUMBER(MATCH(167,Responses!$AI$2:$AI$1001,0)),167,"")</f>
        <v/>
      </c>
      <c r="B174" s="32">
        <f>IF($A174="","",INDEX(Responses!$A$2:$A$1001,MATCH($A174,Responses!$AI$2:$AI$1001,0)))</f>
        <v/>
      </c>
      <c r="C174" s="32">
        <f>IF($A174="","",INDEX(Responses!$AF$2:$AF$1001,MATCH($A174,Responses!$AI$2:$AI$1001,0)))</f>
        <v/>
      </c>
      <c r="D174" s="34">
        <f>IF($A174="","",INDEX(Responses!$AH$2:$AH$1001,MATCH($A174,Responses!$AI$2:$AI$1001,0)))</f>
        <v/>
      </c>
      <c r="E174" s="36" t="n"/>
      <c r="F174" s="36" t="n"/>
    </row>
    <row r="175">
      <c r="A175" s="32">
        <f>IF(ISNUMBER(MATCH(168,Responses!$AI$2:$AI$1001,0)),168,"")</f>
        <v/>
      </c>
      <c r="B175" s="32">
        <f>IF($A175="","",INDEX(Responses!$A$2:$A$1001,MATCH($A175,Responses!$AI$2:$AI$1001,0)))</f>
        <v/>
      </c>
      <c r="C175" s="32">
        <f>IF($A175="","",INDEX(Responses!$AF$2:$AF$1001,MATCH($A175,Responses!$AI$2:$AI$1001,0)))</f>
        <v/>
      </c>
      <c r="D175" s="34">
        <f>IF($A175="","",INDEX(Responses!$AH$2:$AH$1001,MATCH($A175,Responses!$AI$2:$AI$1001,0)))</f>
        <v/>
      </c>
      <c r="E175" s="36" t="n"/>
      <c r="F175" s="36" t="n"/>
    </row>
    <row r="176">
      <c r="A176" s="32">
        <f>IF(ISNUMBER(MATCH(169,Responses!$AI$2:$AI$1001,0)),169,"")</f>
        <v/>
      </c>
      <c r="B176" s="32">
        <f>IF($A176="","",INDEX(Responses!$A$2:$A$1001,MATCH($A176,Responses!$AI$2:$AI$1001,0)))</f>
        <v/>
      </c>
      <c r="C176" s="32">
        <f>IF($A176="","",INDEX(Responses!$AF$2:$AF$1001,MATCH($A176,Responses!$AI$2:$AI$1001,0)))</f>
        <v/>
      </c>
      <c r="D176" s="34">
        <f>IF($A176="","",INDEX(Responses!$AH$2:$AH$1001,MATCH($A176,Responses!$AI$2:$AI$1001,0)))</f>
        <v/>
      </c>
      <c r="E176" s="36" t="n"/>
      <c r="F176" s="36" t="n"/>
    </row>
    <row r="177">
      <c r="A177" s="32">
        <f>IF(ISNUMBER(MATCH(170,Responses!$AI$2:$AI$1001,0)),170,"")</f>
        <v/>
      </c>
      <c r="B177" s="32">
        <f>IF($A177="","",INDEX(Responses!$A$2:$A$1001,MATCH($A177,Responses!$AI$2:$AI$1001,0)))</f>
        <v/>
      </c>
      <c r="C177" s="32">
        <f>IF($A177="","",INDEX(Responses!$AF$2:$AF$1001,MATCH($A177,Responses!$AI$2:$AI$1001,0)))</f>
        <v/>
      </c>
      <c r="D177" s="34">
        <f>IF($A177="","",INDEX(Responses!$AH$2:$AH$1001,MATCH($A177,Responses!$AI$2:$AI$1001,0)))</f>
        <v/>
      </c>
      <c r="E177" s="36" t="n"/>
      <c r="F177" s="36" t="n"/>
    </row>
    <row r="178">
      <c r="A178" s="32">
        <f>IF(ISNUMBER(MATCH(171,Responses!$AI$2:$AI$1001,0)),171,"")</f>
        <v/>
      </c>
      <c r="B178" s="32">
        <f>IF($A178="","",INDEX(Responses!$A$2:$A$1001,MATCH($A178,Responses!$AI$2:$AI$1001,0)))</f>
        <v/>
      </c>
      <c r="C178" s="32">
        <f>IF($A178="","",INDEX(Responses!$AF$2:$AF$1001,MATCH($A178,Responses!$AI$2:$AI$1001,0)))</f>
        <v/>
      </c>
      <c r="D178" s="34">
        <f>IF($A178="","",INDEX(Responses!$AH$2:$AH$1001,MATCH($A178,Responses!$AI$2:$AI$1001,0)))</f>
        <v/>
      </c>
      <c r="E178" s="36" t="n"/>
      <c r="F178" s="36" t="n"/>
    </row>
    <row r="179">
      <c r="A179" s="32">
        <f>IF(ISNUMBER(MATCH(172,Responses!$AI$2:$AI$1001,0)),172,"")</f>
        <v/>
      </c>
      <c r="B179" s="32">
        <f>IF($A179="","",INDEX(Responses!$A$2:$A$1001,MATCH($A179,Responses!$AI$2:$AI$1001,0)))</f>
        <v/>
      </c>
      <c r="C179" s="32">
        <f>IF($A179="","",INDEX(Responses!$AF$2:$AF$1001,MATCH($A179,Responses!$AI$2:$AI$1001,0)))</f>
        <v/>
      </c>
      <c r="D179" s="34">
        <f>IF($A179="","",INDEX(Responses!$AH$2:$AH$1001,MATCH($A179,Responses!$AI$2:$AI$1001,0)))</f>
        <v/>
      </c>
      <c r="E179" s="36" t="n"/>
      <c r="F179" s="36" t="n"/>
    </row>
    <row r="180">
      <c r="A180" s="32">
        <f>IF(ISNUMBER(MATCH(173,Responses!$AI$2:$AI$1001,0)),173,"")</f>
        <v/>
      </c>
      <c r="B180" s="32">
        <f>IF($A180="","",INDEX(Responses!$A$2:$A$1001,MATCH($A180,Responses!$AI$2:$AI$1001,0)))</f>
        <v/>
      </c>
      <c r="C180" s="32">
        <f>IF($A180="","",INDEX(Responses!$AF$2:$AF$1001,MATCH($A180,Responses!$AI$2:$AI$1001,0)))</f>
        <v/>
      </c>
      <c r="D180" s="34">
        <f>IF($A180="","",INDEX(Responses!$AH$2:$AH$1001,MATCH($A180,Responses!$AI$2:$AI$1001,0)))</f>
        <v/>
      </c>
      <c r="E180" s="36" t="n"/>
      <c r="F180" s="36" t="n"/>
    </row>
    <row r="181">
      <c r="A181" s="32">
        <f>IF(ISNUMBER(MATCH(174,Responses!$AI$2:$AI$1001,0)),174,"")</f>
        <v/>
      </c>
      <c r="B181" s="32">
        <f>IF($A181="","",INDEX(Responses!$A$2:$A$1001,MATCH($A181,Responses!$AI$2:$AI$1001,0)))</f>
        <v/>
      </c>
      <c r="C181" s="32">
        <f>IF($A181="","",INDEX(Responses!$AF$2:$AF$1001,MATCH($A181,Responses!$AI$2:$AI$1001,0)))</f>
        <v/>
      </c>
      <c r="D181" s="34">
        <f>IF($A181="","",INDEX(Responses!$AH$2:$AH$1001,MATCH($A181,Responses!$AI$2:$AI$1001,0)))</f>
        <v/>
      </c>
      <c r="E181" s="36" t="n"/>
      <c r="F181" s="36" t="n"/>
    </row>
    <row r="182">
      <c r="A182" s="32">
        <f>IF(ISNUMBER(MATCH(175,Responses!$AI$2:$AI$1001,0)),175,"")</f>
        <v/>
      </c>
      <c r="B182" s="32">
        <f>IF($A182="","",INDEX(Responses!$A$2:$A$1001,MATCH($A182,Responses!$AI$2:$AI$1001,0)))</f>
        <v/>
      </c>
      <c r="C182" s="32">
        <f>IF($A182="","",INDEX(Responses!$AF$2:$AF$1001,MATCH($A182,Responses!$AI$2:$AI$1001,0)))</f>
        <v/>
      </c>
      <c r="D182" s="34">
        <f>IF($A182="","",INDEX(Responses!$AH$2:$AH$1001,MATCH($A182,Responses!$AI$2:$AI$1001,0)))</f>
        <v/>
      </c>
      <c r="E182" s="36" t="n"/>
      <c r="F182" s="36" t="n"/>
    </row>
    <row r="183">
      <c r="A183" s="32">
        <f>IF(ISNUMBER(MATCH(176,Responses!$AI$2:$AI$1001,0)),176,"")</f>
        <v/>
      </c>
      <c r="B183" s="32">
        <f>IF($A183="","",INDEX(Responses!$A$2:$A$1001,MATCH($A183,Responses!$AI$2:$AI$1001,0)))</f>
        <v/>
      </c>
      <c r="C183" s="32">
        <f>IF($A183="","",INDEX(Responses!$AF$2:$AF$1001,MATCH($A183,Responses!$AI$2:$AI$1001,0)))</f>
        <v/>
      </c>
      <c r="D183" s="34">
        <f>IF($A183="","",INDEX(Responses!$AH$2:$AH$1001,MATCH($A183,Responses!$AI$2:$AI$1001,0)))</f>
        <v/>
      </c>
      <c r="E183" s="36" t="n"/>
      <c r="F183" s="36" t="n"/>
    </row>
    <row r="184">
      <c r="A184" s="32">
        <f>IF(ISNUMBER(MATCH(177,Responses!$AI$2:$AI$1001,0)),177,"")</f>
        <v/>
      </c>
      <c r="B184" s="32">
        <f>IF($A184="","",INDEX(Responses!$A$2:$A$1001,MATCH($A184,Responses!$AI$2:$AI$1001,0)))</f>
        <v/>
      </c>
      <c r="C184" s="32">
        <f>IF($A184="","",INDEX(Responses!$AF$2:$AF$1001,MATCH($A184,Responses!$AI$2:$AI$1001,0)))</f>
        <v/>
      </c>
      <c r="D184" s="34">
        <f>IF($A184="","",INDEX(Responses!$AH$2:$AH$1001,MATCH($A184,Responses!$AI$2:$AI$1001,0)))</f>
        <v/>
      </c>
      <c r="E184" s="36" t="n"/>
      <c r="F184" s="36" t="n"/>
    </row>
    <row r="185">
      <c r="A185" s="32">
        <f>IF(ISNUMBER(MATCH(178,Responses!$AI$2:$AI$1001,0)),178,"")</f>
        <v/>
      </c>
      <c r="B185" s="32">
        <f>IF($A185="","",INDEX(Responses!$A$2:$A$1001,MATCH($A185,Responses!$AI$2:$AI$1001,0)))</f>
        <v/>
      </c>
      <c r="C185" s="32">
        <f>IF($A185="","",INDEX(Responses!$AF$2:$AF$1001,MATCH($A185,Responses!$AI$2:$AI$1001,0)))</f>
        <v/>
      </c>
      <c r="D185" s="34">
        <f>IF($A185="","",INDEX(Responses!$AH$2:$AH$1001,MATCH($A185,Responses!$AI$2:$AI$1001,0)))</f>
        <v/>
      </c>
      <c r="E185" s="36" t="n"/>
      <c r="F185" s="36" t="n"/>
    </row>
    <row r="186">
      <c r="A186" s="32">
        <f>IF(ISNUMBER(MATCH(179,Responses!$AI$2:$AI$1001,0)),179,"")</f>
        <v/>
      </c>
      <c r="B186" s="32">
        <f>IF($A186="","",INDEX(Responses!$A$2:$A$1001,MATCH($A186,Responses!$AI$2:$AI$1001,0)))</f>
        <v/>
      </c>
      <c r="C186" s="32">
        <f>IF($A186="","",INDEX(Responses!$AF$2:$AF$1001,MATCH($A186,Responses!$AI$2:$AI$1001,0)))</f>
        <v/>
      </c>
      <c r="D186" s="34">
        <f>IF($A186="","",INDEX(Responses!$AH$2:$AH$1001,MATCH($A186,Responses!$AI$2:$AI$1001,0)))</f>
        <v/>
      </c>
      <c r="E186" s="36" t="n"/>
      <c r="F186" s="36" t="n"/>
    </row>
    <row r="187">
      <c r="A187" s="32">
        <f>IF(ISNUMBER(MATCH(180,Responses!$AI$2:$AI$1001,0)),180,"")</f>
        <v/>
      </c>
      <c r="B187" s="32">
        <f>IF($A187="","",INDEX(Responses!$A$2:$A$1001,MATCH($A187,Responses!$AI$2:$AI$1001,0)))</f>
        <v/>
      </c>
      <c r="C187" s="32">
        <f>IF($A187="","",INDEX(Responses!$AF$2:$AF$1001,MATCH($A187,Responses!$AI$2:$AI$1001,0)))</f>
        <v/>
      </c>
      <c r="D187" s="34">
        <f>IF($A187="","",INDEX(Responses!$AH$2:$AH$1001,MATCH($A187,Responses!$AI$2:$AI$1001,0)))</f>
        <v/>
      </c>
      <c r="E187" s="36" t="n"/>
      <c r="F187" s="36" t="n"/>
    </row>
    <row r="188">
      <c r="A188" s="32">
        <f>IF(ISNUMBER(MATCH(181,Responses!$AI$2:$AI$1001,0)),181,"")</f>
        <v/>
      </c>
      <c r="B188" s="32">
        <f>IF($A188="","",INDEX(Responses!$A$2:$A$1001,MATCH($A188,Responses!$AI$2:$AI$1001,0)))</f>
        <v/>
      </c>
      <c r="C188" s="32">
        <f>IF($A188="","",INDEX(Responses!$AF$2:$AF$1001,MATCH($A188,Responses!$AI$2:$AI$1001,0)))</f>
        <v/>
      </c>
      <c r="D188" s="34">
        <f>IF($A188="","",INDEX(Responses!$AH$2:$AH$1001,MATCH($A188,Responses!$AI$2:$AI$1001,0)))</f>
        <v/>
      </c>
      <c r="E188" s="36" t="n"/>
      <c r="F188" s="36" t="n"/>
    </row>
    <row r="189">
      <c r="A189" s="32">
        <f>IF(ISNUMBER(MATCH(182,Responses!$AI$2:$AI$1001,0)),182,"")</f>
        <v/>
      </c>
      <c r="B189" s="32">
        <f>IF($A189="","",INDEX(Responses!$A$2:$A$1001,MATCH($A189,Responses!$AI$2:$AI$1001,0)))</f>
        <v/>
      </c>
      <c r="C189" s="32">
        <f>IF($A189="","",INDEX(Responses!$AF$2:$AF$1001,MATCH($A189,Responses!$AI$2:$AI$1001,0)))</f>
        <v/>
      </c>
      <c r="D189" s="34">
        <f>IF($A189="","",INDEX(Responses!$AH$2:$AH$1001,MATCH($A189,Responses!$AI$2:$AI$1001,0)))</f>
        <v/>
      </c>
      <c r="E189" s="36" t="n"/>
      <c r="F189" s="36" t="n"/>
    </row>
    <row r="190">
      <c r="A190" s="32">
        <f>IF(ISNUMBER(MATCH(183,Responses!$AI$2:$AI$1001,0)),183,"")</f>
        <v/>
      </c>
      <c r="B190" s="32">
        <f>IF($A190="","",INDEX(Responses!$A$2:$A$1001,MATCH($A190,Responses!$AI$2:$AI$1001,0)))</f>
        <v/>
      </c>
      <c r="C190" s="32">
        <f>IF($A190="","",INDEX(Responses!$AF$2:$AF$1001,MATCH($A190,Responses!$AI$2:$AI$1001,0)))</f>
        <v/>
      </c>
      <c r="D190" s="34">
        <f>IF($A190="","",INDEX(Responses!$AH$2:$AH$1001,MATCH($A190,Responses!$AI$2:$AI$1001,0)))</f>
        <v/>
      </c>
      <c r="E190" s="36" t="n"/>
      <c r="F190" s="36" t="n"/>
    </row>
    <row r="191">
      <c r="A191" s="32">
        <f>IF(ISNUMBER(MATCH(184,Responses!$AI$2:$AI$1001,0)),184,"")</f>
        <v/>
      </c>
      <c r="B191" s="32">
        <f>IF($A191="","",INDEX(Responses!$A$2:$A$1001,MATCH($A191,Responses!$AI$2:$AI$1001,0)))</f>
        <v/>
      </c>
      <c r="C191" s="32">
        <f>IF($A191="","",INDEX(Responses!$AF$2:$AF$1001,MATCH($A191,Responses!$AI$2:$AI$1001,0)))</f>
        <v/>
      </c>
      <c r="D191" s="34">
        <f>IF($A191="","",INDEX(Responses!$AH$2:$AH$1001,MATCH($A191,Responses!$AI$2:$AI$1001,0)))</f>
        <v/>
      </c>
      <c r="E191" s="36" t="n"/>
      <c r="F191" s="36" t="n"/>
    </row>
    <row r="192">
      <c r="A192" s="32">
        <f>IF(ISNUMBER(MATCH(185,Responses!$AI$2:$AI$1001,0)),185,"")</f>
        <v/>
      </c>
      <c r="B192" s="32">
        <f>IF($A192="","",INDEX(Responses!$A$2:$A$1001,MATCH($A192,Responses!$AI$2:$AI$1001,0)))</f>
        <v/>
      </c>
      <c r="C192" s="32">
        <f>IF($A192="","",INDEX(Responses!$AF$2:$AF$1001,MATCH($A192,Responses!$AI$2:$AI$1001,0)))</f>
        <v/>
      </c>
      <c r="D192" s="34">
        <f>IF($A192="","",INDEX(Responses!$AH$2:$AH$1001,MATCH($A192,Responses!$AI$2:$AI$1001,0)))</f>
        <v/>
      </c>
      <c r="E192" s="36" t="n"/>
      <c r="F192" s="36" t="n"/>
    </row>
    <row r="193">
      <c r="A193" s="32">
        <f>IF(ISNUMBER(MATCH(186,Responses!$AI$2:$AI$1001,0)),186,"")</f>
        <v/>
      </c>
      <c r="B193" s="32">
        <f>IF($A193="","",INDEX(Responses!$A$2:$A$1001,MATCH($A193,Responses!$AI$2:$AI$1001,0)))</f>
        <v/>
      </c>
      <c r="C193" s="32">
        <f>IF($A193="","",INDEX(Responses!$AF$2:$AF$1001,MATCH($A193,Responses!$AI$2:$AI$1001,0)))</f>
        <v/>
      </c>
      <c r="D193" s="34">
        <f>IF($A193="","",INDEX(Responses!$AH$2:$AH$1001,MATCH($A193,Responses!$AI$2:$AI$1001,0)))</f>
        <v/>
      </c>
      <c r="E193" s="36" t="n"/>
      <c r="F193" s="36" t="n"/>
    </row>
    <row r="194">
      <c r="A194" s="32">
        <f>IF(ISNUMBER(MATCH(187,Responses!$AI$2:$AI$1001,0)),187,"")</f>
        <v/>
      </c>
      <c r="B194" s="32">
        <f>IF($A194="","",INDEX(Responses!$A$2:$A$1001,MATCH($A194,Responses!$AI$2:$AI$1001,0)))</f>
        <v/>
      </c>
      <c r="C194" s="32">
        <f>IF($A194="","",INDEX(Responses!$AF$2:$AF$1001,MATCH($A194,Responses!$AI$2:$AI$1001,0)))</f>
        <v/>
      </c>
      <c r="D194" s="34">
        <f>IF($A194="","",INDEX(Responses!$AH$2:$AH$1001,MATCH($A194,Responses!$AI$2:$AI$1001,0)))</f>
        <v/>
      </c>
      <c r="E194" s="36" t="n"/>
      <c r="F194" s="36" t="n"/>
    </row>
    <row r="195">
      <c r="A195" s="32">
        <f>IF(ISNUMBER(MATCH(188,Responses!$AI$2:$AI$1001,0)),188,"")</f>
        <v/>
      </c>
      <c r="B195" s="32">
        <f>IF($A195="","",INDEX(Responses!$A$2:$A$1001,MATCH($A195,Responses!$AI$2:$AI$1001,0)))</f>
        <v/>
      </c>
      <c r="C195" s="32">
        <f>IF($A195="","",INDEX(Responses!$AF$2:$AF$1001,MATCH($A195,Responses!$AI$2:$AI$1001,0)))</f>
        <v/>
      </c>
      <c r="D195" s="34">
        <f>IF($A195="","",INDEX(Responses!$AH$2:$AH$1001,MATCH($A195,Responses!$AI$2:$AI$1001,0)))</f>
        <v/>
      </c>
      <c r="E195" s="36" t="n"/>
      <c r="F195" s="36" t="n"/>
    </row>
    <row r="196">
      <c r="A196" s="32">
        <f>IF(ISNUMBER(MATCH(189,Responses!$AI$2:$AI$1001,0)),189,"")</f>
        <v/>
      </c>
      <c r="B196" s="32">
        <f>IF($A196="","",INDEX(Responses!$A$2:$A$1001,MATCH($A196,Responses!$AI$2:$AI$1001,0)))</f>
        <v/>
      </c>
      <c r="C196" s="32">
        <f>IF($A196="","",INDEX(Responses!$AF$2:$AF$1001,MATCH($A196,Responses!$AI$2:$AI$1001,0)))</f>
        <v/>
      </c>
      <c r="D196" s="34">
        <f>IF($A196="","",INDEX(Responses!$AH$2:$AH$1001,MATCH($A196,Responses!$AI$2:$AI$1001,0)))</f>
        <v/>
      </c>
      <c r="E196" s="36" t="n"/>
      <c r="F196" s="36" t="n"/>
    </row>
    <row r="197">
      <c r="A197" s="32">
        <f>IF(ISNUMBER(MATCH(190,Responses!$AI$2:$AI$1001,0)),190,"")</f>
        <v/>
      </c>
      <c r="B197" s="32">
        <f>IF($A197="","",INDEX(Responses!$A$2:$A$1001,MATCH($A197,Responses!$AI$2:$AI$1001,0)))</f>
        <v/>
      </c>
      <c r="C197" s="32">
        <f>IF($A197="","",INDEX(Responses!$AF$2:$AF$1001,MATCH($A197,Responses!$AI$2:$AI$1001,0)))</f>
        <v/>
      </c>
      <c r="D197" s="34">
        <f>IF($A197="","",INDEX(Responses!$AH$2:$AH$1001,MATCH($A197,Responses!$AI$2:$AI$1001,0)))</f>
        <v/>
      </c>
      <c r="E197" s="36" t="n"/>
      <c r="F197" s="36" t="n"/>
    </row>
    <row r="198">
      <c r="A198" s="32">
        <f>IF(ISNUMBER(MATCH(191,Responses!$AI$2:$AI$1001,0)),191,"")</f>
        <v/>
      </c>
      <c r="B198" s="32">
        <f>IF($A198="","",INDEX(Responses!$A$2:$A$1001,MATCH($A198,Responses!$AI$2:$AI$1001,0)))</f>
        <v/>
      </c>
      <c r="C198" s="32">
        <f>IF($A198="","",INDEX(Responses!$AF$2:$AF$1001,MATCH($A198,Responses!$AI$2:$AI$1001,0)))</f>
        <v/>
      </c>
      <c r="D198" s="34">
        <f>IF($A198="","",INDEX(Responses!$AH$2:$AH$1001,MATCH($A198,Responses!$AI$2:$AI$1001,0)))</f>
        <v/>
      </c>
      <c r="E198" s="36" t="n"/>
      <c r="F198" s="36" t="n"/>
    </row>
    <row r="199">
      <c r="A199" s="32">
        <f>IF(ISNUMBER(MATCH(192,Responses!$AI$2:$AI$1001,0)),192,"")</f>
        <v/>
      </c>
      <c r="B199" s="32">
        <f>IF($A199="","",INDEX(Responses!$A$2:$A$1001,MATCH($A199,Responses!$AI$2:$AI$1001,0)))</f>
        <v/>
      </c>
      <c r="C199" s="32">
        <f>IF($A199="","",INDEX(Responses!$AF$2:$AF$1001,MATCH($A199,Responses!$AI$2:$AI$1001,0)))</f>
        <v/>
      </c>
      <c r="D199" s="34">
        <f>IF($A199="","",INDEX(Responses!$AH$2:$AH$1001,MATCH($A199,Responses!$AI$2:$AI$1001,0)))</f>
        <v/>
      </c>
      <c r="E199" s="36" t="n"/>
      <c r="F199" s="36" t="n"/>
    </row>
    <row r="200">
      <c r="A200" s="32">
        <f>IF(ISNUMBER(MATCH(193,Responses!$AI$2:$AI$1001,0)),193,"")</f>
        <v/>
      </c>
      <c r="B200" s="32">
        <f>IF($A200="","",INDEX(Responses!$A$2:$A$1001,MATCH($A200,Responses!$AI$2:$AI$1001,0)))</f>
        <v/>
      </c>
      <c r="C200" s="32">
        <f>IF($A200="","",INDEX(Responses!$AF$2:$AF$1001,MATCH($A200,Responses!$AI$2:$AI$1001,0)))</f>
        <v/>
      </c>
      <c r="D200" s="34">
        <f>IF($A200="","",INDEX(Responses!$AH$2:$AH$1001,MATCH($A200,Responses!$AI$2:$AI$1001,0)))</f>
        <v/>
      </c>
      <c r="E200" s="36" t="n"/>
      <c r="F200" s="36" t="n"/>
    </row>
    <row r="201">
      <c r="A201" s="32">
        <f>IF(ISNUMBER(MATCH(194,Responses!$AI$2:$AI$1001,0)),194,"")</f>
        <v/>
      </c>
      <c r="B201" s="32">
        <f>IF($A201="","",INDEX(Responses!$A$2:$A$1001,MATCH($A201,Responses!$AI$2:$AI$1001,0)))</f>
        <v/>
      </c>
      <c r="C201" s="32">
        <f>IF($A201="","",INDEX(Responses!$AF$2:$AF$1001,MATCH($A201,Responses!$AI$2:$AI$1001,0)))</f>
        <v/>
      </c>
      <c r="D201" s="34">
        <f>IF($A201="","",INDEX(Responses!$AH$2:$AH$1001,MATCH($A201,Responses!$AI$2:$AI$1001,0)))</f>
        <v/>
      </c>
      <c r="E201" s="36" t="n"/>
      <c r="F201" s="36" t="n"/>
    </row>
    <row r="202">
      <c r="A202" s="32">
        <f>IF(ISNUMBER(MATCH(195,Responses!$AI$2:$AI$1001,0)),195,"")</f>
        <v/>
      </c>
      <c r="B202" s="32">
        <f>IF($A202="","",INDEX(Responses!$A$2:$A$1001,MATCH($A202,Responses!$AI$2:$AI$1001,0)))</f>
        <v/>
      </c>
      <c r="C202" s="32">
        <f>IF($A202="","",INDEX(Responses!$AF$2:$AF$1001,MATCH($A202,Responses!$AI$2:$AI$1001,0)))</f>
        <v/>
      </c>
      <c r="D202" s="34">
        <f>IF($A202="","",INDEX(Responses!$AH$2:$AH$1001,MATCH($A202,Responses!$AI$2:$AI$1001,0)))</f>
        <v/>
      </c>
      <c r="E202" s="36" t="n"/>
      <c r="F202" s="36" t="n"/>
    </row>
    <row r="203">
      <c r="A203" s="32">
        <f>IF(ISNUMBER(MATCH(196,Responses!$AI$2:$AI$1001,0)),196,"")</f>
        <v/>
      </c>
      <c r="B203" s="32">
        <f>IF($A203="","",INDEX(Responses!$A$2:$A$1001,MATCH($A203,Responses!$AI$2:$AI$1001,0)))</f>
        <v/>
      </c>
      <c r="C203" s="32">
        <f>IF($A203="","",INDEX(Responses!$AF$2:$AF$1001,MATCH($A203,Responses!$AI$2:$AI$1001,0)))</f>
        <v/>
      </c>
      <c r="D203" s="34">
        <f>IF($A203="","",INDEX(Responses!$AH$2:$AH$1001,MATCH($A203,Responses!$AI$2:$AI$1001,0)))</f>
        <v/>
      </c>
      <c r="E203" s="36" t="n"/>
      <c r="F203" s="36" t="n"/>
    </row>
    <row r="204">
      <c r="A204" s="32">
        <f>IF(ISNUMBER(MATCH(197,Responses!$AI$2:$AI$1001,0)),197,"")</f>
        <v/>
      </c>
      <c r="B204" s="32">
        <f>IF($A204="","",INDEX(Responses!$A$2:$A$1001,MATCH($A204,Responses!$AI$2:$AI$1001,0)))</f>
        <v/>
      </c>
      <c r="C204" s="32">
        <f>IF($A204="","",INDEX(Responses!$AF$2:$AF$1001,MATCH($A204,Responses!$AI$2:$AI$1001,0)))</f>
        <v/>
      </c>
      <c r="D204" s="34">
        <f>IF($A204="","",INDEX(Responses!$AH$2:$AH$1001,MATCH($A204,Responses!$AI$2:$AI$1001,0)))</f>
        <v/>
      </c>
      <c r="E204" s="36" t="n"/>
      <c r="F204" s="36" t="n"/>
    </row>
    <row r="205">
      <c r="A205" s="32">
        <f>IF(ISNUMBER(MATCH(198,Responses!$AI$2:$AI$1001,0)),198,"")</f>
        <v/>
      </c>
      <c r="B205" s="32">
        <f>IF($A205="","",INDEX(Responses!$A$2:$A$1001,MATCH($A205,Responses!$AI$2:$AI$1001,0)))</f>
        <v/>
      </c>
      <c r="C205" s="32">
        <f>IF($A205="","",INDEX(Responses!$AF$2:$AF$1001,MATCH($A205,Responses!$AI$2:$AI$1001,0)))</f>
        <v/>
      </c>
      <c r="D205" s="34">
        <f>IF($A205="","",INDEX(Responses!$AH$2:$AH$1001,MATCH($A205,Responses!$AI$2:$AI$1001,0)))</f>
        <v/>
      </c>
      <c r="E205" s="36" t="n"/>
      <c r="F205" s="36" t="n"/>
    </row>
    <row r="206">
      <c r="A206" s="32">
        <f>IF(ISNUMBER(MATCH(199,Responses!$AI$2:$AI$1001,0)),199,"")</f>
        <v/>
      </c>
      <c r="B206" s="32">
        <f>IF($A206="","",INDEX(Responses!$A$2:$A$1001,MATCH($A206,Responses!$AI$2:$AI$1001,0)))</f>
        <v/>
      </c>
      <c r="C206" s="32">
        <f>IF($A206="","",INDEX(Responses!$AF$2:$AF$1001,MATCH($A206,Responses!$AI$2:$AI$1001,0)))</f>
        <v/>
      </c>
      <c r="D206" s="34">
        <f>IF($A206="","",INDEX(Responses!$AH$2:$AH$1001,MATCH($A206,Responses!$AI$2:$AI$1001,0)))</f>
        <v/>
      </c>
      <c r="E206" s="36" t="n"/>
      <c r="F206" s="36" t="n"/>
    </row>
    <row r="207">
      <c r="A207" s="32">
        <f>IF(ISNUMBER(MATCH(200,Responses!$AI$2:$AI$1001,0)),200,"")</f>
        <v/>
      </c>
      <c r="B207" s="32">
        <f>IF($A207="","",INDEX(Responses!$A$2:$A$1001,MATCH($A207,Responses!$AI$2:$AI$1001,0)))</f>
        <v/>
      </c>
      <c r="C207" s="32">
        <f>IF($A207="","",INDEX(Responses!$AF$2:$AF$1001,MATCH($A207,Responses!$AI$2:$AI$1001,0)))</f>
        <v/>
      </c>
      <c r="D207" s="34">
        <f>IF($A207="","",INDEX(Responses!$AH$2:$AH$1001,MATCH($A207,Responses!$AI$2:$AI$1001,0)))</f>
        <v/>
      </c>
      <c r="E207" s="36" t="n"/>
      <c r="F207" s="36" t="n"/>
    </row>
  </sheetData>
  <mergeCells count="1">
    <mergeCell ref="B5:D5"/>
  </mergeCells>
  <dataValidations count="1">
    <dataValidation sqref="E8:F207" showDropDown="0" showInputMessage="1" showErrorMessage="1" allowBlank="1" errorTitle="Code" error="Pick a value from the list. Pick a code from your list in column H." promptTitle="Code" prompt="Pick a code from your list in column H." type="list" errorStyle="warning">
      <formula1>$H$8:$H$19</formula1>
    </dataValidation>
  </dataValidations>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tabColor rgb="00F5B83D"/>
    <outlinePr summaryBelow="1" summaryRight="1"/>
    <pageSetUpPr/>
  </sheetPr>
  <dimension ref="A1:AI10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22" customWidth="1" min="2" max="2"/>
    <col width="22" customWidth="1" min="3" max="3"/>
    <col width="24" customWidth="1" min="4" max="4"/>
    <col width="24" customWidth="1" min="5" max="5"/>
    <col width="24" customWidth="1" min="6" max="6"/>
    <col width="24" customWidth="1" min="7" max="7"/>
    <col width="24" customWidth="1" min="8" max="8"/>
    <col width="24"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 width="12" customWidth="1" min="20" max="20"/>
    <col width="12" customWidth="1" min="21" max="21"/>
    <col width="12" customWidth="1" min="22" max="22"/>
    <col width="12" customWidth="1" min="23" max="23"/>
    <col width="12" customWidth="1" min="24" max="24"/>
    <col width="12" customWidth="1" min="25" max="25"/>
    <col width="12" customWidth="1" min="26" max="26"/>
    <col width="2" customWidth="1" min="27" max="27"/>
    <col width="18" customWidth="1" min="28" max="28"/>
    <col width="18" customWidth="1" min="29" max="29"/>
    <col width="18" customWidth="1" min="30" max="30"/>
    <col width="18" customWidth="1" min="31" max="31"/>
    <col width="18" customWidth="1" min="32" max="32"/>
    <col width="18" customWidth="1" min="33" max="33"/>
    <col width="36" customWidth="1" min="34" max="34"/>
    <col width="18" customWidth="1" min="35" max="35"/>
  </cols>
  <sheetData>
    <row r="1" ht="62" customHeight="1">
      <c r="A1" s="3" t="inlineStr">
        <is>
          <t>Response ID</t>
        </is>
      </c>
      <c r="B1" s="3" t="inlineStr">
        <is>
          <t>Submitted at</t>
        </is>
      </c>
      <c r="C1" s="3" t="inlineStr">
        <is>
          <t>Started at</t>
        </is>
      </c>
      <c r="D1" s="3" t="inlineStr">
        <is>
          <t>How did you hear about us?</t>
        </is>
      </c>
      <c r="E1" s="3" t="inlineStr">
        <is>
          <t>How long have you been a customer?</t>
        </is>
      </c>
      <c r="F1" s="3" t="inlineStr">
        <is>
          <t>Overall, how satisfied are you with us?</t>
        </is>
      </c>
      <c r="G1" s="3" t="inlineStr">
        <is>
          <t>What do you use us for?</t>
        </is>
      </c>
      <c r="H1" s="3" t="inlineStr">
        <is>
          <t>How likely are you to recommend us to a friend or colleague?</t>
        </is>
      </c>
      <c r="I1" s="3" t="inlineStr">
        <is>
          <t>What is one thing we could do better?</t>
        </is>
      </c>
      <c r="J1" s="3" t="inlineStr">
        <is>
          <t>Form version</t>
        </is>
      </c>
      <c r="K1" s="3" t="n"/>
      <c r="L1" s="3" t="n"/>
      <c r="M1" s="3" t="n"/>
      <c r="N1" s="3" t="n"/>
      <c r="O1" s="3" t="n"/>
      <c r="P1" s="3" t="n"/>
      <c r="Q1" s="3" t="n"/>
      <c r="R1" s="3" t="n"/>
      <c r="S1" s="3" t="n"/>
      <c r="T1" s="3" t="n"/>
      <c r="U1" s="3" t="n"/>
      <c r="V1" s="3" t="n"/>
      <c r="W1" s="3" t="n"/>
      <c r="X1" s="3" t="n"/>
      <c r="Y1" s="3" t="n"/>
      <c r="Z1" s="3" t="n"/>
      <c r="AA1" s="37" t="n"/>
      <c r="AB1" s="38" t="inlineStr">
        <is>
          <t>Counts question 1 (worked out)</t>
        </is>
      </c>
      <c r="AC1" s="38" t="inlineStr">
        <is>
          <t>Counts question 2 (worked out)</t>
        </is>
      </c>
      <c r="AD1" s="38" t="inlineStr">
        <is>
          <t>Counts question 3 (worked out)</t>
        </is>
      </c>
      <c r="AE1" s="38" t="inlineStr">
        <is>
          <t>Cross-tab row answer (worked out)</t>
        </is>
      </c>
      <c r="AF1" s="38" t="inlineStr">
        <is>
          <t>Group (worked out)</t>
        </is>
      </c>
      <c r="AG1" s="38" t="inlineStr">
        <is>
          <t>Scale score (worked out)</t>
        </is>
      </c>
      <c r="AH1" s="38" t="inlineStr">
        <is>
          <t>Open answer (worked out)</t>
        </is>
      </c>
      <c r="AI1" s="38" t="inlineStr">
        <is>
          <t>Open answer number (worked out)</t>
        </is>
      </c>
    </row>
    <row r="2">
      <c r="A2" s="39" t="inlineStr">
        <is>
          <t>EXAMPLE-01 (delete me)</t>
        </is>
      </c>
      <c r="B2" s="39" t="inlineStr">
        <is>
          <t>2027-01-01T15:10:40.000Z</t>
        </is>
      </c>
      <c r="C2" s="39" t="inlineStr">
        <is>
          <t>2027-01-01T15:07:05.000Z</t>
        </is>
      </c>
      <c r="D2" s="39" t="inlineStr">
        <is>
          <t>Friend or colleague</t>
        </is>
      </c>
      <c r="E2" s="39" t="inlineStr">
        <is>
          <t>Less than a year</t>
        </is>
      </c>
      <c r="F2" s="39" t="n">
        <v>5</v>
      </c>
      <c r="G2" s="39" t="inlineStr">
        <is>
          <t>Online orders, Home delivery</t>
        </is>
      </c>
      <c r="H2" s="39" t="n">
        <v>9</v>
      </c>
      <c r="I2" s="39" t="inlineStr">
        <is>
          <t>Faster delivery slots in the evening.</t>
        </is>
      </c>
      <c r="J2" s="39" t="n">
        <v>1</v>
      </c>
      <c r="AA2" s="40" t="n"/>
      <c r="AB2" s="41">
        <f>IF(TRIM('Counts'!$B$8&amp;"")="","",IFERROR(TRIM(INDEX($A2:$Z2,MATCH('Counts'!$B$8,$A$1:$Z$1,0))&amp;""),""))</f>
        <v/>
      </c>
      <c r="AC2" s="41">
        <f>IF(TRIM('Counts'!$B$26&amp;"")="","",IFERROR(TRIM(INDEX($A2:$Z2,MATCH('Counts'!$B$26,$A$1:$Z$1,0))&amp;""),""))</f>
        <v/>
      </c>
      <c r="AD2" s="41">
        <f>IF(TRIM('Counts'!$B$44&amp;"")="","",IFERROR(TRIM(INDEX($A2:$Z2,MATCH('Counts'!$B$44,$A$1:$Z$1,0))&amp;""),""))</f>
        <v/>
      </c>
      <c r="AE2" s="41">
        <f>IF(TRIM('Cross-tab'!$B$5&amp;"")="","",IFERROR(TRIM(INDEX($A2:$Z2,MATCH('Cross-tab'!$B$5,$A$1:$Z$1,0))&amp;""),""))</f>
        <v/>
      </c>
      <c r="AF2" s="41">
        <f>IF(TRIM('Cross-tab'!$B$7&amp;"")="","",IFERROR(TRIM(INDEX($A2:$Z2,MATCH('Cross-tab'!$B$7,$A$1:$Z$1,0))&amp;""),""))</f>
        <v/>
      </c>
      <c r="AG2" s="41">
        <f>IF(ISNUMBER(IFERROR(VALUE(IF(TRIM('Scale score'!$B$5&amp;"")="","",IFERROR(TRIM(INDEX($A2:$Z2,MATCH('Scale score'!$B$5,$A$1:$Z$1,0))&amp;""),""))),"")),IF(AND(IFERROR(VALUE(IF(TRIM('Scale score'!$B$5&amp;"")="","",IFERROR(TRIM(INDEX($A2:$Z2,MATCH('Scale score'!$B$5,$A$1:$Z$1,0))&amp;""),""))),"")&gt;='Scale score'!$B$6,IFERROR(VALUE(IF(TRIM('Scale score'!$B$5&amp;"")="","",IFERROR(TRIM(INDEX($A2:$Z2,MATCH('Scale score'!$B$5,$A$1:$Z$1,0))&amp;""),""))),"")&lt;='Scale score'!$B$7),IFERROR(VALUE(IF(TRIM('Scale score'!$B$5&amp;"")="","",IFERROR(TRIM(INDEX($A2:$Z2,MATCH('Scale score'!$B$5,$A$1:$Z$1,0))&amp;""),""))),""),""),"")</f>
        <v/>
      </c>
      <c r="AH2" s="41">
        <f>IF(TRIM('Open answers'!$B$5&amp;"")="","",IFERROR(TRIM(INDEX($A2:$Z2,MATCH('Open answers'!$B$5,$A$1:$Z$1,0))&amp;""),""))</f>
        <v/>
      </c>
      <c r="AI2" s="41">
        <f>IF(LEN(AH2)&gt;0,1,"")</f>
        <v/>
      </c>
    </row>
    <row r="3">
      <c r="A3" s="39" t="inlineStr">
        <is>
          <t>EXAMPLE-02 (delete me)</t>
        </is>
      </c>
      <c r="B3" s="39" t="inlineStr">
        <is>
          <t>2027-01-01T15:11:40.000Z</t>
        </is>
      </c>
      <c r="C3" s="39" t="inlineStr">
        <is>
          <t>2027-01-01T15:08:05.000Z</t>
        </is>
      </c>
      <c r="D3" s="39" t="inlineStr">
        <is>
          <t>Search engine</t>
        </is>
      </c>
      <c r="E3" s="39" t="inlineStr">
        <is>
          <t>Less than a year</t>
        </is>
      </c>
      <c r="F3" s="39" t="n">
        <v>4</v>
      </c>
      <c r="G3" s="39" t="inlineStr">
        <is>
          <t>Online orders</t>
        </is>
      </c>
      <c r="H3" s="39" t="n">
        <v>8</v>
      </c>
      <c r="I3" s="39" t="inlineStr">
        <is>
          <t>Show stock levels on the website.</t>
        </is>
      </c>
      <c r="J3" s="39" t="n">
        <v>1</v>
      </c>
      <c r="AA3" s="40" t="n"/>
      <c r="AB3" s="41">
        <f>IF(TRIM('Counts'!$B$8&amp;"")="","",IFERROR(TRIM(INDEX($A3:$Z3,MATCH('Counts'!$B$8,$A$1:$Z$1,0))&amp;""),""))</f>
        <v/>
      </c>
      <c r="AC3" s="41">
        <f>IF(TRIM('Counts'!$B$26&amp;"")="","",IFERROR(TRIM(INDEX($A3:$Z3,MATCH('Counts'!$B$26,$A$1:$Z$1,0))&amp;""),""))</f>
        <v/>
      </c>
      <c r="AD3" s="41">
        <f>IF(TRIM('Counts'!$B$44&amp;"")="","",IFERROR(TRIM(INDEX($A3:$Z3,MATCH('Counts'!$B$44,$A$1:$Z$1,0))&amp;""),""))</f>
        <v/>
      </c>
      <c r="AE3" s="41">
        <f>IF(TRIM('Cross-tab'!$B$5&amp;"")="","",IFERROR(TRIM(INDEX($A3:$Z3,MATCH('Cross-tab'!$B$5,$A$1:$Z$1,0))&amp;""),""))</f>
        <v/>
      </c>
      <c r="AF3" s="41">
        <f>IF(TRIM('Cross-tab'!$B$7&amp;"")="","",IFERROR(TRIM(INDEX($A3:$Z3,MATCH('Cross-tab'!$B$7,$A$1:$Z$1,0))&amp;""),""))</f>
        <v/>
      </c>
      <c r="AG3" s="41">
        <f>IF(ISNUMBER(IFERROR(VALUE(IF(TRIM('Scale score'!$B$5&amp;"")="","",IFERROR(TRIM(INDEX($A3:$Z3,MATCH('Scale score'!$B$5,$A$1:$Z$1,0))&amp;""),""))),"")),IF(AND(IFERROR(VALUE(IF(TRIM('Scale score'!$B$5&amp;"")="","",IFERROR(TRIM(INDEX($A3:$Z3,MATCH('Scale score'!$B$5,$A$1:$Z$1,0))&amp;""),""))),"")&gt;='Scale score'!$B$6,IFERROR(VALUE(IF(TRIM('Scale score'!$B$5&amp;"")="","",IFERROR(TRIM(INDEX($A3:$Z3,MATCH('Scale score'!$B$5,$A$1:$Z$1,0))&amp;""),""))),"")&lt;='Scale score'!$B$7),IFERROR(VALUE(IF(TRIM('Scale score'!$B$5&amp;"")="","",IFERROR(TRIM(INDEX($A3:$Z3,MATCH('Scale score'!$B$5,$A$1:$Z$1,0))&amp;""),""))),""),""),"")</f>
        <v/>
      </c>
      <c r="AH3" s="41">
        <f>IF(TRIM('Open answers'!$B$5&amp;"")="","",IFERROR(TRIM(INDEX($A3:$Z3,MATCH('Open answers'!$B$5,$A$1:$Z$1,0))&amp;""),""))</f>
        <v/>
      </c>
      <c r="AI3" s="41">
        <f>IF(LEN(AH3)&gt;0,MAX($AI$1:AI2)+1,"")</f>
        <v/>
      </c>
    </row>
    <row r="4">
      <c r="A4" s="39" t="inlineStr">
        <is>
          <t>EXAMPLE-03 (delete me)</t>
        </is>
      </c>
      <c r="B4" s="39" t="inlineStr">
        <is>
          <t>2027-01-01T15:12:40.000Z</t>
        </is>
      </c>
      <c r="C4" s="39" t="inlineStr">
        <is>
          <t>2027-01-01T15:09:05.000Z</t>
        </is>
      </c>
      <c r="D4" s="39" t="inlineStr">
        <is>
          <t>Social media</t>
        </is>
      </c>
      <c r="E4" s="39" t="inlineStr">
        <is>
          <t>1 to 3 years</t>
        </is>
      </c>
      <c r="F4" s="39" t="n">
        <v>3</v>
      </c>
      <c r="G4" s="39" t="inlineStr">
        <is>
          <t>In-store pickup</t>
        </is>
      </c>
      <c r="H4" s="39" t="n">
        <v>6</v>
      </c>
      <c r="I4" s="39" t="inlineStr">
        <is>
          <t>Prices went up a lot this year.</t>
        </is>
      </c>
      <c r="J4" s="39" t="n">
        <v>1</v>
      </c>
      <c r="AA4" s="40" t="n"/>
      <c r="AB4" s="41">
        <f>IF(TRIM('Counts'!$B$8&amp;"")="","",IFERROR(TRIM(INDEX($A4:$Z4,MATCH('Counts'!$B$8,$A$1:$Z$1,0))&amp;""),""))</f>
        <v/>
      </c>
      <c r="AC4" s="41">
        <f>IF(TRIM('Counts'!$B$26&amp;"")="","",IFERROR(TRIM(INDEX($A4:$Z4,MATCH('Counts'!$B$26,$A$1:$Z$1,0))&amp;""),""))</f>
        <v/>
      </c>
      <c r="AD4" s="41">
        <f>IF(TRIM('Counts'!$B$44&amp;"")="","",IFERROR(TRIM(INDEX($A4:$Z4,MATCH('Counts'!$B$44,$A$1:$Z$1,0))&amp;""),""))</f>
        <v/>
      </c>
      <c r="AE4" s="41">
        <f>IF(TRIM('Cross-tab'!$B$5&amp;"")="","",IFERROR(TRIM(INDEX($A4:$Z4,MATCH('Cross-tab'!$B$5,$A$1:$Z$1,0))&amp;""),""))</f>
        <v/>
      </c>
      <c r="AF4" s="41">
        <f>IF(TRIM('Cross-tab'!$B$7&amp;"")="","",IFERROR(TRIM(INDEX($A4:$Z4,MATCH('Cross-tab'!$B$7,$A$1:$Z$1,0))&amp;""),""))</f>
        <v/>
      </c>
      <c r="AG4" s="41">
        <f>IF(ISNUMBER(IFERROR(VALUE(IF(TRIM('Scale score'!$B$5&amp;"")="","",IFERROR(TRIM(INDEX($A4:$Z4,MATCH('Scale score'!$B$5,$A$1:$Z$1,0))&amp;""),""))),"")),IF(AND(IFERROR(VALUE(IF(TRIM('Scale score'!$B$5&amp;"")="","",IFERROR(TRIM(INDEX($A4:$Z4,MATCH('Scale score'!$B$5,$A$1:$Z$1,0))&amp;""),""))),"")&gt;='Scale score'!$B$6,IFERROR(VALUE(IF(TRIM('Scale score'!$B$5&amp;"")="","",IFERROR(TRIM(INDEX($A4:$Z4,MATCH('Scale score'!$B$5,$A$1:$Z$1,0))&amp;""),""))),"")&lt;='Scale score'!$B$7),IFERROR(VALUE(IF(TRIM('Scale score'!$B$5&amp;"")="","",IFERROR(TRIM(INDEX($A4:$Z4,MATCH('Scale score'!$B$5,$A$1:$Z$1,0))&amp;""),""))),""),""),"")</f>
        <v/>
      </c>
      <c r="AH4" s="41">
        <f>IF(TRIM('Open answers'!$B$5&amp;"")="","",IFERROR(TRIM(INDEX($A4:$Z4,MATCH('Open answers'!$B$5,$A$1:$Z$1,0))&amp;""),""))</f>
        <v/>
      </c>
      <c r="AI4" s="41">
        <f>IF(LEN(AH4)&gt;0,MAX($AI$1:AI3)+1,"")</f>
        <v/>
      </c>
    </row>
    <row r="5">
      <c r="A5" s="39" t="inlineStr">
        <is>
          <t>EXAMPLE-04 (delete me)</t>
        </is>
      </c>
      <c r="B5" s="39" t="inlineStr">
        <is>
          <t>2027-01-02T15:13:40.000Z</t>
        </is>
      </c>
      <c r="C5" s="39" t="inlineStr">
        <is>
          <t>2027-01-02T15:10:05.000Z</t>
        </is>
      </c>
      <c r="D5" s="39" t="inlineStr">
        <is>
          <t>Friend or colleague</t>
        </is>
      </c>
      <c r="E5" s="39" t="inlineStr">
        <is>
          <t>More than 3 years</t>
        </is>
      </c>
      <c r="F5" s="39" t="n">
        <v>5</v>
      </c>
      <c r="G5" s="39" t="inlineStr">
        <is>
          <t>Online orders, Phone support</t>
        </is>
      </c>
      <c r="H5" s="39" t="n">
        <v>10</v>
      </c>
      <c r="I5" s="39" t="n"/>
      <c r="J5" s="39" t="n">
        <v>1</v>
      </c>
      <c r="AA5" s="40" t="n"/>
      <c r="AB5" s="41">
        <f>IF(TRIM('Counts'!$B$8&amp;"")="","",IFERROR(TRIM(INDEX($A5:$Z5,MATCH('Counts'!$B$8,$A$1:$Z$1,0))&amp;""),""))</f>
        <v/>
      </c>
      <c r="AC5" s="41">
        <f>IF(TRIM('Counts'!$B$26&amp;"")="","",IFERROR(TRIM(INDEX($A5:$Z5,MATCH('Counts'!$B$26,$A$1:$Z$1,0))&amp;""),""))</f>
        <v/>
      </c>
      <c r="AD5" s="41">
        <f>IF(TRIM('Counts'!$B$44&amp;"")="","",IFERROR(TRIM(INDEX($A5:$Z5,MATCH('Counts'!$B$44,$A$1:$Z$1,0))&amp;""),""))</f>
        <v/>
      </c>
      <c r="AE5" s="41">
        <f>IF(TRIM('Cross-tab'!$B$5&amp;"")="","",IFERROR(TRIM(INDEX($A5:$Z5,MATCH('Cross-tab'!$B$5,$A$1:$Z$1,0))&amp;""),""))</f>
        <v/>
      </c>
      <c r="AF5" s="41">
        <f>IF(TRIM('Cross-tab'!$B$7&amp;"")="","",IFERROR(TRIM(INDEX($A5:$Z5,MATCH('Cross-tab'!$B$7,$A$1:$Z$1,0))&amp;""),""))</f>
        <v/>
      </c>
      <c r="AG5" s="41">
        <f>IF(ISNUMBER(IFERROR(VALUE(IF(TRIM('Scale score'!$B$5&amp;"")="","",IFERROR(TRIM(INDEX($A5:$Z5,MATCH('Scale score'!$B$5,$A$1:$Z$1,0))&amp;""),""))),"")),IF(AND(IFERROR(VALUE(IF(TRIM('Scale score'!$B$5&amp;"")="","",IFERROR(TRIM(INDEX($A5:$Z5,MATCH('Scale score'!$B$5,$A$1:$Z$1,0))&amp;""),""))),"")&gt;='Scale score'!$B$6,IFERROR(VALUE(IF(TRIM('Scale score'!$B$5&amp;"")="","",IFERROR(TRIM(INDEX($A5:$Z5,MATCH('Scale score'!$B$5,$A$1:$Z$1,0))&amp;""),""))),"")&lt;='Scale score'!$B$7),IFERROR(VALUE(IF(TRIM('Scale score'!$B$5&amp;"")="","",IFERROR(TRIM(INDEX($A5:$Z5,MATCH('Scale score'!$B$5,$A$1:$Z$1,0))&amp;""),""))),""),""),"")</f>
        <v/>
      </c>
      <c r="AH5" s="41">
        <f>IF(TRIM('Open answers'!$B$5&amp;"")="","",IFERROR(TRIM(INDEX($A5:$Z5,MATCH('Open answers'!$B$5,$A$1:$Z$1,0))&amp;""),""))</f>
        <v/>
      </c>
      <c r="AI5" s="41">
        <f>IF(LEN(AH5)&gt;0,MAX($AI$1:AI4)+1,"")</f>
        <v/>
      </c>
    </row>
    <row r="6">
      <c r="A6" s="39" t="inlineStr">
        <is>
          <t>EXAMPLE-05 (delete me)</t>
        </is>
      </c>
      <c r="B6" s="39" t="inlineStr">
        <is>
          <t>2027-01-02T15:14:40.000Z</t>
        </is>
      </c>
      <c r="C6" s="39" t="inlineStr">
        <is>
          <t>2027-01-02T15:11:05.000Z</t>
        </is>
      </c>
      <c r="D6" s="39" t="inlineStr">
        <is>
          <t>Newsletter</t>
        </is>
      </c>
      <c r="E6" s="39" t="inlineStr">
        <is>
          <t>More than 3 years</t>
        </is>
      </c>
      <c r="F6" s="39" t="n">
        <v>4</v>
      </c>
      <c r="G6" s="39" t="inlineStr">
        <is>
          <t>Home delivery</t>
        </is>
      </c>
      <c r="H6" s="39" t="n">
        <v>9</v>
      </c>
      <c r="I6" s="39" t="inlineStr">
        <is>
          <t>Delivery was late twice.</t>
        </is>
      </c>
      <c r="J6" s="39" t="n">
        <v>1</v>
      </c>
      <c r="AA6" s="40" t="n"/>
      <c r="AB6" s="41">
        <f>IF(TRIM('Counts'!$B$8&amp;"")="","",IFERROR(TRIM(INDEX($A6:$Z6,MATCH('Counts'!$B$8,$A$1:$Z$1,0))&amp;""),""))</f>
        <v/>
      </c>
      <c r="AC6" s="41">
        <f>IF(TRIM('Counts'!$B$26&amp;"")="","",IFERROR(TRIM(INDEX($A6:$Z6,MATCH('Counts'!$B$26,$A$1:$Z$1,0))&amp;""),""))</f>
        <v/>
      </c>
      <c r="AD6" s="41">
        <f>IF(TRIM('Counts'!$B$44&amp;"")="","",IFERROR(TRIM(INDEX($A6:$Z6,MATCH('Counts'!$B$44,$A$1:$Z$1,0))&amp;""),""))</f>
        <v/>
      </c>
      <c r="AE6" s="41">
        <f>IF(TRIM('Cross-tab'!$B$5&amp;"")="","",IFERROR(TRIM(INDEX($A6:$Z6,MATCH('Cross-tab'!$B$5,$A$1:$Z$1,0))&amp;""),""))</f>
        <v/>
      </c>
      <c r="AF6" s="41">
        <f>IF(TRIM('Cross-tab'!$B$7&amp;"")="","",IFERROR(TRIM(INDEX($A6:$Z6,MATCH('Cross-tab'!$B$7,$A$1:$Z$1,0))&amp;""),""))</f>
        <v/>
      </c>
      <c r="AG6" s="41">
        <f>IF(ISNUMBER(IFERROR(VALUE(IF(TRIM('Scale score'!$B$5&amp;"")="","",IFERROR(TRIM(INDEX($A6:$Z6,MATCH('Scale score'!$B$5,$A$1:$Z$1,0))&amp;""),""))),"")),IF(AND(IFERROR(VALUE(IF(TRIM('Scale score'!$B$5&amp;"")="","",IFERROR(TRIM(INDEX($A6:$Z6,MATCH('Scale score'!$B$5,$A$1:$Z$1,0))&amp;""),""))),"")&gt;='Scale score'!$B$6,IFERROR(VALUE(IF(TRIM('Scale score'!$B$5&amp;"")="","",IFERROR(TRIM(INDEX($A6:$Z6,MATCH('Scale score'!$B$5,$A$1:$Z$1,0))&amp;""),""))),"")&lt;='Scale score'!$B$7),IFERROR(VALUE(IF(TRIM('Scale score'!$B$5&amp;"")="","",IFERROR(TRIM(INDEX($A6:$Z6,MATCH('Scale score'!$B$5,$A$1:$Z$1,0))&amp;""),""))),""),""),"")</f>
        <v/>
      </c>
      <c r="AH6" s="41">
        <f>IF(TRIM('Open answers'!$B$5&amp;"")="","",IFERROR(TRIM(INDEX($A6:$Z6,MATCH('Open answers'!$B$5,$A$1:$Z$1,0))&amp;""),""))</f>
        <v/>
      </c>
      <c r="AI6" s="41">
        <f>IF(LEN(AH6)&gt;0,MAX($AI$1:AI5)+1,"")</f>
        <v/>
      </c>
    </row>
    <row r="7">
      <c r="A7" s="39" t="inlineStr">
        <is>
          <t>EXAMPLE-06 (delete me)</t>
        </is>
      </c>
      <c r="B7" s="39" t="inlineStr">
        <is>
          <t>2027-01-02T15:15:40.000Z</t>
        </is>
      </c>
      <c r="C7" s="39" t="inlineStr">
        <is>
          <t>2027-01-02T15:12:05.000Z</t>
        </is>
      </c>
      <c r="D7" s="39" t="inlineStr">
        <is>
          <t>Search engine</t>
        </is>
      </c>
      <c r="E7" s="39" t="inlineStr">
        <is>
          <t>1 to 3 years</t>
        </is>
      </c>
      <c r="F7" s="39" t="n">
        <v>2</v>
      </c>
      <c r="G7" s="39" t="inlineStr">
        <is>
          <t>Phone support</t>
        </is>
      </c>
      <c r="H7" s="39" t="n">
        <v>3</v>
      </c>
      <c r="I7" s="39" t="inlineStr">
        <is>
          <t>Phone support kept me on hold for 20 minutes.</t>
        </is>
      </c>
      <c r="J7" s="39" t="n">
        <v>1</v>
      </c>
      <c r="AA7" s="40" t="n"/>
      <c r="AB7" s="41">
        <f>IF(TRIM('Counts'!$B$8&amp;"")="","",IFERROR(TRIM(INDEX($A7:$Z7,MATCH('Counts'!$B$8,$A$1:$Z$1,0))&amp;""),""))</f>
        <v/>
      </c>
      <c r="AC7" s="41">
        <f>IF(TRIM('Counts'!$B$26&amp;"")="","",IFERROR(TRIM(INDEX($A7:$Z7,MATCH('Counts'!$B$26,$A$1:$Z$1,0))&amp;""),""))</f>
        <v/>
      </c>
      <c r="AD7" s="41">
        <f>IF(TRIM('Counts'!$B$44&amp;"")="","",IFERROR(TRIM(INDEX($A7:$Z7,MATCH('Counts'!$B$44,$A$1:$Z$1,0))&amp;""),""))</f>
        <v/>
      </c>
      <c r="AE7" s="41">
        <f>IF(TRIM('Cross-tab'!$B$5&amp;"")="","",IFERROR(TRIM(INDEX($A7:$Z7,MATCH('Cross-tab'!$B$5,$A$1:$Z$1,0))&amp;""),""))</f>
        <v/>
      </c>
      <c r="AF7" s="41">
        <f>IF(TRIM('Cross-tab'!$B$7&amp;"")="","",IFERROR(TRIM(INDEX($A7:$Z7,MATCH('Cross-tab'!$B$7,$A$1:$Z$1,0))&amp;""),""))</f>
        <v/>
      </c>
      <c r="AG7" s="41">
        <f>IF(ISNUMBER(IFERROR(VALUE(IF(TRIM('Scale score'!$B$5&amp;"")="","",IFERROR(TRIM(INDEX($A7:$Z7,MATCH('Scale score'!$B$5,$A$1:$Z$1,0))&amp;""),""))),"")),IF(AND(IFERROR(VALUE(IF(TRIM('Scale score'!$B$5&amp;"")="","",IFERROR(TRIM(INDEX($A7:$Z7,MATCH('Scale score'!$B$5,$A$1:$Z$1,0))&amp;""),""))),"")&gt;='Scale score'!$B$6,IFERROR(VALUE(IF(TRIM('Scale score'!$B$5&amp;"")="","",IFERROR(TRIM(INDEX($A7:$Z7,MATCH('Scale score'!$B$5,$A$1:$Z$1,0))&amp;""),""))),"")&lt;='Scale score'!$B$7),IFERROR(VALUE(IF(TRIM('Scale score'!$B$5&amp;"")="","",IFERROR(TRIM(INDEX($A7:$Z7,MATCH('Scale score'!$B$5,$A$1:$Z$1,0))&amp;""),""))),""),""),"")</f>
        <v/>
      </c>
      <c r="AH7" s="41">
        <f>IF(TRIM('Open answers'!$B$5&amp;"")="","",IFERROR(TRIM(INDEX($A7:$Z7,MATCH('Open answers'!$B$5,$A$1:$Z$1,0))&amp;""),""))</f>
        <v/>
      </c>
      <c r="AI7" s="41">
        <f>IF(LEN(AH7)&gt;0,MAX($AI$1:AI6)+1,"")</f>
        <v/>
      </c>
    </row>
    <row r="8">
      <c r="A8" s="39" t="inlineStr">
        <is>
          <t>EXAMPLE-07 (delete me)</t>
        </is>
      </c>
      <c r="B8" s="39" t="inlineStr">
        <is>
          <t>2027-01-03T15:16:40.000Z</t>
        </is>
      </c>
      <c r="C8" s="39" t="inlineStr">
        <is>
          <t>2027-01-03T15:13:05.000Z</t>
        </is>
      </c>
      <c r="D8" s="39" t="inlineStr">
        <is>
          <t>Friend or colleague</t>
        </is>
      </c>
      <c r="E8" s="39" t="inlineStr">
        <is>
          <t>Less than a year</t>
        </is>
      </c>
      <c r="F8" s="39" t="n">
        <v>4</v>
      </c>
      <c r="G8" s="39" t="inlineStr">
        <is>
          <t>Online orders, In-store pickup</t>
        </is>
      </c>
      <c r="H8" s="39" t="n">
        <v>8</v>
      </c>
      <c r="I8" s="39" t="inlineStr">
        <is>
          <t>Nothing, keep it up.</t>
        </is>
      </c>
      <c r="J8" s="39" t="n">
        <v>1</v>
      </c>
      <c r="AA8" s="40" t="n"/>
      <c r="AB8" s="41">
        <f>IF(TRIM('Counts'!$B$8&amp;"")="","",IFERROR(TRIM(INDEX($A8:$Z8,MATCH('Counts'!$B$8,$A$1:$Z$1,0))&amp;""),""))</f>
        <v/>
      </c>
      <c r="AC8" s="41">
        <f>IF(TRIM('Counts'!$B$26&amp;"")="","",IFERROR(TRIM(INDEX($A8:$Z8,MATCH('Counts'!$B$26,$A$1:$Z$1,0))&amp;""),""))</f>
        <v/>
      </c>
      <c r="AD8" s="41">
        <f>IF(TRIM('Counts'!$B$44&amp;"")="","",IFERROR(TRIM(INDEX($A8:$Z8,MATCH('Counts'!$B$44,$A$1:$Z$1,0))&amp;""),""))</f>
        <v/>
      </c>
      <c r="AE8" s="41">
        <f>IF(TRIM('Cross-tab'!$B$5&amp;"")="","",IFERROR(TRIM(INDEX($A8:$Z8,MATCH('Cross-tab'!$B$5,$A$1:$Z$1,0))&amp;""),""))</f>
        <v/>
      </c>
      <c r="AF8" s="41">
        <f>IF(TRIM('Cross-tab'!$B$7&amp;"")="","",IFERROR(TRIM(INDEX($A8:$Z8,MATCH('Cross-tab'!$B$7,$A$1:$Z$1,0))&amp;""),""))</f>
        <v/>
      </c>
      <c r="AG8" s="41">
        <f>IF(ISNUMBER(IFERROR(VALUE(IF(TRIM('Scale score'!$B$5&amp;"")="","",IFERROR(TRIM(INDEX($A8:$Z8,MATCH('Scale score'!$B$5,$A$1:$Z$1,0))&amp;""),""))),"")),IF(AND(IFERROR(VALUE(IF(TRIM('Scale score'!$B$5&amp;"")="","",IFERROR(TRIM(INDEX($A8:$Z8,MATCH('Scale score'!$B$5,$A$1:$Z$1,0))&amp;""),""))),"")&gt;='Scale score'!$B$6,IFERROR(VALUE(IF(TRIM('Scale score'!$B$5&amp;"")="","",IFERROR(TRIM(INDEX($A8:$Z8,MATCH('Scale score'!$B$5,$A$1:$Z$1,0))&amp;""),""))),"")&lt;='Scale score'!$B$7),IFERROR(VALUE(IF(TRIM('Scale score'!$B$5&amp;"")="","",IFERROR(TRIM(INDEX($A8:$Z8,MATCH('Scale score'!$B$5,$A$1:$Z$1,0))&amp;""),""))),""),""),"")</f>
        <v/>
      </c>
      <c r="AH8" s="41">
        <f>IF(TRIM('Open answers'!$B$5&amp;"")="","",IFERROR(TRIM(INDEX($A8:$Z8,MATCH('Open answers'!$B$5,$A$1:$Z$1,0))&amp;""),""))</f>
        <v/>
      </c>
      <c r="AI8" s="41">
        <f>IF(LEN(AH8)&gt;0,MAX($AI$1:AI7)+1,"")</f>
        <v/>
      </c>
    </row>
    <row r="9">
      <c r="A9" s="39" t="inlineStr">
        <is>
          <t>EXAMPLE-08 (delete me)</t>
        </is>
      </c>
      <c r="B9" s="39" t="inlineStr">
        <is>
          <t>2027-01-03T15:17:40.000Z</t>
        </is>
      </c>
      <c r="C9" s="39" t="inlineStr">
        <is>
          <t>2027-01-03T15:14:05.000Z</t>
        </is>
      </c>
      <c r="D9" s="39" t="inlineStr">
        <is>
          <t>Local event</t>
        </is>
      </c>
      <c r="E9" s="39" t="inlineStr">
        <is>
          <t>1 to 3 years</t>
        </is>
      </c>
      <c r="F9" s="39" t="n">
        <v>5</v>
      </c>
      <c r="G9" s="39" t="inlineStr">
        <is>
          <t>In-store pickup</t>
        </is>
      </c>
      <c r="H9" s="39" t="n">
        <v>10</v>
      </c>
      <c r="I9" s="39" t="n"/>
      <c r="J9" s="39" t="n">
        <v>1</v>
      </c>
      <c r="AA9" s="40" t="n"/>
      <c r="AB9" s="41">
        <f>IF(TRIM('Counts'!$B$8&amp;"")="","",IFERROR(TRIM(INDEX($A9:$Z9,MATCH('Counts'!$B$8,$A$1:$Z$1,0))&amp;""),""))</f>
        <v/>
      </c>
      <c r="AC9" s="41">
        <f>IF(TRIM('Counts'!$B$26&amp;"")="","",IFERROR(TRIM(INDEX($A9:$Z9,MATCH('Counts'!$B$26,$A$1:$Z$1,0))&amp;""),""))</f>
        <v/>
      </c>
      <c r="AD9" s="41">
        <f>IF(TRIM('Counts'!$B$44&amp;"")="","",IFERROR(TRIM(INDEX($A9:$Z9,MATCH('Counts'!$B$44,$A$1:$Z$1,0))&amp;""),""))</f>
        <v/>
      </c>
      <c r="AE9" s="41">
        <f>IF(TRIM('Cross-tab'!$B$5&amp;"")="","",IFERROR(TRIM(INDEX($A9:$Z9,MATCH('Cross-tab'!$B$5,$A$1:$Z$1,0))&amp;""),""))</f>
        <v/>
      </c>
      <c r="AF9" s="41">
        <f>IF(TRIM('Cross-tab'!$B$7&amp;"")="","",IFERROR(TRIM(INDEX($A9:$Z9,MATCH('Cross-tab'!$B$7,$A$1:$Z$1,0))&amp;""),""))</f>
        <v/>
      </c>
      <c r="AG9" s="41">
        <f>IF(ISNUMBER(IFERROR(VALUE(IF(TRIM('Scale score'!$B$5&amp;"")="","",IFERROR(TRIM(INDEX($A9:$Z9,MATCH('Scale score'!$B$5,$A$1:$Z$1,0))&amp;""),""))),"")),IF(AND(IFERROR(VALUE(IF(TRIM('Scale score'!$B$5&amp;"")="","",IFERROR(TRIM(INDEX($A9:$Z9,MATCH('Scale score'!$B$5,$A$1:$Z$1,0))&amp;""),""))),"")&gt;='Scale score'!$B$6,IFERROR(VALUE(IF(TRIM('Scale score'!$B$5&amp;"")="","",IFERROR(TRIM(INDEX($A9:$Z9,MATCH('Scale score'!$B$5,$A$1:$Z$1,0))&amp;""),""))),"")&lt;='Scale score'!$B$7),IFERROR(VALUE(IF(TRIM('Scale score'!$B$5&amp;"")="","",IFERROR(TRIM(INDEX($A9:$Z9,MATCH('Scale score'!$B$5,$A$1:$Z$1,0))&amp;""),""))),""),""),"")</f>
        <v/>
      </c>
      <c r="AH9" s="41">
        <f>IF(TRIM('Open answers'!$B$5&amp;"")="","",IFERROR(TRIM(INDEX($A9:$Z9,MATCH('Open answers'!$B$5,$A$1:$Z$1,0))&amp;""),""))</f>
        <v/>
      </c>
      <c r="AI9" s="41">
        <f>IF(LEN(AH9)&gt;0,MAX($AI$1:AI8)+1,"")</f>
        <v/>
      </c>
    </row>
    <row r="10">
      <c r="A10" s="39" t="inlineStr">
        <is>
          <t>EXAMPLE-09 (delete me)</t>
        </is>
      </c>
      <c r="B10" s="39" t="inlineStr">
        <is>
          <t>2027-01-03T15:18:40.000Z</t>
        </is>
      </c>
      <c r="C10" s="39" t="inlineStr">
        <is>
          <t>2027-01-03T15:15:05.000Z</t>
        </is>
      </c>
      <c r="D10" s="39" t="inlineStr">
        <is>
          <t>Social media</t>
        </is>
      </c>
      <c r="E10" s="39" t="inlineStr">
        <is>
          <t>Less than a year</t>
        </is>
      </c>
      <c r="F10" s="39" t="n">
        <v>3</v>
      </c>
      <c r="G10" s="39" t="inlineStr">
        <is>
          <t>Online orders</t>
        </is>
      </c>
      <c r="H10" s="39" t="n">
        <v>7</v>
      </c>
      <c r="I10" s="39" t="inlineStr">
        <is>
          <t>The checkout is slow on my phone.</t>
        </is>
      </c>
      <c r="J10" s="39" t="n">
        <v>1</v>
      </c>
      <c r="AA10" s="40" t="n"/>
      <c r="AB10" s="41">
        <f>IF(TRIM('Counts'!$B$8&amp;"")="","",IFERROR(TRIM(INDEX($A10:$Z10,MATCH('Counts'!$B$8,$A$1:$Z$1,0))&amp;""),""))</f>
        <v/>
      </c>
      <c r="AC10" s="41">
        <f>IF(TRIM('Counts'!$B$26&amp;"")="","",IFERROR(TRIM(INDEX($A10:$Z10,MATCH('Counts'!$B$26,$A$1:$Z$1,0))&amp;""),""))</f>
        <v/>
      </c>
      <c r="AD10" s="41">
        <f>IF(TRIM('Counts'!$B$44&amp;"")="","",IFERROR(TRIM(INDEX($A10:$Z10,MATCH('Counts'!$B$44,$A$1:$Z$1,0))&amp;""),""))</f>
        <v/>
      </c>
      <c r="AE10" s="41">
        <f>IF(TRIM('Cross-tab'!$B$5&amp;"")="","",IFERROR(TRIM(INDEX($A10:$Z10,MATCH('Cross-tab'!$B$5,$A$1:$Z$1,0))&amp;""),""))</f>
        <v/>
      </c>
      <c r="AF10" s="41">
        <f>IF(TRIM('Cross-tab'!$B$7&amp;"")="","",IFERROR(TRIM(INDEX($A10:$Z10,MATCH('Cross-tab'!$B$7,$A$1:$Z$1,0))&amp;""),""))</f>
        <v/>
      </c>
      <c r="AG10" s="41">
        <f>IF(ISNUMBER(IFERROR(VALUE(IF(TRIM('Scale score'!$B$5&amp;"")="","",IFERROR(TRIM(INDEX($A10:$Z10,MATCH('Scale score'!$B$5,$A$1:$Z$1,0))&amp;""),""))),"")),IF(AND(IFERROR(VALUE(IF(TRIM('Scale score'!$B$5&amp;"")="","",IFERROR(TRIM(INDEX($A10:$Z10,MATCH('Scale score'!$B$5,$A$1:$Z$1,0))&amp;""),""))),"")&gt;='Scale score'!$B$6,IFERROR(VALUE(IF(TRIM('Scale score'!$B$5&amp;"")="","",IFERROR(TRIM(INDEX($A10:$Z10,MATCH('Scale score'!$B$5,$A$1:$Z$1,0))&amp;""),""))),"")&lt;='Scale score'!$B$7),IFERROR(VALUE(IF(TRIM('Scale score'!$B$5&amp;"")="","",IFERROR(TRIM(INDEX($A10:$Z10,MATCH('Scale score'!$B$5,$A$1:$Z$1,0))&amp;""),""))),""),""),"")</f>
        <v/>
      </c>
      <c r="AH10" s="41">
        <f>IF(TRIM('Open answers'!$B$5&amp;"")="","",IFERROR(TRIM(INDEX($A10:$Z10,MATCH('Open answers'!$B$5,$A$1:$Z$1,0))&amp;""),""))</f>
        <v/>
      </c>
      <c r="AI10" s="41">
        <f>IF(LEN(AH10)&gt;0,MAX($AI$1:AI9)+1,"")</f>
        <v/>
      </c>
    </row>
    <row r="11">
      <c r="A11" s="39" t="inlineStr">
        <is>
          <t>EXAMPLE-10 (delete me)</t>
        </is>
      </c>
      <c r="B11" s="39" t="inlineStr">
        <is>
          <t>2027-01-04T15:19:40.000Z</t>
        </is>
      </c>
      <c r="C11" s="39" t="inlineStr">
        <is>
          <t>2027-01-04T15:16:05.000Z</t>
        </is>
      </c>
      <c r="D11" s="39" t="inlineStr">
        <is>
          <t>Search engine</t>
        </is>
      </c>
      <c r="E11" s="39" t="inlineStr">
        <is>
          <t>More than 3 years</t>
        </is>
      </c>
      <c r="F11" s="39" t="n">
        <v>4</v>
      </c>
      <c r="G11" s="39" t="inlineStr">
        <is>
          <t>Online orders, Home delivery</t>
        </is>
      </c>
      <c r="H11" s="39" t="n">
        <v>8</v>
      </c>
      <c r="I11" s="39" t="inlineStr">
        <is>
          <t>Cheaper delivery fees.</t>
        </is>
      </c>
      <c r="J11" s="39" t="n">
        <v>1</v>
      </c>
      <c r="AA11" s="40" t="n"/>
      <c r="AB11" s="41">
        <f>IF(TRIM('Counts'!$B$8&amp;"")="","",IFERROR(TRIM(INDEX($A11:$Z11,MATCH('Counts'!$B$8,$A$1:$Z$1,0))&amp;""),""))</f>
        <v/>
      </c>
      <c r="AC11" s="41">
        <f>IF(TRIM('Counts'!$B$26&amp;"")="","",IFERROR(TRIM(INDEX($A11:$Z11,MATCH('Counts'!$B$26,$A$1:$Z$1,0))&amp;""),""))</f>
        <v/>
      </c>
      <c r="AD11" s="41">
        <f>IF(TRIM('Counts'!$B$44&amp;"")="","",IFERROR(TRIM(INDEX($A11:$Z11,MATCH('Counts'!$B$44,$A$1:$Z$1,0))&amp;""),""))</f>
        <v/>
      </c>
      <c r="AE11" s="41">
        <f>IF(TRIM('Cross-tab'!$B$5&amp;"")="","",IFERROR(TRIM(INDEX($A11:$Z11,MATCH('Cross-tab'!$B$5,$A$1:$Z$1,0))&amp;""),""))</f>
        <v/>
      </c>
      <c r="AF11" s="41">
        <f>IF(TRIM('Cross-tab'!$B$7&amp;"")="","",IFERROR(TRIM(INDEX($A11:$Z11,MATCH('Cross-tab'!$B$7,$A$1:$Z$1,0))&amp;""),""))</f>
        <v/>
      </c>
      <c r="AG11" s="41">
        <f>IF(ISNUMBER(IFERROR(VALUE(IF(TRIM('Scale score'!$B$5&amp;"")="","",IFERROR(TRIM(INDEX($A11:$Z11,MATCH('Scale score'!$B$5,$A$1:$Z$1,0))&amp;""),""))),"")),IF(AND(IFERROR(VALUE(IF(TRIM('Scale score'!$B$5&amp;"")="","",IFERROR(TRIM(INDEX($A11:$Z11,MATCH('Scale score'!$B$5,$A$1:$Z$1,0))&amp;""),""))),"")&gt;='Scale score'!$B$6,IFERROR(VALUE(IF(TRIM('Scale score'!$B$5&amp;"")="","",IFERROR(TRIM(INDEX($A11:$Z11,MATCH('Scale score'!$B$5,$A$1:$Z$1,0))&amp;""),""))),"")&lt;='Scale score'!$B$7),IFERROR(VALUE(IF(TRIM('Scale score'!$B$5&amp;"")="","",IFERROR(TRIM(INDEX($A11:$Z11,MATCH('Scale score'!$B$5,$A$1:$Z$1,0))&amp;""),""))),""),""),"")</f>
        <v/>
      </c>
      <c r="AH11" s="41">
        <f>IF(TRIM('Open answers'!$B$5&amp;"")="","",IFERROR(TRIM(INDEX($A11:$Z11,MATCH('Open answers'!$B$5,$A$1:$Z$1,0))&amp;""),""))</f>
        <v/>
      </c>
      <c r="AI11" s="41">
        <f>IF(LEN(AH11)&gt;0,MAX($AI$1:AI10)+1,"")</f>
        <v/>
      </c>
    </row>
    <row r="12">
      <c r="A12" s="39" t="inlineStr">
        <is>
          <t>EXAMPLE-11 (delete me)</t>
        </is>
      </c>
      <c r="B12" s="39" t="inlineStr">
        <is>
          <t>2027-01-04T15:20:40.000Z</t>
        </is>
      </c>
      <c r="C12" s="39" t="inlineStr">
        <is>
          <t>2027-01-04T15:17:05.000Z</t>
        </is>
      </c>
      <c r="D12" s="39" t="inlineStr">
        <is>
          <t>Friend or colleague</t>
        </is>
      </c>
      <c r="E12" s="39" t="inlineStr">
        <is>
          <t>1 to 3 years</t>
        </is>
      </c>
      <c r="F12" s="39" t="n">
        <v>5</v>
      </c>
      <c r="G12" s="39" t="inlineStr">
        <is>
          <t>Home delivery</t>
        </is>
      </c>
      <c r="H12" s="39" t="n">
        <v>9</v>
      </c>
      <c r="I12" s="39" t="n"/>
      <c r="J12" s="39" t="n">
        <v>1</v>
      </c>
      <c r="AA12" s="40" t="n"/>
      <c r="AB12" s="41">
        <f>IF(TRIM('Counts'!$B$8&amp;"")="","",IFERROR(TRIM(INDEX($A12:$Z12,MATCH('Counts'!$B$8,$A$1:$Z$1,0))&amp;""),""))</f>
        <v/>
      </c>
      <c r="AC12" s="41">
        <f>IF(TRIM('Counts'!$B$26&amp;"")="","",IFERROR(TRIM(INDEX($A12:$Z12,MATCH('Counts'!$B$26,$A$1:$Z$1,0))&amp;""),""))</f>
        <v/>
      </c>
      <c r="AD12" s="41">
        <f>IF(TRIM('Counts'!$B$44&amp;"")="","",IFERROR(TRIM(INDEX($A12:$Z12,MATCH('Counts'!$B$44,$A$1:$Z$1,0))&amp;""),""))</f>
        <v/>
      </c>
      <c r="AE12" s="41">
        <f>IF(TRIM('Cross-tab'!$B$5&amp;"")="","",IFERROR(TRIM(INDEX($A12:$Z12,MATCH('Cross-tab'!$B$5,$A$1:$Z$1,0))&amp;""),""))</f>
        <v/>
      </c>
      <c r="AF12" s="41">
        <f>IF(TRIM('Cross-tab'!$B$7&amp;"")="","",IFERROR(TRIM(INDEX($A12:$Z12,MATCH('Cross-tab'!$B$7,$A$1:$Z$1,0))&amp;""),""))</f>
        <v/>
      </c>
      <c r="AG12" s="41">
        <f>IF(ISNUMBER(IFERROR(VALUE(IF(TRIM('Scale score'!$B$5&amp;"")="","",IFERROR(TRIM(INDEX($A12:$Z12,MATCH('Scale score'!$B$5,$A$1:$Z$1,0))&amp;""),""))),"")),IF(AND(IFERROR(VALUE(IF(TRIM('Scale score'!$B$5&amp;"")="","",IFERROR(TRIM(INDEX($A12:$Z12,MATCH('Scale score'!$B$5,$A$1:$Z$1,0))&amp;""),""))),"")&gt;='Scale score'!$B$6,IFERROR(VALUE(IF(TRIM('Scale score'!$B$5&amp;"")="","",IFERROR(TRIM(INDEX($A12:$Z12,MATCH('Scale score'!$B$5,$A$1:$Z$1,0))&amp;""),""))),"")&lt;='Scale score'!$B$7),IFERROR(VALUE(IF(TRIM('Scale score'!$B$5&amp;"")="","",IFERROR(TRIM(INDEX($A12:$Z12,MATCH('Scale score'!$B$5,$A$1:$Z$1,0))&amp;""),""))),""),""),"")</f>
        <v/>
      </c>
      <c r="AH12" s="41">
        <f>IF(TRIM('Open answers'!$B$5&amp;"")="","",IFERROR(TRIM(INDEX($A12:$Z12,MATCH('Open answers'!$B$5,$A$1:$Z$1,0))&amp;""),""))</f>
        <v/>
      </c>
      <c r="AI12" s="41">
        <f>IF(LEN(AH12)&gt;0,MAX($AI$1:AI11)+1,"")</f>
        <v/>
      </c>
    </row>
    <row r="13">
      <c r="A13" s="39" t="inlineStr">
        <is>
          <t>EXAMPLE-12 (delete me)</t>
        </is>
      </c>
      <c r="B13" s="39" t="inlineStr">
        <is>
          <t>2027-01-04T15:21:40.000Z</t>
        </is>
      </c>
      <c r="C13" s="39" t="inlineStr">
        <is>
          <t>2027-01-04T15:18:05.000Z</t>
        </is>
      </c>
      <c r="D13" s="39" t="inlineStr">
        <is>
          <t>Newsletter</t>
        </is>
      </c>
      <c r="E13" s="39" t="inlineStr">
        <is>
          <t>More than 3 years</t>
        </is>
      </c>
      <c r="F13" s="39" t="n">
        <v>1</v>
      </c>
      <c r="G13" s="39" t="inlineStr">
        <is>
          <t>Phone support</t>
        </is>
      </c>
      <c r="H13" s="39" t="n">
        <v>2</v>
      </c>
      <c r="I13" s="39" t="inlineStr">
        <is>
          <t>Nobody called me back about my refund.</t>
        </is>
      </c>
      <c r="J13" s="39" t="n">
        <v>1</v>
      </c>
      <c r="AA13" s="40" t="n"/>
      <c r="AB13" s="41">
        <f>IF(TRIM('Counts'!$B$8&amp;"")="","",IFERROR(TRIM(INDEX($A13:$Z13,MATCH('Counts'!$B$8,$A$1:$Z$1,0))&amp;""),""))</f>
        <v/>
      </c>
      <c r="AC13" s="41">
        <f>IF(TRIM('Counts'!$B$26&amp;"")="","",IFERROR(TRIM(INDEX($A13:$Z13,MATCH('Counts'!$B$26,$A$1:$Z$1,0))&amp;""),""))</f>
        <v/>
      </c>
      <c r="AD13" s="41">
        <f>IF(TRIM('Counts'!$B$44&amp;"")="","",IFERROR(TRIM(INDEX($A13:$Z13,MATCH('Counts'!$B$44,$A$1:$Z$1,0))&amp;""),""))</f>
        <v/>
      </c>
      <c r="AE13" s="41">
        <f>IF(TRIM('Cross-tab'!$B$5&amp;"")="","",IFERROR(TRIM(INDEX($A13:$Z13,MATCH('Cross-tab'!$B$5,$A$1:$Z$1,0))&amp;""),""))</f>
        <v/>
      </c>
      <c r="AF13" s="41">
        <f>IF(TRIM('Cross-tab'!$B$7&amp;"")="","",IFERROR(TRIM(INDEX($A13:$Z13,MATCH('Cross-tab'!$B$7,$A$1:$Z$1,0))&amp;""),""))</f>
        <v/>
      </c>
      <c r="AG13" s="41">
        <f>IF(ISNUMBER(IFERROR(VALUE(IF(TRIM('Scale score'!$B$5&amp;"")="","",IFERROR(TRIM(INDEX($A13:$Z13,MATCH('Scale score'!$B$5,$A$1:$Z$1,0))&amp;""),""))),"")),IF(AND(IFERROR(VALUE(IF(TRIM('Scale score'!$B$5&amp;"")="","",IFERROR(TRIM(INDEX($A13:$Z13,MATCH('Scale score'!$B$5,$A$1:$Z$1,0))&amp;""),""))),"")&gt;='Scale score'!$B$6,IFERROR(VALUE(IF(TRIM('Scale score'!$B$5&amp;"")="","",IFERROR(TRIM(INDEX($A13:$Z13,MATCH('Scale score'!$B$5,$A$1:$Z$1,0))&amp;""),""))),"")&lt;='Scale score'!$B$7),IFERROR(VALUE(IF(TRIM('Scale score'!$B$5&amp;"")="","",IFERROR(TRIM(INDEX($A13:$Z13,MATCH('Scale score'!$B$5,$A$1:$Z$1,0))&amp;""),""))),""),""),"")</f>
        <v/>
      </c>
      <c r="AH13" s="41">
        <f>IF(TRIM('Open answers'!$B$5&amp;"")="","",IFERROR(TRIM(INDEX($A13:$Z13,MATCH('Open answers'!$B$5,$A$1:$Z$1,0))&amp;""),""))</f>
        <v/>
      </c>
      <c r="AI13" s="41">
        <f>IF(LEN(AH13)&gt;0,MAX($AI$1:AI12)+1,"")</f>
        <v/>
      </c>
    </row>
    <row r="14">
      <c r="A14" s="39" t="inlineStr">
        <is>
          <t>EXAMPLE-13 (delete me)</t>
        </is>
      </c>
      <c r="B14" s="39" t="inlineStr">
        <is>
          <t>2027-01-05T15:22:40.000Z</t>
        </is>
      </c>
      <c r="C14" s="39" t="inlineStr">
        <is>
          <t>2027-01-05T15:19:05.000Z</t>
        </is>
      </c>
      <c r="D14" s="39" t="inlineStr">
        <is>
          <t>Social media</t>
        </is>
      </c>
      <c r="E14" s="39" t="inlineStr">
        <is>
          <t>Less than a year</t>
        </is>
      </c>
      <c r="F14" s="39" t="n">
        <v>4</v>
      </c>
      <c r="G14" s="39" t="inlineStr">
        <is>
          <t>Online orders</t>
        </is>
      </c>
      <c r="H14" s="39" t="n">
        <v>8</v>
      </c>
      <c r="I14" s="39" t="inlineStr">
        <is>
          <t>More items in stock.</t>
        </is>
      </c>
      <c r="J14" s="39" t="n">
        <v>1</v>
      </c>
      <c r="AA14" s="40" t="n"/>
      <c r="AB14" s="41">
        <f>IF(TRIM('Counts'!$B$8&amp;"")="","",IFERROR(TRIM(INDEX($A14:$Z14,MATCH('Counts'!$B$8,$A$1:$Z$1,0))&amp;""),""))</f>
        <v/>
      </c>
      <c r="AC14" s="41">
        <f>IF(TRIM('Counts'!$B$26&amp;"")="","",IFERROR(TRIM(INDEX($A14:$Z14,MATCH('Counts'!$B$26,$A$1:$Z$1,0))&amp;""),""))</f>
        <v/>
      </c>
      <c r="AD14" s="41">
        <f>IF(TRIM('Counts'!$B$44&amp;"")="","",IFERROR(TRIM(INDEX($A14:$Z14,MATCH('Counts'!$B$44,$A$1:$Z$1,0))&amp;""),""))</f>
        <v/>
      </c>
      <c r="AE14" s="41">
        <f>IF(TRIM('Cross-tab'!$B$5&amp;"")="","",IFERROR(TRIM(INDEX($A14:$Z14,MATCH('Cross-tab'!$B$5,$A$1:$Z$1,0))&amp;""),""))</f>
        <v/>
      </c>
      <c r="AF14" s="41">
        <f>IF(TRIM('Cross-tab'!$B$7&amp;"")="","",IFERROR(TRIM(INDEX($A14:$Z14,MATCH('Cross-tab'!$B$7,$A$1:$Z$1,0))&amp;""),""))</f>
        <v/>
      </c>
      <c r="AG14" s="41">
        <f>IF(ISNUMBER(IFERROR(VALUE(IF(TRIM('Scale score'!$B$5&amp;"")="","",IFERROR(TRIM(INDEX($A14:$Z14,MATCH('Scale score'!$B$5,$A$1:$Z$1,0))&amp;""),""))),"")),IF(AND(IFERROR(VALUE(IF(TRIM('Scale score'!$B$5&amp;"")="","",IFERROR(TRIM(INDEX($A14:$Z14,MATCH('Scale score'!$B$5,$A$1:$Z$1,0))&amp;""),""))),"")&gt;='Scale score'!$B$6,IFERROR(VALUE(IF(TRIM('Scale score'!$B$5&amp;"")="","",IFERROR(TRIM(INDEX($A14:$Z14,MATCH('Scale score'!$B$5,$A$1:$Z$1,0))&amp;""),""))),"")&lt;='Scale score'!$B$7),IFERROR(VALUE(IF(TRIM('Scale score'!$B$5&amp;"")="","",IFERROR(TRIM(INDEX($A14:$Z14,MATCH('Scale score'!$B$5,$A$1:$Z$1,0))&amp;""),""))),""),""),"")</f>
        <v/>
      </c>
      <c r="AH14" s="41">
        <f>IF(TRIM('Open answers'!$B$5&amp;"")="","",IFERROR(TRIM(INDEX($A14:$Z14,MATCH('Open answers'!$B$5,$A$1:$Z$1,0))&amp;""),""))</f>
        <v/>
      </c>
      <c r="AI14" s="41">
        <f>IF(LEN(AH14)&gt;0,MAX($AI$1:AI13)+1,"")</f>
        <v/>
      </c>
    </row>
    <row r="15">
      <c r="A15" s="39" t="inlineStr">
        <is>
          <t>EXAMPLE-14 (delete me)</t>
        </is>
      </c>
      <c r="B15" s="39" t="inlineStr">
        <is>
          <t>2027-01-05T15:23:40.000Z</t>
        </is>
      </c>
      <c r="C15" s="39" t="inlineStr">
        <is>
          <t>2027-01-05T15:20:05.000Z</t>
        </is>
      </c>
      <c r="D15" s="39" t="inlineStr">
        <is>
          <t>Friend or colleague</t>
        </is>
      </c>
      <c r="E15" s="39" t="inlineStr">
        <is>
          <t>More than 3 years</t>
        </is>
      </c>
      <c r="F15" s="39" t="n">
        <v>5</v>
      </c>
      <c r="G15" s="39" t="inlineStr">
        <is>
          <t>Online orders, In-store pickup</t>
        </is>
      </c>
      <c r="H15" s="39" t="n">
        <v>10</v>
      </c>
      <c r="I15" s="39" t="inlineStr">
        <is>
          <t>Nothing to change.</t>
        </is>
      </c>
      <c r="J15" s="39" t="n">
        <v>1</v>
      </c>
      <c r="AA15" s="40" t="n"/>
      <c r="AB15" s="41">
        <f>IF(TRIM('Counts'!$B$8&amp;"")="","",IFERROR(TRIM(INDEX($A15:$Z15,MATCH('Counts'!$B$8,$A$1:$Z$1,0))&amp;""),""))</f>
        <v/>
      </c>
      <c r="AC15" s="41">
        <f>IF(TRIM('Counts'!$B$26&amp;"")="","",IFERROR(TRIM(INDEX($A15:$Z15,MATCH('Counts'!$B$26,$A$1:$Z$1,0))&amp;""),""))</f>
        <v/>
      </c>
      <c r="AD15" s="41">
        <f>IF(TRIM('Counts'!$B$44&amp;"")="","",IFERROR(TRIM(INDEX($A15:$Z15,MATCH('Counts'!$B$44,$A$1:$Z$1,0))&amp;""),""))</f>
        <v/>
      </c>
      <c r="AE15" s="41">
        <f>IF(TRIM('Cross-tab'!$B$5&amp;"")="","",IFERROR(TRIM(INDEX($A15:$Z15,MATCH('Cross-tab'!$B$5,$A$1:$Z$1,0))&amp;""),""))</f>
        <v/>
      </c>
      <c r="AF15" s="41">
        <f>IF(TRIM('Cross-tab'!$B$7&amp;"")="","",IFERROR(TRIM(INDEX($A15:$Z15,MATCH('Cross-tab'!$B$7,$A$1:$Z$1,0))&amp;""),""))</f>
        <v/>
      </c>
      <c r="AG15" s="41">
        <f>IF(ISNUMBER(IFERROR(VALUE(IF(TRIM('Scale score'!$B$5&amp;"")="","",IFERROR(TRIM(INDEX($A15:$Z15,MATCH('Scale score'!$B$5,$A$1:$Z$1,0))&amp;""),""))),"")),IF(AND(IFERROR(VALUE(IF(TRIM('Scale score'!$B$5&amp;"")="","",IFERROR(TRIM(INDEX($A15:$Z15,MATCH('Scale score'!$B$5,$A$1:$Z$1,0))&amp;""),""))),"")&gt;='Scale score'!$B$6,IFERROR(VALUE(IF(TRIM('Scale score'!$B$5&amp;"")="","",IFERROR(TRIM(INDEX($A15:$Z15,MATCH('Scale score'!$B$5,$A$1:$Z$1,0))&amp;""),""))),"")&lt;='Scale score'!$B$7),IFERROR(VALUE(IF(TRIM('Scale score'!$B$5&amp;"")="","",IFERROR(TRIM(INDEX($A15:$Z15,MATCH('Scale score'!$B$5,$A$1:$Z$1,0))&amp;""),""))),""),""),"")</f>
        <v/>
      </c>
      <c r="AH15" s="41">
        <f>IF(TRIM('Open answers'!$B$5&amp;"")="","",IFERROR(TRIM(INDEX($A15:$Z15,MATCH('Open answers'!$B$5,$A$1:$Z$1,0))&amp;""),""))</f>
        <v/>
      </c>
      <c r="AI15" s="41">
        <f>IF(LEN(AH15)&gt;0,MAX($AI$1:AI14)+1,"")</f>
        <v/>
      </c>
    </row>
    <row r="16">
      <c r="A16" s="39" t="inlineStr">
        <is>
          <t>EXAMPLE-15 (delete me)</t>
        </is>
      </c>
      <c r="B16" s="39" t="inlineStr">
        <is>
          <t>2027-01-05T15:24:40.000Z</t>
        </is>
      </c>
      <c r="C16" s="39" t="inlineStr">
        <is>
          <t>2027-01-05T15:21:05.000Z</t>
        </is>
      </c>
      <c r="D16" s="39" t="inlineStr">
        <is>
          <t>Search engine</t>
        </is>
      </c>
      <c r="E16" s="39" t="inlineStr">
        <is>
          <t>1 to 3 years</t>
        </is>
      </c>
      <c r="F16" s="39" t="n">
        <v>3</v>
      </c>
      <c r="G16" s="39" t="inlineStr">
        <is>
          <t>Home delivery</t>
        </is>
      </c>
      <c r="H16" s="39" t="n">
        <v>6</v>
      </c>
      <c r="I16" s="39" t="inlineStr">
        <is>
          <t>Delivery windows are too wide.</t>
        </is>
      </c>
      <c r="J16" s="39" t="n">
        <v>1</v>
      </c>
      <c r="AA16" s="40" t="n"/>
      <c r="AB16" s="41">
        <f>IF(TRIM('Counts'!$B$8&amp;"")="","",IFERROR(TRIM(INDEX($A16:$Z16,MATCH('Counts'!$B$8,$A$1:$Z$1,0))&amp;""),""))</f>
        <v/>
      </c>
      <c r="AC16" s="41">
        <f>IF(TRIM('Counts'!$B$26&amp;"")="","",IFERROR(TRIM(INDEX($A16:$Z16,MATCH('Counts'!$B$26,$A$1:$Z$1,0))&amp;""),""))</f>
        <v/>
      </c>
      <c r="AD16" s="41">
        <f>IF(TRIM('Counts'!$B$44&amp;"")="","",IFERROR(TRIM(INDEX($A16:$Z16,MATCH('Counts'!$B$44,$A$1:$Z$1,0))&amp;""),""))</f>
        <v/>
      </c>
      <c r="AE16" s="41">
        <f>IF(TRIM('Cross-tab'!$B$5&amp;"")="","",IFERROR(TRIM(INDEX($A16:$Z16,MATCH('Cross-tab'!$B$5,$A$1:$Z$1,0))&amp;""),""))</f>
        <v/>
      </c>
      <c r="AF16" s="41">
        <f>IF(TRIM('Cross-tab'!$B$7&amp;"")="","",IFERROR(TRIM(INDEX($A16:$Z16,MATCH('Cross-tab'!$B$7,$A$1:$Z$1,0))&amp;""),""))</f>
        <v/>
      </c>
      <c r="AG16" s="41">
        <f>IF(ISNUMBER(IFERROR(VALUE(IF(TRIM('Scale score'!$B$5&amp;"")="","",IFERROR(TRIM(INDEX($A16:$Z16,MATCH('Scale score'!$B$5,$A$1:$Z$1,0))&amp;""),""))),"")),IF(AND(IFERROR(VALUE(IF(TRIM('Scale score'!$B$5&amp;"")="","",IFERROR(TRIM(INDEX($A16:$Z16,MATCH('Scale score'!$B$5,$A$1:$Z$1,0))&amp;""),""))),"")&gt;='Scale score'!$B$6,IFERROR(VALUE(IF(TRIM('Scale score'!$B$5&amp;"")="","",IFERROR(TRIM(INDEX($A16:$Z16,MATCH('Scale score'!$B$5,$A$1:$Z$1,0))&amp;""),""))),"")&lt;='Scale score'!$B$7),IFERROR(VALUE(IF(TRIM('Scale score'!$B$5&amp;"")="","",IFERROR(TRIM(INDEX($A16:$Z16,MATCH('Scale score'!$B$5,$A$1:$Z$1,0))&amp;""),""))),""),""),"")</f>
        <v/>
      </c>
      <c r="AH16" s="41">
        <f>IF(TRIM('Open answers'!$B$5&amp;"")="","",IFERROR(TRIM(INDEX($A16:$Z16,MATCH('Open answers'!$B$5,$A$1:$Z$1,0))&amp;""),""))</f>
        <v/>
      </c>
      <c r="AI16" s="41">
        <f>IF(LEN(AH16)&gt;0,MAX($AI$1:AI15)+1,"")</f>
        <v/>
      </c>
    </row>
    <row r="17">
      <c r="A17" s="39" t="inlineStr">
        <is>
          <t>EXAMPLE-16 (delete me)</t>
        </is>
      </c>
      <c r="B17" s="39" t="inlineStr">
        <is>
          <t>2027-01-06T15:25:40.000Z</t>
        </is>
      </c>
      <c r="C17" s="39" t="inlineStr">
        <is>
          <t>2027-01-06T15:22:05.000Z</t>
        </is>
      </c>
      <c r="D17" s="39" t="inlineStr">
        <is>
          <t>Local event</t>
        </is>
      </c>
      <c r="E17" s="39" t="inlineStr">
        <is>
          <t>Less than a year</t>
        </is>
      </c>
      <c r="F17" s="39" t="n">
        <v>4</v>
      </c>
      <c r="G17" s="39" t="inlineStr">
        <is>
          <t>In-store pickup</t>
        </is>
      </c>
      <c r="H17" s="39" t="n">
        <v>9</v>
      </c>
      <c r="I17" s="39" t="n"/>
      <c r="J17" s="39" t="n">
        <v>1</v>
      </c>
      <c r="AA17" s="40" t="n"/>
      <c r="AB17" s="41">
        <f>IF(TRIM('Counts'!$B$8&amp;"")="","",IFERROR(TRIM(INDEX($A17:$Z17,MATCH('Counts'!$B$8,$A$1:$Z$1,0))&amp;""),""))</f>
        <v/>
      </c>
      <c r="AC17" s="41">
        <f>IF(TRIM('Counts'!$B$26&amp;"")="","",IFERROR(TRIM(INDEX($A17:$Z17,MATCH('Counts'!$B$26,$A$1:$Z$1,0))&amp;""),""))</f>
        <v/>
      </c>
      <c r="AD17" s="41">
        <f>IF(TRIM('Counts'!$B$44&amp;"")="","",IFERROR(TRIM(INDEX($A17:$Z17,MATCH('Counts'!$B$44,$A$1:$Z$1,0))&amp;""),""))</f>
        <v/>
      </c>
      <c r="AE17" s="41">
        <f>IF(TRIM('Cross-tab'!$B$5&amp;"")="","",IFERROR(TRIM(INDEX($A17:$Z17,MATCH('Cross-tab'!$B$5,$A$1:$Z$1,0))&amp;""),""))</f>
        <v/>
      </c>
      <c r="AF17" s="41">
        <f>IF(TRIM('Cross-tab'!$B$7&amp;"")="","",IFERROR(TRIM(INDEX($A17:$Z17,MATCH('Cross-tab'!$B$7,$A$1:$Z$1,0))&amp;""),""))</f>
        <v/>
      </c>
      <c r="AG17" s="41">
        <f>IF(ISNUMBER(IFERROR(VALUE(IF(TRIM('Scale score'!$B$5&amp;"")="","",IFERROR(TRIM(INDEX($A17:$Z17,MATCH('Scale score'!$B$5,$A$1:$Z$1,0))&amp;""),""))),"")),IF(AND(IFERROR(VALUE(IF(TRIM('Scale score'!$B$5&amp;"")="","",IFERROR(TRIM(INDEX($A17:$Z17,MATCH('Scale score'!$B$5,$A$1:$Z$1,0))&amp;""),""))),"")&gt;='Scale score'!$B$6,IFERROR(VALUE(IF(TRIM('Scale score'!$B$5&amp;"")="","",IFERROR(TRIM(INDEX($A17:$Z17,MATCH('Scale score'!$B$5,$A$1:$Z$1,0))&amp;""),""))),"")&lt;='Scale score'!$B$7),IFERROR(VALUE(IF(TRIM('Scale score'!$B$5&amp;"")="","",IFERROR(TRIM(INDEX($A17:$Z17,MATCH('Scale score'!$B$5,$A$1:$Z$1,0))&amp;""),""))),""),""),"")</f>
        <v/>
      </c>
      <c r="AH17" s="41">
        <f>IF(TRIM('Open answers'!$B$5&amp;"")="","",IFERROR(TRIM(INDEX($A17:$Z17,MATCH('Open answers'!$B$5,$A$1:$Z$1,0))&amp;""),""))</f>
        <v/>
      </c>
      <c r="AI17" s="41">
        <f>IF(LEN(AH17)&gt;0,MAX($AI$1:AI16)+1,"")</f>
        <v/>
      </c>
    </row>
    <row r="18">
      <c r="A18" s="39" t="inlineStr">
        <is>
          <t>EXAMPLE-17 (delete me)</t>
        </is>
      </c>
      <c r="B18" s="39" t="inlineStr">
        <is>
          <t>2027-01-06T15:26:40.000Z</t>
        </is>
      </c>
      <c r="C18" s="39" t="inlineStr">
        <is>
          <t>2027-01-06T15:23:05.000Z</t>
        </is>
      </c>
      <c r="D18" s="39" t="inlineStr">
        <is>
          <t>Friend or colleague</t>
        </is>
      </c>
      <c r="E18" s="39" t="inlineStr">
        <is>
          <t>1 to 3 years</t>
        </is>
      </c>
      <c r="F18" s="39" t="n">
        <v>4</v>
      </c>
      <c r="G18" s="39" t="inlineStr">
        <is>
          <t>Online orders, Home delivery, Phone support</t>
        </is>
      </c>
      <c r="H18" s="39" t="n">
        <v>7</v>
      </c>
      <c r="I18" s="39" t="inlineStr">
        <is>
          <t>Lower prices on everyday items.</t>
        </is>
      </c>
      <c r="J18" s="39" t="n">
        <v>1</v>
      </c>
      <c r="AA18" s="40" t="n"/>
      <c r="AB18" s="41">
        <f>IF(TRIM('Counts'!$B$8&amp;"")="","",IFERROR(TRIM(INDEX($A18:$Z18,MATCH('Counts'!$B$8,$A$1:$Z$1,0))&amp;""),""))</f>
        <v/>
      </c>
      <c r="AC18" s="41">
        <f>IF(TRIM('Counts'!$B$26&amp;"")="","",IFERROR(TRIM(INDEX($A18:$Z18,MATCH('Counts'!$B$26,$A$1:$Z$1,0))&amp;""),""))</f>
        <v/>
      </c>
      <c r="AD18" s="41">
        <f>IF(TRIM('Counts'!$B$44&amp;"")="","",IFERROR(TRIM(INDEX($A18:$Z18,MATCH('Counts'!$B$44,$A$1:$Z$1,0))&amp;""),""))</f>
        <v/>
      </c>
      <c r="AE18" s="41">
        <f>IF(TRIM('Cross-tab'!$B$5&amp;"")="","",IFERROR(TRIM(INDEX($A18:$Z18,MATCH('Cross-tab'!$B$5,$A$1:$Z$1,0))&amp;""),""))</f>
        <v/>
      </c>
      <c r="AF18" s="41">
        <f>IF(TRIM('Cross-tab'!$B$7&amp;"")="","",IFERROR(TRIM(INDEX($A18:$Z18,MATCH('Cross-tab'!$B$7,$A$1:$Z$1,0))&amp;""),""))</f>
        <v/>
      </c>
      <c r="AG18" s="41">
        <f>IF(ISNUMBER(IFERROR(VALUE(IF(TRIM('Scale score'!$B$5&amp;"")="","",IFERROR(TRIM(INDEX($A18:$Z18,MATCH('Scale score'!$B$5,$A$1:$Z$1,0))&amp;""),""))),"")),IF(AND(IFERROR(VALUE(IF(TRIM('Scale score'!$B$5&amp;"")="","",IFERROR(TRIM(INDEX($A18:$Z18,MATCH('Scale score'!$B$5,$A$1:$Z$1,0))&amp;""),""))),"")&gt;='Scale score'!$B$6,IFERROR(VALUE(IF(TRIM('Scale score'!$B$5&amp;"")="","",IFERROR(TRIM(INDEX($A18:$Z18,MATCH('Scale score'!$B$5,$A$1:$Z$1,0))&amp;""),""))),"")&lt;='Scale score'!$B$7),IFERROR(VALUE(IF(TRIM('Scale score'!$B$5&amp;"")="","",IFERROR(TRIM(INDEX($A18:$Z18,MATCH('Scale score'!$B$5,$A$1:$Z$1,0))&amp;""),""))),""),""),"")</f>
        <v/>
      </c>
      <c r="AH18" s="41">
        <f>IF(TRIM('Open answers'!$B$5&amp;"")="","",IFERROR(TRIM(INDEX($A18:$Z18,MATCH('Open answers'!$B$5,$A$1:$Z$1,0))&amp;""),""))</f>
        <v/>
      </c>
      <c r="AI18" s="41">
        <f>IF(LEN(AH18)&gt;0,MAX($AI$1:AI17)+1,"")</f>
        <v/>
      </c>
    </row>
    <row r="19">
      <c r="A19" s="39" t="inlineStr">
        <is>
          <t>EXAMPLE-18 (delete me)</t>
        </is>
      </c>
      <c r="B19" s="39" t="inlineStr">
        <is>
          <t>2027-01-06T15:27:40.000Z</t>
        </is>
      </c>
      <c r="C19" s="39" t="inlineStr">
        <is>
          <t>2027-01-06T15:24:05.000Z</t>
        </is>
      </c>
      <c r="D19" s="39" t="inlineStr">
        <is>
          <t>Social media</t>
        </is>
      </c>
      <c r="E19" s="39" t="inlineStr">
        <is>
          <t>More than 3 years</t>
        </is>
      </c>
      <c r="F19" s="39" t="n">
        <v>2</v>
      </c>
      <c r="G19" s="39" t="inlineStr">
        <is>
          <t>Home delivery</t>
        </is>
      </c>
      <c r="H19" s="39" t="n">
        <v>4</v>
      </c>
      <c r="I19" s="39" t="inlineStr">
        <is>
          <t>My order arrived late and nobody told me.</t>
        </is>
      </c>
      <c r="J19" s="39" t="n">
        <v>1</v>
      </c>
      <c r="AA19" s="40" t="n"/>
      <c r="AB19" s="41">
        <f>IF(TRIM('Counts'!$B$8&amp;"")="","",IFERROR(TRIM(INDEX($A19:$Z19,MATCH('Counts'!$B$8,$A$1:$Z$1,0))&amp;""),""))</f>
        <v/>
      </c>
      <c r="AC19" s="41">
        <f>IF(TRIM('Counts'!$B$26&amp;"")="","",IFERROR(TRIM(INDEX($A19:$Z19,MATCH('Counts'!$B$26,$A$1:$Z$1,0))&amp;""),""))</f>
        <v/>
      </c>
      <c r="AD19" s="41">
        <f>IF(TRIM('Counts'!$B$44&amp;"")="","",IFERROR(TRIM(INDEX($A19:$Z19,MATCH('Counts'!$B$44,$A$1:$Z$1,0))&amp;""),""))</f>
        <v/>
      </c>
      <c r="AE19" s="41">
        <f>IF(TRIM('Cross-tab'!$B$5&amp;"")="","",IFERROR(TRIM(INDEX($A19:$Z19,MATCH('Cross-tab'!$B$5,$A$1:$Z$1,0))&amp;""),""))</f>
        <v/>
      </c>
      <c r="AF19" s="41">
        <f>IF(TRIM('Cross-tab'!$B$7&amp;"")="","",IFERROR(TRIM(INDEX($A19:$Z19,MATCH('Cross-tab'!$B$7,$A$1:$Z$1,0))&amp;""),""))</f>
        <v/>
      </c>
      <c r="AG19" s="41">
        <f>IF(ISNUMBER(IFERROR(VALUE(IF(TRIM('Scale score'!$B$5&amp;"")="","",IFERROR(TRIM(INDEX($A19:$Z19,MATCH('Scale score'!$B$5,$A$1:$Z$1,0))&amp;""),""))),"")),IF(AND(IFERROR(VALUE(IF(TRIM('Scale score'!$B$5&amp;"")="","",IFERROR(TRIM(INDEX($A19:$Z19,MATCH('Scale score'!$B$5,$A$1:$Z$1,0))&amp;""),""))),"")&gt;='Scale score'!$B$6,IFERROR(VALUE(IF(TRIM('Scale score'!$B$5&amp;"")="","",IFERROR(TRIM(INDEX($A19:$Z19,MATCH('Scale score'!$B$5,$A$1:$Z$1,0))&amp;""),""))),"")&lt;='Scale score'!$B$7),IFERROR(VALUE(IF(TRIM('Scale score'!$B$5&amp;"")="","",IFERROR(TRIM(INDEX($A19:$Z19,MATCH('Scale score'!$B$5,$A$1:$Z$1,0))&amp;""),""))),""),""),"")</f>
        <v/>
      </c>
      <c r="AH19" s="41">
        <f>IF(TRIM('Open answers'!$B$5&amp;"")="","",IFERROR(TRIM(INDEX($A19:$Z19,MATCH('Open answers'!$B$5,$A$1:$Z$1,0))&amp;""),""))</f>
        <v/>
      </c>
      <c r="AI19" s="41">
        <f>IF(LEN(AH19)&gt;0,MAX($AI$1:AI18)+1,"")</f>
        <v/>
      </c>
    </row>
    <row r="20">
      <c r="A20" s="39" t="inlineStr">
        <is>
          <t>EXAMPLE-19 (delete me)</t>
        </is>
      </c>
      <c r="B20" s="39" t="inlineStr">
        <is>
          <t>2027-01-07T15:28:40.000Z</t>
        </is>
      </c>
      <c r="C20" s="39" t="inlineStr">
        <is>
          <t>2027-01-07T15:25:05.000Z</t>
        </is>
      </c>
      <c r="D20" s="39" t="inlineStr">
        <is>
          <t>Search engine</t>
        </is>
      </c>
      <c r="E20" s="39" t="inlineStr">
        <is>
          <t>Less than a year</t>
        </is>
      </c>
      <c r="F20" s="39" t="n">
        <v>5</v>
      </c>
      <c r="G20" s="39" t="inlineStr">
        <is>
          <t>Online orders</t>
        </is>
      </c>
      <c r="H20" s="39" t="n">
        <v>10</v>
      </c>
      <c r="I20" s="39" t="n"/>
      <c r="J20" s="39" t="n">
        <v>1</v>
      </c>
      <c r="AA20" s="40" t="n"/>
      <c r="AB20" s="41">
        <f>IF(TRIM('Counts'!$B$8&amp;"")="","",IFERROR(TRIM(INDEX($A20:$Z20,MATCH('Counts'!$B$8,$A$1:$Z$1,0))&amp;""),""))</f>
        <v/>
      </c>
      <c r="AC20" s="41">
        <f>IF(TRIM('Counts'!$B$26&amp;"")="","",IFERROR(TRIM(INDEX($A20:$Z20,MATCH('Counts'!$B$26,$A$1:$Z$1,0))&amp;""),""))</f>
        <v/>
      </c>
      <c r="AD20" s="41">
        <f>IF(TRIM('Counts'!$B$44&amp;"")="","",IFERROR(TRIM(INDEX($A20:$Z20,MATCH('Counts'!$B$44,$A$1:$Z$1,0))&amp;""),""))</f>
        <v/>
      </c>
      <c r="AE20" s="41">
        <f>IF(TRIM('Cross-tab'!$B$5&amp;"")="","",IFERROR(TRIM(INDEX($A20:$Z20,MATCH('Cross-tab'!$B$5,$A$1:$Z$1,0))&amp;""),""))</f>
        <v/>
      </c>
      <c r="AF20" s="41">
        <f>IF(TRIM('Cross-tab'!$B$7&amp;"")="","",IFERROR(TRIM(INDEX($A20:$Z20,MATCH('Cross-tab'!$B$7,$A$1:$Z$1,0))&amp;""),""))</f>
        <v/>
      </c>
      <c r="AG20" s="41">
        <f>IF(ISNUMBER(IFERROR(VALUE(IF(TRIM('Scale score'!$B$5&amp;"")="","",IFERROR(TRIM(INDEX($A20:$Z20,MATCH('Scale score'!$B$5,$A$1:$Z$1,0))&amp;""),""))),"")),IF(AND(IFERROR(VALUE(IF(TRIM('Scale score'!$B$5&amp;"")="","",IFERROR(TRIM(INDEX($A20:$Z20,MATCH('Scale score'!$B$5,$A$1:$Z$1,0))&amp;""),""))),"")&gt;='Scale score'!$B$6,IFERROR(VALUE(IF(TRIM('Scale score'!$B$5&amp;"")="","",IFERROR(TRIM(INDEX($A20:$Z20,MATCH('Scale score'!$B$5,$A$1:$Z$1,0))&amp;""),""))),"")&lt;='Scale score'!$B$7),IFERROR(VALUE(IF(TRIM('Scale score'!$B$5&amp;"")="","",IFERROR(TRIM(INDEX($A20:$Z20,MATCH('Scale score'!$B$5,$A$1:$Z$1,0))&amp;""),""))),""),""),"")</f>
        <v/>
      </c>
      <c r="AH20" s="41">
        <f>IF(TRIM('Open answers'!$B$5&amp;"")="","",IFERROR(TRIM(INDEX($A20:$Z20,MATCH('Open answers'!$B$5,$A$1:$Z$1,0))&amp;""),""))</f>
        <v/>
      </c>
      <c r="AI20" s="41">
        <f>IF(LEN(AH20)&gt;0,MAX($AI$1:AI19)+1,"")</f>
        <v/>
      </c>
    </row>
    <row r="21">
      <c r="A21" s="39" t="inlineStr">
        <is>
          <t>EXAMPLE-20 (delete me)</t>
        </is>
      </c>
      <c r="B21" s="39" t="inlineStr">
        <is>
          <t>2027-01-07T15:29:40.000Z</t>
        </is>
      </c>
      <c r="C21" s="39" t="inlineStr">
        <is>
          <t>2027-01-07T15:26:05.000Z</t>
        </is>
      </c>
      <c r="D21" s="39" t="inlineStr">
        <is>
          <t>Newsletter</t>
        </is>
      </c>
      <c r="E21" s="39" t="inlineStr">
        <is>
          <t>1 to 3 years</t>
        </is>
      </c>
      <c r="F21" s="39" t="n">
        <v>4</v>
      </c>
      <c r="G21" s="39" t="inlineStr">
        <is>
          <t>In-store pickup</t>
        </is>
      </c>
      <c r="H21" s="39" t="n">
        <v>8</v>
      </c>
      <c r="I21" s="39" t="inlineStr">
        <is>
          <t>Restock the popular items faster.</t>
        </is>
      </c>
      <c r="J21" s="39" t="n">
        <v>1</v>
      </c>
      <c r="AA21" s="40" t="n"/>
      <c r="AB21" s="41">
        <f>IF(TRIM('Counts'!$B$8&amp;"")="","",IFERROR(TRIM(INDEX($A21:$Z21,MATCH('Counts'!$B$8,$A$1:$Z$1,0))&amp;""),""))</f>
        <v/>
      </c>
      <c r="AC21" s="41">
        <f>IF(TRIM('Counts'!$B$26&amp;"")="","",IFERROR(TRIM(INDEX($A21:$Z21,MATCH('Counts'!$B$26,$A$1:$Z$1,0))&amp;""),""))</f>
        <v/>
      </c>
      <c r="AD21" s="41">
        <f>IF(TRIM('Counts'!$B$44&amp;"")="","",IFERROR(TRIM(INDEX($A21:$Z21,MATCH('Counts'!$B$44,$A$1:$Z$1,0))&amp;""),""))</f>
        <v/>
      </c>
      <c r="AE21" s="41">
        <f>IF(TRIM('Cross-tab'!$B$5&amp;"")="","",IFERROR(TRIM(INDEX($A21:$Z21,MATCH('Cross-tab'!$B$5,$A$1:$Z$1,0))&amp;""),""))</f>
        <v/>
      </c>
      <c r="AF21" s="41">
        <f>IF(TRIM('Cross-tab'!$B$7&amp;"")="","",IFERROR(TRIM(INDEX($A21:$Z21,MATCH('Cross-tab'!$B$7,$A$1:$Z$1,0))&amp;""),""))</f>
        <v/>
      </c>
      <c r="AG21" s="41">
        <f>IF(ISNUMBER(IFERROR(VALUE(IF(TRIM('Scale score'!$B$5&amp;"")="","",IFERROR(TRIM(INDEX($A21:$Z21,MATCH('Scale score'!$B$5,$A$1:$Z$1,0))&amp;""),""))),"")),IF(AND(IFERROR(VALUE(IF(TRIM('Scale score'!$B$5&amp;"")="","",IFERROR(TRIM(INDEX($A21:$Z21,MATCH('Scale score'!$B$5,$A$1:$Z$1,0))&amp;""),""))),"")&gt;='Scale score'!$B$6,IFERROR(VALUE(IF(TRIM('Scale score'!$B$5&amp;"")="","",IFERROR(TRIM(INDEX($A21:$Z21,MATCH('Scale score'!$B$5,$A$1:$Z$1,0))&amp;""),""))),"")&lt;='Scale score'!$B$7),IFERROR(VALUE(IF(TRIM('Scale score'!$B$5&amp;"")="","",IFERROR(TRIM(INDEX($A21:$Z21,MATCH('Scale score'!$B$5,$A$1:$Z$1,0))&amp;""),""))),""),""),"")</f>
        <v/>
      </c>
      <c r="AH21" s="41">
        <f>IF(TRIM('Open answers'!$B$5&amp;"")="","",IFERROR(TRIM(INDEX($A21:$Z21,MATCH('Open answers'!$B$5,$A$1:$Z$1,0))&amp;""),""))</f>
        <v/>
      </c>
      <c r="AI21" s="41">
        <f>IF(LEN(AH21)&gt;0,MAX($AI$1:AI20)+1,"")</f>
        <v/>
      </c>
    </row>
    <row r="22">
      <c r="A22" s="39" t="inlineStr">
        <is>
          <t>EXAMPLE-21 (delete me)</t>
        </is>
      </c>
      <c r="B22" s="39" t="inlineStr">
        <is>
          <t>2027-01-07T15:30:40.000Z</t>
        </is>
      </c>
      <c r="C22" s="39" t="inlineStr">
        <is>
          <t>2027-01-07T15:27:05.000Z</t>
        </is>
      </c>
      <c r="D22" s="39" t="inlineStr">
        <is>
          <t>Friend or colleague</t>
        </is>
      </c>
      <c r="E22" s="39" t="inlineStr">
        <is>
          <t>More than 3 years</t>
        </is>
      </c>
      <c r="F22" s="39" t="n">
        <v>5</v>
      </c>
      <c r="G22" s="39" t="inlineStr">
        <is>
          <t>Online orders, Home delivery</t>
        </is>
      </c>
      <c r="H22" s="39" t="n">
        <v>9</v>
      </c>
      <c r="I22" s="39" t="inlineStr">
        <is>
          <t>Keep doing what you do.</t>
        </is>
      </c>
      <c r="J22" s="39" t="n">
        <v>1</v>
      </c>
      <c r="AA22" s="40" t="n"/>
      <c r="AB22" s="41">
        <f>IF(TRIM('Counts'!$B$8&amp;"")="","",IFERROR(TRIM(INDEX($A22:$Z22,MATCH('Counts'!$B$8,$A$1:$Z$1,0))&amp;""),""))</f>
        <v/>
      </c>
      <c r="AC22" s="41">
        <f>IF(TRIM('Counts'!$B$26&amp;"")="","",IFERROR(TRIM(INDEX($A22:$Z22,MATCH('Counts'!$B$26,$A$1:$Z$1,0))&amp;""),""))</f>
        <v/>
      </c>
      <c r="AD22" s="41">
        <f>IF(TRIM('Counts'!$B$44&amp;"")="","",IFERROR(TRIM(INDEX($A22:$Z22,MATCH('Counts'!$B$44,$A$1:$Z$1,0))&amp;""),""))</f>
        <v/>
      </c>
      <c r="AE22" s="41">
        <f>IF(TRIM('Cross-tab'!$B$5&amp;"")="","",IFERROR(TRIM(INDEX($A22:$Z22,MATCH('Cross-tab'!$B$5,$A$1:$Z$1,0))&amp;""),""))</f>
        <v/>
      </c>
      <c r="AF22" s="41">
        <f>IF(TRIM('Cross-tab'!$B$7&amp;"")="","",IFERROR(TRIM(INDEX($A22:$Z22,MATCH('Cross-tab'!$B$7,$A$1:$Z$1,0))&amp;""),""))</f>
        <v/>
      </c>
      <c r="AG22" s="41">
        <f>IF(ISNUMBER(IFERROR(VALUE(IF(TRIM('Scale score'!$B$5&amp;"")="","",IFERROR(TRIM(INDEX($A22:$Z22,MATCH('Scale score'!$B$5,$A$1:$Z$1,0))&amp;""),""))),"")),IF(AND(IFERROR(VALUE(IF(TRIM('Scale score'!$B$5&amp;"")="","",IFERROR(TRIM(INDEX($A22:$Z22,MATCH('Scale score'!$B$5,$A$1:$Z$1,0))&amp;""),""))),"")&gt;='Scale score'!$B$6,IFERROR(VALUE(IF(TRIM('Scale score'!$B$5&amp;"")="","",IFERROR(TRIM(INDEX($A22:$Z22,MATCH('Scale score'!$B$5,$A$1:$Z$1,0))&amp;""),""))),"")&lt;='Scale score'!$B$7),IFERROR(VALUE(IF(TRIM('Scale score'!$B$5&amp;"")="","",IFERROR(TRIM(INDEX($A22:$Z22,MATCH('Scale score'!$B$5,$A$1:$Z$1,0))&amp;""),""))),""),""),"")</f>
        <v/>
      </c>
      <c r="AH22" s="41">
        <f>IF(TRIM('Open answers'!$B$5&amp;"")="","",IFERROR(TRIM(INDEX($A22:$Z22,MATCH('Open answers'!$B$5,$A$1:$Z$1,0))&amp;""),""))</f>
        <v/>
      </c>
      <c r="AI22" s="41">
        <f>IF(LEN(AH22)&gt;0,MAX($AI$1:AI21)+1,"")</f>
        <v/>
      </c>
    </row>
    <row r="23">
      <c r="A23" s="39" t="inlineStr">
        <is>
          <t>EXAMPLE-22 (delete me)</t>
        </is>
      </c>
      <c r="B23" s="39" t="inlineStr">
        <is>
          <t>2027-01-08T15:31:40.000Z</t>
        </is>
      </c>
      <c r="C23" s="39" t="inlineStr">
        <is>
          <t>2027-01-08T15:28:05.000Z</t>
        </is>
      </c>
      <c r="D23" s="39" t="inlineStr">
        <is>
          <t>Search engine</t>
        </is>
      </c>
      <c r="E23" s="39" t="inlineStr">
        <is>
          <t>Less than a year</t>
        </is>
      </c>
      <c r="F23" s="39" t="n">
        <v>3</v>
      </c>
      <c r="G23" s="39" t="inlineStr">
        <is>
          <t>Phone support</t>
        </is>
      </c>
      <c r="H23" s="39" t="n">
        <v>5</v>
      </c>
      <c r="I23" s="39" t="inlineStr">
        <is>
          <t>Hard to reach anyone by phone.</t>
        </is>
      </c>
      <c r="J23" s="39" t="n">
        <v>1</v>
      </c>
      <c r="AA23" s="40" t="n"/>
      <c r="AB23" s="41">
        <f>IF(TRIM('Counts'!$B$8&amp;"")="","",IFERROR(TRIM(INDEX($A23:$Z23,MATCH('Counts'!$B$8,$A$1:$Z$1,0))&amp;""),""))</f>
        <v/>
      </c>
      <c r="AC23" s="41">
        <f>IF(TRIM('Counts'!$B$26&amp;"")="","",IFERROR(TRIM(INDEX($A23:$Z23,MATCH('Counts'!$B$26,$A$1:$Z$1,0))&amp;""),""))</f>
        <v/>
      </c>
      <c r="AD23" s="41">
        <f>IF(TRIM('Counts'!$B$44&amp;"")="","",IFERROR(TRIM(INDEX($A23:$Z23,MATCH('Counts'!$B$44,$A$1:$Z$1,0))&amp;""),""))</f>
        <v/>
      </c>
      <c r="AE23" s="41">
        <f>IF(TRIM('Cross-tab'!$B$5&amp;"")="","",IFERROR(TRIM(INDEX($A23:$Z23,MATCH('Cross-tab'!$B$5,$A$1:$Z$1,0))&amp;""),""))</f>
        <v/>
      </c>
      <c r="AF23" s="41">
        <f>IF(TRIM('Cross-tab'!$B$7&amp;"")="","",IFERROR(TRIM(INDEX($A23:$Z23,MATCH('Cross-tab'!$B$7,$A$1:$Z$1,0))&amp;""),""))</f>
        <v/>
      </c>
      <c r="AG23" s="41">
        <f>IF(ISNUMBER(IFERROR(VALUE(IF(TRIM('Scale score'!$B$5&amp;"")="","",IFERROR(TRIM(INDEX($A23:$Z23,MATCH('Scale score'!$B$5,$A$1:$Z$1,0))&amp;""),""))),"")),IF(AND(IFERROR(VALUE(IF(TRIM('Scale score'!$B$5&amp;"")="","",IFERROR(TRIM(INDEX($A23:$Z23,MATCH('Scale score'!$B$5,$A$1:$Z$1,0))&amp;""),""))),"")&gt;='Scale score'!$B$6,IFERROR(VALUE(IF(TRIM('Scale score'!$B$5&amp;"")="","",IFERROR(TRIM(INDEX($A23:$Z23,MATCH('Scale score'!$B$5,$A$1:$Z$1,0))&amp;""),""))),"")&lt;='Scale score'!$B$7),IFERROR(VALUE(IF(TRIM('Scale score'!$B$5&amp;"")="","",IFERROR(TRIM(INDEX($A23:$Z23,MATCH('Scale score'!$B$5,$A$1:$Z$1,0))&amp;""),""))),""),""),"")</f>
        <v/>
      </c>
      <c r="AH23" s="41">
        <f>IF(TRIM('Open answers'!$B$5&amp;"")="","",IFERROR(TRIM(INDEX($A23:$Z23,MATCH('Open answers'!$B$5,$A$1:$Z$1,0))&amp;""),""))</f>
        <v/>
      </c>
      <c r="AI23" s="41">
        <f>IF(LEN(AH23)&gt;0,MAX($AI$1:AI22)+1,"")</f>
        <v/>
      </c>
    </row>
    <row r="24">
      <c r="A24" s="39" t="inlineStr">
        <is>
          <t>EXAMPLE-23 (delete me)</t>
        </is>
      </c>
      <c r="B24" s="39" t="inlineStr">
        <is>
          <t>2027-01-08T15:32:40.000Z</t>
        </is>
      </c>
      <c r="C24" s="39" t="inlineStr">
        <is>
          <t>2027-01-08T15:29:05.000Z</t>
        </is>
      </c>
      <c r="D24" s="39" t="n"/>
      <c r="E24" s="39" t="inlineStr">
        <is>
          <t>1 to 3 years</t>
        </is>
      </c>
      <c r="F24" s="39" t="n">
        <v>4</v>
      </c>
      <c r="G24" s="39" t="inlineStr">
        <is>
          <t>Online orders</t>
        </is>
      </c>
      <c r="H24" s="39" t="n">
        <v>8</v>
      </c>
      <c r="I24" s="39" t="inlineStr">
        <is>
          <t>The app logs me out too often.</t>
        </is>
      </c>
      <c r="J24" s="39" t="n">
        <v>1</v>
      </c>
      <c r="AA24" s="40" t="n"/>
      <c r="AB24" s="41">
        <f>IF(TRIM('Counts'!$B$8&amp;"")="","",IFERROR(TRIM(INDEX($A24:$Z24,MATCH('Counts'!$B$8,$A$1:$Z$1,0))&amp;""),""))</f>
        <v/>
      </c>
      <c r="AC24" s="41">
        <f>IF(TRIM('Counts'!$B$26&amp;"")="","",IFERROR(TRIM(INDEX($A24:$Z24,MATCH('Counts'!$B$26,$A$1:$Z$1,0))&amp;""),""))</f>
        <v/>
      </c>
      <c r="AD24" s="41">
        <f>IF(TRIM('Counts'!$B$44&amp;"")="","",IFERROR(TRIM(INDEX($A24:$Z24,MATCH('Counts'!$B$44,$A$1:$Z$1,0))&amp;""),""))</f>
        <v/>
      </c>
      <c r="AE24" s="41">
        <f>IF(TRIM('Cross-tab'!$B$5&amp;"")="","",IFERROR(TRIM(INDEX($A24:$Z24,MATCH('Cross-tab'!$B$5,$A$1:$Z$1,0))&amp;""),""))</f>
        <v/>
      </c>
      <c r="AF24" s="41">
        <f>IF(TRIM('Cross-tab'!$B$7&amp;"")="","",IFERROR(TRIM(INDEX($A24:$Z24,MATCH('Cross-tab'!$B$7,$A$1:$Z$1,0))&amp;""),""))</f>
        <v/>
      </c>
      <c r="AG24" s="41">
        <f>IF(ISNUMBER(IFERROR(VALUE(IF(TRIM('Scale score'!$B$5&amp;"")="","",IFERROR(TRIM(INDEX($A24:$Z24,MATCH('Scale score'!$B$5,$A$1:$Z$1,0))&amp;""),""))),"")),IF(AND(IFERROR(VALUE(IF(TRIM('Scale score'!$B$5&amp;"")="","",IFERROR(TRIM(INDEX($A24:$Z24,MATCH('Scale score'!$B$5,$A$1:$Z$1,0))&amp;""),""))),"")&gt;='Scale score'!$B$6,IFERROR(VALUE(IF(TRIM('Scale score'!$B$5&amp;"")="","",IFERROR(TRIM(INDEX($A24:$Z24,MATCH('Scale score'!$B$5,$A$1:$Z$1,0))&amp;""),""))),"")&lt;='Scale score'!$B$7),IFERROR(VALUE(IF(TRIM('Scale score'!$B$5&amp;"")="","",IFERROR(TRIM(INDEX($A24:$Z24,MATCH('Scale score'!$B$5,$A$1:$Z$1,0))&amp;""),""))),""),""),"")</f>
        <v/>
      </c>
      <c r="AH24" s="41">
        <f>IF(TRIM('Open answers'!$B$5&amp;"")="","",IFERROR(TRIM(INDEX($A24:$Z24,MATCH('Open answers'!$B$5,$A$1:$Z$1,0))&amp;""),""))</f>
        <v/>
      </c>
      <c r="AI24" s="41">
        <f>IF(LEN(AH24)&gt;0,MAX($AI$1:AI23)+1,"")</f>
        <v/>
      </c>
    </row>
    <row r="25">
      <c r="A25" s="39" t="inlineStr">
        <is>
          <t>EXAMPLE-24 (delete me)</t>
        </is>
      </c>
      <c r="B25" s="39" t="inlineStr">
        <is>
          <t>2027-01-08T15:33:40.000Z</t>
        </is>
      </c>
      <c r="C25" s="39" t="inlineStr">
        <is>
          <t>2027-01-08T15:30:05.000Z</t>
        </is>
      </c>
      <c r="D25" s="39" t="inlineStr">
        <is>
          <t>Social media</t>
        </is>
      </c>
      <c r="E25" s="39" t="inlineStr">
        <is>
          <t>Less than a year</t>
        </is>
      </c>
      <c r="F25" s="39" t="n"/>
      <c r="G25" s="39" t="inlineStr">
        <is>
          <t>Online orders</t>
        </is>
      </c>
      <c r="H25" s="39" t="n"/>
      <c r="I25" s="39" t="n"/>
      <c r="J25" s="39" t="n">
        <v>1</v>
      </c>
      <c r="AA25" s="40" t="n"/>
      <c r="AB25" s="41">
        <f>IF(TRIM('Counts'!$B$8&amp;"")="","",IFERROR(TRIM(INDEX($A25:$Z25,MATCH('Counts'!$B$8,$A$1:$Z$1,0))&amp;""),""))</f>
        <v/>
      </c>
      <c r="AC25" s="41">
        <f>IF(TRIM('Counts'!$B$26&amp;"")="","",IFERROR(TRIM(INDEX($A25:$Z25,MATCH('Counts'!$B$26,$A$1:$Z$1,0))&amp;""),""))</f>
        <v/>
      </c>
      <c r="AD25" s="41">
        <f>IF(TRIM('Counts'!$B$44&amp;"")="","",IFERROR(TRIM(INDEX($A25:$Z25,MATCH('Counts'!$B$44,$A$1:$Z$1,0))&amp;""),""))</f>
        <v/>
      </c>
      <c r="AE25" s="41">
        <f>IF(TRIM('Cross-tab'!$B$5&amp;"")="","",IFERROR(TRIM(INDEX($A25:$Z25,MATCH('Cross-tab'!$B$5,$A$1:$Z$1,0))&amp;""),""))</f>
        <v/>
      </c>
      <c r="AF25" s="41">
        <f>IF(TRIM('Cross-tab'!$B$7&amp;"")="","",IFERROR(TRIM(INDEX($A25:$Z25,MATCH('Cross-tab'!$B$7,$A$1:$Z$1,0))&amp;""),""))</f>
        <v/>
      </c>
      <c r="AG25" s="41">
        <f>IF(ISNUMBER(IFERROR(VALUE(IF(TRIM('Scale score'!$B$5&amp;"")="","",IFERROR(TRIM(INDEX($A25:$Z25,MATCH('Scale score'!$B$5,$A$1:$Z$1,0))&amp;""),""))),"")),IF(AND(IFERROR(VALUE(IF(TRIM('Scale score'!$B$5&amp;"")="","",IFERROR(TRIM(INDEX($A25:$Z25,MATCH('Scale score'!$B$5,$A$1:$Z$1,0))&amp;""),""))),"")&gt;='Scale score'!$B$6,IFERROR(VALUE(IF(TRIM('Scale score'!$B$5&amp;"")="","",IFERROR(TRIM(INDEX($A25:$Z25,MATCH('Scale score'!$B$5,$A$1:$Z$1,0))&amp;""),""))),"")&lt;='Scale score'!$B$7),IFERROR(VALUE(IF(TRIM('Scale score'!$B$5&amp;"")="","",IFERROR(TRIM(INDEX($A25:$Z25,MATCH('Scale score'!$B$5,$A$1:$Z$1,0))&amp;""),""))),""),""),"")</f>
        <v/>
      </c>
      <c r="AH25" s="41">
        <f>IF(TRIM('Open answers'!$B$5&amp;"")="","",IFERROR(TRIM(INDEX($A25:$Z25,MATCH('Open answers'!$B$5,$A$1:$Z$1,0))&amp;""),""))</f>
        <v/>
      </c>
      <c r="AI25" s="41">
        <f>IF(LEN(AH25)&gt;0,MAX($AI$1:AI24)+1,"")</f>
        <v/>
      </c>
    </row>
    <row r="26">
      <c r="AA26" s="40" t="n"/>
      <c r="AB26" s="41">
        <f>IF(TRIM('Counts'!$B$8&amp;"")="","",IFERROR(TRIM(INDEX($A26:$Z26,MATCH('Counts'!$B$8,$A$1:$Z$1,0))&amp;""),""))</f>
        <v/>
      </c>
      <c r="AC26" s="41">
        <f>IF(TRIM('Counts'!$B$26&amp;"")="","",IFERROR(TRIM(INDEX($A26:$Z26,MATCH('Counts'!$B$26,$A$1:$Z$1,0))&amp;""),""))</f>
        <v/>
      </c>
      <c r="AD26" s="41">
        <f>IF(TRIM('Counts'!$B$44&amp;"")="","",IFERROR(TRIM(INDEX($A26:$Z26,MATCH('Counts'!$B$44,$A$1:$Z$1,0))&amp;""),""))</f>
        <v/>
      </c>
      <c r="AE26" s="41">
        <f>IF(TRIM('Cross-tab'!$B$5&amp;"")="","",IFERROR(TRIM(INDEX($A26:$Z26,MATCH('Cross-tab'!$B$5,$A$1:$Z$1,0))&amp;""),""))</f>
        <v/>
      </c>
      <c r="AF26" s="41">
        <f>IF(TRIM('Cross-tab'!$B$7&amp;"")="","",IFERROR(TRIM(INDEX($A26:$Z26,MATCH('Cross-tab'!$B$7,$A$1:$Z$1,0))&amp;""),""))</f>
        <v/>
      </c>
      <c r="AG26" s="41">
        <f>IF(ISNUMBER(IFERROR(VALUE(IF(TRIM('Scale score'!$B$5&amp;"")="","",IFERROR(TRIM(INDEX($A26:$Z26,MATCH('Scale score'!$B$5,$A$1:$Z$1,0))&amp;""),""))),"")),IF(AND(IFERROR(VALUE(IF(TRIM('Scale score'!$B$5&amp;"")="","",IFERROR(TRIM(INDEX($A26:$Z26,MATCH('Scale score'!$B$5,$A$1:$Z$1,0))&amp;""),""))),"")&gt;='Scale score'!$B$6,IFERROR(VALUE(IF(TRIM('Scale score'!$B$5&amp;"")="","",IFERROR(TRIM(INDEX($A26:$Z26,MATCH('Scale score'!$B$5,$A$1:$Z$1,0))&amp;""),""))),"")&lt;='Scale score'!$B$7),IFERROR(VALUE(IF(TRIM('Scale score'!$B$5&amp;"")="","",IFERROR(TRIM(INDEX($A26:$Z26,MATCH('Scale score'!$B$5,$A$1:$Z$1,0))&amp;""),""))),""),""),"")</f>
        <v/>
      </c>
      <c r="AH26" s="41">
        <f>IF(TRIM('Open answers'!$B$5&amp;"")="","",IFERROR(TRIM(INDEX($A26:$Z26,MATCH('Open answers'!$B$5,$A$1:$Z$1,0))&amp;""),""))</f>
        <v/>
      </c>
      <c r="AI26" s="41">
        <f>IF(LEN(AH26)&gt;0,MAX($AI$1:AI25)+1,"")</f>
        <v/>
      </c>
    </row>
    <row r="27">
      <c r="AA27" s="40" t="n"/>
      <c r="AB27" s="41">
        <f>IF(TRIM('Counts'!$B$8&amp;"")="","",IFERROR(TRIM(INDEX($A27:$Z27,MATCH('Counts'!$B$8,$A$1:$Z$1,0))&amp;""),""))</f>
        <v/>
      </c>
      <c r="AC27" s="41">
        <f>IF(TRIM('Counts'!$B$26&amp;"")="","",IFERROR(TRIM(INDEX($A27:$Z27,MATCH('Counts'!$B$26,$A$1:$Z$1,0))&amp;""),""))</f>
        <v/>
      </c>
      <c r="AD27" s="41">
        <f>IF(TRIM('Counts'!$B$44&amp;"")="","",IFERROR(TRIM(INDEX($A27:$Z27,MATCH('Counts'!$B$44,$A$1:$Z$1,0))&amp;""),""))</f>
        <v/>
      </c>
      <c r="AE27" s="41">
        <f>IF(TRIM('Cross-tab'!$B$5&amp;"")="","",IFERROR(TRIM(INDEX($A27:$Z27,MATCH('Cross-tab'!$B$5,$A$1:$Z$1,0))&amp;""),""))</f>
        <v/>
      </c>
      <c r="AF27" s="41">
        <f>IF(TRIM('Cross-tab'!$B$7&amp;"")="","",IFERROR(TRIM(INDEX($A27:$Z27,MATCH('Cross-tab'!$B$7,$A$1:$Z$1,0))&amp;""),""))</f>
        <v/>
      </c>
      <c r="AG27" s="41">
        <f>IF(ISNUMBER(IFERROR(VALUE(IF(TRIM('Scale score'!$B$5&amp;"")="","",IFERROR(TRIM(INDEX($A27:$Z27,MATCH('Scale score'!$B$5,$A$1:$Z$1,0))&amp;""),""))),"")),IF(AND(IFERROR(VALUE(IF(TRIM('Scale score'!$B$5&amp;"")="","",IFERROR(TRIM(INDEX($A27:$Z27,MATCH('Scale score'!$B$5,$A$1:$Z$1,0))&amp;""),""))),"")&gt;='Scale score'!$B$6,IFERROR(VALUE(IF(TRIM('Scale score'!$B$5&amp;"")="","",IFERROR(TRIM(INDEX($A27:$Z27,MATCH('Scale score'!$B$5,$A$1:$Z$1,0))&amp;""),""))),"")&lt;='Scale score'!$B$7),IFERROR(VALUE(IF(TRIM('Scale score'!$B$5&amp;"")="","",IFERROR(TRIM(INDEX($A27:$Z27,MATCH('Scale score'!$B$5,$A$1:$Z$1,0))&amp;""),""))),""),""),"")</f>
        <v/>
      </c>
      <c r="AH27" s="41">
        <f>IF(TRIM('Open answers'!$B$5&amp;"")="","",IFERROR(TRIM(INDEX($A27:$Z27,MATCH('Open answers'!$B$5,$A$1:$Z$1,0))&amp;""),""))</f>
        <v/>
      </c>
      <c r="AI27" s="41">
        <f>IF(LEN(AH27)&gt;0,MAX($AI$1:AI26)+1,"")</f>
        <v/>
      </c>
    </row>
    <row r="28">
      <c r="AA28" s="40" t="n"/>
      <c r="AB28" s="41">
        <f>IF(TRIM('Counts'!$B$8&amp;"")="","",IFERROR(TRIM(INDEX($A28:$Z28,MATCH('Counts'!$B$8,$A$1:$Z$1,0))&amp;""),""))</f>
        <v/>
      </c>
      <c r="AC28" s="41">
        <f>IF(TRIM('Counts'!$B$26&amp;"")="","",IFERROR(TRIM(INDEX($A28:$Z28,MATCH('Counts'!$B$26,$A$1:$Z$1,0))&amp;""),""))</f>
        <v/>
      </c>
      <c r="AD28" s="41">
        <f>IF(TRIM('Counts'!$B$44&amp;"")="","",IFERROR(TRIM(INDEX($A28:$Z28,MATCH('Counts'!$B$44,$A$1:$Z$1,0))&amp;""),""))</f>
        <v/>
      </c>
      <c r="AE28" s="41">
        <f>IF(TRIM('Cross-tab'!$B$5&amp;"")="","",IFERROR(TRIM(INDEX($A28:$Z28,MATCH('Cross-tab'!$B$5,$A$1:$Z$1,0))&amp;""),""))</f>
        <v/>
      </c>
      <c r="AF28" s="41">
        <f>IF(TRIM('Cross-tab'!$B$7&amp;"")="","",IFERROR(TRIM(INDEX($A28:$Z28,MATCH('Cross-tab'!$B$7,$A$1:$Z$1,0))&amp;""),""))</f>
        <v/>
      </c>
      <c r="AG28" s="41">
        <f>IF(ISNUMBER(IFERROR(VALUE(IF(TRIM('Scale score'!$B$5&amp;"")="","",IFERROR(TRIM(INDEX($A28:$Z28,MATCH('Scale score'!$B$5,$A$1:$Z$1,0))&amp;""),""))),"")),IF(AND(IFERROR(VALUE(IF(TRIM('Scale score'!$B$5&amp;"")="","",IFERROR(TRIM(INDEX($A28:$Z28,MATCH('Scale score'!$B$5,$A$1:$Z$1,0))&amp;""),""))),"")&gt;='Scale score'!$B$6,IFERROR(VALUE(IF(TRIM('Scale score'!$B$5&amp;"")="","",IFERROR(TRIM(INDEX($A28:$Z28,MATCH('Scale score'!$B$5,$A$1:$Z$1,0))&amp;""),""))),"")&lt;='Scale score'!$B$7),IFERROR(VALUE(IF(TRIM('Scale score'!$B$5&amp;"")="","",IFERROR(TRIM(INDEX($A28:$Z28,MATCH('Scale score'!$B$5,$A$1:$Z$1,0))&amp;""),""))),""),""),"")</f>
        <v/>
      </c>
      <c r="AH28" s="41">
        <f>IF(TRIM('Open answers'!$B$5&amp;"")="","",IFERROR(TRIM(INDEX($A28:$Z28,MATCH('Open answers'!$B$5,$A$1:$Z$1,0))&amp;""),""))</f>
        <v/>
      </c>
      <c r="AI28" s="41">
        <f>IF(LEN(AH28)&gt;0,MAX($AI$1:AI27)+1,"")</f>
        <v/>
      </c>
    </row>
    <row r="29">
      <c r="AA29" s="40" t="n"/>
      <c r="AB29" s="41">
        <f>IF(TRIM('Counts'!$B$8&amp;"")="","",IFERROR(TRIM(INDEX($A29:$Z29,MATCH('Counts'!$B$8,$A$1:$Z$1,0))&amp;""),""))</f>
        <v/>
      </c>
      <c r="AC29" s="41">
        <f>IF(TRIM('Counts'!$B$26&amp;"")="","",IFERROR(TRIM(INDEX($A29:$Z29,MATCH('Counts'!$B$26,$A$1:$Z$1,0))&amp;""),""))</f>
        <v/>
      </c>
      <c r="AD29" s="41">
        <f>IF(TRIM('Counts'!$B$44&amp;"")="","",IFERROR(TRIM(INDEX($A29:$Z29,MATCH('Counts'!$B$44,$A$1:$Z$1,0))&amp;""),""))</f>
        <v/>
      </c>
      <c r="AE29" s="41">
        <f>IF(TRIM('Cross-tab'!$B$5&amp;"")="","",IFERROR(TRIM(INDEX($A29:$Z29,MATCH('Cross-tab'!$B$5,$A$1:$Z$1,0))&amp;""),""))</f>
        <v/>
      </c>
      <c r="AF29" s="41">
        <f>IF(TRIM('Cross-tab'!$B$7&amp;"")="","",IFERROR(TRIM(INDEX($A29:$Z29,MATCH('Cross-tab'!$B$7,$A$1:$Z$1,0))&amp;""),""))</f>
        <v/>
      </c>
      <c r="AG29" s="41">
        <f>IF(ISNUMBER(IFERROR(VALUE(IF(TRIM('Scale score'!$B$5&amp;"")="","",IFERROR(TRIM(INDEX($A29:$Z29,MATCH('Scale score'!$B$5,$A$1:$Z$1,0))&amp;""),""))),"")),IF(AND(IFERROR(VALUE(IF(TRIM('Scale score'!$B$5&amp;"")="","",IFERROR(TRIM(INDEX($A29:$Z29,MATCH('Scale score'!$B$5,$A$1:$Z$1,0))&amp;""),""))),"")&gt;='Scale score'!$B$6,IFERROR(VALUE(IF(TRIM('Scale score'!$B$5&amp;"")="","",IFERROR(TRIM(INDEX($A29:$Z29,MATCH('Scale score'!$B$5,$A$1:$Z$1,0))&amp;""),""))),"")&lt;='Scale score'!$B$7),IFERROR(VALUE(IF(TRIM('Scale score'!$B$5&amp;"")="","",IFERROR(TRIM(INDEX($A29:$Z29,MATCH('Scale score'!$B$5,$A$1:$Z$1,0))&amp;""),""))),""),""),"")</f>
        <v/>
      </c>
      <c r="AH29" s="41">
        <f>IF(TRIM('Open answers'!$B$5&amp;"")="","",IFERROR(TRIM(INDEX($A29:$Z29,MATCH('Open answers'!$B$5,$A$1:$Z$1,0))&amp;""),""))</f>
        <v/>
      </c>
      <c r="AI29" s="41">
        <f>IF(LEN(AH29)&gt;0,MAX($AI$1:AI28)+1,"")</f>
        <v/>
      </c>
    </row>
    <row r="30">
      <c r="AA30" s="40" t="n"/>
      <c r="AB30" s="41">
        <f>IF(TRIM('Counts'!$B$8&amp;"")="","",IFERROR(TRIM(INDEX($A30:$Z30,MATCH('Counts'!$B$8,$A$1:$Z$1,0))&amp;""),""))</f>
        <v/>
      </c>
      <c r="AC30" s="41">
        <f>IF(TRIM('Counts'!$B$26&amp;"")="","",IFERROR(TRIM(INDEX($A30:$Z30,MATCH('Counts'!$B$26,$A$1:$Z$1,0))&amp;""),""))</f>
        <v/>
      </c>
      <c r="AD30" s="41">
        <f>IF(TRIM('Counts'!$B$44&amp;"")="","",IFERROR(TRIM(INDEX($A30:$Z30,MATCH('Counts'!$B$44,$A$1:$Z$1,0))&amp;""),""))</f>
        <v/>
      </c>
      <c r="AE30" s="41">
        <f>IF(TRIM('Cross-tab'!$B$5&amp;"")="","",IFERROR(TRIM(INDEX($A30:$Z30,MATCH('Cross-tab'!$B$5,$A$1:$Z$1,0))&amp;""),""))</f>
        <v/>
      </c>
      <c r="AF30" s="41">
        <f>IF(TRIM('Cross-tab'!$B$7&amp;"")="","",IFERROR(TRIM(INDEX($A30:$Z30,MATCH('Cross-tab'!$B$7,$A$1:$Z$1,0))&amp;""),""))</f>
        <v/>
      </c>
      <c r="AG30" s="41">
        <f>IF(ISNUMBER(IFERROR(VALUE(IF(TRIM('Scale score'!$B$5&amp;"")="","",IFERROR(TRIM(INDEX($A30:$Z30,MATCH('Scale score'!$B$5,$A$1:$Z$1,0))&amp;""),""))),"")),IF(AND(IFERROR(VALUE(IF(TRIM('Scale score'!$B$5&amp;"")="","",IFERROR(TRIM(INDEX($A30:$Z30,MATCH('Scale score'!$B$5,$A$1:$Z$1,0))&amp;""),""))),"")&gt;='Scale score'!$B$6,IFERROR(VALUE(IF(TRIM('Scale score'!$B$5&amp;"")="","",IFERROR(TRIM(INDEX($A30:$Z30,MATCH('Scale score'!$B$5,$A$1:$Z$1,0))&amp;""),""))),"")&lt;='Scale score'!$B$7),IFERROR(VALUE(IF(TRIM('Scale score'!$B$5&amp;"")="","",IFERROR(TRIM(INDEX($A30:$Z30,MATCH('Scale score'!$B$5,$A$1:$Z$1,0))&amp;""),""))),""),""),"")</f>
        <v/>
      </c>
      <c r="AH30" s="41">
        <f>IF(TRIM('Open answers'!$B$5&amp;"")="","",IFERROR(TRIM(INDEX($A30:$Z30,MATCH('Open answers'!$B$5,$A$1:$Z$1,0))&amp;""),""))</f>
        <v/>
      </c>
      <c r="AI30" s="41">
        <f>IF(LEN(AH30)&gt;0,MAX($AI$1:AI29)+1,"")</f>
        <v/>
      </c>
    </row>
    <row r="31">
      <c r="AA31" s="40" t="n"/>
      <c r="AB31" s="41">
        <f>IF(TRIM('Counts'!$B$8&amp;"")="","",IFERROR(TRIM(INDEX($A31:$Z31,MATCH('Counts'!$B$8,$A$1:$Z$1,0))&amp;""),""))</f>
        <v/>
      </c>
      <c r="AC31" s="41">
        <f>IF(TRIM('Counts'!$B$26&amp;"")="","",IFERROR(TRIM(INDEX($A31:$Z31,MATCH('Counts'!$B$26,$A$1:$Z$1,0))&amp;""),""))</f>
        <v/>
      </c>
      <c r="AD31" s="41">
        <f>IF(TRIM('Counts'!$B$44&amp;"")="","",IFERROR(TRIM(INDEX($A31:$Z31,MATCH('Counts'!$B$44,$A$1:$Z$1,0))&amp;""),""))</f>
        <v/>
      </c>
      <c r="AE31" s="41">
        <f>IF(TRIM('Cross-tab'!$B$5&amp;"")="","",IFERROR(TRIM(INDEX($A31:$Z31,MATCH('Cross-tab'!$B$5,$A$1:$Z$1,0))&amp;""),""))</f>
        <v/>
      </c>
      <c r="AF31" s="41">
        <f>IF(TRIM('Cross-tab'!$B$7&amp;"")="","",IFERROR(TRIM(INDEX($A31:$Z31,MATCH('Cross-tab'!$B$7,$A$1:$Z$1,0))&amp;""),""))</f>
        <v/>
      </c>
      <c r="AG31" s="41">
        <f>IF(ISNUMBER(IFERROR(VALUE(IF(TRIM('Scale score'!$B$5&amp;"")="","",IFERROR(TRIM(INDEX($A31:$Z31,MATCH('Scale score'!$B$5,$A$1:$Z$1,0))&amp;""),""))),"")),IF(AND(IFERROR(VALUE(IF(TRIM('Scale score'!$B$5&amp;"")="","",IFERROR(TRIM(INDEX($A31:$Z31,MATCH('Scale score'!$B$5,$A$1:$Z$1,0))&amp;""),""))),"")&gt;='Scale score'!$B$6,IFERROR(VALUE(IF(TRIM('Scale score'!$B$5&amp;"")="","",IFERROR(TRIM(INDEX($A31:$Z31,MATCH('Scale score'!$B$5,$A$1:$Z$1,0))&amp;""),""))),"")&lt;='Scale score'!$B$7),IFERROR(VALUE(IF(TRIM('Scale score'!$B$5&amp;"")="","",IFERROR(TRIM(INDEX($A31:$Z31,MATCH('Scale score'!$B$5,$A$1:$Z$1,0))&amp;""),""))),""),""),"")</f>
        <v/>
      </c>
      <c r="AH31" s="41">
        <f>IF(TRIM('Open answers'!$B$5&amp;"")="","",IFERROR(TRIM(INDEX($A31:$Z31,MATCH('Open answers'!$B$5,$A$1:$Z$1,0))&amp;""),""))</f>
        <v/>
      </c>
      <c r="AI31" s="41">
        <f>IF(LEN(AH31)&gt;0,MAX($AI$1:AI30)+1,"")</f>
        <v/>
      </c>
    </row>
    <row r="32">
      <c r="AA32" s="40" t="n"/>
      <c r="AB32" s="41">
        <f>IF(TRIM('Counts'!$B$8&amp;"")="","",IFERROR(TRIM(INDEX($A32:$Z32,MATCH('Counts'!$B$8,$A$1:$Z$1,0))&amp;""),""))</f>
        <v/>
      </c>
      <c r="AC32" s="41">
        <f>IF(TRIM('Counts'!$B$26&amp;"")="","",IFERROR(TRIM(INDEX($A32:$Z32,MATCH('Counts'!$B$26,$A$1:$Z$1,0))&amp;""),""))</f>
        <v/>
      </c>
      <c r="AD32" s="41">
        <f>IF(TRIM('Counts'!$B$44&amp;"")="","",IFERROR(TRIM(INDEX($A32:$Z32,MATCH('Counts'!$B$44,$A$1:$Z$1,0))&amp;""),""))</f>
        <v/>
      </c>
      <c r="AE32" s="41">
        <f>IF(TRIM('Cross-tab'!$B$5&amp;"")="","",IFERROR(TRIM(INDEX($A32:$Z32,MATCH('Cross-tab'!$B$5,$A$1:$Z$1,0))&amp;""),""))</f>
        <v/>
      </c>
      <c r="AF32" s="41">
        <f>IF(TRIM('Cross-tab'!$B$7&amp;"")="","",IFERROR(TRIM(INDEX($A32:$Z32,MATCH('Cross-tab'!$B$7,$A$1:$Z$1,0))&amp;""),""))</f>
        <v/>
      </c>
      <c r="AG32" s="41">
        <f>IF(ISNUMBER(IFERROR(VALUE(IF(TRIM('Scale score'!$B$5&amp;"")="","",IFERROR(TRIM(INDEX($A32:$Z32,MATCH('Scale score'!$B$5,$A$1:$Z$1,0))&amp;""),""))),"")),IF(AND(IFERROR(VALUE(IF(TRIM('Scale score'!$B$5&amp;"")="","",IFERROR(TRIM(INDEX($A32:$Z32,MATCH('Scale score'!$B$5,$A$1:$Z$1,0))&amp;""),""))),"")&gt;='Scale score'!$B$6,IFERROR(VALUE(IF(TRIM('Scale score'!$B$5&amp;"")="","",IFERROR(TRIM(INDEX($A32:$Z32,MATCH('Scale score'!$B$5,$A$1:$Z$1,0))&amp;""),""))),"")&lt;='Scale score'!$B$7),IFERROR(VALUE(IF(TRIM('Scale score'!$B$5&amp;"")="","",IFERROR(TRIM(INDEX($A32:$Z32,MATCH('Scale score'!$B$5,$A$1:$Z$1,0))&amp;""),""))),""),""),"")</f>
        <v/>
      </c>
      <c r="AH32" s="41">
        <f>IF(TRIM('Open answers'!$B$5&amp;"")="","",IFERROR(TRIM(INDEX($A32:$Z32,MATCH('Open answers'!$B$5,$A$1:$Z$1,0))&amp;""),""))</f>
        <v/>
      </c>
      <c r="AI32" s="41">
        <f>IF(LEN(AH32)&gt;0,MAX($AI$1:AI31)+1,"")</f>
        <v/>
      </c>
    </row>
    <row r="33">
      <c r="AA33" s="40" t="n"/>
      <c r="AB33" s="41">
        <f>IF(TRIM('Counts'!$B$8&amp;"")="","",IFERROR(TRIM(INDEX($A33:$Z33,MATCH('Counts'!$B$8,$A$1:$Z$1,0))&amp;""),""))</f>
        <v/>
      </c>
      <c r="AC33" s="41">
        <f>IF(TRIM('Counts'!$B$26&amp;"")="","",IFERROR(TRIM(INDEX($A33:$Z33,MATCH('Counts'!$B$26,$A$1:$Z$1,0))&amp;""),""))</f>
        <v/>
      </c>
      <c r="AD33" s="41">
        <f>IF(TRIM('Counts'!$B$44&amp;"")="","",IFERROR(TRIM(INDEX($A33:$Z33,MATCH('Counts'!$B$44,$A$1:$Z$1,0))&amp;""),""))</f>
        <v/>
      </c>
      <c r="AE33" s="41">
        <f>IF(TRIM('Cross-tab'!$B$5&amp;"")="","",IFERROR(TRIM(INDEX($A33:$Z33,MATCH('Cross-tab'!$B$5,$A$1:$Z$1,0))&amp;""),""))</f>
        <v/>
      </c>
      <c r="AF33" s="41">
        <f>IF(TRIM('Cross-tab'!$B$7&amp;"")="","",IFERROR(TRIM(INDEX($A33:$Z33,MATCH('Cross-tab'!$B$7,$A$1:$Z$1,0))&amp;""),""))</f>
        <v/>
      </c>
      <c r="AG33" s="41">
        <f>IF(ISNUMBER(IFERROR(VALUE(IF(TRIM('Scale score'!$B$5&amp;"")="","",IFERROR(TRIM(INDEX($A33:$Z33,MATCH('Scale score'!$B$5,$A$1:$Z$1,0))&amp;""),""))),"")),IF(AND(IFERROR(VALUE(IF(TRIM('Scale score'!$B$5&amp;"")="","",IFERROR(TRIM(INDEX($A33:$Z33,MATCH('Scale score'!$B$5,$A$1:$Z$1,0))&amp;""),""))),"")&gt;='Scale score'!$B$6,IFERROR(VALUE(IF(TRIM('Scale score'!$B$5&amp;"")="","",IFERROR(TRIM(INDEX($A33:$Z33,MATCH('Scale score'!$B$5,$A$1:$Z$1,0))&amp;""),""))),"")&lt;='Scale score'!$B$7),IFERROR(VALUE(IF(TRIM('Scale score'!$B$5&amp;"")="","",IFERROR(TRIM(INDEX($A33:$Z33,MATCH('Scale score'!$B$5,$A$1:$Z$1,0))&amp;""),""))),""),""),"")</f>
        <v/>
      </c>
      <c r="AH33" s="41">
        <f>IF(TRIM('Open answers'!$B$5&amp;"")="","",IFERROR(TRIM(INDEX($A33:$Z33,MATCH('Open answers'!$B$5,$A$1:$Z$1,0))&amp;""),""))</f>
        <v/>
      </c>
      <c r="AI33" s="41">
        <f>IF(LEN(AH33)&gt;0,MAX($AI$1:AI32)+1,"")</f>
        <v/>
      </c>
    </row>
    <row r="34">
      <c r="AA34" s="40" t="n"/>
      <c r="AB34" s="41">
        <f>IF(TRIM('Counts'!$B$8&amp;"")="","",IFERROR(TRIM(INDEX($A34:$Z34,MATCH('Counts'!$B$8,$A$1:$Z$1,0))&amp;""),""))</f>
        <v/>
      </c>
      <c r="AC34" s="41">
        <f>IF(TRIM('Counts'!$B$26&amp;"")="","",IFERROR(TRIM(INDEX($A34:$Z34,MATCH('Counts'!$B$26,$A$1:$Z$1,0))&amp;""),""))</f>
        <v/>
      </c>
      <c r="AD34" s="41">
        <f>IF(TRIM('Counts'!$B$44&amp;"")="","",IFERROR(TRIM(INDEX($A34:$Z34,MATCH('Counts'!$B$44,$A$1:$Z$1,0))&amp;""),""))</f>
        <v/>
      </c>
      <c r="AE34" s="41">
        <f>IF(TRIM('Cross-tab'!$B$5&amp;"")="","",IFERROR(TRIM(INDEX($A34:$Z34,MATCH('Cross-tab'!$B$5,$A$1:$Z$1,0))&amp;""),""))</f>
        <v/>
      </c>
      <c r="AF34" s="41">
        <f>IF(TRIM('Cross-tab'!$B$7&amp;"")="","",IFERROR(TRIM(INDEX($A34:$Z34,MATCH('Cross-tab'!$B$7,$A$1:$Z$1,0))&amp;""),""))</f>
        <v/>
      </c>
      <c r="AG34" s="41">
        <f>IF(ISNUMBER(IFERROR(VALUE(IF(TRIM('Scale score'!$B$5&amp;"")="","",IFERROR(TRIM(INDEX($A34:$Z34,MATCH('Scale score'!$B$5,$A$1:$Z$1,0))&amp;""),""))),"")),IF(AND(IFERROR(VALUE(IF(TRIM('Scale score'!$B$5&amp;"")="","",IFERROR(TRIM(INDEX($A34:$Z34,MATCH('Scale score'!$B$5,$A$1:$Z$1,0))&amp;""),""))),"")&gt;='Scale score'!$B$6,IFERROR(VALUE(IF(TRIM('Scale score'!$B$5&amp;"")="","",IFERROR(TRIM(INDEX($A34:$Z34,MATCH('Scale score'!$B$5,$A$1:$Z$1,0))&amp;""),""))),"")&lt;='Scale score'!$B$7),IFERROR(VALUE(IF(TRIM('Scale score'!$B$5&amp;"")="","",IFERROR(TRIM(INDEX($A34:$Z34,MATCH('Scale score'!$B$5,$A$1:$Z$1,0))&amp;""),""))),""),""),"")</f>
        <v/>
      </c>
      <c r="AH34" s="41">
        <f>IF(TRIM('Open answers'!$B$5&amp;"")="","",IFERROR(TRIM(INDEX($A34:$Z34,MATCH('Open answers'!$B$5,$A$1:$Z$1,0))&amp;""),""))</f>
        <v/>
      </c>
      <c r="AI34" s="41">
        <f>IF(LEN(AH34)&gt;0,MAX($AI$1:AI33)+1,"")</f>
        <v/>
      </c>
    </row>
    <row r="35">
      <c r="AA35" s="40" t="n"/>
      <c r="AB35" s="41">
        <f>IF(TRIM('Counts'!$B$8&amp;"")="","",IFERROR(TRIM(INDEX($A35:$Z35,MATCH('Counts'!$B$8,$A$1:$Z$1,0))&amp;""),""))</f>
        <v/>
      </c>
      <c r="AC35" s="41">
        <f>IF(TRIM('Counts'!$B$26&amp;"")="","",IFERROR(TRIM(INDEX($A35:$Z35,MATCH('Counts'!$B$26,$A$1:$Z$1,0))&amp;""),""))</f>
        <v/>
      </c>
      <c r="AD35" s="41">
        <f>IF(TRIM('Counts'!$B$44&amp;"")="","",IFERROR(TRIM(INDEX($A35:$Z35,MATCH('Counts'!$B$44,$A$1:$Z$1,0))&amp;""),""))</f>
        <v/>
      </c>
      <c r="AE35" s="41">
        <f>IF(TRIM('Cross-tab'!$B$5&amp;"")="","",IFERROR(TRIM(INDEX($A35:$Z35,MATCH('Cross-tab'!$B$5,$A$1:$Z$1,0))&amp;""),""))</f>
        <v/>
      </c>
      <c r="AF35" s="41">
        <f>IF(TRIM('Cross-tab'!$B$7&amp;"")="","",IFERROR(TRIM(INDEX($A35:$Z35,MATCH('Cross-tab'!$B$7,$A$1:$Z$1,0))&amp;""),""))</f>
        <v/>
      </c>
      <c r="AG35" s="41">
        <f>IF(ISNUMBER(IFERROR(VALUE(IF(TRIM('Scale score'!$B$5&amp;"")="","",IFERROR(TRIM(INDEX($A35:$Z35,MATCH('Scale score'!$B$5,$A$1:$Z$1,0))&amp;""),""))),"")),IF(AND(IFERROR(VALUE(IF(TRIM('Scale score'!$B$5&amp;"")="","",IFERROR(TRIM(INDEX($A35:$Z35,MATCH('Scale score'!$B$5,$A$1:$Z$1,0))&amp;""),""))),"")&gt;='Scale score'!$B$6,IFERROR(VALUE(IF(TRIM('Scale score'!$B$5&amp;"")="","",IFERROR(TRIM(INDEX($A35:$Z35,MATCH('Scale score'!$B$5,$A$1:$Z$1,0))&amp;""),""))),"")&lt;='Scale score'!$B$7),IFERROR(VALUE(IF(TRIM('Scale score'!$B$5&amp;"")="","",IFERROR(TRIM(INDEX($A35:$Z35,MATCH('Scale score'!$B$5,$A$1:$Z$1,0))&amp;""),""))),""),""),"")</f>
        <v/>
      </c>
      <c r="AH35" s="41">
        <f>IF(TRIM('Open answers'!$B$5&amp;"")="","",IFERROR(TRIM(INDEX($A35:$Z35,MATCH('Open answers'!$B$5,$A$1:$Z$1,0))&amp;""),""))</f>
        <v/>
      </c>
      <c r="AI35" s="41">
        <f>IF(LEN(AH35)&gt;0,MAX($AI$1:AI34)+1,"")</f>
        <v/>
      </c>
    </row>
    <row r="36">
      <c r="AA36" s="40" t="n"/>
      <c r="AB36" s="41">
        <f>IF(TRIM('Counts'!$B$8&amp;"")="","",IFERROR(TRIM(INDEX($A36:$Z36,MATCH('Counts'!$B$8,$A$1:$Z$1,0))&amp;""),""))</f>
        <v/>
      </c>
      <c r="AC36" s="41">
        <f>IF(TRIM('Counts'!$B$26&amp;"")="","",IFERROR(TRIM(INDEX($A36:$Z36,MATCH('Counts'!$B$26,$A$1:$Z$1,0))&amp;""),""))</f>
        <v/>
      </c>
      <c r="AD36" s="41">
        <f>IF(TRIM('Counts'!$B$44&amp;"")="","",IFERROR(TRIM(INDEX($A36:$Z36,MATCH('Counts'!$B$44,$A$1:$Z$1,0))&amp;""),""))</f>
        <v/>
      </c>
      <c r="AE36" s="41">
        <f>IF(TRIM('Cross-tab'!$B$5&amp;"")="","",IFERROR(TRIM(INDEX($A36:$Z36,MATCH('Cross-tab'!$B$5,$A$1:$Z$1,0))&amp;""),""))</f>
        <v/>
      </c>
      <c r="AF36" s="41">
        <f>IF(TRIM('Cross-tab'!$B$7&amp;"")="","",IFERROR(TRIM(INDEX($A36:$Z36,MATCH('Cross-tab'!$B$7,$A$1:$Z$1,0))&amp;""),""))</f>
        <v/>
      </c>
      <c r="AG36" s="41">
        <f>IF(ISNUMBER(IFERROR(VALUE(IF(TRIM('Scale score'!$B$5&amp;"")="","",IFERROR(TRIM(INDEX($A36:$Z36,MATCH('Scale score'!$B$5,$A$1:$Z$1,0))&amp;""),""))),"")),IF(AND(IFERROR(VALUE(IF(TRIM('Scale score'!$B$5&amp;"")="","",IFERROR(TRIM(INDEX($A36:$Z36,MATCH('Scale score'!$B$5,$A$1:$Z$1,0))&amp;""),""))),"")&gt;='Scale score'!$B$6,IFERROR(VALUE(IF(TRIM('Scale score'!$B$5&amp;"")="","",IFERROR(TRIM(INDEX($A36:$Z36,MATCH('Scale score'!$B$5,$A$1:$Z$1,0))&amp;""),""))),"")&lt;='Scale score'!$B$7),IFERROR(VALUE(IF(TRIM('Scale score'!$B$5&amp;"")="","",IFERROR(TRIM(INDEX($A36:$Z36,MATCH('Scale score'!$B$5,$A$1:$Z$1,0))&amp;""),""))),""),""),"")</f>
        <v/>
      </c>
      <c r="AH36" s="41">
        <f>IF(TRIM('Open answers'!$B$5&amp;"")="","",IFERROR(TRIM(INDEX($A36:$Z36,MATCH('Open answers'!$B$5,$A$1:$Z$1,0))&amp;""),""))</f>
        <v/>
      </c>
      <c r="AI36" s="41">
        <f>IF(LEN(AH36)&gt;0,MAX($AI$1:AI35)+1,"")</f>
        <v/>
      </c>
    </row>
    <row r="37">
      <c r="AA37" s="40" t="n"/>
      <c r="AB37" s="41">
        <f>IF(TRIM('Counts'!$B$8&amp;"")="","",IFERROR(TRIM(INDEX($A37:$Z37,MATCH('Counts'!$B$8,$A$1:$Z$1,0))&amp;""),""))</f>
        <v/>
      </c>
      <c r="AC37" s="41">
        <f>IF(TRIM('Counts'!$B$26&amp;"")="","",IFERROR(TRIM(INDEX($A37:$Z37,MATCH('Counts'!$B$26,$A$1:$Z$1,0))&amp;""),""))</f>
        <v/>
      </c>
      <c r="AD37" s="41">
        <f>IF(TRIM('Counts'!$B$44&amp;"")="","",IFERROR(TRIM(INDEX($A37:$Z37,MATCH('Counts'!$B$44,$A$1:$Z$1,0))&amp;""),""))</f>
        <v/>
      </c>
      <c r="AE37" s="41">
        <f>IF(TRIM('Cross-tab'!$B$5&amp;"")="","",IFERROR(TRIM(INDEX($A37:$Z37,MATCH('Cross-tab'!$B$5,$A$1:$Z$1,0))&amp;""),""))</f>
        <v/>
      </c>
      <c r="AF37" s="41">
        <f>IF(TRIM('Cross-tab'!$B$7&amp;"")="","",IFERROR(TRIM(INDEX($A37:$Z37,MATCH('Cross-tab'!$B$7,$A$1:$Z$1,0))&amp;""),""))</f>
        <v/>
      </c>
      <c r="AG37" s="41">
        <f>IF(ISNUMBER(IFERROR(VALUE(IF(TRIM('Scale score'!$B$5&amp;"")="","",IFERROR(TRIM(INDEX($A37:$Z37,MATCH('Scale score'!$B$5,$A$1:$Z$1,0))&amp;""),""))),"")),IF(AND(IFERROR(VALUE(IF(TRIM('Scale score'!$B$5&amp;"")="","",IFERROR(TRIM(INDEX($A37:$Z37,MATCH('Scale score'!$B$5,$A$1:$Z$1,0))&amp;""),""))),"")&gt;='Scale score'!$B$6,IFERROR(VALUE(IF(TRIM('Scale score'!$B$5&amp;"")="","",IFERROR(TRIM(INDEX($A37:$Z37,MATCH('Scale score'!$B$5,$A$1:$Z$1,0))&amp;""),""))),"")&lt;='Scale score'!$B$7),IFERROR(VALUE(IF(TRIM('Scale score'!$B$5&amp;"")="","",IFERROR(TRIM(INDEX($A37:$Z37,MATCH('Scale score'!$B$5,$A$1:$Z$1,0))&amp;""),""))),""),""),"")</f>
        <v/>
      </c>
      <c r="AH37" s="41">
        <f>IF(TRIM('Open answers'!$B$5&amp;"")="","",IFERROR(TRIM(INDEX($A37:$Z37,MATCH('Open answers'!$B$5,$A$1:$Z$1,0))&amp;""),""))</f>
        <v/>
      </c>
      <c r="AI37" s="41">
        <f>IF(LEN(AH37)&gt;0,MAX($AI$1:AI36)+1,"")</f>
        <v/>
      </c>
    </row>
    <row r="38">
      <c r="AA38" s="40" t="n"/>
      <c r="AB38" s="41">
        <f>IF(TRIM('Counts'!$B$8&amp;"")="","",IFERROR(TRIM(INDEX($A38:$Z38,MATCH('Counts'!$B$8,$A$1:$Z$1,0))&amp;""),""))</f>
        <v/>
      </c>
      <c r="AC38" s="41">
        <f>IF(TRIM('Counts'!$B$26&amp;"")="","",IFERROR(TRIM(INDEX($A38:$Z38,MATCH('Counts'!$B$26,$A$1:$Z$1,0))&amp;""),""))</f>
        <v/>
      </c>
      <c r="AD38" s="41">
        <f>IF(TRIM('Counts'!$B$44&amp;"")="","",IFERROR(TRIM(INDEX($A38:$Z38,MATCH('Counts'!$B$44,$A$1:$Z$1,0))&amp;""),""))</f>
        <v/>
      </c>
      <c r="AE38" s="41">
        <f>IF(TRIM('Cross-tab'!$B$5&amp;"")="","",IFERROR(TRIM(INDEX($A38:$Z38,MATCH('Cross-tab'!$B$5,$A$1:$Z$1,0))&amp;""),""))</f>
        <v/>
      </c>
      <c r="AF38" s="41">
        <f>IF(TRIM('Cross-tab'!$B$7&amp;"")="","",IFERROR(TRIM(INDEX($A38:$Z38,MATCH('Cross-tab'!$B$7,$A$1:$Z$1,0))&amp;""),""))</f>
        <v/>
      </c>
      <c r="AG38" s="41">
        <f>IF(ISNUMBER(IFERROR(VALUE(IF(TRIM('Scale score'!$B$5&amp;"")="","",IFERROR(TRIM(INDEX($A38:$Z38,MATCH('Scale score'!$B$5,$A$1:$Z$1,0))&amp;""),""))),"")),IF(AND(IFERROR(VALUE(IF(TRIM('Scale score'!$B$5&amp;"")="","",IFERROR(TRIM(INDEX($A38:$Z38,MATCH('Scale score'!$B$5,$A$1:$Z$1,0))&amp;""),""))),"")&gt;='Scale score'!$B$6,IFERROR(VALUE(IF(TRIM('Scale score'!$B$5&amp;"")="","",IFERROR(TRIM(INDEX($A38:$Z38,MATCH('Scale score'!$B$5,$A$1:$Z$1,0))&amp;""),""))),"")&lt;='Scale score'!$B$7),IFERROR(VALUE(IF(TRIM('Scale score'!$B$5&amp;"")="","",IFERROR(TRIM(INDEX($A38:$Z38,MATCH('Scale score'!$B$5,$A$1:$Z$1,0))&amp;""),""))),""),""),"")</f>
        <v/>
      </c>
      <c r="AH38" s="41">
        <f>IF(TRIM('Open answers'!$B$5&amp;"")="","",IFERROR(TRIM(INDEX($A38:$Z38,MATCH('Open answers'!$B$5,$A$1:$Z$1,0))&amp;""),""))</f>
        <v/>
      </c>
      <c r="AI38" s="41">
        <f>IF(LEN(AH38)&gt;0,MAX($AI$1:AI37)+1,"")</f>
        <v/>
      </c>
    </row>
    <row r="39">
      <c r="AA39" s="40" t="n"/>
      <c r="AB39" s="41">
        <f>IF(TRIM('Counts'!$B$8&amp;"")="","",IFERROR(TRIM(INDEX($A39:$Z39,MATCH('Counts'!$B$8,$A$1:$Z$1,0))&amp;""),""))</f>
        <v/>
      </c>
      <c r="AC39" s="41">
        <f>IF(TRIM('Counts'!$B$26&amp;"")="","",IFERROR(TRIM(INDEX($A39:$Z39,MATCH('Counts'!$B$26,$A$1:$Z$1,0))&amp;""),""))</f>
        <v/>
      </c>
      <c r="AD39" s="41">
        <f>IF(TRIM('Counts'!$B$44&amp;"")="","",IFERROR(TRIM(INDEX($A39:$Z39,MATCH('Counts'!$B$44,$A$1:$Z$1,0))&amp;""),""))</f>
        <v/>
      </c>
      <c r="AE39" s="41">
        <f>IF(TRIM('Cross-tab'!$B$5&amp;"")="","",IFERROR(TRIM(INDEX($A39:$Z39,MATCH('Cross-tab'!$B$5,$A$1:$Z$1,0))&amp;""),""))</f>
        <v/>
      </c>
      <c r="AF39" s="41">
        <f>IF(TRIM('Cross-tab'!$B$7&amp;"")="","",IFERROR(TRIM(INDEX($A39:$Z39,MATCH('Cross-tab'!$B$7,$A$1:$Z$1,0))&amp;""),""))</f>
        <v/>
      </c>
      <c r="AG39" s="41">
        <f>IF(ISNUMBER(IFERROR(VALUE(IF(TRIM('Scale score'!$B$5&amp;"")="","",IFERROR(TRIM(INDEX($A39:$Z39,MATCH('Scale score'!$B$5,$A$1:$Z$1,0))&amp;""),""))),"")),IF(AND(IFERROR(VALUE(IF(TRIM('Scale score'!$B$5&amp;"")="","",IFERROR(TRIM(INDEX($A39:$Z39,MATCH('Scale score'!$B$5,$A$1:$Z$1,0))&amp;""),""))),"")&gt;='Scale score'!$B$6,IFERROR(VALUE(IF(TRIM('Scale score'!$B$5&amp;"")="","",IFERROR(TRIM(INDEX($A39:$Z39,MATCH('Scale score'!$B$5,$A$1:$Z$1,0))&amp;""),""))),"")&lt;='Scale score'!$B$7),IFERROR(VALUE(IF(TRIM('Scale score'!$B$5&amp;"")="","",IFERROR(TRIM(INDEX($A39:$Z39,MATCH('Scale score'!$B$5,$A$1:$Z$1,0))&amp;""),""))),""),""),"")</f>
        <v/>
      </c>
      <c r="AH39" s="41">
        <f>IF(TRIM('Open answers'!$B$5&amp;"")="","",IFERROR(TRIM(INDEX($A39:$Z39,MATCH('Open answers'!$B$5,$A$1:$Z$1,0))&amp;""),""))</f>
        <v/>
      </c>
      <c r="AI39" s="41">
        <f>IF(LEN(AH39)&gt;0,MAX($AI$1:AI38)+1,"")</f>
        <v/>
      </c>
    </row>
    <row r="40">
      <c r="AA40" s="40" t="n"/>
      <c r="AB40" s="41">
        <f>IF(TRIM('Counts'!$B$8&amp;"")="","",IFERROR(TRIM(INDEX($A40:$Z40,MATCH('Counts'!$B$8,$A$1:$Z$1,0))&amp;""),""))</f>
        <v/>
      </c>
      <c r="AC40" s="41">
        <f>IF(TRIM('Counts'!$B$26&amp;"")="","",IFERROR(TRIM(INDEX($A40:$Z40,MATCH('Counts'!$B$26,$A$1:$Z$1,0))&amp;""),""))</f>
        <v/>
      </c>
      <c r="AD40" s="41">
        <f>IF(TRIM('Counts'!$B$44&amp;"")="","",IFERROR(TRIM(INDEX($A40:$Z40,MATCH('Counts'!$B$44,$A$1:$Z$1,0))&amp;""),""))</f>
        <v/>
      </c>
      <c r="AE40" s="41">
        <f>IF(TRIM('Cross-tab'!$B$5&amp;"")="","",IFERROR(TRIM(INDEX($A40:$Z40,MATCH('Cross-tab'!$B$5,$A$1:$Z$1,0))&amp;""),""))</f>
        <v/>
      </c>
      <c r="AF40" s="41">
        <f>IF(TRIM('Cross-tab'!$B$7&amp;"")="","",IFERROR(TRIM(INDEX($A40:$Z40,MATCH('Cross-tab'!$B$7,$A$1:$Z$1,0))&amp;""),""))</f>
        <v/>
      </c>
      <c r="AG40" s="41">
        <f>IF(ISNUMBER(IFERROR(VALUE(IF(TRIM('Scale score'!$B$5&amp;"")="","",IFERROR(TRIM(INDEX($A40:$Z40,MATCH('Scale score'!$B$5,$A$1:$Z$1,0))&amp;""),""))),"")),IF(AND(IFERROR(VALUE(IF(TRIM('Scale score'!$B$5&amp;"")="","",IFERROR(TRIM(INDEX($A40:$Z40,MATCH('Scale score'!$B$5,$A$1:$Z$1,0))&amp;""),""))),"")&gt;='Scale score'!$B$6,IFERROR(VALUE(IF(TRIM('Scale score'!$B$5&amp;"")="","",IFERROR(TRIM(INDEX($A40:$Z40,MATCH('Scale score'!$B$5,$A$1:$Z$1,0))&amp;""),""))),"")&lt;='Scale score'!$B$7),IFERROR(VALUE(IF(TRIM('Scale score'!$B$5&amp;"")="","",IFERROR(TRIM(INDEX($A40:$Z40,MATCH('Scale score'!$B$5,$A$1:$Z$1,0))&amp;""),""))),""),""),"")</f>
        <v/>
      </c>
      <c r="AH40" s="41">
        <f>IF(TRIM('Open answers'!$B$5&amp;"")="","",IFERROR(TRIM(INDEX($A40:$Z40,MATCH('Open answers'!$B$5,$A$1:$Z$1,0))&amp;""),""))</f>
        <v/>
      </c>
      <c r="AI40" s="41">
        <f>IF(LEN(AH40)&gt;0,MAX($AI$1:AI39)+1,"")</f>
        <v/>
      </c>
    </row>
    <row r="41">
      <c r="AA41" s="40" t="n"/>
      <c r="AB41" s="41">
        <f>IF(TRIM('Counts'!$B$8&amp;"")="","",IFERROR(TRIM(INDEX($A41:$Z41,MATCH('Counts'!$B$8,$A$1:$Z$1,0))&amp;""),""))</f>
        <v/>
      </c>
      <c r="AC41" s="41">
        <f>IF(TRIM('Counts'!$B$26&amp;"")="","",IFERROR(TRIM(INDEX($A41:$Z41,MATCH('Counts'!$B$26,$A$1:$Z$1,0))&amp;""),""))</f>
        <v/>
      </c>
      <c r="AD41" s="41">
        <f>IF(TRIM('Counts'!$B$44&amp;"")="","",IFERROR(TRIM(INDEX($A41:$Z41,MATCH('Counts'!$B$44,$A$1:$Z$1,0))&amp;""),""))</f>
        <v/>
      </c>
      <c r="AE41" s="41">
        <f>IF(TRIM('Cross-tab'!$B$5&amp;"")="","",IFERROR(TRIM(INDEX($A41:$Z41,MATCH('Cross-tab'!$B$5,$A$1:$Z$1,0))&amp;""),""))</f>
        <v/>
      </c>
      <c r="AF41" s="41">
        <f>IF(TRIM('Cross-tab'!$B$7&amp;"")="","",IFERROR(TRIM(INDEX($A41:$Z41,MATCH('Cross-tab'!$B$7,$A$1:$Z$1,0))&amp;""),""))</f>
        <v/>
      </c>
      <c r="AG41" s="41">
        <f>IF(ISNUMBER(IFERROR(VALUE(IF(TRIM('Scale score'!$B$5&amp;"")="","",IFERROR(TRIM(INDEX($A41:$Z41,MATCH('Scale score'!$B$5,$A$1:$Z$1,0))&amp;""),""))),"")),IF(AND(IFERROR(VALUE(IF(TRIM('Scale score'!$B$5&amp;"")="","",IFERROR(TRIM(INDEX($A41:$Z41,MATCH('Scale score'!$B$5,$A$1:$Z$1,0))&amp;""),""))),"")&gt;='Scale score'!$B$6,IFERROR(VALUE(IF(TRIM('Scale score'!$B$5&amp;"")="","",IFERROR(TRIM(INDEX($A41:$Z41,MATCH('Scale score'!$B$5,$A$1:$Z$1,0))&amp;""),""))),"")&lt;='Scale score'!$B$7),IFERROR(VALUE(IF(TRIM('Scale score'!$B$5&amp;"")="","",IFERROR(TRIM(INDEX($A41:$Z41,MATCH('Scale score'!$B$5,$A$1:$Z$1,0))&amp;""),""))),""),""),"")</f>
        <v/>
      </c>
      <c r="AH41" s="41">
        <f>IF(TRIM('Open answers'!$B$5&amp;"")="","",IFERROR(TRIM(INDEX($A41:$Z41,MATCH('Open answers'!$B$5,$A$1:$Z$1,0))&amp;""),""))</f>
        <v/>
      </c>
      <c r="AI41" s="41">
        <f>IF(LEN(AH41)&gt;0,MAX($AI$1:AI40)+1,"")</f>
        <v/>
      </c>
    </row>
    <row r="42">
      <c r="AA42" s="40" t="n"/>
      <c r="AB42" s="41">
        <f>IF(TRIM('Counts'!$B$8&amp;"")="","",IFERROR(TRIM(INDEX($A42:$Z42,MATCH('Counts'!$B$8,$A$1:$Z$1,0))&amp;""),""))</f>
        <v/>
      </c>
      <c r="AC42" s="41">
        <f>IF(TRIM('Counts'!$B$26&amp;"")="","",IFERROR(TRIM(INDEX($A42:$Z42,MATCH('Counts'!$B$26,$A$1:$Z$1,0))&amp;""),""))</f>
        <v/>
      </c>
      <c r="AD42" s="41">
        <f>IF(TRIM('Counts'!$B$44&amp;"")="","",IFERROR(TRIM(INDEX($A42:$Z42,MATCH('Counts'!$B$44,$A$1:$Z$1,0))&amp;""),""))</f>
        <v/>
      </c>
      <c r="AE42" s="41">
        <f>IF(TRIM('Cross-tab'!$B$5&amp;"")="","",IFERROR(TRIM(INDEX($A42:$Z42,MATCH('Cross-tab'!$B$5,$A$1:$Z$1,0))&amp;""),""))</f>
        <v/>
      </c>
      <c r="AF42" s="41">
        <f>IF(TRIM('Cross-tab'!$B$7&amp;"")="","",IFERROR(TRIM(INDEX($A42:$Z42,MATCH('Cross-tab'!$B$7,$A$1:$Z$1,0))&amp;""),""))</f>
        <v/>
      </c>
      <c r="AG42" s="41">
        <f>IF(ISNUMBER(IFERROR(VALUE(IF(TRIM('Scale score'!$B$5&amp;"")="","",IFERROR(TRIM(INDEX($A42:$Z42,MATCH('Scale score'!$B$5,$A$1:$Z$1,0))&amp;""),""))),"")),IF(AND(IFERROR(VALUE(IF(TRIM('Scale score'!$B$5&amp;"")="","",IFERROR(TRIM(INDEX($A42:$Z42,MATCH('Scale score'!$B$5,$A$1:$Z$1,0))&amp;""),""))),"")&gt;='Scale score'!$B$6,IFERROR(VALUE(IF(TRIM('Scale score'!$B$5&amp;"")="","",IFERROR(TRIM(INDEX($A42:$Z42,MATCH('Scale score'!$B$5,$A$1:$Z$1,0))&amp;""),""))),"")&lt;='Scale score'!$B$7),IFERROR(VALUE(IF(TRIM('Scale score'!$B$5&amp;"")="","",IFERROR(TRIM(INDEX($A42:$Z42,MATCH('Scale score'!$B$5,$A$1:$Z$1,0))&amp;""),""))),""),""),"")</f>
        <v/>
      </c>
      <c r="AH42" s="41">
        <f>IF(TRIM('Open answers'!$B$5&amp;"")="","",IFERROR(TRIM(INDEX($A42:$Z42,MATCH('Open answers'!$B$5,$A$1:$Z$1,0))&amp;""),""))</f>
        <v/>
      </c>
      <c r="AI42" s="41">
        <f>IF(LEN(AH42)&gt;0,MAX($AI$1:AI41)+1,"")</f>
        <v/>
      </c>
    </row>
    <row r="43">
      <c r="AA43" s="40" t="n"/>
      <c r="AB43" s="41">
        <f>IF(TRIM('Counts'!$B$8&amp;"")="","",IFERROR(TRIM(INDEX($A43:$Z43,MATCH('Counts'!$B$8,$A$1:$Z$1,0))&amp;""),""))</f>
        <v/>
      </c>
      <c r="AC43" s="41">
        <f>IF(TRIM('Counts'!$B$26&amp;"")="","",IFERROR(TRIM(INDEX($A43:$Z43,MATCH('Counts'!$B$26,$A$1:$Z$1,0))&amp;""),""))</f>
        <v/>
      </c>
      <c r="AD43" s="41">
        <f>IF(TRIM('Counts'!$B$44&amp;"")="","",IFERROR(TRIM(INDEX($A43:$Z43,MATCH('Counts'!$B$44,$A$1:$Z$1,0))&amp;""),""))</f>
        <v/>
      </c>
      <c r="AE43" s="41">
        <f>IF(TRIM('Cross-tab'!$B$5&amp;"")="","",IFERROR(TRIM(INDEX($A43:$Z43,MATCH('Cross-tab'!$B$5,$A$1:$Z$1,0))&amp;""),""))</f>
        <v/>
      </c>
      <c r="AF43" s="41">
        <f>IF(TRIM('Cross-tab'!$B$7&amp;"")="","",IFERROR(TRIM(INDEX($A43:$Z43,MATCH('Cross-tab'!$B$7,$A$1:$Z$1,0))&amp;""),""))</f>
        <v/>
      </c>
      <c r="AG43" s="41">
        <f>IF(ISNUMBER(IFERROR(VALUE(IF(TRIM('Scale score'!$B$5&amp;"")="","",IFERROR(TRIM(INDEX($A43:$Z43,MATCH('Scale score'!$B$5,$A$1:$Z$1,0))&amp;""),""))),"")),IF(AND(IFERROR(VALUE(IF(TRIM('Scale score'!$B$5&amp;"")="","",IFERROR(TRIM(INDEX($A43:$Z43,MATCH('Scale score'!$B$5,$A$1:$Z$1,0))&amp;""),""))),"")&gt;='Scale score'!$B$6,IFERROR(VALUE(IF(TRIM('Scale score'!$B$5&amp;"")="","",IFERROR(TRIM(INDEX($A43:$Z43,MATCH('Scale score'!$B$5,$A$1:$Z$1,0))&amp;""),""))),"")&lt;='Scale score'!$B$7),IFERROR(VALUE(IF(TRIM('Scale score'!$B$5&amp;"")="","",IFERROR(TRIM(INDEX($A43:$Z43,MATCH('Scale score'!$B$5,$A$1:$Z$1,0))&amp;""),""))),""),""),"")</f>
        <v/>
      </c>
      <c r="AH43" s="41">
        <f>IF(TRIM('Open answers'!$B$5&amp;"")="","",IFERROR(TRIM(INDEX($A43:$Z43,MATCH('Open answers'!$B$5,$A$1:$Z$1,0))&amp;""),""))</f>
        <v/>
      </c>
      <c r="AI43" s="41">
        <f>IF(LEN(AH43)&gt;0,MAX($AI$1:AI42)+1,"")</f>
        <v/>
      </c>
    </row>
    <row r="44">
      <c r="AA44" s="40" t="n"/>
      <c r="AB44" s="41">
        <f>IF(TRIM('Counts'!$B$8&amp;"")="","",IFERROR(TRIM(INDEX($A44:$Z44,MATCH('Counts'!$B$8,$A$1:$Z$1,0))&amp;""),""))</f>
        <v/>
      </c>
      <c r="AC44" s="41">
        <f>IF(TRIM('Counts'!$B$26&amp;"")="","",IFERROR(TRIM(INDEX($A44:$Z44,MATCH('Counts'!$B$26,$A$1:$Z$1,0))&amp;""),""))</f>
        <v/>
      </c>
      <c r="AD44" s="41">
        <f>IF(TRIM('Counts'!$B$44&amp;"")="","",IFERROR(TRIM(INDEX($A44:$Z44,MATCH('Counts'!$B$44,$A$1:$Z$1,0))&amp;""),""))</f>
        <v/>
      </c>
      <c r="AE44" s="41">
        <f>IF(TRIM('Cross-tab'!$B$5&amp;"")="","",IFERROR(TRIM(INDEX($A44:$Z44,MATCH('Cross-tab'!$B$5,$A$1:$Z$1,0))&amp;""),""))</f>
        <v/>
      </c>
      <c r="AF44" s="41">
        <f>IF(TRIM('Cross-tab'!$B$7&amp;"")="","",IFERROR(TRIM(INDEX($A44:$Z44,MATCH('Cross-tab'!$B$7,$A$1:$Z$1,0))&amp;""),""))</f>
        <v/>
      </c>
      <c r="AG44" s="41">
        <f>IF(ISNUMBER(IFERROR(VALUE(IF(TRIM('Scale score'!$B$5&amp;"")="","",IFERROR(TRIM(INDEX($A44:$Z44,MATCH('Scale score'!$B$5,$A$1:$Z$1,0))&amp;""),""))),"")),IF(AND(IFERROR(VALUE(IF(TRIM('Scale score'!$B$5&amp;"")="","",IFERROR(TRIM(INDEX($A44:$Z44,MATCH('Scale score'!$B$5,$A$1:$Z$1,0))&amp;""),""))),"")&gt;='Scale score'!$B$6,IFERROR(VALUE(IF(TRIM('Scale score'!$B$5&amp;"")="","",IFERROR(TRIM(INDEX($A44:$Z44,MATCH('Scale score'!$B$5,$A$1:$Z$1,0))&amp;""),""))),"")&lt;='Scale score'!$B$7),IFERROR(VALUE(IF(TRIM('Scale score'!$B$5&amp;"")="","",IFERROR(TRIM(INDEX($A44:$Z44,MATCH('Scale score'!$B$5,$A$1:$Z$1,0))&amp;""),""))),""),""),"")</f>
        <v/>
      </c>
      <c r="AH44" s="41">
        <f>IF(TRIM('Open answers'!$B$5&amp;"")="","",IFERROR(TRIM(INDEX($A44:$Z44,MATCH('Open answers'!$B$5,$A$1:$Z$1,0))&amp;""),""))</f>
        <v/>
      </c>
      <c r="AI44" s="41">
        <f>IF(LEN(AH44)&gt;0,MAX($AI$1:AI43)+1,"")</f>
        <v/>
      </c>
    </row>
    <row r="45">
      <c r="AA45" s="40" t="n"/>
      <c r="AB45" s="41">
        <f>IF(TRIM('Counts'!$B$8&amp;"")="","",IFERROR(TRIM(INDEX($A45:$Z45,MATCH('Counts'!$B$8,$A$1:$Z$1,0))&amp;""),""))</f>
        <v/>
      </c>
      <c r="AC45" s="41">
        <f>IF(TRIM('Counts'!$B$26&amp;"")="","",IFERROR(TRIM(INDEX($A45:$Z45,MATCH('Counts'!$B$26,$A$1:$Z$1,0))&amp;""),""))</f>
        <v/>
      </c>
      <c r="AD45" s="41">
        <f>IF(TRIM('Counts'!$B$44&amp;"")="","",IFERROR(TRIM(INDEX($A45:$Z45,MATCH('Counts'!$B$44,$A$1:$Z$1,0))&amp;""),""))</f>
        <v/>
      </c>
      <c r="AE45" s="41">
        <f>IF(TRIM('Cross-tab'!$B$5&amp;"")="","",IFERROR(TRIM(INDEX($A45:$Z45,MATCH('Cross-tab'!$B$5,$A$1:$Z$1,0))&amp;""),""))</f>
        <v/>
      </c>
      <c r="AF45" s="41">
        <f>IF(TRIM('Cross-tab'!$B$7&amp;"")="","",IFERROR(TRIM(INDEX($A45:$Z45,MATCH('Cross-tab'!$B$7,$A$1:$Z$1,0))&amp;""),""))</f>
        <v/>
      </c>
      <c r="AG45" s="41">
        <f>IF(ISNUMBER(IFERROR(VALUE(IF(TRIM('Scale score'!$B$5&amp;"")="","",IFERROR(TRIM(INDEX($A45:$Z45,MATCH('Scale score'!$B$5,$A$1:$Z$1,0))&amp;""),""))),"")),IF(AND(IFERROR(VALUE(IF(TRIM('Scale score'!$B$5&amp;"")="","",IFERROR(TRIM(INDEX($A45:$Z45,MATCH('Scale score'!$B$5,$A$1:$Z$1,0))&amp;""),""))),"")&gt;='Scale score'!$B$6,IFERROR(VALUE(IF(TRIM('Scale score'!$B$5&amp;"")="","",IFERROR(TRIM(INDEX($A45:$Z45,MATCH('Scale score'!$B$5,$A$1:$Z$1,0))&amp;""),""))),"")&lt;='Scale score'!$B$7),IFERROR(VALUE(IF(TRIM('Scale score'!$B$5&amp;"")="","",IFERROR(TRIM(INDEX($A45:$Z45,MATCH('Scale score'!$B$5,$A$1:$Z$1,0))&amp;""),""))),""),""),"")</f>
        <v/>
      </c>
      <c r="AH45" s="41">
        <f>IF(TRIM('Open answers'!$B$5&amp;"")="","",IFERROR(TRIM(INDEX($A45:$Z45,MATCH('Open answers'!$B$5,$A$1:$Z$1,0))&amp;""),""))</f>
        <v/>
      </c>
      <c r="AI45" s="41">
        <f>IF(LEN(AH45)&gt;0,MAX($AI$1:AI44)+1,"")</f>
        <v/>
      </c>
    </row>
    <row r="46">
      <c r="AA46" s="40" t="n"/>
      <c r="AB46" s="41">
        <f>IF(TRIM('Counts'!$B$8&amp;"")="","",IFERROR(TRIM(INDEX($A46:$Z46,MATCH('Counts'!$B$8,$A$1:$Z$1,0))&amp;""),""))</f>
        <v/>
      </c>
      <c r="AC46" s="41">
        <f>IF(TRIM('Counts'!$B$26&amp;"")="","",IFERROR(TRIM(INDEX($A46:$Z46,MATCH('Counts'!$B$26,$A$1:$Z$1,0))&amp;""),""))</f>
        <v/>
      </c>
      <c r="AD46" s="41">
        <f>IF(TRIM('Counts'!$B$44&amp;"")="","",IFERROR(TRIM(INDEX($A46:$Z46,MATCH('Counts'!$B$44,$A$1:$Z$1,0))&amp;""),""))</f>
        <v/>
      </c>
      <c r="AE46" s="41">
        <f>IF(TRIM('Cross-tab'!$B$5&amp;"")="","",IFERROR(TRIM(INDEX($A46:$Z46,MATCH('Cross-tab'!$B$5,$A$1:$Z$1,0))&amp;""),""))</f>
        <v/>
      </c>
      <c r="AF46" s="41">
        <f>IF(TRIM('Cross-tab'!$B$7&amp;"")="","",IFERROR(TRIM(INDEX($A46:$Z46,MATCH('Cross-tab'!$B$7,$A$1:$Z$1,0))&amp;""),""))</f>
        <v/>
      </c>
      <c r="AG46" s="41">
        <f>IF(ISNUMBER(IFERROR(VALUE(IF(TRIM('Scale score'!$B$5&amp;"")="","",IFERROR(TRIM(INDEX($A46:$Z46,MATCH('Scale score'!$B$5,$A$1:$Z$1,0))&amp;""),""))),"")),IF(AND(IFERROR(VALUE(IF(TRIM('Scale score'!$B$5&amp;"")="","",IFERROR(TRIM(INDEX($A46:$Z46,MATCH('Scale score'!$B$5,$A$1:$Z$1,0))&amp;""),""))),"")&gt;='Scale score'!$B$6,IFERROR(VALUE(IF(TRIM('Scale score'!$B$5&amp;"")="","",IFERROR(TRIM(INDEX($A46:$Z46,MATCH('Scale score'!$B$5,$A$1:$Z$1,0))&amp;""),""))),"")&lt;='Scale score'!$B$7),IFERROR(VALUE(IF(TRIM('Scale score'!$B$5&amp;"")="","",IFERROR(TRIM(INDEX($A46:$Z46,MATCH('Scale score'!$B$5,$A$1:$Z$1,0))&amp;""),""))),""),""),"")</f>
        <v/>
      </c>
      <c r="AH46" s="41">
        <f>IF(TRIM('Open answers'!$B$5&amp;"")="","",IFERROR(TRIM(INDEX($A46:$Z46,MATCH('Open answers'!$B$5,$A$1:$Z$1,0))&amp;""),""))</f>
        <v/>
      </c>
      <c r="AI46" s="41">
        <f>IF(LEN(AH46)&gt;0,MAX($AI$1:AI45)+1,"")</f>
        <v/>
      </c>
    </row>
    <row r="47">
      <c r="AA47" s="40" t="n"/>
      <c r="AB47" s="41">
        <f>IF(TRIM('Counts'!$B$8&amp;"")="","",IFERROR(TRIM(INDEX($A47:$Z47,MATCH('Counts'!$B$8,$A$1:$Z$1,0))&amp;""),""))</f>
        <v/>
      </c>
      <c r="AC47" s="41">
        <f>IF(TRIM('Counts'!$B$26&amp;"")="","",IFERROR(TRIM(INDEX($A47:$Z47,MATCH('Counts'!$B$26,$A$1:$Z$1,0))&amp;""),""))</f>
        <v/>
      </c>
      <c r="AD47" s="41">
        <f>IF(TRIM('Counts'!$B$44&amp;"")="","",IFERROR(TRIM(INDEX($A47:$Z47,MATCH('Counts'!$B$44,$A$1:$Z$1,0))&amp;""),""))</f>
        <v/>
      </c>
      <c r="AE47" s="41">
        <f>IF(TRIM('Cross-tab'!$B$5&amp;"")="","",IFERROR(TRIM(INDEX($A47:$Z47,MATCH('Cross-tab'!$B$5,$A$1:$Z$1,0))&amp;""),""))</f>
        <v/>
      </c>
      <c r="AF47" s="41">
        <f>IF(TRIM('Cross-tab'!$B$7&amp;"")="","",IFERROR(TRIM(INDEX($A47:$Z47,MATCH('Cross-tab'!$B$7,$A$1:$Z$1,0))&amp;""),""))</f>
        <v/>
      </c>
      <c r="AG47" s="41">
        <f>IF(ISNUMBER(IFERROR(VALUE(IF(TRIM('Scale score'!$B$5&amp;"")="","",IFERROR(TRIM(INDEX($A47:$Z47,MATCH('Scale score'!$B$5,$A$1:$Z$1,0))&amp;""),""))),"")),IF(AND(IFERROR(VALUE(IF(TRIM('Scale score'!$B$5&amp;"")="","",IFERROR(TRIM(INDEX($A47:$Z47,MATCH('Scale score'!$B$5,$A$1:$Z$1,0))&amp;""),""))),"")&gt;='Scale score'!$B$6,IFERROR(VALUE(IF(TRIM('Scale score'!$B$5&amp;"")="","",IFERROR(TRIM(INDEX($A47:$Z47,MATCH('Scale score'!$B$5,$A$1:$Z$1,0))&amp;""),""))),"")&lt;='Scale score'!$B$7),IFERROR(VALUE(IF(TRIM('Scale score'!$B$5&amp;"")="","",IFERROR(TRIM(INDEX($A47:$Z47,MATCH('Scale score'!$B$5,$A$1:$Z$1,0))&amp;""),""))),""),""),"")</f>
        <v/>
      </c>
      <c r="AH47" s="41">
        <f>IF(TRIM('Open answers'!$B$5&amp;"")="","",IFERROR(TRIM(INDEX($A47:$Z47,MATCH('Open answers'!$B$5,$A$1:$Z$1,0))&amp;""),""))</f>
        <v/>
      </c>
      <c r="AI47" s="41">
        <f>IF(LEN(AH47)&gt;0,MAX($AI$1:AI46)+1,"")</f>
        <v/>
      </c>
    </row>
    <row r="48">
      <c r="AA48" s="40" t="n"/>
      <c r="AB48" s="41">
        <f>IF(TRIM('Counts'!$B$8&amp;"")="","",IFERROR(TRIM(INDEX($A48:$Z48,MATCH('Counts'!$B$8,$A$1:$Z$1,0))&amp;""),""))</f>
        <v/>
      </c>
      <c r="AC48" s="41">
        <f>IF(TRIM('Counts'!$B$26&amp;"")="","",IFERROR(TRIM(INDEX($A48:$Z48,MATCH('Counts'!$B$26,$A$1:$Z$1,0))&amp;""),""))</f>
        <v/>
      </c>
      <c r="AD48" s="41">
        <f>IF(TRIM('Counts'!$B$44&amp;"")="","",IFERROR(TRIM(INDEX($A48:$Z48,MATCH('Counts'!$B$44,$A$1:$Z$1,0))&amp;""),""))</f>
        <v/>
      </c>
      <c r="AE48" s="41">
        <f>IF(TRIM('Cross-tab'!$B$5&amp;"")="","",IFERROR(TRIM(INDEX($A48:$Z48,MATCH('Cross-tab'!$B$5,$A$1:$Z$1,0))&amp;""),""))</f>
        <v/>
      </c>
      <c r="AF48" s="41">
        <f>IF(TRIM('Cross-tab'!$B$7&amp;"")="","",IFERROR(TRIM(INDEX($A48:$Z48,MATCH('Cross-tab'!$B$7,$A$1:$Z$1,0))&amp;""),""))</f>
        <v/>
      </c>
      <c r="AG48" s="41">
        <f>IF(ISNUMBER(IFERROR(VALUE(IF(TRIM('Scale score'!$B$5&amp;"")="","",IFERROR(TRIM(INDEX($A48:$Z48,MATCH('Scale score'!$B$5,$A$1:$Z$1,0))&amp;""),""))),"")),IF(AND(IFERROR(VALUE(IF(TRIM('Scale score'!$B$5&amp;"")="","",IFERROR(TRIM(INDEX($A48:$Z48,MATCH('Scale score'!$B$5,$A$1:$Z$1,0))&amp;""),""))),"")&gt;='Scale score'!$B$6,IFERROR(VALUE(IF(TRIM('Scale score'!$B$5&amp;"")="","",IFERROR(TRIM(INDEX($A48:$Z48,MATCH('Scale score'!$B$5,$A$1:$Z$1,0))&amp;""),""))),"")&lt;='Scale score'!$B$7),IFERROR(VALUE(IF(TRIM('Scale score'!$B$5&amp;"")="","",IFERROR(TRIM(INDEX($A48:$Z48,MATCH('Scale score'!$B$5,$A$1:$Z$1,0))&amp;""),""))),""),""),"")</f>
        <v/>
      </c>
      <c r="AH48" s="41">
        <f>IF(TRIM('Open answers'!$B$5&amp;"")="","",IFERROR(TRIM(INDEX($A48:$Z48,MATCH('Open answers'!$B$5,$A$1:$Z$1,0))&amp;""),""))</f>
        <v/>
      </c>
      <c r="AI48" s="41">
        <f>IF(LEN(AH48)&gt;0,MAX($AI$1:AI47)+1,"")</f>
        <v/>
      </c>
    </row>
    <row r="49">
      <c r="AA49" s="40" t="n"/>
      <c r="AB49" s="41">
        <f>IF(TRIM('Counts'!$B$8&amp;"")="","",IFERROR(TRIM(INDEX($A49:$Z49,MATCH('Counts'!$B$8,$A$1:$Z$1,0))&amp;""),""))</f>
        <v/>
      </c>
      <c r="AC49" s="41">
        <f>IF(TRIM('Counts'!$B$26&amp;"")="","",IFERROR(TRIM(INDEX($A49:$Z49,MATCH('Counts'!$B$26,$A$1:$Z$1,0))&amp;""),""))</f>
        <v/>
      </c>
      <c r="AD49" s="41">
        <f>IF(TRIM('Counts'!$B$44&amp;"")="","",IFERROR(TRIM(INDEX($A49:$Z49,MATCH('Counts'!$B$44,$A$1:$Z$1,0))&amp;""),""))</f>
        <v/>
      </c>
      <c r="AE49" s="41">
        <f>IF(TRIM('Cross-tab'!$B$5&amp;"")="","",IFERROR(TRIM(INDEX($A49:$Z49,MATCH('Cross-tab'!$B$5,$A$1:$Z$1,0))&amp;""),""))</f>
        <v/>
      </c>
      <c r="AF49" s="41">
        <f>IF(TRIM('Cross-tab'!$B$7&amp;"")="","",IFERROR(TRIM(INDEX($A49:$Z49,MATCH('Cross-tab'!$B$7,$A$1:$Z$1,0))&amp;""),""))</f>
        <v/>
      </c>
      <c r="AG49" s="41">
        <f>IF(ISNUMBER(IFERROR(VALUE(IF(TRIM('Scale score'!$B$5&amp;"")="","",IFERROR(TRIM(INDEX($A49:$Z49,MATCH('Scale score'!$B$5,$A$1:$Z$1,0))&amp;""),""))),"")),IF(AND(IFERROR(VALUE(IF(TRIM('Scale score'!$B$5&amp;"")="","",IFERROR(TRIM(INDEX($A49:$Z49,MATCH('Scale score'!$B$5,$A$1:$Z$1,0))&amp;""),""))),"")&gt;='Scale score'!$B$6,IFERROR(VALUE(IF(TRIM('Scale score'!$B$5&amp;"")="","",IFERROR(TRIM(INDEX($A49:$Z49,MATCH('Scale score'!$B$5,$A$1:$Z$1,0))&amp;""),""))),"")&lt;='Scale score'!$B$7),IFERROR(VALUE(IF(TRIM('Scale score'!$B$5&amp;"")="","",IFERROR(TRIM(INDEX($A49:$Z49,MATCH('Scale score'!$B$5,$A$1:$Z$1,0))&amp;""),""))),""),""),"")</f>
        <v/>
      </c>
      <c r="AH49" s="41">
        <f>IF(TRIM('Open answers'!$B$5&amp;"")="","",IFERROR(TRIM(INDEX($A49:$Z49,MATCH('Open answers'!$B$5,$A$1:$Z$1,0))&amp;""),""))</f>
        <v/>
      </c>
      <c r="AI49" s="41">
        <f>IF(LEN(AH49)&gt;0,MAX($AI$1:AI48)+1,"")</f>
        <v/>
      </c>
    </row>
    <row r="50">
      <c r="AA50" s="40" t="n"/>
      <c r="AB50" s="41">
        <f>IF(TRIM('Counts'!$B$8&amp;"")="","",IFERROR(TRIM(INDEX($A50:$Z50,MATCH('Counts'!$B$8,$A$1:$Z$1,0))&amp;""),""))</f>
        <v/>
      </c>
      <c r="AC50" s="41">
        <f>IF(TRIM('Counts'!$B$26&amp;"")="","",IFERROR(TRIM(INDEX($A50:$Z50,MATCH('Counts'!$B$26,$A$1:$Z$1,0))&amp;""),""))</f>
        <v/>
      </c>
      <c r="AD50" s="41">
        <f>IF(TRIM('Counts'!$B$44&amp;"")="","",IFERROR(TRIM(INDEX($A50:$Z50,MATCH('Counts'!$B$44,$A$1:$Z$1,0))&amp;""),""))</f>
        <v/>
      </c>
      <c r="AE50" s="41">
        <f>IF(TRIM('Cross-tab'!$B$5&amp;"")="","",IFERROR(TRIM(INDEX($A50:$Z50,MATCH('Cross-tab'!$B$5,$A$1:$Z$1,0))&amp;""),""))</f>
        <v/>
      </c>
      <c r="AF50" s="41">
        <f>IF(TRIM('Cross-tab'!$B$7&amp;"")="","",IFERROR(TRIM(INDEX($A50:$Z50,MATCH('Cross-tab'!$B$7,$A$1:$Z$1,0))&amp;""),""))</f>
        <v/>
      </c>
      <c r="AG50" s="41">
        <f>IF(ISNUMBER(IFERROR(VALUE(IF(TRIM('Scale score'!$B$5&amp;"")="","",IFERROR(TRIM(INDEX($A50:$Z50,MATCH('Scale score'!$B$5,$A$1:$Z$1,0))&amp;""),""))),"")),IF(AND(IFERROR(VALUE(IF(TRIM('Scale score'!$B$5&amp;"")="","",IFERROR(TRIM(INDEX($A50:$Z50,MATCH('Scale score'!$B$5,$A$1:$Z$1,0))&amp;""),""))),"")&gt;='Scale score'!$B$6,IFERROR(VALUE(IF(TRIM('Scale score'!$B$5&amp;"")="","",IFERROR(TRIM(INDEX($A50:$Z50,MATCH('Scale score'!$B$5,$A$1:$Z$1,0))&amp;""),""))),"")&lt;='Scale score'!$B$7),IFERROR(VALUE(IF(TRIM('Scale score'!$B$5&amp;"")="","",IFERROR(TRIM(INDEX($A50:$Z50,MATCH('Scale score'!$B$5,$A$1:$Z$1,0))&amp;""),""))),""),""),"")</f>
        <v/>
      </c>
      <c r="AH50" s="41">
        <f>IF(TRIM('Open answers'!$B$5&amp;"")="","",IFERROR(TRIM(INDEX($A50:$Z50,MATCH('Open answers'!$B$5,$A$1:$Z$1,0))&amp;""),""))</f>
        <v/>
      </c>
      <c r="AI50" s="41">
        <f>IF(LEN(AH50)&gt;0,MAX($AI$1:AI49)+1,"")</f>
        <v/>
      </c>
    </row>
    <row r="51">
      <c r="AA51" s="40" t="n"/>
      <c r="AB51" s="41">
        <f>IF(TRIM('Counts'!$B$8&amp;"")="","",IFERROR(TRIM(INDEX($A51:$Z51,MATCH('Counts'!$B$8,$A$1:$Z$1,0))&amp;""),""))</f>
        <v/>
      </c>
      <c r="AC51" s="41">
        <f>IF(TRIM('Counts'!$B$26&amp;"")="","",IFERROR(TRIM(INDEX($A51:$Z51,MATCH('Counts'!$B$26,$A$1:$Z$1,0))&amp;""),""))</f>
        <v/>
      </c>
      <c r="AD51" s="41">
        <f>IF(TRIM('Counts'!$B$44&amp;"")="","",IFERROR(TRIM(INDEX($A51:$Z51,MATCH('Counts'!$B$44,$A$1:$Z$1,0))&amp;""),""))</f>
        <v/>
      </c>
      <c r="AE51" s="41">
        <f>IF(TRIM('Cross-tab'!$B$5&amp;"")="","",IFERROR(TRIM(INDEX($A51:$Z51,MATCH('Cross-tab'!$B$5,$A$1:$Z$1,0))&amp;""),""))</f>
        <v/>
      </c>
      <c r="AF51" s="41">
        <f>IF(TRIM('Cross-tab'!$B$7&amp;"")="","",IFERROR(TRIM(INDEX($A51:$Z51,MATCH('Cross-tab'!$B$7,$A$1:$Z$1,0))&amp;""),""))</f>
        <v/>
      </c>
      <c r="AG51" s="41">
        <f>IF(ISNUMBER(IFERROR(VALUE(IF(TRIM('Scale score'!$B$5&amp;"")="","",IFERROR(TRIM(INDEX($A51:$Z51,MATCH('Scale score'!$B$5,$A$1:$Z$1,0))&amp;""),""))),"")),IF(AND(IFERROR(VALUE(IF(TRIM('Scale score'!$B$5&amp;"")="","",IFERROR(TRIM(INDEX($A51:$Z51,MATCH('Scale score'!$B$5,$A$1:$Z$1,0))&amp;""),""))),"")&gt;='Scale score'!$B$6,IFERROR(VALUE(IF(TRIM('Scale score'!$B$5&amp;"")="","",IFERROR(TRIM(INDEX($A51:$Z51,MATCH('Scale score'!$B$5,$A$1:$Z$1,0))&amp;""),""))),"")&lt;='Scale score'!$B$7),IFERROR(VALUE(IF(TRIM('Scale score'!$B$5&amp;"")="","",IFERROR(TRIM(INDEX($A51:$Z51,MATCH('Scale score'!$B$5,$A$1:$Z$1,0))&amp;""),""))),""),""),"")</f>
        <v/>
      </c>
      <c r="AH51" s="41">
        <f>IF(TRIM('Open answers'!$B$5&amp;"")="","",IFERROR(TRIM(INDEX($A51:$Z51,MATCH('Open answers'!$B$5,$A$1:$Z$1,0))&amp;""),""))</f>
        <v/>
      </c>
      <c r="AI51" s="41">
        <f>IF(LEN(AH51)&gt;0,MAX($AI$1:AI50)+1,"")</f>
        <v/>
      </c>
    </row>
    <row r="52">
      <c r="AA52" s="40" t="n"/>
      <c r="AB52" s="41">
        <f>IF(TRIM('Counts'!$B$8&amp;"")="","",IFERROR(TRIM(INDEX($A52:$Z52,MATCH('Counts'!$B$8,$A$1:$Z$1,0))&amp;""),""))</f>
        <v/>
      </c>
      <c r="AC52" s="41">
        <f>IF(TRIM('Counts'!$B$26&amp;"")="","",IFERROR(TRIM(INDEX($A52:$Z52,MATCH('Counts'!$B$26,$A$1:$Z$1,0))&amp;""),""))</f>
        <v/>
      </c>
      <c r="AD52" s="41">
        <f>IF(TRIM('Counts'!$B$44&amp;"")="","",IFERROR(TRIM(INDEX($A52:$Z52,MATCH('Counts'!$B$44,$A$1:$Z$1,0))&amp;""),""))</f>
        <v/>
      </c>
      <c r="AE52" s="41">
        <f>IF(TRIM('Cross-tab'!$B$5&amp;"")="","",IFERROR(TRIM(INDEX($A52:$Z52,MATCH('Cross-tab'!$B$5,$A$1:$Z$1,0))&amp;""),""))</f>
        <v/>
      </c>
      <c r="AF52" s="41">
        <f>IF(TRIM('Cross-tab'!$B$7&amp;"")="","",IFERROR(TRIM(INDEX($A52:$Z52,MATCH('Cross-tab'!$B$7,$A$1:$Z$1,0))&amp;""),""))</f>
        <v/>
      </c>
      <c r="AG52" s="41">
        <f>IF(ISNUMBER(IFERROR(VALUE(IF(TRIM('Scale score'!$B$5&amp;"")="","",IFERROR(TRIM(INDEX($A52:$Z52,MATCH('Scale score'!$B$5,$A$1:$Z$1,0))&amp;""),""))),"")),IF(AND(IFERROR(VALUE(IF(TRIM('Scale score'!$B$5&amp;"")="","",IFERROR(TRIM(INDEX($A52:$Z52,MATCH('Scale score'!$B$5,$A$1:$Z$1,0))&amp;""),""))),"")&gt;='Scale score'!$B$6,IFERROR(VALUE(IF(TRIM('Scale score'!$B$5&amp;"")="","",IFERROR(TRIM(INDEX($A52:$Z52,MATCH('Scale score'!$B$5,$A$1:$Z$1,0))&amp;""),""))),"")&lt;='Scale score'!$B$7),IFERROR(VALUE(IF(TRIM('Scale score'!$B$5&amp;"")="","",IFERROR(TRIM(INDEX($A52:$Z52,MATCH('Scale score'!$B$5,$A$1:$Z$1,0))&amp;""),""))),""),""),"")</f>
        <v/>
      </c>
      <c r="AH52" s="41">
        <f>IF(TRIM('Open answers'!$B$5&amp;"")="","",IFERROR(TRIM(INDEX($A52:$Z52,MATCH('Open answers'!$B$5,$A$1:$Z$1,0))&amp;""),""))</f>
        <v/>
      </c>
      <c r="AI52" s="41">
        <f>IF(LEN(AH52)&gt;0,MAX($AI$1:AI51)+1,"")</f>
        <v/>
      </c>
    </row>
    <row r="53">
      <c r="AA53" s="40" t="n"/>
      <c r="AB53" s="41">
        <f>IF(TRIM('Counts'!$B$8&amp;"")="","",IFERROR(TRIM(INDEX($A53:$Z53,MATCH('Counts'!$B$8,$A$1:$Z$1,0))&amp;""),""))</f>
        <v/>
      </c>
      <c r="AC53" s="41">
        <f>IF(TRIM('Counts'!$B$26&amp;"")="","",IFERROR(TRIM(INDEX($A53:$Z53,MATCH('Counts'!$B$26,$A$1:$Z$1,0))&amp;""),""))</f>
        <v/>
      </c>
      <c r="AD53" s="41">
        <f>IF(TRIM('Counts'!$B$44&amp;"")="","",IFERROR(TRIM(INDEX($A53:$Z53,MATCH('Counts'!$B$44,$A$1:$Z$1,0))&amp;""),""))</f>
        <v/>
      </c>
      <c r="AE53" s="41">
        <f>IF(TRIM('Cross-tab'!$B$5&amp;"")="","",IFERROR(TRIM(INDEX($A53:$Z53,MATCH('Cross-tab'!$B$5,$A$1:$Z$1,0))&amp;""),""))</f>
        <v/>
      </c>
      <c r="AF53" s="41">
        <f>IF(TRIM('Cross-tab'!$B$7&amp;"")="","",IFERROR(TRIM(INDEX($A53:$Z53,MATCH('Cross-tab'!$B$7,$A$1:$Z$1,0))&amp;""),""))</f>
        <v/>
      </c>
      <c r="AG53" s="41">
        <f>IF(ISNUMBER(IFERROR(VALUE(IF(TRIM('Scale score'!$B$5&amp;"")="","",IFERROR(TRIM(INDEX($A53:$Z53,MATCH('Scale score'!$B$5,$A$1:$Z$1,0))&amp;""),""))),"")),IF(AND(IFERROR(VALUE(IF(TRIM('Scale score'!$B$5&amp;"")="","",IFERROR(TRIM(INDEX($A53:$Z53,MATCH('Scale score'!$B$5,$A$1:$Z$1,0))&amp;""),""))),"")&gt;='Scale score'!$B$6,IFERROR(VALUE(IF(TRIM('Scale score'!$B$5&amp;"")="","",IFERROR(TRIM(INDEX($A53:$Z53,MATCH('Scale score'!$B$5,$A$1:$Z$1,0))&amp;""),""))),"")&lt;='Scale score'!$B$7),IFERROR(VALUE(IF(TRIM('Scale score'!$B$5&amp;"")="","",IFERROR(TRIM(INDEX($A53:$Z53,MATCH('Scale score'!$B$5,$A$1:$Z$1,0))&amp;""),""))),""),""),"")</f>
        <v/>
      </c>
      <c r="AH53" s="41">
        <f>IF(TRIM('Open answers'!$B$5&amp;"")="","",IFERROR(TRIM(INDEX($A53:$Z53,MATCH('Open answers'!$B$5,$A$1:$Z$1,0))&amp;""),""))</f>
        <v/>
      </c>
      <c r="AI53" s="41">
        <f>IF(LEN(AH53)&gt;0,MAX($AI$1:AI52)+1,"")</f>
        <v/>
      </c>
    </row>
    <row r="54">
      <c r="AA54" s="40" t="n"/>
      <c r="AB54" s="41">
        <f>IF(TRIM('Counts'!$B$8&amp;"")="","",IFERROR(TRIM(INDEX($A54:$Z54,MATCH('Counts'!$B$8,$A$1:$Z$1,0))&amp;""),""))</f>
        <v/>
      </c>
      <c r="AC54" s="41">
        <f>IF(TRIM('Counts'!$B$26&amp;"")="","",IFERROR(TRIM(INDEX($A54:$Z54,MATCH('Counts'!$B$26,$A$1:$Z$1,0))&amp;""),""))</f>
        <v/>
      </c>
      <c r="AD54" s="41">
        <f>IF(TRIM('Counts'!$B$44&amp;"")="","",IFERROR(TRIM(INDEX($A54:$Z54,MATCH('Counts'!$B$44,$A$1:$Z$1,0))&amp;""),""))</f>
        <v/>
      </c>
      <c r="AE54" s="41">
        <f>IF(TRIM('Cross-tab'!$B$5&amp;"")="","",IFERROR(TRIM(INDEX($A54:$Z54,MATCH('Cross-tab'!$B$5,$A$1:$Z$1,0))&amp;""),""))</f>
        <v/>
      </c>
      <c r="AF54" s="41">
        <f>IF(TRIM('Cross-tab'!$B$7&amp;"")="","",IFERROR(TRIM(INDEX($A54:$Z54,MATCH('Cross-tab'!$B$7,$A$1:$Z$1,0))&amp;""),""))</f>
        <v/>
      </c>
      <c r="AG54" s="41">
        <f>IF(ISNUMBER(IFERROR(VALUE(IF(TRIM('Scale score'!$B$5&amp;"")="","",IFERROR(TRIM(INDEX($A54:$Z54,MATCH('Scale score'!$B$5,$A$1:$Z$1,0))&amp;""),""))),"")),IF(AND(IFERROR(VALUE(IF(TRIM('Scale score'!$B$5&amp;"")="","",IFERROR(TRIM(INDEX($A54:$Z54,MATCH('Scale score'!$B$5,$A$1:$Z$1,0))&amp;""),""))),"")&gt;='Scale score'!$B$6,IFERROR(VALUE(IF(TRIM('Scale score'!$B$5&amp;"")="","",IFERROR(TRIM(INDEX($A54:$Z54,MATCH('Scale score'!$B$5,$A$1:$Z$1,0))&amp;""),""))),"")&lt;='Scale score'!$B$7),IFERROR(VALUE(IF(TRIM('Scale score'!$B$5&amp;"")="","",IFERROR(TRIM(INDEX($A54:$Z54,MATCH('Scale score'!$B$5,$A$1:$Z$1,0))&amp;""),""))),""),""),"")</f>
        <v/>
      </c>
      <c r="AH54" s="41">
        <f>IF(TRIM('Open answers'!$B$5&amp;"")="","",IFERROR(TRIM(INDEX($A54:$Z54,MATCH('Open answers'!$B$5,$A$1:$Z$1,0))&amp;""),""))</f>
        <v/>
      </c>
      <c r="AI54" s="41">
        <f>IF(LEN(AH54)&gt;0,MAX($AI$1:AI53)+1,"")</f>
        <v/>
      </c>
    </row>
    <row r="55">
      <c r="AA55" s="40" t="n"/>
      <c r="AB55" s="41">
        <f>IF(TRIM('Counts'!$B$8&amp;"")="","",IFERROR(TRIM(INDEX($A55:$Z55,MATCH('Counts'!$B$8,$A$1:$Z$1,0))&amp;""),""))</f>
        <v/>
      </c>
      <c r="AC55" s="41">
        <f>IF(TRIM('Counts'!$B$26&amp;"")="","",IFERROR(TRIM(INDEX($A55:$Z55,MATCH('Counts'!$B$26,$A$1:$Z$1,0))&amp;""),""))</f>
        <v/>
      </c>
      <c r="AD55" s="41">
        <f>IF(TRIM('Counts'!$B$44&amp;"")="","",IFERROR(TRIM(INDEX($A55:$Z55,MATCH('Counts'!$B$44,$A$1:$Z$1,0))&amp;""),""))</f>
        <v/>
      </c>
      <c r="AE55" s="41">
        <f>IF(TRIM('Cross-tab'!$B$5&amp;"")="","",IFERROR(TRIM(INDEX($A55:$Z55,MATCH('Cross-tab'!$B$5,$A$1:$Z$1,0))&amp;""),""))</f>
        <v/>
      </c>
      <c r="AF55" s="41">
        <f>IF(TRIM('Cross-tab'!$B$7&amp;"")="","",IFERROR(TRIM(INDEX($A55:$Z55,MATCH('Cross-tab'!$B$7,$A$1:$Z$1,0))&amp;""),""))</f>
        <v/>
      </c>
      <c r="AG55" s="41">
        <f>IF(ISNUMBER(IFERROR(VALUE(IF(TRIM('Scale score'!$B$5&amp;"")="","",IFERROR(TRIM(INDEX($A55:$Z55,MATCH('Scale score'!$B$5,$A$1:$Z$1,0))&amp;""),""))),"")),IF(AND(IFERROR(VALUE(IF(TRIM('Scale score'!$B$5&amp;"")="","",IFERROR(TRIM(INDEX($A55:$Z55,MATCH('Scale score'!$B$5,$A$1:$Z$1,0))&amp;""),""))),"")&gt;='Scale score'!$B$6,IFERROR(VALUE(IF(TRIM('Scale score'!$B$5&amp;"")="","",IFERROR(TRIM(INDEX($A55:$Z55,MATCH('Scale score'!$B$5,$A$1:$Z$1,0))&amp;""),""))),"")&lt;='Scale score'!$B$7),IFERROR(VALUE(IF(TRIM('Scale score'!$B$5&amp;"")="","",IFERROR(TRIM(INDEX($A55:$Z55,MATCH('Scale score'!$B$5,$A$1:$Z$1,0))&amp;""),""))),""),""),"")</f>
        <v/>
      </c>
      <c r="AH55" s="41">
        <f>IF(TRIM('Open answers'!$B$5&amp;"")="","",IFERROR(TRIM(INDEX($A55:$Z55,MATCH('Open answers'!$B$5,$A$1:$Z$1,0))&amp;""),""))</f>
        <v/>
      </c>
      <c r="AI55" s="41">
        <f>IF(LEN(AH55)&gt;0,MAX($AI$1:AI54)+1,"")</f>
        <v/>
      </c>
    </row>
    <row r="56">
      <c r="AA56" s="40" t="n"/>
      <c r="AB56" s="41">
        <f>IF(TRIM('Counts'!$B$8&amp;"")="","",IFERROR(TRIM(INDEX($A56:$Z56,MATCH('Counts'!$B$8,$A$1:$Z$1,0))&amp;""),""))</f>
        <v/>
      </c>
      <c r="AC56" s="41">
        <f>IF(TRIM('Counts'!$B$26&amp;"")="","",IFERROR(TRIM(INDEX($A56:$Z56,MATCH('Counts'!$B$26,$A$1:$Z$1,0))&amp;""),""))</f>
        <v/>
      </c>
      <c r="AD56" s="41">
        <f>IF(TRIM('Counts'!$B$44&amp;"")="","",IFERROR(TRIM(INDEX($A56:$Z56,MATCH('Counts'!$B$44,$A$1:$Z$1,0))&amp;""),""))</f>
        <v/>
      </c>
      <c r="AE56" s="41">
        <f>IF(TRIM('Cross-tab'!$B$5&amp;"")="","",IFERROR(TRIM(INDEX($A56:$Z56,MATCH('Cross-tab'!$B$5,$A$1:$Z$1,0))&amp;""),""))</f>
        <v/>
      </c>
      <c r="AF56" s="41">
        <f>IF(TRIM('Cross-tab'!$B$7&amp;"")="","",IFERROR(TRIM(INDEX($A56:$Z56,MATCH('Cross-tab'!$B$7,$A$1:$Z$1,0))&amp;""),""))</f>
        <v/>
      </c>
      <c r="AG56" s="41">
        <f>IF(ISNUMBER(IFERROR(VALUE(IF(TRIM('Scale score'!$B$5&amp;"")="","",IFERROR(TRIM(INDEX($A56:$Z56,MATCH('Scale score'!$B$5,$A$1:$Z$1,0))&amp;""),""))),"")),IF(AND(IFERROR(VALUE(IF(TRIM('Scale score'!$B$5&amp;"")="","",IFERROR(TRIM(INDEX($A56:$Z56,MATCH('Scale score'!$B$5,$A$1:$Z$1,0))&amp;""),""))),"")&gt;='Scale score'!$B$6,IFERROR(VALUE(IF(TRIM('Scale score'!$B$5&amp;"")="","",IFERROR(TRIM(INDEX($A56:$Z56,MATCH('Scale score'!$B$5,$A$1:$Z$1,0))&amp;""),""))),"")&lt;='Scale score'!$B$7),IFERROR(VALUE(IF(TRIM('Scale score'!$B$5&amp;"")="","",IFERROR(TRIM(INDEX($A56:$Z56,MATCH('Scale score'!$B$5,$A$1:$Z$1,0))&amp;""),""))),""),""),"")</f>
        <v/>
      </c>
      <c r="AH56" s="41">
        <f>IF(TRIM('Open answers'!$B$5&amp;"")="","",IFERROR(TRIM(INDEX($A56:$Z56,MATCH('Open answers'!$B$5,$A$1:$Z$1,0))&amp;""),""))</f>
        <v/>
      </c>
      <c r="AI56" s="41">
        <f>IF(LEN(AH56)&gt;0,MAX($AI$1:AI55)+1,"")</f>
        <v/>
      </c>
    </row>
    <row r="57">
      <c r="AA57" s="40" t="n"/>
      <c r="AB57" s="41">
        <f>IF(TRIM('Counts'!$B$8&amp;"")="","",IFERROR(TRIM(INDEX($A57:$Z57,MATCH('Counts'!$B$8,$A$1:$Z$1,0))&amp;""),""))</f>
        <v/>
      </c>
      <c r="AC57" s="41">
        <f>IF(TRIM('Counts'!$B$26&amp;"")="","",IFERROR(TRIM(INDEX($A57:$Z57,MATCH('Counts'!$B$26,$A$1:$Z$1,0))&amp;""),""))</f>
        <v/>
      </c>
      <c r="AD57" s="41">
        <f>IF(TRIM('Counts'!$B$44&amp;"")="","",IFERROR(TRIM(INDEX($A57:$Z57,MATCH('Counts'!$B$44,$A$1:$Z$1,0))&amp;""),""))</f>
        <v/>
      </c>
      <c r="AE57" s="41">
        <f>IF(TRIM('Cross-tab'!$B$5&amp;"")="","",IFERROR(TRIM(INDEX($A57:$Z57,MATCH('Cross-tab'!$B$5,$A$1:$Z$1,0))&amp;""),""))</f>
        <v/>
      </c>
      <c r="AF57" s="41">
        <f>IF(TRIM('Cross-tab'!$B$7&amp;"")="","",IFERROR(TRIM(INDEX($A57:$Z57,MATCH('Cross-tab'!$B$7,$A$1:$Z$1,0))&amp;""),""))</f>
        <v/>
      </c>
      <c r="AG57" s="41">
        <f>IF(ISNUMBER(IFERROR(VALUE(IF(TRIM('Scale score'!$B$5&amp;"")="","",IFERROR(TRIM(INDEX($A57:$Z57,MATCH('Scale score'!$B$5,$A$1:$Z$1,0))&amp;""),""))),"")),IF(AND(IFERROR(VALUE(IF(TRIM('Scale score'!$B$5&amp;"")="","",IFERROR(TRIM(INDEX($A57:$Z57,MATCH('Scale score'!$B$5,$A$1:$Z$1,0))&amp;""),""))),"")&gt;='Scale score'!$B$6,IFERROR(VALUE(IF(TRIM('Scale score'!$B$5&amp;"")="","",IFERROR(TRIM(INDEX($A57:$Z57,MATCH('Scale score'!$B$5,$A$1:$Z$1,0))&amp;""),""))),"")&lt;='Scale score'!$B$7),IFERROR(VALUE(IF(TRIM('Scale score'!$B$5&amp;"")="","",IFERROR(TRIM(INDEX($A57:$Z57,MATCH('Scale score'!$B$5,$A$1:$Z$1,0))&amp;""),""))),""),""),"")</f>
        <v/>
      </c>
      <c r="AH57" s="41">
        <f>IF(TRIM('Open answers'!$B$5&amp;"")="","",IFERROR(TRIM(INDEX($A57:$Z57,MATCH('Open answers'!$B$5,$A$1:$Z$1,0))&amp;""),""))</f>
        <v/>
      </c>
      <c r="AI57" s="41">
        <f>IF(LEN(AH57)&gt;0,MAX($AI$1:AI56)+1,"")</f>
        <v/>
      </c>
    </row>
    <row r="58">
      <c r="AA58" s="40" t="n"/>
      <c r="AB58" s="41">
        <f>IF(TRIM('Counts'!$B$8&amp;"")="","",IFERROR(TRIM(INDEX($A58:$Z58,MATCH('Counts'!$B$8,$A$1:$Z$1,0))&amp;""),""))</f>
        <v/>
      </c>
      <c r="AC58" s="41">
        <f>IF(TRIM('Counts'!$B$26&amp;"")="","",IFERROR(TRIM(INDEX($A58:$Z58,MATCH('Counts'!$B$26,$A$1:$Z$1,0))&amp;""),""))</f>
        <v/>
      </c>
      <c r="AD58" s="41">
        <f>IF(TRIM('Counts'!$B$44&amp;"")="","",IFERROR(TRIM(INDEX($A58:$Z58,MATCH('Counts'!$B$44,$A$1:$Z$1,0))&amp;""),""))</f>
        <v/>
      </c>
      <c r="AE58" s="41">
        <f>IF(TRIM('Cross-tab'!$B$5&amp;"")="","",IFERROR(TRIM(INDEX($A58:$Z58,MATCH('Cross-tab'!$B$5,$A$1:$Z$1,0))&amp;""),""))</f>
        <v/>
      </c>
      <c r="AF58" s="41">
        <f>IF(TRIM('Cross-tab'!$B$7&amp;"")="","",IFERROR(TRIM(INDEX($A58:$Z58,MATCH('Cross-tab'!$B$7,$A$1:$Z$1,0))&amp;""),""))</f>
        <v/>
      </c>
      <c r="AG58" s="41">
        <f>IF(ISNUMBER(IFERROR(VALUE(IF(TRIM('Scale score'!$B$5&amp;"")="","",IFERROR(TRIM(INDEX($A58:$Z58,MATCH('Scale score'!$B$5,$A$1:$Z$1,0))&amp;""),""))),"")),IF(AND(IFERROR(VALUE(IF(TRIM('Scale score'!$B$5&amp;"")="","",IFERROR(TRIM(INDEX($A58:$Z58,MATCH('Scale score'!$B$5,$A$1:$Z$1,0))&amp;""),""))),"")&gt;='Scale score'!$B$6,IFERROR(VALUE(IF(TRIM('Scale score'!$B$5&amp;"")="","",IFERROR(TRIM(INDEX($A58:$Z58,MATCH('Scale score'!$B$5,$A$1:$Z$1,0))&amp;""),""))),"")&lt;='Scale score'!$B$7),IFERROR(VALUE(IF(TRIM('Scale score'!$B$5&amp;"")="","",IFERROR(TRIM(INDEX($A58:$Z58,MATCH('Scale score'!$B$5,$A$1:$Z$1,0))&amp;""),""))),""),""),"")</f>
        <v/>
      </c>
      <c r="AH58" s="41">
        <f>IF(TRIM('Open answers'!$B$5&amp;"")="","",IFERROR(TRIM(INDEX($A58:$Z58,MATCH('Open answers'!$B$5,$A$1:$Z$1,0))&amp;""),""))</f>
        <v/>
      </c>
      <c r="AI58" s="41">
        <f>IF(LEN(AH58)&gt;0,MAX($AI$1:AI57)+1,"")</f>
        <v/>
      </c>
    </row>
    <row r="59">
      <c r="AA59" s="40" t="n"/>
      <c r="AB59" s="41">
        <f>IF(TRIM('Counts'!$B$8&amp;"")="","",IFERROR(TRIM(INDEX($A59:$Z59,MATCH('Counts'!$B$8,$A$1:$Z$1,0))&amp;""),""))</f>
        <v/>
      </c>
      <c r="AC59" s="41">
        <f>IF(TRIM('Counts'!$B$26&amp;"")="","",IFERROR(TRIM(INDEX($A59:$Z59,MATCH('Counts'!$B$26,$A$1:$Z$1,0))&amp;""),""))</f>
        <v/>
      </c>
      <c r="AD59" s="41">
        <f>IF(TRIM('Counts'!$B$44&amp;"")="","",IFERROR(TRIM(INDEX($A59:$Z59,MATCH('Counts'!$B$44,$A$1:$Z$1,0))&amp;""),""))</f>
        <v/>
      </c>
      <c r="AE59" s="41">
        <f>IF(TRIM('Cross-tab'!$B$5&amp;"")="","",IFERROR(TRIM(INDEX($A59:$Z59,MATCH('Cross-tab'!$B$5,$A$1:$Z$1,0))&amp;""),""))</f>
        <v/>
      </c>
      <c r="AF59" s="41">
        <f>IF(TRIM('Cross-tab'!$B$7&amp;"")="","",IFERROR(TRIM(INDEX($A59:$Z59,MATCH('Cross-tab'!$B$7,$A$1:$Z$1,0))&amp;""),""))</f>
        <v/>
      </c>
      <c r="AG59" s="41">
        <f>IF(ISNUMBER(IFERROR(VALUE(IF(TRIM('Scale score'!$B$5&amp;"")="","",IFERROR(TRIM(INDEX($A59:$Z59,MATCH('Scale score'!$B$5,$A$1:$Z$1,0))&amp;""),""))),"")),IF(AND(IFERROR(VALUE(IF(TRIM('Scale score'!$B$5&amp;"")="","",IFERROR(TRIM(INDEX($A59:$Z59,MATCH('Scale score'!$B$5,$A$1:$Z$1,0))&amp;""),""))),"")&gt;='Scale score'!$B$6,IFERROR(VALUE(IF(TRIM('Scale score'!$B$5&amp;"")="","",IFERROR(TRIM(INDEX($A59:$Z59,MATCH('Scale score'!$B$5,$A$1:$Z$1,0))&amp;""),""))),"")&lt;='Scale score'!$B$7),IFERROR(VALUE(IF(TRIM('Scale score'!$B$5&amp;"")="","",IFERROR(TRIM(INDEX($A59:$Z59,MATCH('Scale score'!$B$5,$A$1:$Z$1,0))&amp;""),""))),""),""),"")</f>
        <v/>
      </c>
      <c r="AH59" s="41">
        <f>IF(TRIM('Open answers'!$B$5&amp;"")="","",IFERROR(TRIM(INDEX($A59:$Z59,MATCH('Open answers'!$B$5,$A$1:$Z$1,0))&amp;""),""))</f>
        <v/>
      </c>
      <c r="AI59" s="41">
        <f>IF(LEN(AH59)&gt;0,MAX($AI$1:AI58)+1,"")</f>
        <v/>
      </c>
    </row>
    <row r="60">
      <c r="AA60" s="40" t="n"/>
      <c r="AB60" s="41">
        <f>IF(TRIM('Counts'!$B$8&amp;"")="","",IFERROR(TRIM(INDEX($A60:$Z60,MATCH('Counts'!$B$8,$A$1:$Z$1,0))&amp;""),""))</f>
        <v/>
      </c>
      <c r="AC60" s="41">
        <f>IF(TRIM('Counts'!$B$26&amp;"")="","",IFERROR(TRIM(INDEX($A60:$Z60,MATCH('Counts'!$B$26,$A$1:$Z$1,0))&amp;""),""))</f>
        <v/>
      </c>
      <c r="AD60" s="41">
        <f>IF(TRIM('Counts'!$B$44&amp;"")="","",IFERROR(TRIM(INDEX($A60:$Z60,MATCH('Counts'!$B$44,$A$1:$Z$1,0))&amp;""),""))</f>
        <v/>
      </c>
      <c r="AE60" s="41">
        <f>IF(TRIM('Cross-tab'!$B$5&amp;"")="","",IFERROR(TRIM(INDEX($A60:$Z60,MATCH('Cross-tab'!$B$5,$A$1:$Z$1,0))&amp;""),""))</f>
        <v/>
      </c>
      <c r="AF60" s="41">
        <f>IF(TRIM('Cross-tab'!$B$7&amp;"")="","",IFERROR(TRIM(INDEX($A60:$Z60,MATCH('Cross-tab'!$B$7,$A$1:$Z$1,0))&amp;""),""))</f>
        <v/>
      </c>
      <c r="AG60" s="41">
        <f>IF(ISNUMBER(IFERROR(VALUE(IF(TRIM('Scale score'!$B$5&amp;"")="","",IFERROR(TRIM(INDEX($A60:$Z60,MATCH('Scale score'!$B$5,$A$1:$Z$1,0))&amp;""),""))),"")),IF(AND(IFERROR(VALUE(IF(TRIM('Scale score'!$B$5&amp;"")="","",IFERROR(TRIM(INDEX($A60:$Z60,MATCH('Scale score'!$B$5,$A$1:$Z$1,0))&amp;""),""))),"")&gt;='Scale score'!$B$6,IFERROR(VALUE(IF(TRIM('Scale score'!$B$5&amp;"")="","",IFERROR(TRIM(INDEX($A60:$Z60,MATCH('Scale score'!$B$5,$A$1:$Z$1,0))&amp;""),""))),"")&lt;='Scale score'!$B$7),IFERROR(VALUE(IF(TRIM('Scale score'!$B$5&amp;"")="","",IFERROR(TRIM(INDEX($A60:$Z60,MATCH('Scale score'!$B$5,$A$1:$Z$1,0))&amp;""),""))),""),""),"")</f>
        <v/>
      </c>
      <c r="AH60" s="41">
        <f>IF(TRIM('Open answers'!$B$5&amp;"")="","",IFERROR(TRIM(INDEX($A60:$Z60,MATCH('Open answers'!$B$5,$A$1:$Z$1,0))&amp;""),""))</f>
        <v/>
      </c>
      <c r="AI60" s="41">
        <f>IF(LEN(AH60)&gt;0,MAX($AI$1:AI59)+1,"")</f>
        <v/>
      </c>
    </row>
    <row r="61">
      <c r="AA61" s="40" t="n"/>
      <c r="AB61" s="41">
        <f>IF(TRIM('Counts'!$B$8&amp;"")="","",IFERROR(TRIM(INDEX($A61:$Z61,MATCH('Counts'!$B$8,$A$1:$Z$1,0))&amp;""),""))</f>
        <v/>
      </c>
      <c r="AC61" s="41">
        <f>IF(TRIM('Counts'!$B$26&amp;"")="","",IFERROR(TRIM(INDEX($A61:$Z61,MATCH('Counts'!$B$26,$A$1:$Z$1,0))&amp;""),""))</f>
        <v/>
      </c>
      <c r="AD61" s="41">
        <f>IF(TRIM('Counts'!$B$44&amp;"")="","",IFERROR(TRIM(INDEX($A61:$Z61,MATCH('Counts'!$B$44,$A$1:$Z$1,0))&amp;""),""))</f>
        <v/>
      </c>
      <c r="AE61" s="41">
        <f>IF(TRIM('Cross-tab'!$B$5&amp;"")="","",IFERROR(TRIM(INDEX($A61:$Z61,MATCH('Cross-tab'!$B$5,$A$1:$Z$1,0))&amp;""),""))</f>
        <v/>
      </c>
      <c r="AF61" s="41">
        <f>IF(TRIM('Cross-tab'!$B$7&amp;"")="","",IFERROR(TRIM(INDEX($A61:$Z61,MATCH('Cross-tab'!$B$7,$A$1:$Z$1,0))&amp;""),""))</f>
        <v/>
      </c>
      <c r="AG61" s="41">
        <f>IF(ISNUMBER(IFERROR(VALUE(IF(TRIM('Scale score'!$B$5&amp;"")="","",IFERROR(TRIM(INDEX($A61:$Z61,MATCH('Scale score'!$B$5,$A$1:$Z$1,0))&amp;""),""))),"")),IF(AND(IFERROR(VALUE(IF(TRIM('Scale score'!$B$5&amp;"")="","",IFERROR(TRIM(INDEX($A61:$Z61,MATCH('Scale score'!$B$5,$A$1:$Z$1,0))&amp;""),""))),"")&gt;='Scale score'!$B$6,IFERROR(VALUE(IF(TRIM('Scale score'!$B$5&amp;"")="","",IFERROR(TRIM(INDEX($A61:$Z61,MATCH('Scale score'!$B$5,$A$1:$Z$1,0))&amp;""),""))),"")&lt;='Scale score'!$B$7),IFERROR(VALUE(IF(TRIM('Scale score'!$B$5&amp;"")="","",IFERROR(TRIM(INDEX($A61:$Z61,MATCH('Scale score'!$B$5,$A$1:$Z$1,0))&amp;""),""))),""),""),"")</f>
        <v/>
      </c>
      <c r="AH61" s="41">
        <f>IF(TRIM('Open answers'!$B$5&amp;"")="","",IFERROR(TRIM(INDEX($A61:$Z61,MATCH('Open answers'!$B$5,$A$1:$Z$1,0))&amp;""),""))</f>
        <v/>
      </c>
      <c r="AI61" s="41">
        <f>IF(LEN(AH61)&gt;0,MAX($AI$1:AI60)+1,"")</f>
        <v/>
      </c>
    </row>
    <row r="62">
      <c r="AA62" s="40" t="n"/>
      <c r="AB62" s="41">
        <f>IF(TRIM('Counts'!$B$8&amp;"")="","",IFERROR(TRIM(INDEX($A62:$Z62,MATCH('Counts'!$B$8,$A$1:$Z$1,0))&amp;""),""))</f>
        <v/>
      </c>
      <c r="AC62" s="41">
        <f>IF(TRIM('Counts'!$B$26&amp;"")="","",IFERROR(TRIM(INDEX($A62:$Z62,MATCH('Counts'!$B$26,$A$1:$Z$1,0))&amp;""),""))</f>
        <v/>
      </c>
      <c r="AD62" s="41">
        <f>IF(TRIM('Counts'!$B$44&amp;"")="","",IFERROR(TRIM(INDEX($A62:$Z62,MATCH('Counts'!$B$44,$A$1:$Z$1,0))&amp;""),""))</f>
        <v/>
      </c>
      <c r="AE62" s="41">
        <f>IF(TRIM('Cross-tab'!$B$5&amp;"")="","",IFERROR(TRIM(INDEX($A62:$Z62,MATCH('Cross-tab'!$B$5,$A$1:$Z$1,0))&amp;""),""))</f>
        <v/>
      </c>
      <c r="AF62" s="41">
        <f>IF(TRIM('Cross-tab'!$B$7&amp;"")="","",IFERROR(TRIM(INDEX($A62:$Z62,MATCH('Cross-tab'!$B$7,$A$1:$Z$1,0))&amp;""),""))</f>
        <v/>
      </c>
      <c r="AG62" s="41">
        <f>IF(ISNUMBER(IFERROR(VALUE(IF(TRIM('Scale score'!$B$5&amp;"")="","",IFERROR(TRIM(INDEX($A62:$Z62,MATCH('Scale score'!$B$5,$A$1:$Z$1,0))&amp;""),""))),"")),IF(AND(IFERROR(VALUE(IF(TRIM('Scale score'!$B$5&amp;"")="","",IFERROR(TRIM(INDEX($A62:$Z62,MATCH('Scale score'!$B$5,$A$1:$Z$1,0))&amp;""),""))),"")&gt;='Scale score'!$B$6,IFERROR(VALUE(IF(TRIM('Scale score'!$B$5&amp;"")="","",IFERROR(TRIM(INDEX($A62:$Z62,MATCH('Scale score'!$B$5,$A$1:$Z$1,0))&amp;""),""))),"")&lt;='Scale score'!$B$7),IFERROR(VALUE(IF(TRIM('Scale score'!$B$5&amp;"")="","",IFERROR(TRIM(INDEX($A62:$Z62,MATCH('Scale score'!$B$5,$A$1:$Z$1,0))&amp;""),""))),""),""),"")</f>
        <v/>
      </c>
      <c r="AH62" s="41">
        <f>IF(TRIM('Open answers'!$B$5&amp;"")="","",IFERROR(TRIM(INDEX($A62:$Z62,MATCH('Open answers'!$B$5,$A$1:$Z$1,0))&amp;""),""))</f>
        <v/>
      </c>
      <c r="AI62" s="41">
        <f>IF(LEN(AH62)&gt;0,MAX($AI$1:AI61)+1,"")</f>
        <v/>
      </c>
    </row>
    <row r="63">
      <c r="AA63" s="40" t="n"/>
      <c r="AB63" s="41">
        <f>IF(TRIM('Counts'!$B$8&amp;"")="","",IFERROR(TRIM(INDEX($A63:$Z63,MATCH('Counts'!$B$8,$A$1:$Z$1,0))&amp;""),""))</f>
        <v/>
      </c>
      <c r="AC63" s="41">
        <f>IF(TRIM('Counts'!$B$26&amp;"")="","",IFERROR(TRIM(INDEX($A63:$Z63,MATCH('Counts'!$B$26,$A$1:$Z$1,0))&amp;""),""))</f>
        <v/>
      </c>
      <c r="AD63" s="41">
        <f>IF(TRIM('Counts'!$B$44&amp;"")="","",IFERROR(TRIM(INDEX($A63:$Z63,MATCH('Counts'!$B$44,$A$1:$Z$1,0))&amp;""),""))</f>
        <v/>
      </c>
      <c r="AE63" s="41">
        <f>IF(TRIM('Cross-tab'!$B$5&amp;"")="","",IFERROR(TRIM(INDEX($A63:$Z63,MATCH('Cross-tab'!$B$5,$A$1:$Z$1,0))&amp;""),""))</f>
        <v/>
      </c>
      <c r="AF63" s="41">
        <f>IF(TRIM('Cross-tab'!$B$7&amp;"")="","",IFERROR(TRIM(INDEX($A63:$Z63,MATCH('Cross-tab'!$B$7,$A$1:$Z$1,0))&amp;""),""))</f>
        <v/>
      </c>
      <c r="AG63" s="41">
        <f>IF(ISNUMBER(IFERROR(VALUE(IF(TRIM('Scale score'!$B$5&amp;"")="","",IFERROR(TRIM(INDEX($A63:$Z63,MATCH('Scale score'!$B$5,$A$1:$Z$1,0))&amp;""),""))),"")),IF(AND(IFERROR(VALUE(IF(TRIM('Scale score'!$B$5&amp;"")="","",IFERROR(TRIM(INDEX($A63:$Z63,MATCH('Scale score'!$B$5,$A$1:$Z$1,0))&amp;""),""))),"")&gt;='Scale score'!$B$6,IFERROR(VALUE(IF(TRIM('Scale score'!$B$5&amp;"")="","",IFERROR(TRIM(INDEX($A63:$Z63,MATCH('Scale score'!$B$5,$A$1:$Z$1,0))&amp;""),""))),"")&lt;='Scale score'!$B$7),IFERROR(VALUE(IF(TRIM('Scale score'!$B$5&amp;"")="","",IFERROR(TRIM(INDEX($A63:$Z63,MATCH('Scale score'!$B$5,$A$1:$Z$1,0))&amp;""),""))),""),""),"")</f>
        <v/>
      </c>
      <c r="AH63" s="41">
        <f>IF(TRIM('Open answers'!$B$5&amp;"")="","",IFERROR(TRIM(INDEX($A63:$Z63,MATCH('Open answers'!$B$5,$A$1:$Z$1,0))&amp;""),""))</f>
        <v/>
      </c>
      <c r="AI63" s="41">
        <f>IF(LEN(AH63)&gt;0,MAX($AI$1:AI62)+1,"")</f>
        <v/>
      </c>
    </row>
    <row r="64">
      <c r="AA64" s="40" t="n"/>
      <c r="AB64" s="41">
        <f>IF(TRIM('Counts'!$B$8&amp;"")="","",IFERROR(TRIM(INDEX($A64:$Z64,MATCH('Counts'!$B$8,$A$1:$Z$1,0))&amp;""),""))</f>
        <v/>
      </c>
      <c r="AC64" s="41">
        <f>IF(TRIM('Counts'!$B$26&amp;"")="","",IFERROR(TRIM(INDEX($A64:$Z64,MATCH('Counts'!$B$26,$A$1:$Z$1,0))&amp;""),""))</f>
        <v/>
      </c>
      <c r="AD64" s="41">
        <f>IF(TRIM('Counts'!$B$44&amp;"")="","",IFERROR(TRIM(INDEX($A64:$Z64,MATCH('Counts'!$B$44,$A$1:$Z$1,0))&amp;""),""))</f>
        <v/>
      </c>
      <c r="AE64" s="41">
        <f>IF(TRIM('Cross-tab'!$B$5&amp;"")="","",IFERROR(TRIM(INDEX($A64:$Z64,MATCH('Cross-tab'!$B$5,$A$1:$Z$1,0))&amp;""),""))</f>
        <v/>
      </c>
      <c r="AF64" s="41">
        <f>IF(TRIM('Cross-tab'!$B$7&amp;"")="","",IFERROR(TRIM(INDEX($A64:$Z64,MATCH('Cross-tab'!$B$7,$A$1:$Z$1,0))&amp;""),""))</f>
        <v/>
      </c>
      <c r="AG64" s="41">
        <f>IF(ISNUMBER(IFERROR(VALUE(IF(TRIM('Scale score'!$B$5&amp;"")="","",IFERROR(TRIM(INDEX($A64:$Z64,MATCH('Scale score'!$B$5,$A$1:$Z$1,0))&amp;""),""))),"")),IF(AND(IFERROR(VALUE(IF(TRIM('Scale score'!$B$5&amp;"")="","",IFERROR(TRIM(INDEX($A64:$Z64,MATCH('Scale score'!$B$5,$A$1:$Z$1,0))&amp;""),""))),"")&gt;='Scale score'!$B$6,IFERROR(VALUE(IF(TRIM('Scale score'!$B$5&amp;"")="","",IFERROR(TRIM(INDEX($A64:$Z64,MATCH('Scale score'!$B$5,$A$1:$Z$1,0))&amp;""),""))),"")&lt;='Scale score'!$B$7),IFERROR(VALUE(IF(TRIM('Scale score'!$B$5&amp;"")="","",IFERROR(TRIM(INDEX($A64:$Z64,MATCH('Scale score'!$B$5,$A$1:$Z$1,0))&amp;""),""))),""),""),"")</f>
        <v/>
      </c>
      <c r="AH64" s="41">
        <f>IF(TRIM('Open answers'!$B$5&amp;"")="","",IFERROR(TRIM(INDEX($A64:$Z64,MATCH('Open answers'!$B$5,$A$1:$Z$1,0))&amp;""),""))</f>
        <v/>
      </c>
      <c r="AI64" s="41">
        <f>IF(LEN(AH64)&gt;0,MAX($AI$1:AI63)+1,"")</f>
        <v/>
      </c>
    </row>
    <row r="65">
      <c r="AA65" s="40" t="n"/>
      <c r="AB65" s="41">
        <f>IF(TRIM('Counts'!$B$8&amp;"")="","",IFERROR(TRIM(INDEX($A65:$Z65,MATCH('Counts'!$B$8,$A$1:$Z$1,0))&amp;""),""))</f>
        <v/>
      </c>
      <c r="AC65" s="41">
        <f>IF(TRIM('Counts'!$B$26&amp;"")="","",IFERROR(TRIM(INDEX($A65:$Z65,MATCH('Counts'!$B$26,$A$1:$Z$1,0))&amp;""),""))</f>
        <v/>
      </c>
      <c r="AD65" s="41">
        <f>IF(TRIM('Counts'!$B$44&amp;"")="","",IFERROR(TRIM(INDEX($A65:$Z65,MATCH('Counts'!$B$44,$A$1:$Z$1,0))&amp;""),""))</f>
        <v/>
      </c>
      <c r="AE65" s="41">
        <f>IF(TRIM('Cross-tab'!$B$5&amp;"")="","",IFERROR(TRIM(INDEX($A65:$Z65,MATCH('Cross-tab'!$B$5,$A$1:$Z$1,0))&amp;""),""))</f>
        <v/>
      </c>
      <c r="AF65" s="41">
        <f>IF(TRIM('Cross-tab'!$B$7&amp;"")="","",IFERROR(TRIM(INDEX($A65:$Z65,MATCH('Cross-tab'!$B$7,$A$1:$Z$1,0))&amp;""),""))</f>
        <v/>
      </c>
      <c r="AG65" s="41">
        <f>IF(ISNUMBER(IFERROR(VALUE(IF(TRIM('Scale score'!$B$5&amp;"")="","",IFERROR(TRIM(INDEX($A65:$Z65,MATCH('Scale score'!$B$5,$A$1:$Z$1,0))&amp;""),""))),"")),IF(AND(IFERROR(VALUE(IF(TRIM('Scale score'!$B$5&amp;"")="","",IFERROR(TRIM(INDEX($A65:$Z65,MATCH('Scale score'!$B$5,$A$1:$Z$1,0))&amp;""),""))),"")&gt;='Scale score'!$B$6,IFERROR(VALUE(IF(TRIM('Scale score'!$B$5&amp;"")="","",IFERROR(TRIM(INDEX($A65:$Z65,MATCH('Scale score'!$B$5,$A$1:$Z$1,0))&amp;""),""))),"")&lt;='Scale score'!$B$7),IFERROR(VALUE(IF(TRIM('Scale score'!$B$5&amp;"")="","",IFERROR(TRIM(INDEX($A65:$Z65,MATCH('Scale score'!$B$5,$A$1:$Z$1,0))&amp;""),""))),""),""),"")</f>
        <v/>
      </c>
      <c r="AH65" s="41">
        <f>IF(TRIM('Open answers'!$B$5&amp;"")="","",IFERROR(TRIM(INDEX($A65:$Z65,MATCH('Open answers'!$B$5,$A$1:$Z$1,0))&amp;""),""))</f>
        <v/>
      </c>
      <c r="AI65" s="41">
        <f>IF(LEN(AH65)&gt;0,MAX($AI$1:AI64)+1,"")</f>
        <v/>
      </c>
    </row>
    <row r="66">
      <c r="AA66" s="40" t="n"/>
      <c r="AB66" s="41">
        <f>IF(TRIM('Counts'!$B$8&amp;"")="","",IFERROR(TRIM(INDEX($A66:$Z66,MATCH('Counts'!$B$8,$A$1:$Z$1,0))&amp;""),""))</f>
        <v/>
      </c>
      <c r="AC66" s="41">
        <f>IF(TRIM('Counts'!$B$26&amp;"")="","",IFERROR(TRIM(INDEX($A66:$Z66,MATCH('Counts'!$B$26,$A$1:$Z$1,0))&amp;""),""))</f>
        <v/>
      </c>
      <c r="AD66" s="41">
        <f>IF(TRIM('Counts'!$B$44&amp;"")="","",IFERROR(TRIM(INDEX($A66:$Z66,MATCH('Counts'!$B$44,$A$1:$Z$1,0))&amp;""),""))</f>
        <v/>
      </c>
      <c r="AE66" s="41">
        <f>IF(TRIM('Cross-tab'!$B$5&amp;"")="","",IFERROR(TRIM(INDEX($A66:$Z66,MATCH('Cross-tab'!$B$5,$A$1:$Z$1,0))&amp;""),""))</f>
        <v/>
      </c>
      <c r="AF66" s="41">
        <f>IF(TRIM('Cross-tab'!$B$7&amp;"")="","",IFERROR(TRIM(INDEX($A66:$Z66,MATCH('Cross-tab'!$B$7,$A$1:$Z$1,0))&amp;""),""))</f>
        <v/>
      </c>
      <c r="AG66" s="41">
        <f>IF(ISNUMBER(IFERROR(VALUE(IF(TRIM('Scale score'!$B$5&amp;"")="","",IFERROR(TRIM(INDEX($A66:$Z66,MATCH('Scale score'!$B$5,$A$1:$Z$1,0))&amp;""),""))),"")),IF(AND(IFERROR(VALUE(IF(TRIM('Scale score'!$B$5&amp;"")="","",IFERROR(TRIM(INDEX($A66:$Z66,MATCH('Scale score'!$B$5,$A$1:$Z$1,0))&amp;""),""))),"")&gt;='Scale score'!$B$6,IFERROR(VALUE(IF(TRIM('Scale score'!$B$5&amp;"")="","",IFERROR(TRIM(INDEX($A66:$Z66,MATCH('Scale score'!$B$5,$A$1:$Z$1,0))&amp;""),""))),"")&lt;='Scale score'!$B$7),IFERROR(VALUE(IF(TRIM('Scale score'!$B$5&amp;"")="","",IFERROR(TRIM(INDEX($A66:$Z66,MATCH('Scale score'!$B$5,$A$1:$Z$1,0))&amp;""),""))),""),""),"")</f>
        <v/>
      </c>
      <c r="AH66" s="41">
        <f>IF(TRIM('Open answers'!$B$5&amp;"")="","",IFERROR(TRIM(INDEX($A66:$Z66,MATCH('Open answers'!$B$5,$A$1:$Z$1,0))&amp;""),""))</f>
        <v/>
      </c>
      <c r="AI66" s="41">
        <f>IF(LEN(AH66)&gt;0,MAX($AI$1:AI65)+1,"")</f>
        <v/>
      </c>
    </row>
    <row r="67">
      <c r="AA67" s="40" t="n"/>
      <c r="AB67" s="41">
        <f>IF(TRIM('Counts'!$B$8&amp;"")="","",IFERROR(TRIM(INDEX($A67:$Z67,MATCH('Counts'!$B$8,$A$1:$Z$1,0))&amp;""),""))</f>
        <v/>
      </c>
      <c r="AC67" s="41">
        <f>IF(TRIM('Counts'!$B$26&amp;"")="","",IFERROR(TRIM(INDEX($A67:$Z67,MATCH('Counts'!$B$26,$A$1:$Z$1,0))&amp;""),""))</f>
        <v/>
      </c>
      <c r="AD67" s="41">
        <f>IF(TRIM('Counts'!$B$44&amp;"")="","",IFERROR(TRIM(INDEX($A67:$Z67,MATCH('Counts'!$B$44,$A$1:$Z$1,0))&amp;""),""))</f>
        <v/>
      </c>
      <c r="AE67" s="41">
        <f>IF(TRIM('Cross-tab'!$B$5&amp;"")="","",IFERROR(TRIM(INDEX($A67:$Z67,MATCH('Cross-tab'!$B$5,$A$1:$Z$1,0))&amp;""),""))</f>
        <v/>
      </c>
      <c r="AF67" s="41">
        <f>IF(TRIM('Cross-tab'!$B$7&amp;"")="","",IFERROR(TRIM(INDEX($A67:$Z67,MATCH('Cross-tab'!$B$7,$A$1:$Z$1,0))&amp;""),""))</f>
        <v/>
      </c>
      <c r="AG67" s="41">
        <f>IF(ISNUMBER(IFERROR(VALUE(IF(TRIM('Scale score'!$B$5&amp;"")="","",IFERROR(TRIM(INDEX($A67:$Z67,MATCH('Scale score'!$B$5,$A$1:$Z$1,0))&amp;""),""))),"")),IF(AND(IFERROR(VALUE(IF(TRIM('Scale score'!$B$5&amp;"")="","",IFERROR(TRIM(INDEX($A67:$Z67,MATCH('Scale score'!$B$5,$A$1:$Z$1,0))&amp;""),""))),"")&gt;='Scale score'!$B$6,IFERROR(VALUE(IF(TRIM('Scale score'!$B$5&amp;"")="","",IFERROR(TRIM(INDEX($A67:$Z67,MATCH('Scale score'!$B$5,$A$1:$Z$1,0))&amp;""),""))),"")&lt;='Scale score'!$B$7),IFERROR(VALUE(IF(TRIM('Scale score'!$B$5&amp;"")="","",IFERROR(TRIM(INDEX($A67:$Z67,MATCH('Scale score'!$B$5,$A$1:$Z$1,0))&amp;""),""))),""),""),"")</f>
        <v/>
      </c>
      <c r="AH67" s="41">
        <f>IF(TRIM('Open answers'!$B$5&amp;"")="","",IFERROR(TRIM(INDEX($A67:$Z67,MATCH('Open answers'!$B$5,$A$1:$Z$1,0))&amp;""),""))</f>
        <v/>
      </c>
      <c r="AI67" s="41">
        <f>IF(LEN(AH67)&gt;0,MAX($AI$1:AI66)+1,"")</f>
        <v/>
      </c>
    </row>
    <row r="68">
      <c r="AA68" s="40" t="n"/>
      <c r="AB68" s="41">
        <f>IF(TRIM('Counts'!$B$8&amp;"")="","",IFERROR(TRIM(INDEX($A68:$Z68,MATCH('Counts'!$B$8,$A$1:$Z$1,0))&amp;""),""))</f>
        <v/>
      </c>
      <c r="AC68" s="41">
        <f>IF(TRIM('Counts'!$B$26&amp;"")="","",IFERROR(TRIM(INDEX($A68:$Z68,MATCH('Counts'!$B$26,$A$1:$Z$1,0))&amp;""),""))</f>
        <v/>
      </c>
      <c r="AD68" s="41">
        <f>IF(TRIM('Counts'!$B$44&amp;"")="","",IFERROR(TRIM(INDEX($A68:$Z68,MATCH('Counts'!$B$44,$A$1:$Z$1,0))&amp;""),""))</f>
        <v/>
      </c>
      <c r="AE68" s="41">
        <f>IF(TRIM('Cross-tab'!$B$5&amp;"")="","",IFERROR(TRIM(INDEX($A68:$Z68,MATCH('Cross-tab'!$B$5,$A$1:$Z$1,0))&amp;""),""))</f>
        <v/>
      </c>
      <c r="AF68" s="41">
        <f>IF(TRIM('Cross-tab'!$B$7&amp;"")="","",IFERROR(TRIM(INDEX($A68:$Z68,MATCH('Cross-tab'!$B$7,$A$1:$Z$1,0))&amp;""),""))</f>
        <v/>
      </c>
      <c r="AG68" s="41">
        <f>IF(ISNUMBER(IFERROR(VALUE(IF(TRIM('Scale score'!$B$5&amp;"")="","",IFERROR(TRIM(INDEX($A68:$Z68,MATCH('Scale score'!$B$5,$A$1:$Z$1,0))&amp;""),""))),"")),IF(AND(IFERROR(VALUE(IF(TRIM('Scale score'!$B$5&amp;"")="","",IFERROR(TRIM(INDEX($A68:$Z68,MATCH('Scale score'!$B$5,$A$1:$Z$1,0))&amp;""),""))),"")&gt;='Scale score'!$B$6,IFERROR(VALUE(IF(TRIM('Scale score'!$B$5&amp;"")="","",IFERROR(TRIM(INDEX($A68:$Z68,MATCH('Scale score'!$B$5,$A$1:$Z$1,0))&amp;""),""))),"")&lt;='Scale score'!$B$7),IFERROR(VALUE(IF(TRIM('Scale score'!$B$5&amp;"")="","",IFERROR(TRIM(INDEX($A68:$Z68,MATCH('Scale score'!$B$5,$A$1:$Z$1,0))&amp;""),""))),""),""),"")</f>
        <v/>
      </c>
      <c r="AH68" s="41">
        <f>IF(TRIM('Open answers'!$B$5&amp;"")="","",IFERROR(TRIM(INDEX($A68:$Z68,MATCH('Open answers'!$B$5,$A$1:$Z$1,0))&amp;""),""))</f>
        <v/>
      </c>
      <c r="AI68" s="41">
        <f>IF(LEN(AH68)&gt;0,MAX($AI$1:AI67)+1,"")</f>
        <v/>
      </c>
    </row>
    <row r="69">
      <c r="AA69" s="40" t="n"/>
      <c r="AB69" s="41">
        <f>IF(TRIM('Counts'!$B$8&amp;"")="","",IFERROR(TRIM(INDEX($A69:$Z69,MATCH('Counts'!$B$8,$A$1:$Z$1,0))&amp;""),""))</f>
        <v/>
      </c>
      <c r="AC69" s="41">
        <f>IF(TRIM('Counts'!$B$26&amp;"")="","",IFERROR(TRIM(INDEX($A69:$Z69,MATCH('Counts'!$B$26,$A$1:$Z$1,0))&amp;""),""))</f>
        <v/>
      </c>
      <c r="AD69" s="41">
        <f>IF(TRIM('Counts'!$B$44&amp;"")="","",IFERROR(TRIM(INDEX($A69:$Z69,MATCH('Counts'!$B$44,$A$1:$Z$1,0))&amp;""),""))</f>
        <v/>
      </c>
      <c r="AE69" s="41">
        <f>IF(TRIM('Cross-tab'!$B$5&amp;"")="","",IFERROR(TRIM(INDEX($A69:$Z69,MATCH('Cross-tab'!$B$5,$A$1:$Z$1,0))&amp;""),""))</f>
        <v/>
      </c>
      <c r="AF69" s="41">
        <f>IF(TRIM('Cross-tab'!$B$7&amp;"")="","",IFERROR(TRIM(INDEX($A69:$Z69,MATCH('Cross-tab'!$B$7,$A$1:$Z$1,0))&amp;""),""))</f>
        <v/>
      </c>
      <c r="AG69" s="41">
        <f>IF(ISNUMBER(IFERROR(VALUE(IF(TRIM('Scale score'!$B$5&amp;"")="","",IFERROR(TRIM(INDEX($A69:$Z69,MATCH('Scale score'!$B$5,$A$1:$Z$1,0))&amp;""),""))),"")),IF(AND(IFERROR(VALUE(IF(TRIM('Scale score'!$B$5&amp;"")="","",IFERROR(TRIM(INDEX($A69:$Z69,MATCH('Scale score'!$B$5,$A$1:$Z$1,0))&amp;""),""))),"")&gt;='Scale score'!$B$6,IFERROR(VALUE(IF(TRIM('Scale score'!$B$5&amp;"")="","",IFERROR(TRIM(INDEX($A69:$Z69,MATCH('Scale score'!$B$5,$A$1:$Z$1,0))&amp;""),""))),"")&lt;='Scale score'!$B$7),IFERROR(VALUE(IF(TRIM('Scale score'!$B$5&amp;"")="","",IFERROR(TRIM(INDEX($A69:$Z69,MATCH('Scale score'!$B$5,$A$1:$Z$1,0))&amp;""),""))),""),""),"")</f>
        <v/>
      </c>
      <c r="AH69" s="41">
        <f>IF(TRIM('Open answers'!$B$5&amp;"")="","",IFERROR(TRIM(INDEX($A69:$Z69,MATCH('Open answers'!$B$5,$A$1:$Z$1,0))&amp;""),""))</f>
        <v/>
      </c>
      <c r="AI69" s="41">
        <f>IF(LEN(AH69)&gt;0,MAX($AI$1:AI68)+1,"")</f>
        <v/>
      </c>
    </row>
    <row r="70">
      <c r="AA70" s="40" t="n"/>
      <c r="AB70" s="41">
        <f>IF(TRIM('Counts'!$B$8&amp;"")="","",IFERROR(TRIM(INDEX($A70:$Z70,MATCH('Counts'!$B$8,$A$1:$Z$1,0))&amp;""),""))</f>
        <v/>
      </c>
      <c r="AC70" s="41">
        <f>IF(TRIM('Counts'!$B$26&amp;"")="","",IFERROR(TRIM(INDEX($A70:$Z70,MATCH('Counts'!$B$26,$A$1:$Z$1,0))&amp;""),""))</f>
        <v/>
      </c>
      <c r="AD70" s="41">
        <f>IF(TRIM('Counts'!$B$44&amp;"")="","",IFERROR(TRIM(INDEX($A70:$Z70,MATCH('Counts'!$B$44,$A$1:$Z$1,0))&amp;""),""))</f>
        <v/>
      </c>
      <c r="AE70" s="41">
        <f>IF(TRIM('Cross-tab'!$B$5&amp;"")="","",IFERROR(TRIM(INDEX($A70:$Z70,MATCH('Cross-tab'!$B$5,$A$1:$Z$1,0))&amp;""),""))</f>
        <v/>
      </c>
      <c r="AF70" s="41">
        <f>IF(TRIM('Cross-tab'!$B$7&amp;"")="","",IFERROR(TRIM(INDEX($A70:$Z70,MATCH('Cross-tab'!$B$7,$A$1:$Z$1,0))&amp;""),""))</f>
        <v/>
      </c>
      <c r="AG70" s="41">
        <f>IF(ISNUMBER(IFERROR(VALUE(IF(TRIM('Scale score'!$B$5&amp;"")="","",IFERROR(TRIM(INDEX($A70:$Z70,MATCH('Scale score'!$B$5,$A$1:$Z$1,0))&amp;""),""))),"")),IF(AND(IFERROR(VALUE(IF(TRIM('Scale score'!$B$5&amp;"")="","",IFERROR(TRIM(INDEX($A70:$Z70,MATCH('Scale score'!$B$5,$A$1:$Z$1,0))&amp;""),""))),"")&gt;='Scale score'!$B$6,IFERROR(VALUE(IF(TRIM('Scale score'!$B$5&amp;"")="","",IFERROR(TRIM(INDEX($A70:$Z70,MATCH('Scale score'!$B$5,$A$1:$Z$1,0))&amp;""),""))),"")&lt;='Scale score'!$B$7),IFERROR(VALUE(IF(TRIM('Scale score'!$B$5&amp;"")="","",IFERROR(TRIM(INDEX($A70:$Z70,MATCH('Scale score'!$B$5,$A$1:$Z$1,0))&amp;""),""))),""),""),"")</f>
        <v/>
      </c>
      <c r="AH70" s="41">
        <f>IF(TRIM('Open answers'!$B$5&amp;"")="","",IFERROR(TRIM(INDEX($A70:$Z70,MATCH('Open answers'!$B$5,$A$1:$Z$1,0))&amp;""),""))</f>
        <v/>
      </c>
      <c r="AI70" s="41">
        <f>IF(LEN(AH70)&gt;0,MAX($AI$1:AI69)+1,"")</f>
        <v/>
      </c>
    </row>
    <row r="71">
      <c r="AA71" s="40" t="n"/>
      <c r="AB71" s="41">
        <f>IF(TRIM('Counts'!$B$8&amp;"")="","",IFERROR(TRIM(INDEX($A71:$Z71,MATCH('Counts'!$B$8,$A$1:$Z$1,0))&amp;""),""))</f>
        <v/>
      </c>
      <c r="AC71" s="41">
        <f>IF(TRIM('Counts'!$B$26&amp;"")="","",IFERROR(TRIM(INDEX($A71:$Z71,MATCH('Counts'!$B$26,$A$1:$Z$1,0))&amp;""),""))</f>
        <v/>
      </c>
      <c r="AD71" s="41">
        <f>IF(TRIM('Counts'!$B$44&amp;"")="","",IFERROR(TRIM(INDEX($A71:$Z71,MATCH('Counts'!$B$44,$A$1:$Z$1,0))&amp;""),""))</f>
        <v/>
      </c>
      <c r="AE71" s="41">
        <f>IF(TRIM('Cross-tab'!$B$5&amp;"")="","",IFERROR(TRIM(INDEX($A71:$Z71,MATCH('Cross-tab'!$B$5,$A$1:$Z$1,0))&amp;""),""))</f>
        <v/>
      </c>
      <c r="AF71" s="41">
        <f>IF(TRIM('Cross-tab'!$B$7&amp;"")="","",IFERROR(TRIM(INDEX($A71:$Z71,MATCH('Cross-tab'!$B$7,$A$1:$Z$1,0))&amp;""),""))</f>
        <v/>
      </c>
      <c r="AG71" s="41">
        <f>IF(ISNUMBER(IFERROR(VALUE(IF(TRIM('Scale score'!$B$5&amp;"")="","",IFERROR(TRIM(INDEX($A71:$Z71,MATCH('Scale score'!$B$5,$A$1:$Z$1,0))&amp;""),""))),"")),IF(AND(IFERROR(VALUE(IF(TRIM('Scale score'!$B$5&amp;"")="","",IFERROR(TRIM(INDEX($A71:$Z71,MATCH('Scale score'!$B$5,$A$1:$Z$1,0))&amp;""),""))),"")&gt;='Scale score'!$B$6,IFERROR(VALUE(IF(TRIM('Scale score'!$B$5&amp;"")="","",IFERROR(TRIM(INDEX($A71:$Z71,MATCH('Scale score'!$B$5,$A$1:$Z$1,0))&amp;""),""))),"")&lt;='Scale score'!$B$7),IFERROR(VALUE(IF(TRIM('Scale score'!$B$5&amp;"")="","",IFERROR(TRIM(INDEX($A71:$Z71,MATCH('Scale score'!$B$5,$A$1:$Z$1,0))&amp;""),""))),""),""),"")</f>
        <v/>
      </c>
      <c r="AH71" s="41">
        <f>IF(TRIM('Open answers'!$B$5&amp;"")="","",IFERROR(TRIM(INDEX($A71:$Z71,MATCH('Open answers'!$B$5,$A$1:$Z$1,0))&amp;""),""))</f>
        <v/>
      </c>
      <c r="AI71" s="41">
        <f>IF(LEN(AH71)&gt;0,MAX($AI$1:AI70)+1,"")</f>
        <v/>
      </c>
    </row>
    <row r="72">
      <c r="AA72" s="40" t="n"/>
      <c r="AB72" s="41">
        <f>IF(TRIM('Counts'!$B$8&amp;"")="","",IFERROR(TRIM(INDEX($A72:$Z72,MATCH('Counts'!$B$8,$A$1:$Z$1,0))&amp;""),""))</f>
        <v/>
      </c>
      <c r="AC72" s="41">
        <f>IF(TRIM('Counts'!$B$26&amp;"")="","",IFERROR(TRIM(INDEX($A72:$Z72,MATCH('Counts'!$B$26,$A$1:$Z$1,0))&amp;""),""))</f>
        <v/>
      </c>
      <c r="AD72" s="41">
        <f>IF(TRIM('Counts'!$B$44&amp;"")="","",IFERROR(TRIM(INDEX($A72:$Z72,MATCH('Counts'!$B$44,$A$1:$Z$1,0))&amp;""),""))</f>
        <v/>
      </c>
      <c r="AE72" s="41">
        <f>IF(TRIM('Cross-tab'!$B$5&amp;"")="","",IFERROR(TRIM(INDEX($A72:$Z72,MATCH('Cross-tab'!$B$5,$A$1:$Z$1,0))&amp;""),""))</f>
        <v/>
      </c>
      <c r="AF72" s="41">
        <f>IF(TRIM('Cross-tab'!$B$7&amp;"")="","",IFERROR(TRIM(INDEX($A72:$Z72,MATCH('Cross-tab'!$B$7,$A$1:$Z$1,0))&amp;""),""))</f>
        <v/>
      </c>
      <c r="AG72" s="41">
        <f>IF(ISNUMBER(IFERROR(VALUE(IF(TRIM('Scale score'!$B$5&amp;"")="","",IFERROR(TRIM(INDEX($A72:$Z72,MATCH('Scale score'!$B$5,$A$1:$Z$1,0))&amp;""),""))),"")),IF(AND(IFERROR(VALUE(IF(TRIM('Scale score'!$B$5&amp;"")="","",IFERROR(TRIM(INDEX($A72:$Z72,MATCH('Scale score'!$B$5,$A$1:$Z$1,0))&amp;""),""))),"")&gt;='Scale score'!$B$6,IFERROR(VALUE(IF(TRIM('Scale score'!$B$5&amp;"")="","",IFERROR(TRIM(INDEX($A72:$Z72,MATCH('Scale score'!$B$5,$A$1:$Z$1,0))&amp;""),""))),"")&lt;='Scale score'!$B$7),IFERROR(VALUE(IF(TRIM('Scale score'!$B$5&amp;"")="","",IFERROR(TRIM(INDEX($A72:$Z72,MATCH('Scale score'!$B$5,$A$1:$Z$1,0))&amp;""),""))),""),""),"")</f>
        <v/>
      </c>
      <c r="AH72" s="41">
        <f>IF(TRIM('Open answers'!$B$5&amp;"")="","",IFERROR(TRIM(INDEX($A72:$Z72,MATCH('Open answers'!$B$5,$A$1:$Z$1,0))&amp;""),""))</f>
        <v/>
      </c>
      <c r="AI72" s="41">
        <f>IF(LEN(AH72)&gt;0,MAX($AI$1:AI71)+1,"")</f>
        <v/>
      </c>
    </row>
    <row r="73">
      <c r="AA73" s="40" t="n"/>
      <c r="AB73" s="41">
        <f>IF(TRIM('Counts'!$B$8&amp;"")="","",IFERROR(TRIM(INDEX($A73:$Z73,MATCH('Counts'!$B$8,$A$1:$Z$1,0))&amp;""),""))</f>
        <v/>
      </c>
      <c r="AC73" s="41">
        <f>IF(TRIM('Counts'!$B$26&amp;"")="","",IFERROR(TRIM(INDEX($A73:$Z73,MATCH('Counts'!$B$26,$A$1:$Z$1,0))&amp;""),""))</f>
        <v/>
      </c>
      <c r="AD73" s="41">
        <f>IF(TRIM('Counts'!$B$44&amp;"")="","",IFERROR(TRIM(INDEX($A73:$Z73,MATCH('Counts'!$B$44,$A$1:$Z$1,0))&amp;""),""))</f>
        <v/>
      </c>
      <c r="AE73" s="41">
        <f>IF(TRIM('Cross-tab'!$B$5&amp;"")="","",IFERROR(TRIM(INDEX($A73:$Z73,MATCH('Cross-tab'!$B$5,$A$1:$Z$1,0))&amp;""),""))</f>
        <v/>
      </c>
      <c r="AF73" s="41">
        <f>IF(TRIM('Cross-tab'!$B$7&amp;"")="","",IFERROR(TRIM(INDEX($A73:$Z73,MATCH('Cross-tab'!$B$7,$A$1:$Z$1,0))&amp;""),""))</f>
        <v/>
      </c>
      <c r="AG73" s="41">
        <f>IF(ISNUMBER(IFERROR(VALUE(IF(TRIM('Scale score'!$B$5&amp;"")="","",IFERROR(TRIM(INDEX($A73:$Z73,MATCH('Scale score'!$B$5,$A$1:$Z$1,0))&amp;""),""))),"")),IF(AND(IFERROR(VALUE(IF(TRIM('Scale score'!$B$5&amp;"")="","",IFERROR(TRIM(INDEX($A73:$Z73,MATCH('Scale score'!$B$5,$A$1:$Z$1,0))&amp;""),""))),"")&gt;='Scale score'!$B$6,IFERROR(VALUE(IF(TRIM('Scale score'!$B$5&amp;"")="","",IFERROR(TRIM(INDEX($A73:$Z73,MATCH('Scale score'!$B$5,$A$1:$Z$1,0))&amp;""),""))),"")&lt;='Scale score'!$B$7),IFERROR(VALUE(IF(TRIM('Scale score'!$B$5&amp;"")="","",IFERROR(TRIM(INDEX($A73:$Z73,MATCH('Scale score'!$B$5,$A$1:$Z$1,0))&amp;""),""))),""),""),"")</f>
        <v/>
      </c>
      <c r="AH73" s="41">
        <f>IF(TRIM('Open answers'!$B$5&amp;"")="","",IFERROR(TRIM(INDEX($A73:$Z73,MATCH('Open answers'!$B$5,$A$1:$Z$1,0))&amp;""),""))</f>
        <v/>
      </c>
      <c r="AI73" s="41">
        <f>IF(LEN(AH73)&gt;0,MAX($AI$1:AI72)+1,"")</f>
        <v/>
      </c>
    </row>
    <row r="74">
      <c r="AA74" s="40" t="n"/>
      <c r="AB74" s="41">
        <f>IF(TRIM('Counts'!$B$8&amp;"")="","",IFERROR(TRIM(INDEX($A74:$Z74,MATCH('Counts'!$B$8,$A$1:$Z$1,0))&amp;""),""))</f>
        <v/>
      </c>
      <c r="AC74" s="41">
        <f>IF(TRIM('Counts'!$B$26&amp;"")="","",IFERROR(TRIM(INDEX($A74:$Z74,MATCH('Counts'!$B$26,$A$1:$Z$1,0))&amp;""),""))</f>
        <v/>
      </c>
      <c r="AD74" s="41">
        <f>IF(TRIM('Counts'!$B$44&amp;"")="","",IFERROR(TRIM(INDEX($A74:$Z74,MATCH('Counts'!$B$44,$A$1:$Z$1,0))&amp;""),""))</f>
        <v/>
      </c>
      <c r="AE74" s="41">
        <f>IF(TRIM('Cross-tab'!$B$5&amp;"")="","",IFERROR(TRIM(INDEX($A74:$Z74,MATCH('Cross-tab'!$B$5,$A$1:$Z$1,0))&amp;""),""))</f>
        <v/>
      </c>
      <c r="AF74" s="41">
        <f>IF(TRIM('Cross-tab'!$B$7&amp;"")="","",IFERROR(TRIM(INDEX($A74:$Z74,MATCH('Cross-tab'!$B$7,$A$1:$Z$1,0))&amp;""),""))</f>
        <v/>
      </c>
      <c r="AG74" s="41">
        <f>IF(ISNUMBER(IFERROR(VALUE(IF(TRIM('Scale score'!$B$5&amp;"")="","",IFERROR(TRIM(INDEX($A74:$Z74,MATCH('Scale score'!$B$5,$A$1:$Z$1,0))&amp;""),""))),"")),IF(AND(IFERROR(VALUE(IF(TRIM('Scale score'!$B$5&amp;"")="","",IFERROR(TRIM(INDEX($A74:$Z74,MATCH('Scale score'!$B$5,$A$1:$Z$1,0))&amp;""),""))),"")&gt;='Scale score'!$B$6,IFERROR(VALUE(IF(TRIM('Scale score'!$B$5&amp;"")="","",IFERROR(TRIM(INDEX($A74:$Z74,MATCH('Scale score'!$B$5,$A$1:$Z$1,0))&amp;""),""))),"")&lt;='Scale score'!$B$7),IFERROR(VALUE(IF(TRIM('Scale score'!$B$5&amp;"")="","",IFERROR(TRIM(INDEX($A74:$Z74,MATCH('Scale score'!$B$5,$A$1:$Z$1,0))&amp;""),""))),""),""),"")</f>
        <v/>
      </c>
      <c r="AH74" s="41">
        <f>IF(TRIM('Open answers'!$B$5&amp;"")="","",IFERROR(TRIM(INDEX($A74:$Z74,MATCH('Open answers'!$B$5,$A$1:$Z$1,0))&amp;""),""))</f>
        <v/>
      </c>
      <c r="AI74" s="41">
        <f>IF(LEN(AH74)&gt;0,MAX($AI$1:AI73)+1,"")</f>
        <v/>
      </c>
    </row>
    <row r="75">
      <c r="AA75" s="40" t="n"/>
      <c r="AB75" s="41">
        <f>IF(TRIM('Counts'!$B$8&amp;"")="","",IFERROR(TRIM(INDEX($A75:$Z75,MATCH('Counts'!$B$8,$A$1:$Z$1,0))&amp;""),""))</f>
        <v/>
      </c>
      <c r="AC75" s="41">
        <f>IF(TRIM('Counts'!$B$26&amp;"")="","",IFERROR(TRIM(INDEX($A75:$Z75,MATCH('Counts'!$B$26,$A$1:$Z$1,0))&amp;""),""))</f>
        <v/>
      </c>
      <c r="AD75" s="41">
        <f>IF(TRIM('Counts'!$B$44&amp;"")="","",IFERROR(TRIM(INDEX($A75:$Z75,MATCH('Counts'!$B$44,$A$1:$Z$1,0))&amp;""),""))</f>
        <v/>
      </c>
      <c r="AE75" s="41">
        <f>IF(TRIM('Cross-tab'!$B$5&amp;"")="","",IFERROR(TRIM(INDEX($A75:$Z75,MATCH('Cross-tab'!$B$5,$A$1:$Z$1,0))&amp;""),""))</f>
        <v/>
      </c>
      <c r="AF75" s="41">
        <f>IF(TRIM('Cross-tab'!$B$7&amp;"")="","",IFERROR(TRIM(INDEX($A75:$Z75,MATCH('Cross-tab'!$B$7,$A$1:$Z$1,0))&amp;""),""))</f>
        <v/>
      </c>
      <c r="AG75" s="41">
        <f>IF(ISNUMBER(IFERROR(VALUE(IF(TRIM('Scale score'!$B$5&amp;"")="","",IFERROR(TRIM(INDEX($A75:$Z75,MATCH('Scale score'!$B$5,$A$1:$Z$1,0))&amp;""),""))),"")),IF(AND(IFERROR(VALUE(IF(TRIM('Scale score'!$B$5&amp;"")="","",IFERROR(TRIM(INDEX($A75:$Z75,MATCH('Scale score'!$B$5,$A$1:$Z$1,0))&amp;""),""))),"")&gt;='Scale score'!$B$6,IFERROR(VALUE(IF(TRIM('Scale score'!$B$5&amp;"")="","",IFERROR(TRIM(INDEX($A75:$Z75,MATCH('Scale score'!$B$5,$A$1:$Z$1,0))&amp;""),""))),"")&lt;='Scale score'!$B$7),IFERROR(VALUE(IF(TRIM('Scale score'!$B$5&amp;"")="","",IFERROR(TRIM(INDEX($A75:$Z75,MATCH('Scale score'!$B$5,$A$1:$Z$1,0))&amp;""),""))),""),""),"")</f>
        <v/>
      </c>
      <c r="AH75" s="41">
        <f>IF(TRIM('Open answers'!$B$5&amp;"")="","",IFERROR(TRIM(INDEX($A75:$Z75,MATCH('Open answers'!$B$5,$A$1:$Z$1,0))&amp;""),""))</f>
        <v/>
      </c>
      <c r="AI75" s="41">
        <f>IF(LEN(AH75)&gt;0,MAX($AI$1:AI74)+1,"")</f>
        <v/>
      </c>
    </row>
    <row r="76">
      <c r="AA76" s="40" t="n"/>
      <c r="AB76" s="41">
        <f>IF(TRIM('Counts'!$B$8&amp;"")="","",IFERROR(TRIM(INDEX($A76:$Z76,MATCH('Counts'!$B$8,$A$1:$Z$1,0))&amp;""),""))</f>
        <v/>
      </c>
      <c r="AC76" s="41">
        <f>IF(TRIM('Counts'!$B$26&amp;"")="","",IFERROR(TRIM(INDEX($A76:$Z76,MATCH('Counts'!$B$26,$A$1:$Z$1,0))&amp;""),""))</f>
        <v/>
      </c>
      <c r="AD76" s="41">
        <f>IF(TRIM('Counts'!$B$44&amp;"")="","",IFERROR(TRIM(INDEX($A76:$Z76,MATCH('Counts'!$B$44,$A$1:$Z$1,0))&amp;""),""))</f>
        <v/>
      </c>
      <c r="AE76" s="41">
        <f>IF(TRIM('Cross-tab'!$B$5&amp;"")="","",IFERROR(TRIM(INDEX($A76:$Z76,MATCH('Cross-tab'!$B$5,$A$1:$Z$1,0))&amp;""),""))</f>
        <v/>
      </c>
      <c r="AF76" s="41">
        <f>IF(TRIM('Cross-tab'!$B$7&amp;"")="","",IFERROR(TRIM(INDEX($A76:$Z76,MATCH('Cross-tab'!$B$7,$A$1:$Z$1,0))&amp;""),""))</f>
        <v/>
      </c>
      <c r="AG76" s="41">
        <f>IF(ISNUMBER(IFERROR(VALUE(IF(TRIM('Scale score'!$B$5&amp;"")="","",IFERROR(TRIM(INDEX($A76:$Z76,MATCH('Scale score'!$B$5,$A$1:$Z$1,0))&amp;""),""))),"")),IF(AND(IFERROR(VALUE(IF(TRIM('Scale score'!$B$5&amp;"")="","",IFERROR(TRIM(INDEX($A76:$Z76,MATCH('Scale score'!$B$5,$A$1:$Z$1,0))&amp;""),""))),"")&gt;='Scale score'!$B$6,IFERROR(VALUE(IF(TRIM('Scale score'!$B$5&amp;"")="","",IFERROR(TRIM(INDEX($A76:$Z76,MATCH('Scale score'!$B$5,$A$1:$Z$1,0))&amp;""),""))),"")&lt;='Scale score'!$B$7),IFERROR(VALUE(IF(TRIM('Scale score'!$B$5&amp;"")="","",IFERROR(TRIM(INDEX($A76:$Z76,MATCH('Scale score'!$B$5,$A$1:$Z$1,0))&amp;""),""))),""),""),"")</f>
        <v/>
      </c>
      <c r="AH76" s="41">
        <f>IF(TRIM('Open answers'!$B$5&amp;"")="","",IFERROR(TRIM(INDEX($A76:$Z76,MATCH('Open answers'!$B$5,$A$1:$Z$1,0))&amp;""),""))</f>
        <v/>
      </c>
      <c r="AI76" s="41">
        <f>IF(LEN(AH76)&gt;0,MAX($AI$1:AI75)+1,"")</f>
        <v/>
      </c>
    </row>
    <row r="77">
      <c r="AA77" s="40" t="n"/>
      <c r="AB77" s="41">
        <f>IF(TRIM('Counts'!$B$8&amp;"")="","",IFERROR(TRIM(INDEX($A77:$Z77,MATCH('Counts'!$B$8,$A$1:$Z$1,0))&amp;""),""))</f>
        <v/>
      </c>
      <c r="AC77" s="41">
        <f>IF(TRIM('Counts'!$B$26&amp;"")="","",IFERROR(TRIM(INDEX($A77:$Z77,MATCH('Counts'!$B$26,$A$1:$Z$1,0))&amp;""),""))</f>
        <v/>
      </c>
      <c r="AD77" s="41">
        <f>IF(TRIM('Counts'!$B$44&amp;"")="","",IFERROR(TRIM(INDEX($A77:$Z77,MATCH('Counts'!$B$44,$A$1:$Z$1,0))&amp;""),""))</f>
        <v/>
      </c>
      <c r="AE77" s="41">
        <f>IF(TRIM('Cross-tab'!$B$5&amp;"")="","",IFERROR(TRIM(INDEX($A77:$Z77,MATCH('Cross-tab'!$B$5,$A$1:$Z$1,0))&amp;""),""))</f>
        <v/>
      </c>
      <c r="AF77" s="41">
        <f>IF(TRIM('Cross-tab'!$B$7&amp;"")="","",IFERROR(TRIM(INDEX($A77:$Z77,MATCH('Cross-tab'!$B$7,$A$1:$Z$1,0))&amp;""),""))</f>
        <v/>
      </c>
      <c r="AG77" s="41">
        <f>IF(ISNUMBER(IFERROR(VALUE(IF(TRIM('Scale score'!$B$5&amp;"")="","",IFERROR(TRIM(INDEX($A77:$Z77,MATCH('Scale score'!$B$5,$A$1:$Z$1,0))&amp;""),""))),"")),IF(AND(IFERROR(VALUE(IF(TRIM('Scale score'!$B$5&amp;"")="","",IFERROR(TRIM(INDEX($A77:$Z77,MATCH('Scale score'!$B$5,$A$1:$Z$1,0))&amp;""),""))),"")&gt;='Scale score'!$B$6,IFERROR(VALUE(IF(TRIM('Scale score'!$B$5&amp;"")="","",IFERROR(TRIM(INDEX($A77:$Z77,MATCH('Scale score'!$B$5,$A$1:$Z$1,0))&amp;""),""))),"")&lt;='Scale score'!$B$7),IFERROR(VALUE(IF(TRIM('Scale score'!$B$5&amp;"")="","",IFERROR(TRIM(INDEX($A77:$Z77,MATCH('Scale score'!$B$5,$A$1:$Z$1,0))&amp;""),""))),""),""),"")</f>
        <v/>
      </c>
      <c r="AH77" s="41">
        <f>IF(TRIM('Open answers'!$B$5&amp;"")="","",IFERROR(TRIM(INDEX($A77:$Z77,MATCH('Open answers'!$B$5,$A$1:$Z$1,0))&amp;""),""))</f>
        <v/>
      </c>
      <c r="AI77" s="41">
        <f>IF(LEN(AH77)&gt;0,MAX($AI$1:AI76)+1,"")</f>
        <v/>
      </c>
    </row>
    <row r="78">
      <c r="AA78" s="40" t="n"/>
      <c r="AB78" s="41">
        <f>IF(TRIM('Counts'!$B$8&amp;"")="","",IFERROR(TRIM(INDEX($A78:$Z78,MATCH('Counts'!$B$8,$A$1:$Z$1,0))&amp;""),""))</f>
        <v/>
      </c>
      <c r="AC78" s="41">
        <f>IF(TRIM('Counts'!$B$26&amp;"")="","",IFERROR(TRIM(INDEX($A78:$Z78,MATCH('Counts'!$B$26,$A$1:$Z$1,0))&amp;""),""))</f>
        <v/>
      </c>
      <c r="AD78" s="41">
        <f>IF(TRIM('Counts'!$B$44&amp;"")="","",IFERROR(TRIM(INDEX($A78:$Z78,MATCH('Counts'!$B$44,$A$1:$Z$1,0))&amp;""),""))</f>
        <v/>
      </c>
      <c r="AE78" s="41">
        <f>IF(TRIM('Cross-tab'!$B$5&amp;"")="","",IFERROR(TRIM(INDEX($A78:$Z78,MATCH('Cross-tab'!$B$5,$A$1:$Z$1,0))&amp;""),""))</f>
        <v/>
      </c>
      <c r="AF78" s="41">
        <f>IF(TRIM('Cross-tab'!$B$7&amp;"")="","",IFERROR(TRIM(INDEX($A78:$Z78,MATCH('Cross-tab'!$B$7,$A$1:$Z$1,0))&amp;""),""))</f>
        <v/>
      </c>
      <c r="AG78" s="41">
        <f>IF(ISNUMBER(IFERROR(VALUE(IF(TRIM('Scale score'!$B$5&amp;"")="","",IFERROR(TRIM(INDEX($A78:$Z78,MATCH('Scale score'!$B$5,$A$1:$Z$1,0))&amp;""),""))),"")),IF(AND(IFERROR(VALUE(IF(TRIM('Scale score'!$B$5&amp;"")="","",IFERROR(TRIM(INDEX($A78:$Z78,MATCH('Scale score'!$B$5,$A$1:$Z$1,0))&amp;""),""))),"")&gt;='Scale score'!$B$6,IFERROR(VALUE(IF(TRIM('Scale score'!$B$5&amp;"")="","",IFERROR(TRIM(INDEX($A78:$Z78,MATCH('Scale score'!$B$5,$A$1:$Z$1,0))&amp;""),""))),"")&lt;='Scale score'!$B$7),IFERROR(VALUE(IF(TRIM('Scale score'!$B$5&amp;"")="","",IFERROR(TRIM(INDEX($A78:$Z78,MATCH('Scale score'!$B$5,$A$1:$Z$1,0))&amp;""),""))),""),""),"")</f>
        <v/>
      </c>
      <c r="AH78" s="41">
        <f>IF(TRIM('Open answers'!$B$5&amp;"")="","",IFERROR(TRIM(INDEX($A78:$Z78,MATCH('Open answers'!$B$5,$A$1:$Z$1,0))&amp;""),""))</f>
        <v/>
      </c>
      <c r="AI78" s="41">
        <f>IF(LEN(AH78)&gt;0,MAX($AI$1:AI77)+1,"")</f>
        <v/>
      </c>
    </row>
    <row r="79">
      <c r="AA79" s="40" t="n"/>
      <c r="AB79" s="41">
        <f>IF(TRIM('Counts'!$B$8&amp;"")="","",IFERROR(TRIM(INDEX($A79:$Z79,MATCH('Counts'!$B$8,$A$1:$Z$1,0))&amp;""),""))</f>
        <v/>
      </c>
      <c r="AC79" s="41">
        <f>IF(TRIM('Counts'!$B$26&amp;"")="","",IFERROR(TRIM(INDEX($A79:$Z79,MATCH('Counts'!$B$26,$A$1:$Z$1,0))&amp;""),""))</f>
        <v/>
      </c>
      <c r="AD79" s="41">
        <f>IF(TRIM('Counts'!$B$44&amp;"")="","",IFERROR(TRIM(INDEX($A79:$Z79,MATCH('Counts'!$B$44,$A$1:$Z$1,0))&amp;""),""))</f>
        <v/>
      </c>
      <c r="AE79" s="41">
        <f>IF(TRIM('Cross-tab'!$B$5&amp;"")="","",IFERROR(TRIM(INDEX($A79:$Z79,MATCH('Cross-tab'!$B$5,$A$1:$Z$1,0))&amp;""),""))</f>
        <v/>
      </c>
      <c r="AF79" s="41">
        <f>IF(TRIM('Cross-tab'!$B$7&amp;"")="","",IFERROR(TRIM(INDEX($A79:$Z79,MATCH('Cross-tab'!$B$7,$A$1:$Z$1,0))&amp;""),""))</f>
        <v/>
      </c>
      <c r="AG79" s="41">
        <f>IF(ISNUMBER(IFERROR(VALUE(IF(TRIM('Scale score'!$B$5&amp;"")="","",IFERROR(TRIM(INDEX($A79:$Z79,MATCH('Scale score'!$B$5,$A$1:$Z$1,0))&amp;""),""))),"")),IF(AND(IFERROR(VALUE(IF(TRIM('Scale score'!$B$5&amp;"")="","",IFERROR(TRIM(INDEX($A79:$Z79,MATCH('Scale score'!$B$5,$A$1:$Z$1,0))&amp;""),""))),"")&gt;='Scale score'!$B$6,IFERROR(VALUE(IF(TRIM('Scale score'!$B$5&amp;"")="","",IFERROR(TRIM(INDEX($A79:$Z79,MATCH('Scale score'!$B$5,$A$1:$Z$1,0))&amp;""),""))),"")&lt;='Scale score'!$B$7),IFERROR(VALUE(IF(TRIM('Scale score'!$B$5&amp;"")="","",IFERROR(TRIM(INDEX($A79:$Z79,MATCH('Scale score'!$B$5,$A$1:$Z$1,0))&amp;""),""))),""),""),"")</f>
        <v/>
      </c>
      <c r="AH79" s="41">
        <f>IF(TRIM('Open answers'!$B$5&amp;"")="","",IFERROR(TRIM(INDEX($A79:$Z79,MATCH('Open answers'!$B$5,$A$1:$Z$1,0))&amp;""),""))</f>
        <v/>
      </c>
      <c r="AI79" s="41">
        <f>IF(LEN(AH79)&gt;0,MAX($AI$1:AI78)+1,"")</f>
        <v/>
      </c>
    </row>
    <row r="80">
      <c r="AA80" s="40" t="n"/>
      <c r="AB80" s="41">
        <f>IF(TRIM('Counts'!$B$8&amp;"")="","",IFERROR(TRIM(INDEX($A80:$Z80,MATCH('Counts'!$B$8,$A$1:$Z$1,0))&amp;""),""))</f>
        <v/>
      </c>
      <c r="AC80" s="41">
        <f>IF(TRIM('Counts'!$B$26&amp;"")="","",IFERROR(TRIM(INDEX($A80:$Z80,MATCH('Counts'!$B$26,$A$1:$Z$1,0))&amp;""),""))</f>
        <v/>
      </c>
      <c r="AD80" s="41">
        <f>IF(TRIM('Counts'!$B$44&amp;"")="","",IFERROR(TRIM(INDEX($A80:$Z80,MATCH('Counts'!$B$44,$A$1:$Z$1,0))&amp;""),""))</f>
        <v/>
      </c>
      <c r="AE80" s="41">
        <f>IF(TRIM('Cross-tab'!$B$5&amp;"")="","",IFERROR(TRIM(INDEX($A80:$Z80,MATCH('Cross-tab'!$B$5,$A$1:$Z$1,0))&amp;""),""))</f>
        <v/>
      </c>
      <c r="AF80" s="41">
        <f>IF(TRIM('Cross-tab'!$B$7&amp;"")="","",IFERROR(TRIM(INDEX($A80:$Z80,MATCH('Cross-tab'!$B$7,$A$1:$Z$1,0))&amp;""),""))</f>
        <v/>
      </c>
      <c r="AG80" s="41">
        <f>IF(ISNUMBER(IFERROR(VALUE(IF(TRIM('Scale score'!$B$5&amp;"")="","",IFERROR(TRIM(INDEX($A80:$Z80,MATCH('Scale score'!$B$5,$A$1:$Z$1,0))&amp;""),""))),"")),IF(AND(IFERROR(VALUE(IF(TRIM('Scale score'!$B$5&amp;"")="","",IFERROR(TRIM(INDEX($A80:$Z80,MATCH('Scale score'!$B$5,$A$1:$Z$1,0))&amp;""),""))),"")&gt;='Scale score'!$B$6,IFERROR(VALUE(IF(TRIM('Scale score'!$B$5&amp;"")="","",IFERROR(TRIM(INDEX($A80:$Z80,MATCH('Scale score'!$B$5,$A$1:$Z$1,0))&amp;""),""))),"")&lt;='Scale score'!$B$7),IFERROR(VALUE(IF(TRIM('Scale score'!$B$5&amp;"")="","",IFERROR(TRIM(INDEX($A80:$Z80,MATCH('Scale score'!$B$5,$A$1:$Z$1,0))&amp;""),""))),""),""),"")</f>
        <v/>
      </c>
      <c r="AH80" s="41">
        <f>IF(TRIM('Open answers'!$B$5&amp;"")="","",IFERROR(TRIM(INDEX($A80:$Z80,MATCH('Open answers'!$B$5,$A$1:$Z$1,0))&amp;""),""))</f>
        <v/>
      </c>
      <c r="AI80" s="41">
        <f>IF(LEN(AH80)&gt;0,MAX($AI$1:AI79)+1,"")</f>
        <v/>
      </c>
    </row>
    <row r="81">
      <c r="AA81" s="40" t="n"/>
      <c r="AB81" s="41">
        <f>IF(TRIM('Counts'!$B$8&amp;"")="","",IFERROR(TRIM(INDEX($A81:$Z81,MATCH('Counts'!$B$8,$A$1:$Z$1,0))&amp;""),""))</f>
        <v/>
      </c>
      <c r="AC81" s="41">
        <f>IF(TRIM('Counts'!$B$26&amp;"")="","",IFERROR(TRIM(INDEX($A81:$Z81,MATCH('Counts'!$B$26,$A$1:$Z$1,0))&amp;""),""))</f>
        <v/>
      </c>
      <c r="AD81" s="41">
        <f>IF(TRIM('Counts'!$B$44&amp;"")="","",IFERROR(TRIM(INDEX($A81:$Z81,MATCH('Counts'!$B$44,$A$1:$Z$1,0))&amp;""),""))</f>
        <v/>
      </c>
      <c r="AE81" s="41">
        <f>IF(TRIM('Cross-tab'!$B$5&amp;"")="","",IFERROR(TRIM(INDEX($A81:$Z81,MATCH('Cross-tab'!$B$5,$A$1:$Z$1,0))&amp;""),""))</f>
        <v/>
      </c>
      <c r="AF81" s="41">
        <f>IF(TRIM('Cross-tab'!$B$7&amp;"")="","",IFERROR(TRIM(INDEX($A81:$Z81,MATCH('Cross-tab'!$B$7,$A$1:$Z$1,0))&amp;""),""))</f>
        <v/>
      </c>
      <c r="AG81" s="41">
        <f>IF(ISNUMBER(IFERROR(VALUE(IF(TRIM('Scale score'!$B$5&amp;"")="","",IFERROR(TRIM(INDEX($A81:$Z81,MATCH('Scale score'!$B$5,$A$1:$Z$1,0))&amp;""),""))),"")),IF(AND(IFERROR(VALUE(IF(TRIM('Scale score'!$B$5&amp;"")="","",IFERROR(TRIM(INDEX($A81:$Z81,MATCH('Scale score'!$B$5,$A$1:$Z$1,0))&amp;""),""))),"")&gt;='Scale score'!$B$6,IFERROR(VALUE(IF(TRIM('Scale score'!$B$5&amp;"")="","",IFERROR(TRIM(INDEX($A81:$Z81,MATCH('Scale score'!$B$5,$A$1:$Z$1,0))&amp;""),""))),"")&lt;='Scale score'!$B$7),IFERROR(VALUE(IF(TRIM('Scale score'!$B$5&amp;"")="","",IFERROR(TRIM(INDEX($A81:$Z81,MATCH('Scale score'!$B$5,$A$1:$Z$1,0))&amp;""),""))),""),""),"")</f>
        <v/>
      </c>
      <c r="AH81" s="41">
        <f>IF(TRIM('Open answers'!$B$5&amp;"")="","",IFERROR(TRIM(INDEX($A81:$Z81,MATCH('Open answers'!$B$5,$A$1:$Z$1,0))&amp;""),""))</f>
        <v/>
      </c>
      <c r="AI81" s="41">
        <f>IF(LEN(AH81)&gt;0,MAX($AI$1:AI80)+1,"")</f>
        <v/>
      </c>
    </row>
    <row r="82">
      <c r="AA82" s="40" t="n"/>
      <c r="AB82" s="41">
        <f>IF(TRIM('Counts'!$B$8&amp;"")="","",IFERROR(TRIM(INDEX($A82:$Z82,MATCH('Counts'!$B$8,$A$1:$Z$1,0))&amp;""),""))</f>
        <v/>
      </c>
      <c r="AC82" s="41">
        <f>IF(TRIM('Counts'!$B$26&amp;"")="","",IFERROR(TRIM(INDEX($A82:$Z82,MATCH('Counts'!$B$26,$A$1:$Z$1,0))&amp;""),""))</f>
        <v/>
      </c>
      <c r="AD82" s="41">
        <f>IF(TRIM('Counts'!$B$44&amp;"")="","",IFERROR(TRIM(INDEX($A82:$Z82,MATCH('Counts'!$B$44,$A$1:$Z$1,0))&amp;""),""))</f>
        <v/>
      </c>
      <c r="AE82" s="41">
        <f>IF(TRIM('Cross-tab'!$B$5&amp;"")="","",IFERROR(TRIM(INDEX($A82:$Z82,MATCH('Cross-tab'!$B$5,$A$1:$Z$1,0))&amp;""),""))</f>
        <v/>
      </c>
      <c r="AF82" s="41">
        <f>IF(TRIM('Cross-tab'!$B$7&amp;"")="","",IFERROR(TRIM(INDEX($A82:$Z82,MATCH('Cross-tab'!$B$7,$A$1:$Z$1,0))&amp;""),""))</f>
        <v/>
      </c>
      <c r="AG82" s="41">
        <f>IF(ISNUMBER(IFERROR(VALUE(IF(TRIM('Scale score'!$B$5&amp;"")="","",IFERROR(TRIM(INDEX($A82:$Z82,MATCH('Scale score'!$B$5,$A$1:$Z$1,0))&amp;""),""))),"")),IF(AND(IFERROR(VALUE(IF(TRIM('Scale score'!$B$5&amp;"")="","",IFERROR(TRIM(INDEX($A82:$Z82,MATCH('Scale score'!$B$5,$A$1:$Z$1,0))&amp;""),""))),"")&gt;='Scale score'!$B$6,IFERROR(VALUE(IF(TRIM('Scale score'!$B$5&amp;"")="","",IFERROR(TRIM(INDEX($A82:$Z82,MATCH('Scale score'!$B$5,$A$1:$Z$1,0))&amp;""),""))),"")&lt;='Scale score'!$B$7),IFERROR(VALUE(IF(TRIM('Scale score'!$B$5&amp;"")="","",IFERROR(TRIM(INDEX($A82:$Z82,MATCH('Scale score'!$B$5,$A$1:$Z$1,0))&amp;""),""))),""),""),"")</f>
        <v/>
      </c>
      <c r="AH82" s="41">
        <f>IF(TRIM('Open answers'!$B$5&amp;"")="","",IFERROR(TRIM(INDEX($A82:$Z82,MATCH('Open answers'!$B$5,$A$1:$Z$1,0))&amp;""),""))</f>
        <v/>
      </c>
      <c r="AI82" s="41">
        <f>IF(LEN(AH82)&gt;0,MAX($AI$1:AI81)+1,"")</f>
        <v/>
      </c>
    </row>
    <row r="83">
      <c r="AA83" s="40" t="n"/>
      <c r="AB83" s="41">
        <f>IF(TRIM('Counts'!$B$8&amp;"")="","",IFERROR(TRIM(INDEX($A83:$Z83,MATCH('Counts'!$B$8,$A$1:$Z$1,0))&amp;""),""))</f>
        <v/>
      </c>
      <c r="AC83" s="41">
        <f>IF(TRIM('Counts'!$B$26&amp;"")="","",IFERROR(TRIM(INDEX($A83:$Z83,MATCH('Counts'!$B$26,$A$1:$Z$1,0))&amp;""),""))</f>
        <v/>
      </c>
      <c r="AD83" s="41">
        <f>IF(TRIM('Counts'!$B$44&amp;"")="","",IFERROR(TRIM(INDEX($A83:$Z83,MATCH('Counts'!$B$44,$A$1:$Z$1,0))&amp;""),""))</f>
        <v/>
      </c>
      <c r="AE83" s="41">
        <f>IF(TRIM('Cross-tab'!$B$5&amp;"")="","",IFERROR(TRIM(INDEX($A83:$Z83,MATCH('Cross-tab'!$B$5,$A$1:$Z$1,0))&amp;""),""))</f>
        <v/>
      </c>
      <c r="AF83" s="41">
        <f>IF(TRIM('Cross-tab'!$B$7&amp;"")="","",IFERROR(TRIM(INDEX($A83:$Z83,MATCH('Cross-tab'!$B$7,$A$1:$Z$1,0))&amp;""),""))</f>
        <v/>
      </c>
      <c r="AG83" s="41">
        <f>IF(ISNUMBER(IFERROR(VALUE(IF(TRIM('Scale score'!$B$5&amp;"")="","",IFERROR(TRIM(INDEX($A83:$Z83,MATCH('Scale score'!$B$5,$A$1:$Z$1,0))&amp;""),""))),"")),IF(AND(IFERROR(VALUE(IF(TRIM('Scale score'!$B$5&amp;"")="","",IFERROR(TRIM(INDEX($A83:$Z83,MATCH('Scale score'!$B$5,$A$1:$Z$1,0))&amp;""),""))),"")&gt;='Scale score'!$B$6,IFERROR(VALUE(IF(TRIM('Scale score'!$B$5&amp;"")="","",IFERROR(TRIM(INDEX($A83:$Z83,MATCH('Scale score'!$B$5,$A$1:$Z$1,0))&amp;""),""))),"")&lt;='Scale score'!$B$7),IFERROR(VALUE(IF(TRIM('Scale score'!$B$5&amp;"")="","",IFERROR(TRIM(INDEX($A83:$Z83,MATCH('Scale score'!$B$5,$A$1:$Z$1,0))&amp;""),""))),""),""),"")</f>
        <v/>
      </c>
      <c r="AH83" s="41">
        <f>IF(TRIM('Open answers'!$B$5&amp;"")="","",IFERROR(TRIM(INDEX($A83:$Z83,MATCH('Open answers'!$B$5,$A$1:$Z$1,0))&amp;""),""))</f>
        <v/>
      </c>
      <c r="AI83" s="41">
        <f>IF(LEN(AH83)&gt;0,MAX($AI$1:AI82)+1,"")</f>
        <v/>
      </c>
    </row>
    <row r="84">
      <c r="AA84" s="40" t="n"/>
      <c r="AB84" s="41">
        <f>IF(TRIM('Counts'!$B$8&amp;"")="","",IFERROR(TRIM(INDEX($A84:$Z84,MATCH('Counts'!$B$8,$A$1:$Z$1,0))&amp;""),""))</f>
        <v/>
      </c>
      <c r="AC84" s="41">
        <f>IF(TRIM('Counts'!$B$26&amp;"")="","",IFERROR(TRIM(INDEX($A84:$Z84,MATCH('Counts'!$B$26,$A$1:$Z$1,0))&amp;""),""))</f>
        <v/>
      </c>
      <c r="AD84" s="41">
        <f>IF(TRIM('Counts'!$B$44&amp;"")="","",IFERROR(TRIM(INDEX($A84:$Z84,MATCH('Counts'!$B$44,$A$1:$Z$1,0))&amp;""),""))</f>
        <v/>
      </c>
      <c r="AE84" s="41">
        <f>IF(TRIM('Cross-tab'!$B$5&amp;"")="","",IFERROR(TRIM(INDEX($A84:$Z84,MATCH('Cross-tab'!$B$5,$A$1:$Z$1,0))&amp;""),""))</f>
        <v/>
      </c>
      <c r="AF84" s="41">
        <f>IF(TRIM('Cross-tab'!$B$7&amp;"")="","",IFERROR(TRIM(INDEX($A84:$Z84,MATCH('Cross-tab'!$B$7,$A$1:$Z$1,0))&amp;""),""))</f>
        <v/>
      </c>
      <c r="AG84" s="41">
        <f>IF(ISNUMBER(IFERROR(VALUE(IF(TRIM('Scale score'!$B$5&amp;"")="","",IFERROR(TRIM(INDEX($A84:$Z84,MATCH('Scale score'!$B$5,$A$1:$Z$1,0))&amp;""),""))),"")),IF(AND(IFERROR(VALUE(IF(TRIM('Scale score'!$B$5&amp;"")="","",IFERROR(TRIM(INDEX($A84:$Z84,MATCH('Scale score'!$B$5,$A$1:$Z$1,0))&amp;""),""))),"")&gt;='Scale score'!$B$6,IFERROR(VALUE(IF(TRIM('Scale score'!$B$5&amp;"")="","",IFERROR(TRIM(INDEX($A84:$Z84,MATCH('Scale score'!$B$5,$A$1:$Z$1,0))&amp;""),""))),"")&lt;='Scale score'!$B$7),IFERROR(VALUE(IF(TRIM('Scale score'!$B$5&amp;"")="","",IFERROR(TRIM(INDEX($A84:$Z84,MATCH('Scale score'!$B$5,$A$1:$Z$1,0))&amp;""),""))),""),""),"")</f>
        <v/>
      </c>
      <c r="AH84" s="41">
        <f>IF(TRIM('Open answers'!$B$5&amp;"")="","",IFERROR(TRIM(INDEX($A84:$Z84,MATCH('Open answers'!$B$5,$A$1:$Z$1,0))&amp;""),""))</f>
        <v/>
      </c>
      <c r="AI84" s="41">
        <f>IF(LEN(AH84)&gt;0,MAX($AI$1:AI83)+1,"")</f>
        <v/>
      </c>
    </row>
    <row r="85">
      <c r="AA85" s="40" t="n"/>
      <c r="AB85" s="41">
        <f>IF(TRIM('Counts'!$B$8&amp;"")="","",IFERROR(TRIM(INDEX($A85:$Z85,MATCH('Counts'!$B$8,$A$1:$Z$1,0))&amp;""),""))</f>
        <v/>
      </c>
      <c r="AC85" s="41">
        <f>IF(TRIM('Counts'!$B$26&amp;"")="","",IFERROR(TRIM(INDEX($A85:$Z85,MATCH('Counts'!$B$26,$A$1:$Z$1,0))&amp;""),""))</f>
        <v/>
      </c>
      <c r="AD85" s="41">
        <f>IF(TRIM('Counts'!$B$44&amp;"")="","",IFERROR(TRIM(INDEX($A85:$Z85,MATCH('Counts'!$B$44,$A$1:$Z$1,0))&amp;""),""))</f>
        <v/>
      </c>
      <c r="AE85" s="41">
        <f>IF(TRIM('Cross-tab'!$B$5&amp;"")="","",IFERROR(TRIM(INDEX($A85:$Z85,MATCH('Cross-tab'!$B$5,$A$1:$Z$1,0))&amp;""),""))</f>
        <v/>
      </c>
      <c r="AF85" s="41">
        <f>IF(TRIM('Cross-tab'!$B$7&amp;"")="","",IFERROR(TRIM(INDEX($A85:$Z85,MATCH('Cross-tab'!$B$7,$A$1:$Z$1,0))&amp;""),""))</f>
        <v/>
      </c>
      <c r="AG85" s="41">
        <f>IF(ISNUMBER(IFERROR(VALUE(IF(TRIM('Scale score'!$B$5&amp;"")="","",IFERROR(TRIM(INDEX($A85:$Z85,MATCH('Scale score'!$B$5,$A$1:$Z$1,0))&amp;""),""))),"")),IF(AND(IFERROR(VALUE(IF(TRIM('Scale score'!$B$5&amp;"")="","",IFERROR(TRIM(INDEX($A85:$Z85,MATCH('Scale score'!$B$5,$A$1:$Z$1,0))&amp;""),""))),"")&gt;='Scale score'!$B$6,IFERROR(VALUE(IF(TRIM('Scale score'!$B$5&amp;"")="","",IFERROR(TRIM(INDEX($A85:$Z85,MATCH('Scale score'!$B$5,$A$1:$Z$1,0))&amp;""),""))),"")&lt;='Scale score'!$B$7),IFERROR(VALUE(IF(TRIM('Scale score'!$B$5&amp;"")="","",IFERROR(TRIM(INDEX($A85:$Z85,MATCH('Scale score'!$B$5,$A$1:$Z$1,0))&amp;""),""))),""),""),"")</f>
        <v/>
      </c>
      <c r="AH85" s="41">
        <f>IF(TRIM('Open answers'!$B$5&amp;"")="","",IFERROR(TRIM(INDEX($A85:$Z85,MATCH('Open answers'!$B$5,$A$1:$Z$1,0))&amp;""),""))</f>
        <v/>
      </c>
      <c r="AI85" s="41">
        <f>IF(LEN(AH85)&gt;0,MAX($AI$1:AI84)+1,"")</f>
        <v/>
      </c>
    </row>
    <row r="86">
      <c r="AA86" s="40" t="n"/>
      <c r="AB86" s="41">
        <f>IF(TRIM('Counts'!$B$8&amp;"")="","",IFERROR(TRIM(INDEX($A86:$Z86,MATCH('Counts'!$B$8,$A$1:$Z$1,0))&amp;""),""))</f>
        <v/>
      </c>
      <c r="AC86" s="41">
        <f>IF(TRIM('Counts'!$B$26&amp;"")="","",IFERROR(TRIM(INDEX($A86:$Z86,MATCH('Counts'!$B$26,$A$1:$Z$1,0))&amp;""),""))</f>
        <v/>
      </c>
      <c r="AD86" s="41">
        <f>IF(TRIM('Counts'!$B$44&amp;"")="","",IFERROR(TRIM(INDEX($A86:$Z86,MATCH('Counts'!$B$44,$A$1:$Z$1,0))&amp;""),""))</f>
        <v/>
      </c>
      <c r="AE86" s="41">
        <f>IF(TRIM('Cross-tab'!$B$5&amp;"")="","",IFERROR(TRIM(INDEX($A86:$Z86,MATCH('Cross-tab'!$B$5,$A$1:$Z$1,0))&amp;""),""))</f>
        <v/>
      </c>
      <c r="AF86" s="41">
        <f>IF(TRIM('Cross-tab'!$B$7&amp;"")="","",IFERROR(TRIM(INDEX($A86:$Z86,MATCH('Cross-tab'!$B$7,$A$1:$Z$1,0))&amp;""),""))</f>
        <v/>
      </c>
      <c r="AG86" s="41">
        <f>IF(ISNUMBER(IFERROR(VALUE(IF(TRIM('Scale score'!$B$5&amp;"")="","",IFERROR(TRIM(INDEX($A86:$Z86,MATCH('Scale score'!$B$5,$A$1:$Z$1,0))&amp;""),""))),"")),IF(AND(IFERROR(VALUE(IF(TRIM('Scale score'!$B$5&amp;"")="","",IFERROR(TRIM(INDEX($A86:$Z86,MATCH('Scale score'!$B$5,$A$1:$Z$1,0))&amp;""),""))),"")&gt;='Scale score'!$B$6,IFERROR(VALUE(IF(TRIM('Scale score'!$B$5&amp;"")="","",IFERROR(TRIM(INDEX($A86:$Z86,MATCH('Scale score'!$B$5,$A$1:$Z$1,0))&amp;""),""))),"")&lt;='Scale score'!$B$7),IFERROR(VALUE(IF(TRIM('Scale score'!$B$5&amp;"")="","",IFERROR(TRIM(INDEX($A86:$Z86,MATCH('Scale score'!$B$5,$A$1:$Z$1,0))&amp;""),""))),""),""),"")</f>
        <v/>
      </c>
      <c r="AH86" s="41">
        <f>IF(TRIM('Open answers'!$B$5&amp;"")="","",IFERROR(TRIM(INDEX($A86:$Z86,MATCH('Open answers'!$B$5,$A$1:$Z$1,0))&amp;""),""))</f>
        <v/>
      </c>
      <c r="AI86" s="41">
        <f>IF(LEN(AH86)&gt;0,MAX($AI$1:AI85)+1,"")</f>
        <v/>
      </c>
    </row>
    <row r="87">
      <c r="AA87" s="40" t="n"/>
      <c r="AB87" s="41">
        <f>IF(TRIM('Counts'!$B$8&amp;"")="","",IFERROR(TRIM(INDEX($A87:$Z87,MATCH('Counts'!$B$8,$A$1:$Z$1,0))&amp;""),""))</f>
        <v/>
      </c>
      <c r="AC87" s="41">
        <f>IF(TRIM('Counts'!$B$26&amp;"")="","",IFERROR(TRIM(INDEX($A87:$Z87,MATCH('Counts'!$B$26,$A$1:$Z$1,0))&amp;""),""))</f>
        <v/>
      </c>
      <c r="AD87" s="41">
        <f>IF(TRIM('Counts'!$B$44&amp;"")="","",IFERROR(TRIM(INDEX($A87:$Z87,MATCH('Counts'!$B$44,$A$1:$Z$1,0))&amp;""),""))</f>
        <v/>
      </c>
      <c r="AE87" s="41">
        <f>IF(TRIM('Cross-tab'!$B$5&amp;"")="","",IFERROR(TRIM(INDEX($A87:$Z87,MATCH('Cross-tab'!$B$5,$A$1:$Z$1,0))&amp;""),""))</f>
        <v/>
      </c>
      <c r="AF87" s="41">
        <f>IF(TRIM('Cross-tab'!$B$7&amp;"")="","",IFERROR(TRIM(INDEX($A87:$Z87,MATCH('Cross-tab'!$B$7,$A$1:$Z$1,0))&amp;""),""))</f>
        <v/>
      </c>
      <c r="AG87" s="41">
        <f>IF(ISNUMBER(IFERROR(VALUE(IF(TRIM('Scale score'!$B$5&amp;"")="","",IFERROR(TRIM(INDEX($A87:$Z87,MATCH('Scale score'!$B$5,$A$1:$Z$1,0))&amp;""),""))),"")),IF(AND(IFERROR(VALUE(IF(TRIM('Scale score'!$B$5&amp;"")="","",IFERROR(TRIM(INDEX($A87:$Z87,MATCH('Scale score'!$B$5,$A$1:$Z$1,0))&amp;""),""))),"")&gt;='Scale score'!$B$6,IFERROR(VALUE(IF(TRIM('Scale score'!$B$5&amp;"")="","",IFERROR(TRIM(INDEX($A87:$Z87,MATCH('Scale score'!$B$5,$A$1:$Z$1,0))&amp;""),""))),"")&lt;='Scale score'!$B$7),IFERROR(VALUE(IF(TRIM('Scale score'!$B$5&amp;"")="","",IFERROR(TRIM(INDEX($A87:$Z87,MATCH('Scale score'!$B$5,$A$1:$Z$1,0))&amp;""),""))),""),""),"")</f>
        <v/>
      </c>
      <c r="AH87" s="41">
        <f>IF(TRIM('Open answers'!$B$5&amp;"")="","",IFERROR(TRIM(INDEX($A87:$Z87,MATCH('Open answers'!$B$5,$A$1:$Z$1,0))&amp;""),""))</f>
        <v/>
      </c>
      <c r="AI87" s="41">
        <f>IF(LEN(AH87)&gt;0,MAX($AI$1:AI86)+1,"")</f>
        <v/>
      </c>
    </row>
    <row r="88">
      <c r="AA88" s="40" t="n"/>
      <c r="AB88" s="41">
        <f>IF(TRIM('Counts'!$B$8&amp;"")="","",IFERROR(TRIM(INDEX($A88:$Z88,MATCH('Counts'!$B$8,$A$1:$Z$1,0))&amp;""),""))</f>
        <v/>
      </c>
      <c r="AC88" s="41">
        <f>IF(TRIM('Counts'!$B$26&amp;"")="","",IFERROR(TRIM(INDEX($A88:$Z88,MATCH('Counts'!$B$26,$A$1:$Z$1,0))&amp;""),""))</f>
        <v/>
      </c>
      <c r="AD88" s="41">
        <f>IF(TRIM('Counts'!$B$44&amp;"")="","",IFERROR(TRIM(INDEX($A88:$Z88,MATCH('Counts'!$B$44,$A$1:$Z$1,0))&amp;""),""))</f>
        <v/>
      </c>
      <c r="AE88" s="41">
        <f>IF(TRIM('Cross-tab'!$B$5&amp;"")="","",IFERROR(TRIM(INDEX($A88:$Z88,MATCH('Cross-tab'!$B$5,$A$1:$Z$1,0))&amp;""),""))</f>
        <v/>
      </c>
      <c r="AF88" s="41">
        <f>IF(TRIM('Cross-tab'!$B$7&amp;"")="","",IFERROR(TRIM(INDEX($A88:$Z88,MATCH('Cross-tab'!$B$7,$A$1:$Z$1,0))&amp;""),""))</f>
        <v/>
      </c>
      <c r="AG88" s="41">
        <f>IF(ISNUMBER(IFERROR(VALUE(IF(TRIM('Scale score'!$B$5&amp;"")="","",IFERROR(TRIM(INDEX($A88:$Z88,MATCH('Scale score'!$B$5,$A$1:$Z$1,0))&amp;""),""))),"")),IF(AND(IFERROR(VALUE(IF(TRIM('Scale score'!$B$5&amp;"")="","",IFERROR(TRIM(INDEX($A88:$Z88,MATCH('Scale score'!$B$5,$A$1:$Z$1,0))&amp;""),""))),"")&gt;='Scale score'!$B$6,IFERROR(VALUE(IF(TRIM('Scale score'!$B$5&amp;"")="","",IFERROR(TRIM(INDEX($A88:$Z88,MATCH('Scale score'!$B$5,$A$1:$Z$1,0))&amp;""),""))),"")&lt;='Scale score'!$B$7),IFERROR(VALUE(IF(TRIM('Scale score'!$B$5&amp;"")="","",IFERROR(TRIM(INDEX($A88:$Z88,MATCH('Scale score'!$B$5,$A$1:$Z$1,0))&amp;""),""))),""),""),"")</f>
        <v/>
      </c>
      <c r="AH88" s="41">
        <f>IF(TRIM('Open answers'!$B$5&amp;"")="","",IFERROR(TRIM(INDEX($A88:$Z88,MATCH('Open answers'!$B$5,$A$1:$Z$1,0))&amp;""),""))</f>
        <v/>
      </c>
      <c r="AI88" s="41">
        <f>IF(LEN(AH88)&gt;0,MAX($AI$1:AI87)+1,"")</f>
        <v/>
      </c>
    </row>
    <row r="89">
      <c r="AA89" s="40" t="n"/>
      <c r="AB89" s="41">
        <f>IF(TRIM('Counts'!$B$8&amp;"")="","",IFERROR(TRIM(INDEX($A89:$Z89,MATCH('Counts'!$B$8,$A$1:$Z$1,0))&amp;""),""))</f>
        <v/>
      </c>
      <c r="AC89" s="41">
        <f>IF(TRIM('Counts'!$B$26&amp;"")="","",IFERROR(TRIM(INDEX($A89:$Z89,MATCH('Counts'!$B$26,$A$1:$Z$1,0))&amp;""),""))</f>
        <v/>
      </c>
      <c r="AD89" s="41">
        <f>IF(TRIM('Counts'!$B$44&amp;"")="","",IFERROR(TRIM(INDEX($A89:$Z89,MATCH('Counts'!$B$44,$A$1:$Z$1,0))&amp;""),""))</f>
        <v/>
      </c>
      <c r="AE89" s="41">
        <f>IF(TRIM('Cross-tab'!$B$5&amp;"")="","",IFERROR(TRIM(INDEX($A89:$Z89,MATCH('Cross-tab'!$B$5,$A$1:$Z$1,0))&amp;""),""))</f>
        <v/>
      </c>
      <c r="AF89" s="41">
        <f>IF(TRIM('Cross-tab'!$B$7&amp;"")="","",IFERROR(TRIM(INDEX($A89:$Z89,MATCH('Cross-tab'!$B$7,$A$1:$Z$1,0))&amp;""),""))</f>
        <v/>
      </c>
      <c r="AG89" s="41">
        <f>IF(ISNUMBER(IFERROR(VALUE(IF(TRIM('Scale score'!$B$5&amp;"")="","",IFERROR(TRIM(INDEX($A89:$Z89,MATCH('Scale score'!$B$5,$A$1:$Z$1,0))&amp;""),""))),"")),IF(AND(IFERROR(VALUE(IF(TRIM('Scale score'!$B$5&amp;"")="","",IFERROR(TRIM(INDEX($A89:$Z89,MATCH('Scale score'!$B$5,$A$1:$Z$1,0))&amp;""),""))),"")&gt;='Scale score'!$B$6,IFERROR(VALUE(IF(TRIM('Scale score'!$B$5&amp;"")="","",IFERROR(TRIM(INDEX($A89:$Z89,MATCH('Scale score'!$B$5,$A$1:$Z$1,0))&amp;""),""))),"")&lt;='Scale score'!$B$7),IFERROR(VALUE(IF(TRIM('Scale score'!$B$5&amp;"")="","",IFERROR(TRIM(INDEX($A89:$Z89,MATCH('Scale score'!$B$5,$A$1:$Z$1,0))&amp;""),""))),""),""),"")</f>
        <v/>
      </c>
      <c r="AH89" s="41">
        <f>IF(TRIM('Open answers'!$B$5&amp;"")="","",IFERROR(TRIM(INDEX($A89:$Z89,MATCH('Open answers'!$B$5,$A$1:$Z$1,0))&amp;""),""))</f>
        <v/>
      </c>
      <c r="AI89" s="41">
        <f>IF(LEN(AH89)&gt;0,MAX($AI$1:AI88)+1,"")</f>
        <v/>
      </c>
    </row>
    <row r="90">
      <c r="AA90" s="40" t="n"/>
      <c r="AB90" s="41">
        <f>IF(TRIM('Counts'!$B$8&amp;"")="","",IFERROR(TRIM(INDEX($A90:$Z90,MATCH('Counts'!$B$8,$A$1:$Z$1,0))&amp;""),""))</f>
        <v/>
      </c>
      <c r="AC90" s="41">
        <f>IF(TRIM('Counts'!$B$26&amp;"")="","",IFERROR(TRIM(INDEX($A90:$Z90,MATCH('Counts'!$B$26,$A$1:$Z$1,0))&amp;""),""))</f>
        <v/>
      </c>
      <c r="AD90" s="41">
        <f>IF(TRIM('Counts'!$B$44&amp;"")="","",IFERROR(TRIM(INDEX($A90:$Z90,MATCH('Counts'!$B$44,$A$1:$Z$1,0))&amp;""),""))</f>
        <v/>
      </c>
      <c r="AE90" s="41">
        <f>IF(TRIM('Cross-tab'!$B$5&amp;"")="","",IFERROR(TRIM(INDEX($A90:$Z90,MATCH('Cross-tab'!$B$5,$A$1:$Z$1,0))&amp;""),""))</f>
        <v/>
      </c>
      <c r="AF90" s="41">
        <f>IF(TRIM('Cross-tab'!$B$7&amp;"")="","",IFERROR(TRIM(INDEX($A90:$Z90,MATCH('Cross-tab'!$B$7,$A$1:$Z$1,0))&amp;""),""))</f>
        <v/>
      </c>
      <c r="AG90" s="41">
        <f>IF(ISNUMBER(IFERROR(VALUE(IF(TRIM('Scale score'!$B$5&amp;"")="","",IFERROR(TRIM(INDEX($A90:$Z90,MATCH('Scale score'!$B$5,$A$1:$Z$1,0))&amp;""),""))),"")),IF(AND(IFERROR(VALUE(IF(TRIM('Scale score'!$B$5&amp;"")="","",IFERROR(TRIM(INDEX($A90:$Z90,MATCH('Scale score'!$B$5,$A$1:$Z$1,0))&amp;""),""))),"")&gt;='Scale score'!$B$6,IFERROR(VALUE(IF(TRIM('Scale score'!$B$5&amp;"")="","",IFERROR(TRIM(INDEX($A90:$Z90,MATCH('Scale score'!$B$5,$A$1:$Z$1,0))&amp;""),""))),"")&lt;='Scale score'!$B$7),IFERROR(VALUE(IF(TRIM('Scale score'!$B$5&amp;"")="","",IFERROR(TRIM(INDEX($A90:$Z90,MATCH('Scale score'!$B$5,$A$1:$Z$1,0))&amp;""),""))),""),""),"")</f>
        <v/>
      </c>
      <c r="AH90" s="41">
        <f>IF(TRIM('Open answers'!$B$5&amp;"")="","",IFERROR(TRIM(INDEX($A90:$Z90,MATCH('Open answers'!$B$5,$A$1:$Z$1,0))&amp;""),""))</f>
        <v/>
      </c>
      <c r="AI90" s="41">
        <f>IF(LEN(AH90)&gt;0,MAX($AI$1:AI89)+1,"")</f>
        <v/>
      </c>
    </row>
    <row r="91">
      <c r="AA91" s="40" t="n"/>
      <c r="AB91" s="41">
        <f>IF(TRIM('Counts'!$B$8&amp;"")="","",IFERROR(TRIM(INDEX($A91:$Z91,MATCH('Counts'!$B$8,$A$1:$Z$1,0))&amp;""),""))</f>
        <v/>
      </c>
      <c r="AC91" s="41">
        <f>IF(TRIM('Counts'!$B$26&amp;"")="","",IFERROR(TRIM(INDEX($A91:$Z91,MATCH('Counts'!$B$26,$A$1:$Z$1,0))&amp;""),""))</f>
        <v/>
      </c>
      <c r="AD91" s="41">
        <f>IF(TRIM('Counts'!$B$44&amp;"")="","",IFERROR(TRIM(INDEX($A91:$Z91,MATCH('Counts'!$B$44,$A$1:$Z$1,0))&amp;""),""))</f>
        <v/>
      </c>
      <c r="AE91" s="41">
        <f>IF(TRIM('Cross-tab'!$B$5&amp;"")="","",IFERROR(TRIM(INDEX($A91:$Z91,MATCH('Cross-tab'!$B$5,$A$1:$Z$1,0))&amp;""),""))</f>
        <v/>
      </c>
      <c r="AF91" s="41">
        <f>IF(TRIM('Cross-tab'!$B$7&amp;"")="","",IFERROR(TRIM(INDEX($A91:$Z91,MATCH('Cross-tab'!$B$7,$A$1:$Z$1,0))&amp;""),""))</f>
        <v/>
      </c>
      <c r="AG91" s="41">
        <f>IF(ISNUMBER(IFERROR(VALUE(IF(TRIM('Scale score'!$B$5&amp;"")="","",IFERROR(TRIM(INDEX($A91:$Z91,MATCH('Scale score'!$B$5,$A$1:$Z$1,0))&amp;""),""))),"")),IF(AND(IFERROR(VALUE(IF(TRIM('Scale score'!$B$5&amp;"")="","",IFERROR(TRIM(INDEX($A91:$Z91,MATCH('Scale score'!$B$5,$A$1:$Z$1,0))&amp;""),""))),"")&gt;='Scale score'!$B$6,IFERROR(VALUE(IF(TRIM('Scale score'!$B$5&amp;"")="","",IFERROR(TRIM(INDEX($A91:$Z91,MATCH('Scale score'!$B$5,$A$1:$Z$1,0))&amp;""),""))),"")&lt;='Scale score'!$B$7),IFERROR(VALUE(IF(TRIM('Scale score'!$B$5&amp;"")="","",IFERROR(TRIM(INDEX($A91:$Z91,MATCH('Scale score'!$B$5,$A$1:$Z$1,0))&amp;""),""))),""),""),"")</f>
        <v/>
      </c>
      <c r="AH91" s="41">
        <f>IF(TRIM('Open answers'!$B$5&amp;"")="","",IFERROR(TRIM(INDEX($A91:$Z91,MATCH('Open answers'!$B$5,$A$1:$Z$1,0))&amp;""),""))</f>
        <v/>
      </c>
      <c r="AI91" s="41">
        <f>IF(LEN(AH91)&gt;0,MAX($AI$1:AI90)+1,"")</f>
        <v/>
      </c>
    </row>
    <row r="92">
      <c r="AA92" s="40" t="n"/>
      <c r="AB92" s="41">
        <f>IF(TRIM('Counts'!$B$8&amp;"")="","",IFERROR(TRIM(INDEX($A92:$Z92,MATCH('Counts'!$B$8,$A$1:$Z$1,0))&amp;""),""))</f>
        <v/>
      </c>
      <c r="AC92" s="41">
        <f>IF(TRIM('Counts'!$B$26&amp;"")="","",IFERROR(TRIM(INDEX($A92:$Z92,MATCH('Counts'!$B$26,$A$1:$Z$1,0))&amp;""),""))</f>
        <v/>
      </c>
      <c r="AD92" s="41">
        <f>IF(TRIM('Counts'!$B$44&amp;"")="","",IFERROR(TRIM(INDEX($A92:$Z92,MATCH('Counts'!$B$44,$A$1:$Z$1,0))&amp;""),""))</f>
        <v/>
      </c>
      <c r="AE92" s="41">
        <f>IF(TRIM('Cross-tab'!$B$5&amp;"")="","",IFERROR(TRIM(INDEX($A92:$Z92,MATCH('Cross-tab'!$B$5,$A$1:$Z$1,0))&amp;""),""))</f>
        <v/>
      </c>
      <c r="AF92" s="41">
        <f>IF(TRIM('Cross-tab'!$B$7&amp;"")="","",IFERROR(TRIM(INDEX($A92:$Z92,MATCH('Cross-tab'!$B$7,$A$1:$Z$1,0))&amp;""),""))</f>
        <v/>
      </c>
      <c r="AG92" s="41">
        <f>IF(ISNUMBER(IFERROR(VALUE(IF(TRIM('Scale score'!$B$5&amp;"")="","",IFERROR(TRIM(INDEX($A92:$Z92,MATCH('Scale score'!$B$5,$A$1:$Z$1,0))&amp;""),""))),"")),IF(AND(IFERROR(VALUE(IF(TRIM('Scale score'!$B$5&amp;"")="","",IFERROR(TRIM(INDEX($A92:$Z92,MATCH('Scale score'!$B$5,$A$1:$Z$1,0))&amp;""),""))),"")&gt;='Scale score'!$B$6,IFERROR(VALUE(IF(TRIM('Scale score'!$B$5&amp;"")="","",IFERROR(TRIM(INDEX($A92:$Z92,MATCH('Scale score'!$B$5,$A$1:$Z$1,0))&amp;""),""))),"")&lt;='Scale score'!$B$7),IFERROR(VALUE(IF(TRIM('Scale score'!$B$5&amp;"")="","",IFERROR(TRIM(INDEX($A92:$Z92,MATCH('Scale score'!$B$5,$A$1:$Z$1,0))&amp;""),""))),""),""),"")</f>
        <v/>
      </c>
      <c r="AH92" s="41">
        <f>IF(TRIM('Open answers'!$B$5&amp;"")="","",IFERROR(TRIM(INDEX($A92:$Z92,MATCH('Open answers'!$B$5,$A$1:$Z$1,0))&amp;""),""))</f>
        <v/>
      </c>
      <c r="AI92" s="41">
        <f>IF(LEN(AH92)&gt;0,MAX($AI$1:AI91)+1,"")</f>
        <v/>
      </c>
    </row>
    <row r="93">
      <c r="AA93" s="40" t="n"/>
      <c r="AB93" s="41">
        <f>IF(TRIM('Counts'!$B$8&amp;"")="","",IFERROR(TRIM(INDEX($A93:$Z93,MATCH('Counts'!$B$8,$A$1:$Z$1,0))&amp;""),""))</f>
        <v/>
      </c>
      <c r="AC93" s="41">
        <f>IF(TRIM('Counts'!$B$26&amp;"")="","",IFERROR(TRIM(INDEX($A93:$Z93,MATCH('Counts'!$B$26,$A$1:$Z$1,0))&amp;""),""))</f>
        <v/>
      </c>
      <c r="AD93" s="41">
        <f>IF(TRIM('Counts'!$B$44&amp;"")="","",IFERROR(TRIM(INDEX($A93:$Z93,MATCH('Counts'!$B$44,$A$1:$Z$1,0))&amp;""),""))</f>
        <v/>
      </c>
      <c r="AE93" s="41">
        <f>IF(TRIM('Cross-tab'!$B$5&amp;"")="","",IFERROR(TRIM(INDEX($A93:$Z93,MATCH('Cross-tab'!$B$5,$A$1:$Z$1,0))&amp;""),""))</f>
        <v/>
      </c>
      <c r="AF93" s="41">
        <f>IF(TRIM('Cross-tab'!$B$7&amp;"")="","",IFERROR(TRIM(INDEX($A93:$Z93,MATCH('Cross-tab'!$B$7,$A$1:$Z$1,0))&amp;""),""))</f>
        <v/>
      </c>
      <c r="AG93" s="41">
        <f>IF(ISNUMBER(IFERROR(VALUE(IF(TRIM('Scale score'!$B$5&amp;"")="","",IFERROR(TRIM(INDEX($A93:$Z93,MATCH('Scale score'!$B$5,$A$1:$Z$1,0))&amp;""),""))),"")),IF(AND(IFERROR(VALUE(IF(TRIM('Scale score'!$B$5&amp;"")="","",IFERROR(TRIM(INDEX($A93:$Z93,MATCH('Scale score'!$B$5,$A$1:$Z$1,0))&amp;""),""))),"")&gt;='Scale score'!$B$6,IFERROR(VALUE(IF(TRIM('Scale score'!$B$5&amp;"")="","",IFERROR(TRIM(INDEX($A93:$Z93,MATCH('Scale score'!$B$5,$A$1:$Z$1,0))&amp;""),""))),"")&lt;='Scale score'!$B$7),IFERROR(VALUE(IF(TRIM('Scale score'!$B$5&amp;"")="","",IFERROR(TRIM(INDEX($A93:$Z93,MATCH('Scale score'!$B$5,$A$1:$Z$1,0))&amp;""),""))),""),""),"")</f>
        <v/>
      </c>
      <c r="AH93" s="41">
        <f>IF(TRIM('Open answers'!$B$5&amp;"")="","",IFERROR(TRIM(INDEX($A93:$Z93,MATCH('Open answers'!$B$5,$A$1:$Z$1,0))&amp;""),""))</f>
        <v/>
      </c>
      <c r="AI93" s="41">
        <f>IF(LEN(AH93)&gt;0,MAX($AI$1:AI92)+1,"")</f>
        <v/>
      </c>
    </row>
    <row r="94">
      <c r="AA94" s="40" t="n"/>
      <c r="AB94" s="41">
        <f>IF(TRIM('Counts'!$B$8&amp;"")="","",IFERROR(TRIM(INDEX($A94:$Z94,MATCH('Counts'!$B$8,$A$1:$Z$1,0))&amp;""),""))</f>
        <v/>
      </c>
      <c r="AC94" s="41">
        <f>IF(TRIM('Counts'!$B$26&amp;"")="","",IFERROR(TRIM(INDEX($A94:$Z94,MATCH('Counts'!$B$26,$A$1:$Z$1,0))&amp;""),""))</f>
        <v/>
      </c>
      <c r="AD94" s="41">
        <f>IF(TRIM('Counts'!$B$44&amp;"")="","",IFERROR(TRIM(INDEX($A94:$Z94,MATCH('Counts'!$B$44,$A$1:$Z$1,0))&amp;""),""))</f>
        <v/>
      </c>
      <c r="AE94" s="41">
        <f>IF(TRIM('Cross-tab'!$B$5&amp;"")="","",IFERROR(TRIM(INDEX($A94:$Z94,MATCH('Cross-tab'!$B$5,$A$1:$Z$1,0))&amp;""),""))</f>
        <v/>
      </c>
      <c r="AF94" s="41">
        <f>IF(TRIM('Cross-tab'!$B$7&amp;"")="","",IFERROR(TRIM(INDEX($A94:$Z94,MATCH('Cross-tab'!$B$7,$A$1:$Z$1,0))&amp;""),""))</f>
        <v/>
      </c>
      <c r="AG94" s="41">
        <f>IF(ISNUMBER(IFERROR(VALUE(IF(TRIM('Scale score'!$B$5&amp;"")="","",IFERROR(TRIM(INDEX($A94:$Z94,MATCH('Scale score'!$B$5,$A$1:$Z$1,0))&amp;""),""))),"")),IF(AND(IFERROR(VALUE(IF(TRIM('Scale score'!$B$5&amp;"")="","",IFERROR(TRIM(INDEX($A94:$Z94,MATCH('Scale score'!$B$5,$A$1:$Z$1,0))&amp;""),""))),"")&gt;='Scale score'!$B$6,IFERROR(VALUE(IF(TRIM('Scale score'!$B$5&amp;"")="","",IFERROR(TRIM(INDEX($A94:$Z94,MATCH('Scale score'!$B$5,$A$1:$Z$1,0))&amp;""),""))),"")&lt;='Scale score'!$B$7),IFERROR(VALUE(IF(TRIM('Scale score'!$B$5&amp;"")="","",IFERROR(TRIM(INDEX($A94:$Z94,MATCH('Scale score'!$B$5,$A$1:$Z$1,0))&amp;""),""))),""),""),"")</f>
        <v/>
      </c>
      <c r="AH94" s="41">
        <f>IF(TRIM('Open answers'!$B$5&amp;"")="","",IFERROR(TRIM(INDEX($A94:$Z94,MATCH('Open answers'!$B$5,$A$1:$Z$1,0))&amp;""),""))</f>
        <v/>
      </c>
      <c r="AI94" s="41">
        <f>IF(LEN(AH94)&gt;0,MAX($AI$1:AI93)+1,"")</f>
        <v/>
      </c>
    </row>
    <row r="95">
      <c r="AA95" s="40" t="n"/>
      <c r="AB95" s="41">
        <f>IF(TRIM('Counts'!$B$8&amp;"")="","",IFERROR(TRIM(INDEX($A95:$Z95,MATCH('Counts'!$B$8,$A$1:$Z$1,0))&amp;""),""))</f>
        <v/>
      </c>
      <c r="AC95" s="41">
        <f>IF(TRIM('Counts'!$B$26&amp;"")="","",IFERROR(TRIM(INDEX($A95:$Z95,MATCH('Counts'!$B$26,$A$1:$Z$1,0))&amp;""),""))</f>
        <v/>
      </c>
      <c r="AD95" s="41">
        <f>IF(TRIM('Counts'!$B$44&amp;"")="","",IFERROR(TRIM(INDEX($A95:$Z95,MATCH('Counts'!$B$44,$A$1:$Z$1,0))&amp;""),""))</f>
        <v/>
      </c>
      <c r="AE95" s="41">
        <f>IF(TRIM('Cross-tab'!$B$5&amp;"")="","",IFERROR(TRIM(INDEX($A95:$Z95,MATCH('Cross-tab'!$B$5,$A$1:$Z$1,0))&amp;""),""))</f>
        <v/>
      </c>
      <c r="AF95" s="41">
        <f>IF(TRIM('Cross-tab'!$B$7&amp;"")="","",IFERROR(TRIM(INDEX($A95:$Z95,MATCH('Cross-tab'!$B$7,$A$1:$Z$1,0))&amp;""),""))</f>
        <v/>
      </c>
      <c r="AG95" s="41">
        <f>IF(ISNUMBER(IFERROR(VALUE(IF(TRIM('Scale score'!$B$5&amp;"")="","",IFERROR(TRIM(INDEX($A95:$Z95,MATCH('Scale score'!$B$5,$A$1:$Z$1,0))&amp;""),""))),"")),IF(AND(IFERROR(VALUE(IF(TRIM('Scale score'!$B$5&amp;"")="","",IFERROR(TRIM(INDEX($A95:$Z95,MATCH('Scale score'!$B$5,$A$1:$Z$1,0))&amp;""),""))),"")&gt;='Scale score'!$B$6,IFERROR(VALUE(IF(TRIM('Scale score'!$B$5&amp;"")="","",IFERROR(TRIM(INDEX($A95:$Z95,MATCH('Scale score'!$B$5,$A$1:$Z$1,0))&amp;""),""))),"")&lt;='Scale score'!$B$7),IFERROR(VALUE(IF(TRIM('Scale score'!$B$5&amp;"")="","",IFERROR(TRIM(INDEX($A95:$Z95,MATCH('Scale score'!$B$5,$A$1:$Z$1,0))&amp;""),""))),""),""),"")</f>
        <v/>
      </c>
      <c r="AH95" s="41">
        <f>IF(TRIM('Open answers'!$B$5&amp;"")="","",IFERROR(TRIM(INDEX($A95:$Z95,MATCH('Open answers'!$B$5,$A$1:$Z$1,0))&amp;""),""))</f>
        <v/>
      </c>
      <c r="AI95" s="41">
        <f>IF(LEN(AH95)&gt;0,MAX($AI$1:AI94)+1,"")</f>
        <v/>
      </c>
    </row>
    <row r="96">
      <c r="AA96" s="40" t="n"/>
      <c r="AB96" s="41">
        <f>IF(TRIM('Counts'!$B$8&amp;"")="","",IFERROR(TRIM(INDEX($A96:$Z96,MATCH('Counts'!$B$8,$A$1:$Z$1,0))&amp;""),""))</f>
        <v/>
      </c>
      <c r="AC96" s="41">
        <f>IF(TRIM('Counts'!$B$26&amp;"")="","",IFERROR(TRIM(INDEX($A96:$Z96,MATCH('Counts'!$B$26,$A$1:$Z$1,0))&amp;""),""))</f>
        <v/>
      </c>
      <c r="AD96" s="41">
        <f>IF(TRIM('Counts'!$B$44&amp;"")="","",IFERROR(TRIM(INDEX($A96:$Z96,MATCH('Counts'!$B$44,$A$1:$Z$1,0))&amp;""),""))</f>
        <v/>
      </c>
      <c r="AE96" s="41">
        <f>IF(TRIM('Cross-tab'!$B$5&amp;"")="","",IFERROR(TRIM(INDEX($A96:$Z96,MATCH('Cross-tab'!$B$5,$A$1:$Z$1,0))&amp;""),""))</f>
        <v/>
      </c>
      <c r="AF96" s="41">
        <f>IF(TRIM('Cross-tab'!$B$7&amp;"")="","",IFERROR(TRIM(INDEX($A96:$Z96,MATCH('Cross-tab'!$B$7,$A$1:$Z$1,0))&amp;""),""))</f>
        <v/>
      </c>
      <c r="AG96" s="41">
        <f>IF(ISNUMBER(IFERROR(VALUE(IF(TRIM('Scale score'!$B$5&amp;"")="","",IFERROR(TRIM(INDEX($A96:$Z96,MATCH('Scale score'!$B$5,$A$1:$Z$1,0))&amp;""),""))),"")),IF(AND(IFERROR(VALUE(IF(TRIM('Scale score'!$B$5&amp;"")="","",IFERROR(TRIM(INDEX($A96:$Z96,MATCH('Scale score'!$B$5,$A$1:$Z$1,0))&amp;""),""))),"")&gt;='Scale score'!$B$6,IFERROR(VALUE(IF(TRIM('Scale score'!$B$5&amp;"")="","",IFERROR(TRIM(INDEX($A96:$Z96,MATCH('Scale score'!$B$5,$A$1:$Z$1,0))&amp;""),""))),"")&lt;='Scale score'!$B$7),IFERROR(VALUE(IF(TRIM('Scale score'!$B$5&amp;"")="","",IFERROR(TRIM(INDEX($A96:$Z96,MATCH('Scale score'!$B$5,$A$1:$Z$1,0))&amp;""),""))),""),""),"")</f>
        <v/>
      </c>
      <c r="AH96" s="41">
        <f>IF(TRIM('Open answers'!$B$5&amp;"")="","",IFERROR(TRIM(INDEX($A96:$Z96,MATCH('Open answers'!$B$5,$A$1:$Z$1,0))&amp;""),""))</f>
        <v/>
      </c>
      <c r="AI96" s="41">
        <f>IF(LEN(AH96)&gt;0,MAX($AI$1:AI95)+1,"")</f>
        <v/>
      </c>
    </row>
    <row r="97">
      <c r="AA97" s="40" t="n"/>
      <c r="AB97" s="41">
        <f>IF(TRIM('Counts'!$B$8&amp;"")="","",IFERROR(TRIM(INDEX($A97:$Z97,MATCH('Counts'!$B$8,$A$1:$Z$1,0))&amp;""),""))</f>
        <v/>
      </c>
      <c r="AC97" s="41">
        <f>IF(TRIM('Counts'!$B$26&amp;"")="","",IFERROR(TRIM(INDEX($A97:$Z97,MATCH('Counts'!$B$26,$A$1:$Z$1,0))&amp;""),""))</f>
        <v/>
      </c>
      <c r="AD97" s="41">
        <f>IF(TRIM('Counts'!$B$44&amp;"")="","",IFERROR(TRIM(INDEX($A97:$Z97,MATCH('Counts'!$B$44,$A$1:$Z$1,0))&amp;""),""))</f>
        <v/>
      </c>
      <c r="AE97" s="41">
        <f>IF(TRIM('Cross-tab'!$B$5&amp;"")="","",IFERROR(TRIM(INDEX($A97:$Z97,MATCH('Cross-tab'!$B$5,$A$1:$Z$1,0))&amp;""),""))</f>
        <v/>
      </c>
      <c r="AF97" s="41">
        <f>IF(TRIM('Cross-tab'!$B$7&amp;"")="","",IFERROR(TRIM(INDEX($A97:$Z97,MATCH('Cross-tab'!$B$7,$A$1:$Z$1,0))&amp;""),""))</f>
        <v/>
      </c>
      <c r="AG97" s="41">
        <f>IF(ISNUMBER(IFERROR(VALUE(IF(TRIM('Scale score'!$B$5&amp;"")="","",IFERROR(TRIM(INDEX($A97:$Z97,MATCH('Scale score'!$B$5,$A$1:$Z$1,0))&amp;""),""))),"")),IF(AND(IFERROR(VALUE(IF(TRIM('Scale score'!$B$5&amp;"")="","",IFERROR(TRIM(INDEX($A97:$Z97,MATCH('Scale score'!$B$5,$A$1:$Z$1,0))&amp;""),""))),"")&gt;='Scale score'!$B$6,IFERROR(VALUE(IF(TRIM('Scale score'!$B$5&amp;"")="","",IFERROR(TRIM(INDEX($A97:$Z97,MATCH('Scale score'!$B$5,$A$1:$Z$1,0))&amp;""),""))),"")&lt;='Scale score'!$B$7),IFERROR(VALUE(IF(TRIM('Scale score'!$B$5&amp;"")="","",IFERROR(TRIM(INDEX($A97:$Z97,MATCH('Scale score'!$B$5,$A$1:$Z$1,0))&amp;""),""))),""),""),"")</f>
        <v/>
      </c>
      <c r="AH97" s="41">
        <f>IF(TRIM('Open answers'!$B$5&amp;"")="","",IFERROR(TRIM(INDEX($A97:$Z97,MATCH('Open answers'!$B$5,$A$1:$Z$1,0))&amp;""),""))</f>
        <v/>
      </c>
      <c r="AI97" s="41">
        <f>IF(LEN(AH97)&gt;0,MAX($AI$1:AI96)+1,"")</f>
        <v/>
      </c>
    </row>
    <row r="98">
      <c r="AA98" s="40" t="n"/>
      <c r="AB98" s="41">
        <f>IF(TRIM('Counts'!$B$8&amp;"")="","",IFERROR(TRIM(INDEX($A98:$Z98,MATCH('Counts'!$B$8,$A$1:$Z$1,0))&amp;""),""))</f>
        <v/>
      </c>
      <c r="AC98" s="41">
        <f>IF(TRIM('Counts'!$B$26&amp;"")="","",IFERROR(TRIM(INDEX($A98:$Z98,MATCH('Counts'!$B$26,$A$1:$Z$1,0))&amp;""),""))</f>
        <v/>
      </c>
      <c r="AD98" s="41">
        <f>IF(TRIM('Counts'!$B$44&amp;"")="","",IFERROR(TRIM(INDEX($A98:$Z98,MATCH('Counts'!$B$44,$A$1:$Z$1,0))&amp;""),""))</f>
        <v/>
      </c>
      <c r="AE98" s="41">
        <f>IF(TRIM('Cross-tab'!$B$5&amp;"")="","",IFERROR(TRIM(INDEX($A98:$Z98,MATCH('Cross-tab'!$B$5,$A$1:$Z$1,0))&amp;""),""))</f>
        <v/>
      </c>
      <c r="AF98" s="41">
        <f>IF(TRIM('Cross-tab'!$B$7&amp;"")="","",IFERROR(TRIM(INDEX($A98:$Z98,MATCH('Cross-tab'!$B$7,$A$1:$Z$1,0))&amp;""),""))</f>
        <v/>
      </c>
      <c r="AG98" s="41">
        <f>IF(ISNUMBER(IFERROR(VALUE(IF(TRIM('Scale score'!$B$5&amp;"")="","",IFERROR(TRIM(INDEX($A98:$Z98,MATCH('Scale score'!$B$5,$A$1:$Z$1,0))&amp;""),""))),"")),IF(AND(IFERROR(VALUE(IF(TRIM('Scale score'!$B$5&amp;"")="","",IFERROR(TRIM(INDEX($A98:$Z98,MATCH('Scale score'!$B$5,$A$1:$Z$1,0))&amp;""),""))),"")&gt;='Scale score'!$B$6,IFERROR(VALUE(IF(TRIM('Scale score'!$B$5&amp;"")="","",IFERROR(TRIM(INDEX($A98:$Z98,MATCH('Scale score'!$B$5,$A$1:$Z$1,0))&amp;""),""))),"")&lt;='Scale score'!$B$7),IFERROR(VALUE(IF(TRIM('Scale score'!$B$5&amp;"")="","",IFERROR(TRIM(INDEX($A98:$Z98,MATCH('Scale score'!$B$5,$A$1:$Z$1,0))&amp;""),""))),""),""),"")</f>
        <v/>
      </c>
      <c r="AH98" s="41">
        <f>IF(TRIM('Open answers'!$B$5&amp;"")="","",IFERROR(TRIM(INDEX($A98:$Z98,MATCH('Open answers'!$B$5,$A$1:$Z$1,0))&amp;""),""))</f>
        <v/>
      </c>
      <c r="AI98" s="41">
        <f>IF(LEN(AH98)&gt;0,MAX($AI$1:AI97)+1,"")</f>
        <v/>
      </c>
    </row>
    <row r="99">
      <c r="AA99" s="40" t="n"/>
      <c r="AB99" s="41">
        <f>IF(TRIM('Counts'!$B$8&amp;"")="","",IFERROR(TRIM(INDEX($A99:$Z99,MATCH('Counts'!$B$8,$A$1:$Z$1,0))&amp;""),""))</f>
        <v/>
      </c>
      <c r="AC99" s="41">
        <f>IF(TRIM('Counts'!$B$26&amp;"")="","",IFERROR(TRIM(INDEX($A99:$Z99,MATCH('Counts'!$B$26,$A$1:$Z$1,0))&amp;""),""))</f>
        <v/>
      </c>
      <c r="AD99" s="41">
        <f>IF(TRIM('Counts'!$B$44&amp;"")="","",IFERROR(TRIM(INDEX($A99:$Z99,MATCH('Counts'!$B$44,$A$1:$Z$1,0))&amp;""),""))</f>
        <v/>
      </c>
      <c r="AE99" s="41">
        <f>IF(TRIM('Cross-tab'!$B$5&amp;"")="","",IFERROR(TRIM(INDEX($A99:$Z99,MATCH('Cross-tab'!$B$5,$A$1:$Z$1,0))&amp;""),""))</f>
        <v/>
      </c>
      <c r="AF99" s="41">
        <f>IF(TRIM('Cross-tab'!$B$7&amp;"")="","",IFERROR(TRIM(INDEX($A99:$Z99,MATCH('Cross-tab'!$B$7,$A$1:$Z$1,0))&amp;""),""))</f>
        <v/>
      </c>
      <c r="AG99" s="41">
        <f>IF(ISNUMBER(IFERROR(VALUE(IF(TRIM('Scale score'!$B$5&amp;"")="","",IFERROR(TRIM(INDEX($A99:$Z99,MATCH('Scale score'!$B$5,$A$1:$Z$1,0))&amp;""),""))),"")),IF(AND(IFERROR(VALUE(IF(TRIM('Scale score'!$B$5&amp;"")="","",IFERROR(TRIM(INDEX($A99:$Z99,MATCH('Scale score'!$B$5,$A$1:$Z$1,0))&amp;""),""))),"")&gt;='Scale score'!$B$6,IFERROR(VALUE(IF(TRIM('Scale score'!$B$5&amp;"")="","",IFERROR(TRIM(INDEX($A99:$Z99,MATCH('Scale score'!$B$5,$A$1:$Z$1,0))&amp;""),""))),"")&lt;='Scale score'!$B$7),IFERROR(VALUE(IF(TRIM('Scale score'!$B$5&amp;"")="","",IFERROR(TRIM(INDEX($A99:$Z99,MATCH('Scale score'!$B$5,$A$1:$Z$1,0))&amp;""),""))),""),""),"")</f>
        <v/>
      </c>
      <c r="AH99" s="41">
        <f>IF(TRIM('Open answers'!$B$5&amp;"")="","",IFERROR(TRIM(INDEX($A99:$Z99,MATCH('Open answers'!$B$5,$A$1:$Z$1,0))&amp;""),""))</f>
        <v/>
      </c>
      <c r="AI99" s="41">
        <f>IF(LEN(AH99)&gt;0,MAX($AI$1:AI98)+1,"")</f>
        <v/>
      </c>
    </row>
    <row r="100">
      <c r="AA100" s="40" t="n"/>
      <c r="AB100" s="41">
        <f>IF(TRIM('Counts'!$B$8&amp;"")="","",IFERROR(TRIM(INDEX($A100:$Z100,MATCH('Counts'!$B$8,$A$1:$Z$1,0))&amp;""),""))</f>
        <v/>
      </c>
      <c r="AC100" s="41">
        <f>IF(TRIM('Counts'!$B$26&amp;"")="","",IFERROR(TRIM(INDEX($A100:$Z100,MATCH('Counts'!$B$26,$A$1:$Z$1,0))&amp;""),""))</f>
        <v/>
      </c>
      <c r="AD100" s="41">
        <f>IF(TRIM('Counts'!$B$44&amp;"")="","",IFERROR(TRIM(INDEX($A100:$Z100,MATCH('Counts'!$B$44,$A$1:$Z$1,0))&amp;""),""))</f>
        <v/>
      </c>
      <c r="AE100" s="41">
        <f>IF(TRIM('Cross-tab'!$B$5&amp;"")="","",IFERROR(TRIM(INDEX($A100:$Z100,MATCH('Cross-tab'!$B$5,$A$1:$Z$1,0))&amp;""),""))</f>
        <v/>
      </c>
      <c r="AF100" s="41">
        <f>IF(TRIM('Cross-tab'!$B$7&amp;"")="","",IFERROR(TRIM(INDEX($A100:$Z100,MATCH('Cross-tab'!$B$7,$A$1:$Z$1,0))&amp;""),""))</f>
        <v/>
      </c>
      <c r="AG100" s="41">
        <f>IF(ISNUMBER(IFERROR(VALUE(IF(TRIM('Scale score'!$B$5&amp;"")="","",IFERROR(TRIM(INDEX($A100:$Z100,MATCH('Scale score'!$B$5,$A$1:$Z$1,0))&amp;""),""))),"")),IF(AND(IFERROR(VALUE(IF(TRIM('Scale score'!$B$5&amp;"")="","",IFERROR(TRIM(INDEX($A100:$Z100,MATCH('Scale score'!$B$5,$A$1:$Z$1,0))&amp;""),""))),"")&gt;='Scale score'!$B$6,IFERROR(VALUE(IF(TRIM('Scale score'!$B$5&amp;"")="","",IFERROR(TRIM(INDEX($A100:$Z100,MATCH('Scale score'!$B$5,$A$1:$Z$1,0))&amp;""),""))),"")&lt;='Scale score'!$B$7),IFERROR(VALUE(IF(TRIM('Scale score'!$B$5&amp;"")="","",IFERROR(TRIM(INDEX($A100:$Z100,MATCH('Scale score'!$B$5,$A$1:$Z$1,0))&amp;""),""))),""),""),"")</f>
        <v/>
      </c>
      <c r="AH100" s="41">
        <f>IF(TRIM('Open answers'!$B$5&amp;"")="","",IFERROR(TRIM(INDEX($A100:$Z100,MATCH('Open answers'!$B$5,$A$1:$Z$1,0))&amp;""),""))</f>
        <v/>
      </c>
      <c r="AI100" s="41">
        <f>IF(LEN(AH100)&gt;0,MAX($AI$1:AI99)+1,"")</f>
        <v/>
      </c>
    </row>
    <row r="101">
      <c r="AA101" s="40" t="n"/>
      <c r="AB101" s="41">
        <f>IF(TRIM('Counts'!$B$8&amp;"")="","",IFERROR(TRIM(INDEX($A101:$Z101,MATCH('Counts'!$B$8,$A$1:$Z$1,0))&amp;""),""))</f>
        <v/>
      </c>
      <c r="AC101" s="41">
        <f>IF(TRIM('Counts'!$B$26&amp;"")="","",IFERROR(TRIM(INDEX($A101:$Z101,MATCH('Counts'!$B$26,$A$1:$Z$1,0))&amp;""),""))</f>
        <v/>
      </c>
      <c r="AD101" s="41">
        <f>IF(TRIM('Counts'!$B$44&amp;"")="","",IFERROR(TRIM(INDEX($A101:$Z101,MATCH('Counts'!$B$44,$A$1:$Z$1,0))&amp;""),""))</f>
        <v/>
      </c>
      <c r="AE101" s="41">
        <f>IF(TRIM('Cross-tab'!$B$5&amp;"")="","",IFERROR(TRIM(INDEX($A101:$Z101,MATCH('Cross-tab'!$B$5,$A$1:$Z$1,0))&amp;""),""))</f>
        <v/>
      </c>
      <c r="AF101" s="41">
        <f>IF(TRIM('Cross-tab'!$B$7&amp;"")="","",IFERROR(TRIM(INDEX($A101:$Z101,MATCH('Cross-tab'!$B$7,$A$1:$Z$1,0))&amp;""),""))</f>
        <v/>
      </c>
      <c r="AG101" s="41">
        <f>IF(ISNUMBER(IFERROR(VALUE(IF(TRIM('Scale score'!$B$5&amp;"")="","",IFERROR(TRIM(INDEX($A101:$Z101,MATCH('Scale score'!$B$5,$A$1:$Z$1,0))&amp;""),""))),"")),IF(AND(IFERROR(VALUE(IF(TRIM('Scale score'!$B$5&amp;"")="","",IFERROR(TRIM(INDEX($A101:$Z101,MATCH('Scale score'!$B$5,$A$1:$Z$1,0))&amp;""),""))),"")&gt;='Scale score'!$B$6,IFERROR(VALUE(IF(TRIM('Scale score'!$B$5&amp;"")="","",IFERROR(TRIM(INDEX($A101:$Z101,MATCH('Scale score'!$B$5,$A$1:$Z$1,0))&amp;""),""))),"")&lt;='Scale score'!$B$7),IFERROR(VALUE(IF(TRIM('Scale score'!$B$5&amp;"")="","",IFERROR(TRIM(INDEX($A101:$Z101,MATCH('Scale score'!$B$5,$A$1:$Z$1,0))&amp;""),""))),""),""),"")</f>
        <v/>
      </c>
      <c r="AH101" s="41">
        <f>IF(TRIM('Open answers'!$B$5&amp;"")="","",IFERROR(TRIM(INDEX($A101:$Z101,MATCH('Open answers'!$B$5,$A$1:$Z$1,0))&amp;""),""))</f>
        <v/>
      </c>
      <c r="AI101" s="41">
        <f>IF(LEN(AH101)&gt;0,MAX($AI$1:AI100)+1,"")</f>
        <v/>
      </c>
    </row>
    <row r="102">
      <c r="AA102" s="40" t="n"/>
      <c r="AB102" s="41">
        <f>IF(TRIM('Counts'!$B$8&amp;"")="","",IFERROR(TRIM(INDEX($A102:$Z102,MATCH('Counts'!$B$8,$A$1:$Z$1,0))&amp;""),""))</f>
        <v/>
      </c>
      <c r="AC102" s="41">
        <f>IF(TRIM('Counts'!$B$26&amp;"")="","",IFERROR(TRIM(INDEX($A102:$Z102,MATCH('Counts'!$B$26,$A$1:$Z$1,0))&amp;""),""))</f>
        <v/>
      </c>
      <c r="AD102" s="41">
        <f>IF(TRIM('Counts'!$B$44&amp;"")="","",IFERROR(TRIM(INDEX($A102:$Z102,MATCH('Counts'!$B$44,$A$1:$Z$1,0))&amp;""),""))</f>
        <v/>
      </c>
      <c r="AE102" s="41">
        <f>IF(TRIM('Cross-tab'!$B$5&amp;"")="","",IFERROR(TRIM(INDEX($A102:$Z102,MATCH('Cross-tab'!$B$5,$A$1:$Z$1,0))&amp;""),""))</f>
        <v/>
      </c>
      <c r="AF102" s="41">
        <f>IF(TRIM('Cross-tab'!$B$7&amp;"")="","",IFERROR(TRIM(INDEX($A102:$Z102,MATCH('Cross-tab'!$B$7,$A$1:$Z$1,0))&amp;""),""))</f>
        <v/>
      </c>
      <c r="AG102" s="41">
        <f>IF(ISNUMBER(IFERROR(VALUE(IF(TRIM('Scale score'!$B$5&amp;"")="","",IFERROR(TRIM(INDEX($A102:$Z102,MATCH('Scale score'!$B$5,$A$1:$Z$1,0))&amp;""),""))),"")),IF(AND(IFERROR(VALUE(IF(TRIM('Scale score'!$B$5&amp;"")="","",IFERROR(TRIM(INDEX($A102:$Z102,MATCH('Scale score'!$B$5,$A$1:$Z$1,0))&amp;""),""))),"")&gt;='Scale score'!$B$6,IFERROR(VALUE(IF(TRIM('Scale score'!$B$5&amp;"")="","",IFERROR(TRIM(INDEX($A102:$Z102,MATCH('Scale score'!$B$5,$A$1:$Z$1,0))&amp;""),""))),"")&lt;='Scale score'!$B$7),IFERROR(VALUE(IF(TRIM('Scale score'!$B$5&amp;"")="","",IFERROR(TRIM(INDEX($A102:$Z102,MATCH('Scale score'!$B$5,$A$1:$Z$1,0))&amp;""),""))),""),""),"")</f>
        <v/>
      </c>
      <c r="AH102" s="41">
        <f>IF(TRIM('Open answers'!$B$5&amp;"")="","",IFERROR(TRIM(INDEX($A102:$Z102,MATCH('Open answers'!$B$5,$A$1:$Z$1,0))&amp;""),""))</f>
        <v/>
      </c>
      <c r="AI102" s="41">
        <f>IF(LEN(AH102)&gt;0,MAX($AI$1:AI101)+1,"")</f>
        <v/>
      </c>
    </row>
    <row r="103">
      <c r="AA103" s="40" t="n"/>
      <c r="AB103" s="41">
        <f>IF(TRIM('Counts'!$B$8&amp;"")="","",IFERROR(TRIM(INDEX($A103:$Z103,MATCH('Counts'!$B$8,$A$1:$Z$1,0))&amp;""),""))</f>
        <v/>
      </c>
      <c r="AC103" s="41">
        <f>IF(TRIM('Counts'!$B$26&amp;"")="","",IFERROR(TRIM(INDEX($A103:$Z103,MATCH('Counts'!$B$26,$A$1:$Z$1,0))&amp;""),""))</f>
        <v/>
      </c>
      <c r="AD103" s="41">
        <f>IF(TRIM('Counts'!$B$44&amp;"")="","",IFERROR(TRIM(INDEX($A103:$Z103,MATCH('Counts'!$B$44,$A$1:$Z$1,0))&amp;""),""))</f>
        <v/>
      </c>
      <c r="AE103" s="41">
        <f>IF(TRIM('Cross-tab'!$B$5&amp;"")="","",IFERROR(TRIM(INDEX($A103:$Z103,MATCH('Cross-tab'!$B$5,$A$1:$Z$1,0))&amp;""),""))</f>
        <v/>
      </c>
      <c r="AF103" s="41">
        <f>IF(TRIM('Cross-tab'!$B$7&amp;"")="","",IFERROR(TRIM(INDEX($A103:$Z103,MATCH('Cross-tab'!$B$7,$A$1:$Z$1,0))&amp;""),""))</f>
        <v/>
      </c>
      <c r="AG103" s="41">
        <f>IF(ISNUMBER(IFERROR(VALUE(IF(TRIM('Scale score'!$B$5&amp;"")="","",IFERROR(TRIM(INDEX($A103:$Z103,MATCH('Scale score'!$B$5,$A$1:$Z$1,0))&amp;""),""))),"")),IF(AND(IFERROR(VALUE(IF(TRIM('Scale score'!$B$5&amp;"")="","",IFERROR(TRIM(INDEX($A103:$Z103,MATCH('Scale score'!$B$5,$A$1:$Z$1,0))&amp;""),""))),"")&gt;='Scale score'!$B$6,IFERROR(VALUE(IF(TRIM('Scale score'!$B$5&amp;"")="","",IFERROR(TRIM(INDEX($A103:$Z103,MATCH('Scale score'!$B$5,$A$1:$Z$1,0))&amp;""),""))),"")&lt;='Scale score'!$B$7),IFERROR(VALUE(IF(TRIM('Scale score'!$B$5&amp;"")="","",IFERROR(TRIM(INDEX($A103:$Z103,MATCH('Scale score'!$B$5,$A$1:$Z$1,0))&amp;""),""))),""),""),"")</f>
        <v/>
      </c>
      <c r="AH103" s="41">
        <f>IF(TRIM('Open answers'!$B$5&amp;"")="","",IFERROR(TRIM(INDEX($A103:$Z103,MATCH('Open answers'!$B$5,$A$1:$Z$1,0))&amp;""),""))</f>
        <v/>
      </c>
      <c r="AI103" s="41">
        <f>IF(LEN(AH103)&gt;0,MAX($AI$1:AI102)+1,"")</f>
        <v/>
      </c>
    </row>
    <row r="104">
      <c r="AA104" s="40" t="n"/>
      <c r="AB104" s="41">
        <f>IF(TRIM('Counts'!$B$8&amp;"")="","",IFERROR(TRIM(INDEX($A104:$Z104,MATCH('Counts'!$B$8,$A$1:$Z$1,0))&amp;""),""))</f>
        <v/>
      </c>
      <c r="AC104" s="41">
        <f>IF(TRIM('Counts'!$B$26&amp;"")="","",IFERROR(TRIM(INDEX($A104:$Z104,MATCH('Counts'!$B$26,$A$1:$Z$1,0))&amp;""),""))</f>
        <v/>
      </c>
      <c r="AD104" s="41">
        <f>IF(TRIM('Counts'!$B$44&amp;"")="","",IFERROR(TRIM(INDEX($A104:$Z104,MATCH('Counts'!$B$44,$A$1:$Z$1,0))&amp;""),""))</f>
        <v/>
      </c>
      <c r="AE104" s="41">
        <f>IF(TRIM('Cross-tab'!$B$5&amp;"")="","",IFERROR(TRIM(INDEX($A104:$Z104,MATCH('Cross-tab'!$B$5,$A$1:$Z$1,0))&amp;""),""))</f>
        <v/>
      </c>
      <c r="AF104" s="41">
        <f>IF(TRIM('Cross-tab'!$B$7&amp;"")="","",IFERROR(TRIM(INDEX($A104:$Z104,MATCH('Cross-tab'!$B$7,$A$1:$Z$1,0))&amp;""),""))</f>
        <v/>
      </c>
      <c r="AG104" s="41">
        <f>IF(ISNUMBER(IFERROR(VALUE(IF(TRIM('Scale score'!$B$5&amp;"")="","",IFERROR(TRIM(INDEX($A104:$Z104,MATCH('Scale score'!$B$5,$A$1:$Z$1,0))&amp;""),""))),"")),IF(AND(IFERROR(VALUE(IF(TRIM('Scale score'!$B$5&amp;"")="","",IFERROR(TRIM(INDEX($A104:$Z104,MATCH('Scale score'!$B$5,$A$1:$Z$1,0))&amp;""),""))),"")&gt;='Scale score'!$B$6,IFERROR(VALUE(IF(TRIM('Scale score'!$B$5&amp;"")="","",IFERROR(TRIM(INDEX($A104:$Z104,MATCH('Scale score'!$B$5,$A$1:$Z$1,0))&amp;""),""))),"")&lt;='Scale score'!$B$7),IFERROR(VALUE(IF(TRIM('Scale score'!$B$5&amp;"")="","",IFERROR(TRIM(INDEX($A104:$Z104,MATCH('Scale score'!$B$5,$A$1:$Z$1,0))&amp;""),""))),""),""),"")</f>
        <v/>
      </c>
      <c r="AH104" s="41">
        <f>IF(TRIM('Open answers'!$B$5&amp;"")="","",IFERROR(TRIM(INDEX($A104:$Z104,MATCH('Open answers'!$B$5,$A$1:$Z$1,0))&amp;""),""))</f>
        <v/>
      </c>
      <c r="AI104" s="41">
        <f>IF(LEN(AH104)&gt;0,MAX($AI$1:AI103)+1,"")</f>
        <v/>
      </c>
    </row>
    <row r="105">
      <c r="AA105" s="40" t="n"/>
      <c r="AB105" s="41">
        <f>IF(TRIM('Counts'!$B$8&amp;"")="","",IFERROR(TRIM(INDEX($A105:$Z105,MATCH('Counts'!$B$8,$A$1:$Z$1,0))&amp;""),""))</f>
        <v/>
      </c>
      <c r="AC105" s="41">
        <f>IF(TRIM('Counts'!$B$26&amp;"")="","",IFERROR(TRIM(INDEX($A105:$Z105,MATCH('Counts'!$B$26,$A$1:$Z$1,0))&amp;""),""))</f>
        <v/>
      </c>
      <c r="AD105" s="41">
        <f>IF(TRIM('Counts'!$B$44&amp;"")="","",IFERROR(TRIM(INDEX($A105:$Z105,MATCH('Counts'!$B$44,$A$1:$Z$1,0))&amp;""),""))</f>
        <v/>
      </c>
      <c r="AE105" s="41">
        <f>IF(TRIM('Cross-tab'!$B$5&amp;"")="","",IFERROR(TRIM(INDEX($A105:$Z105,MATCH('Cross-tab'!$B$5,$A$1:$Z$1,0))&amp;""),""))</f>
        <v/>
      </c>
      <c r="AF105" s="41">
        <f>IF(TRIM('Cross-tab'!$B$7&amp;"")="","",IFERROR(TRIM(INDEX($A105:$Z105,MATCH('Cross-tab'!$B$7,$A$1:$Z$1,0))&amp;""),""))</f>
        <v/>
      </c>
      <c r="AG105" s="41">
        <f>IF(ISNUMBER(IFERROR(VALUE(IF(TRIM('Scale score'!$B$5&amp;"")="","",IFERROR(TRIM(INDEX($A105:$Z105,MATCH('Scale score'!$B$5,$A$1:$Z$1,0))&amp;""),""))),"")),IF(AND(IFERROR(VALUE(IF(TRIM('Scale score'!$B$5&amp;"")="","",IFERROR(TRIM(INDEX($A105:$Z105,MATCH('Scale score'!$B$5,$A$1:$Z$1,0))&amp;""),""))),"")&gt;='Scale score'!$B$6,IFERROR(VALUE(IF(TRIM('Scale score'!$B$5&amp;"")="","",IFERROR(TRIM(INDEX($A105:$Z105,MATCH('Scale score'!$B$5,$A$1:$Z$1,0))&amp;""),""))),"")&lt;='Scale score'!$B$7),IFERROR(VALUE(IF(TRIM('Scale score'!$B$5&amp;"")="","",IFERROR(TRIM(INDEX($A105:$Z105,MATCH('Scale score'!$B$5,$A$1:$Z$1,0))&amp;""),""))),""),""),"")</f>
        <v/>
      </c>
      <c r="AH105" s="41">
        <f>IF(TRIM('Open answers'!$B$5&amp;"")="","",IFERROR(TRIM(INDEX($A105:$Z105,MATCH('Open answers'!$B$5,$A$1:$Z$1,0))&amp;""),""))</f>
        <v/>
      </c>
      <c r="AI105" s="41">
        <f>IF(LEN(AH105)&gt;0,MAX($AI$1:AI104)+1,"")</f>
        <v/>
      </c>
    </row>
    <row r="106">
      <c r="AA106" s="40" t="n"/>
      <c r="AB106" s="41">
        <f>IF(TRIM('Counts'!$B$8&amp;"")="","",IFERROR(TRIM(INDEX($A106:$Z106,MATCH('Counts'!$B$8,$A$1:$Z$1,0))&amp;""),""))</f>
        <v/>
      </c>
      <c r="AC106" s="41">
        <f>IF(TRIM('Counts'!$B$26&amp;"")="","",IFERROR(TRIM(INDEX($A106:$Z106,MATCH('Counts'!$B$26,$A$1:$Z$1,0))&amp;""),""))</f>
        <v/>
      </c>
      <c r="AD106" s="41">
        <f>IF(TRIM('Counts'!$B$44&amp;"")="","",IFERROR(TRIM(INDEX($A106:$Z106,MATCH('Counts'!$B$44,$A$1:$Z$1,0))&amp;""),""))</f>
        <v/>
      </c>
      <c r="AE106" s="41">
        <f>IF(TRIM('Cross-tab'!$B$5&amp;"")="","",IFERROR(TRIM(INDEX($A106:$Z106,MATCH('Cross-tab'!$B$5,$A$1:$Z$1,0))&amp;""),""))</f>
        <v/>
      </c>
      <c r="AF106" s="41">
        <f>IF(TRIM('Cross-tab'!$B$7&amp;"")="","",IFERROR(TRIM(INDEX($A106:$Z106,MATCH('Cross-tab'!$B$7,$A$1:$Z$1,0))&amp;""),""))</f>
        <v/>
      </c>
      <c r="AG106" s="41">
        <f>IF(ISNUMBER(IFERROR(VALUE(IF(TRIM('Scale score'!$B$5&amp;"")="","",IFERROR(TRIM(INDEX($A106:$Z106,MATCH('Scale score'!$B$5,$A$1:$Z$1,0))&amp;""),""))),"")),IF(AND(IFERROR(VALUE(IF(TRIM('Scale score'!$B$5&amp;"")="","",IFERROR(TRIM(INDEX($A106:$Z106,MATCH('Scale score'!$B$5,$A$1:$Z$1,0))&amp;""),""))),"")&gt;='Scale score'!$B$6,IFERROR(VALUE(IF(TRIM('Scale score'!$B$5&amp;"")="","",IFERROR(TRIM(INDEX($A106:$Z106,MATCH('Scale score'!$B$5,$A$1:$Z$1,0))&amp;""),""))),"")&lt;='Scale score'!$B$7),IFERROR(VALUE(IF(TRIM('Scale score'!$B$5&amp;"")="","",IFERROR(TRIM(INDEX($A106:$Z106,MATCH('Scale score'!$B$5,$A$1:$Z$1,0))&amp;""),""))),""),""),"")</f>
        <v/>
      </c>
      <c r="AH106" s="41">
        <f>IF(TRIM('Open answers'!$B$5&amp;"")="","",IFERROR(TRIM(INDEX($A106:$Z106,MATCH('Open answers'!$B$5,$A$1:$Z$1,0))&amp;""),""))</f>
        <v/>
      </c>
      <c r="AI106" s="41">
        <f>IF(LEN(AH106)&gt;0,MAX($AI$1:AI105)+1,"")</f>
        <v/>
      </c>
    </row>
    <row r="107">
      <c r="AA107" s="40" t="n"/>
      <c r="AB107" s="41">
        <f>IF(TRIM('Counts'!$B$8&amp;"")="","",IFERROR(TRIM(INDEX($A107:$Z107,MATCH('Counts'!$B$8,$A$1:$Z$1,0))&amp;""),""))</f>
        <v/>
      </c>
      <c r="AC107" s="41">
        <f>IF(TRIM('Counts'!$B$26&amp;"")="","",IFERROR(TRIM(INDEX($A107:$Z107,MATCH('Counts'!$B$26,$A$1:$Z$1,0))&amp;""),""))</f>
        <v/>
      </c>
      <c r="AD107" s="41">
        <f>IF(TRIM('Counts'!$B$44&amp;"")="","",IFERROR(TRIM(INDEX($A107:$Z107,MATCH('Counts'!$B$44,$A$1:$Z$1,0))&amp;""),""))</f>
        <v/>
      </c>
      <c r="AE107" s="41">
        <f>IF(TRIM('Cross-tab'!$B$5&amp;"")="","",IFERROR(TRIM(INDEX($A107:$Z107,MATCH('Cross-tab'!$B$5,$A$1:$Z$1,0))&amp;""),""))</f>
        <v/>
      </c>
      <c r="AF107" s="41">
        <f>IF(TRIM('Cross-tab'!$B$7&amp;"")="","",IFERROR(TRIM(INDEX($A107:$Z107,MATCH('Cross-tab'!$B$7,$A$1:$Z$1,0))&amp;""),""))</f>
        <v/>
      </c>
      <c r="AG107" s="41">
        <f>IF(ISNUMBER(IFERROR(VALUE(IF(TRIM('Scale score'!$B$5&amp;"")="","",IFERROR(TRIM(INDEX($A107:$Z107,MATCH('Scale score'!$B$5,$A$1:$Z$1,0))&amp;""),""))),"")),IF(AND(IFERROR(VALUE(IF(TRIM('Scale score'!$B$5&amp;"")="","",IFERROR(TRIM(INDEX($A107:$Z107,MATCH('Scale score'!$B$5,$A$1:$Z$1,0))&amp;""),""))),"")&gt;='Scale score'!$B$6,IFERROR(VALUE(IF(TRIM('Scale score'!$B$5&amp;"")="","",IFERROR(TRIM(INDEX($A107:$Z107,MATCH('Scale score'!$B$5,$A$1:$Z$1,0))&amp;""),""))),"")&lt;='Scale score'!$B$7),IFERROR(VALUE(IF(TRIM('Scale score'!$B$5&amp;"")="","",IFERROR(TRIM(INDEX($A107:$Z107,MATCH('Scale score'!$B$5,$A$1:$Z$1,0))&amp;""),""))),""),""),"")</f>
        <v/>
      </c>
      <c r="AH107" s="41">
        <f>IF(TRIM('Open answers'!$B$5&amp;"")="","",IFERROR(TRIM(INDEX($A107:$Z107,MATCH('Open answers'!$B$5,$A$1:$Z$1,0))&amp;""),""))</f>
        <v/>
      </c>
      <c r="AI107" s="41">
        <f>IF(LEN(AH107)&gt;0,MAX($AI$1:AI106)+1,"")</f>
        <v/>
      </c>
    </row>
    <row r="108">
      <c r="AA108" s="40" t="n"/>
      <c r="AB108" s="41">
        <f>IF(TRIM('Counts'!$B$8&amp;"")="","",IFERROR(TRIM(INDEX($A108:$Z108,MATCH('Counts'!$B$8,$A$1:$Z$1,0))&amp;""),""))</f>
        <v/>
      </c>
      <c r="AC108" s="41">
        <f>IF(TRIM('Counts'!$B$26&amp;"")="","",IFERROR(TRIM(INDEX($A108:$Z108,MATCH('Counts'!$B$26,$A$1:$Z$1,0))&amp;""),""))</f>
        <v/>
      </c>
      <c r="AD108" s="41">
        <f>IF(TRIM('Counts'!$B$44&amp;"")="","",IFERROR(TRIM(INDEX($A108:$Z108,MATCH('Counts'!$B$44,$A$1:$Z$1,0))&amp;""),""))</f>
        <v/>
      </c>
      <c r="AE108" s="41">
        <f>IF(TRIM('Cross-tab'!$B$5&amp;"")="","",IFERROR(TRIM(INDEX($A108:$Z108,MATCH('Cross-tab'!$B$5,$A$1:$Z$1,0))&amp;""),""))</f>
        <v/>
      </c>
      <c r="AF108" s="41">
        <f>IF(TRIM('Cross-tab'!$B$7&amp;"")="","",IFERROR(TRIM(INDEX($A108:$Z108,MATCH('Cross-tab'!$B$7,$A$1:$Z$1,0))&amp;""),""))</f>
        <v/>
      </c>
      <c r="AG108" s="41">
        <f>IF(ISNUMBER(IFERROR(VALUE(IF(TRIM('Scale score'!$B$5&amp;"")="","",IFERROR(TRIM(INDEX($A108:$Z108,MATCH('Scale score'!$B$5,$A$1:$Z$1,0))&amp;""),""))),"")),IF(AND(IFERROR(VALUE(IF(TRIM('Scale score'!$B$5&amp;"")="","",IFERROR(TRIM(INDEX($A108:$Z108,MATCH('Scale score'!$B$5,$A$1:$Z$1,0))&amp;""),""))),"")&gt;='Scale score'!$B$6,IFERROR(VALUE(IF(TRIM('Scale score'!$B$5&amp;"")="","",IFERROR(TRIM(INDEX($A108:$Z108,MATCH('Scale score'!$B$5,$A$1:$Z$1,0))&amp;""),""))),"")&lt;='Scale score'!$B$7),IFERROR(VALUE(IF(TRIM('Scale score'!$B$5&amp;"")="","",IFERROR(TRIM(INDEX($A108:$Z108,MATCH('Scale score'!$B$5,$A$1:$Z$1,0))&amp;""),""))),""),""),"")</f>
        <v/>
      </c>
      <c r="AH108" s="41">
        <f>IF(TRIM('Open answers'!$B$5&amp;"")="","",IFERROR(TRIM(INDEX($A108:$Z108,MATCH('Open answers'!$B$5,$A$1:$Z$1,0))&amp;""),""))</f>
        <v/>
      </c>
      <c r="AI108" s="41">
        <f>IF(LEN(AH108)&gt;0,MAX($AI$1:AI107)+1,"")</f>
        <v/>
      </c>
    </row>
    <row r="109">
      <c r="AA109" s="40" t="n"/>
      <c r="AB109" s="41">
        <f>IF(TRIM('Counts'!$B$8&amp;"")="","",IFERROR(TRIM(INDEX($A109:$Z109,MATCH('Counts'!$B$8,$A$1:$Z$1,0))&amp;""),""))</f>
        <v/>
      </c>
      <c r="AC109" s="41">
        <f>IF(TRIM('Counts'!$B$26&amp;"")="","",IFERROR(TRIM(INDEX($A109:$Z109,MATCH('Counts'!$B$26,$A$1:$Z$1,0))&amp;""),""))</f>
        <v/>
      </c>
      <c r="AD109" s="41">
        <f>IF(TRIM('Counts'!$B$44&amp;"")="","",IFERROR(TRIM(INDEX($A109:$Z109,MATCH('Counts'!$B$44,$A$1:$Z$1,0))&amp;""),""))</f>
        <v/>
      </c>
      <c r="AE109" s="41">
        <f>IF(TRIM('Cross-tab'!$B$5&amp;"")="","",IFERROR(TRIM(INDEX($A109:$Z109,MATCH('Cross-tab'!$B$5,$A$1:$Z$1,0))&amp;""),""))</f>
        <v/>
      </c>
      <c r="AF109" s="41">
        <f>IF(TRIM('Cross-tab'!$B$7&amp;"")="","",IFERROR(TRIM(INDEX($A109:$Z109,MATCH('Cross-tab'!$B$7,$A$1:$Z$1,0))&amp;""),""))</f>
        <v/>
      </c>
      <c r="AG109" s="41">
        <f>IF(ISNUMBER(IFERROR(VALUE(IF(TRIM('Scale score'!$B$5&amp;"")="","",IFERROR(TRIM(INDEX($A109:$Z109,MATCH('Scale score'!$B$5,$A$1:$Z$1,0))&amp;""),""))),"")),IF(AND(IFERROR(VALUE(IF(TRIM('Scale score'!$B$5&amp;"")="","",IFERROR(TRIM(INDEX($A109:$Z109,MATCH('Scale score'!$B$5,$A$1:$Z$1,0))&amp;""),""))),"")&gt;='Scale score'!$B$6,IFERROR(VALUE(IF(TRIM('Scale score'!$B$5&amp;"")="","",IFERROR(TRIM(INDEX($A109:$Z109,MATCH('Scale score'!$B$5,$A$1:$Z$1,0))&amp;""),""))),"")&lt;='Scale score'!$B$7),IFERROR(VALUE(IF(TRIM('Scale score'!$B$5&amp;"")="","",IFERROR(TRIM(INDEX($A109:$Z109,MATCH('Scale score'!$B$5,$A$1:$Z$1,0))&amp;""),""))),""),""),"")</f>
        <v/>
      </c>
      <c r="AH109" s="41">
        <f>IF(TRIM('Open answers'!$B$5&amp;"")="","",IFERROR(TRIM(INDEX($A109:$Z109,MATCH('Open answers'!$B$5,$A$1:$Z$1,0))&amp;""),""))</f>
        <v/>
      </c>
      <c r="AI109" s="41">
        <f>IF(LEN(AH109)&gt;0,MAX($AI$1:AI108)+1,"")</f>
        <v/>
      </c>
    </row>
    <row r="110">
      <c r="AA110" s="40" t="n"/>
      <c r="AB110" s="41">
        <f>IF(TRIM('Counts'!$B$8&amp;"")="","",IFERROR(TRIM(INDEX($A110:$Z110,MATCH('Counts'!$B$8,$A$1:$Z$1,0))&amp;""),""))</f>
        <v/>
      </c>
      <c r="AC110" s="41">
        <f>IF(TRIM('Counts'!$B$26&amp;"")="","",IFERROR(TRIM(INDEX($A110:$Z110,MATCH('Counts'!$B$26,$A$1:$Z$1,0))&amp;""),""))</f>
        <v/>
      </c>
      <c r="AD110" s="41">
        <f>IF(TRIM('Counts'!$B$44&amp;"")="","",IFERROR(TRIM(INDEX($A110:$Z110,MATCH('Counts'!$B$44,$A$1:$Z$1,0))&amp;""),""))</f>
        <v/>
      </c>
      <c r="AE110" s="41">
        <f>IF(TRIM('Cross-tab'!$B$5&amp;"")="","",IFERROR(TRIM(INDEX($A110:$Z110,MATCH('Cross-tab'!$B$5,$A$1:$Z$1,0))&amp;""),""))</f>
        <v/>
      </c>
      <c r="AF110" s="41">
        <f>IF(TRIM('Cross-tab'!$B$7&amp;"")="","",IFERROR(TRIM(INDEX($A110:$Z110,MATCH('Cross-tab'!$B$7,$A$1:$Z$1,0))&amp;""),""))</f>
        <v/>
      </c>
      <c r="AG110" s="41">
        <f>IF(ISNUMBER(IFERROR(VALUE(IF(TRIM('Scale score'!$B$5&amp;"")="","",IFERROR(TRIM(INDEX($A110:$Z110,MATCH('Scale score'!$B$5,$A$1:$Z$1,0))&amp;""),""))),"")),IF(AND(IFERROR(VALUE(IF(TRIM('Scale score'!$B$5&amp;"")="","",IFERROR(TRIM(INDEX($A110:$Z110,MATCH('Scale score'!$B$5,$A$1:$Z$1,0))&amp;""),""))),"")&gt;='Scale score'!$B$6,IFERROR(VALUE(IF(TRIM('Scale score'!$B$5&amp;"")="","",IFERROR(TRIM(INDEX($A110:$Z110,MATCH('Scale score'!$B$5,$A$1:$Z$1,0))&amp;""),""))),"")&lt;='Scale score'!$B$7),IFERROR(VALUE(IF(TRIM('Scale score'!$B$5&amp;"")="","",IFERROR(TRIM(INDEX($A110:$Z110,MATCH('Scale score'!$B$5,$A$1:$Z$1,0))&amp;""),""))),""),""),"")</f>
        <v/>
      </c>
      <c r="AH110" s="41">
        <f>IF(TRIM('Open answers'!$B$5&amp;"")="","",IFERROR(TRIM(INDEX($A110:$Z110,MATCH('Open answers'!$B$5,$A$1:$Z$1,0))&amp;""),""))</f>
        <v/>
      </c>
      <c r="AI110" s="41">
        <f>IF(LEN(AH110)&gt;0,MAX($AI$1:AI109)+1,"")</f>
        <v/>
      </c>
    </row>
    <row r="111">
      <c r="AA111" s="40" t="n"/>
      <c r="AB111" s="41">
        <f>IF(TRIM('Counts'!$B$8&amp;"")="","",IFERROR(TRIM(INDEX($A111:$Z111,MATCH('Counts'!$B$8,$A$1:$Z$1,0))&amp;""),""))</f>
        <v/>
      </c>
      <c r="AC111" s="41">
        <f>IF(TRIM('Counts'!$B$26&amp;"")="","",IFERROR(TRIM(INDEX($A111:$Z111,MATCH('Counts'!$B$26,$A$1:$Z$1,0))&amp;""),""))</f>
        <v/>
      </c>
      <c r="AD111" s="41">
        <f>IF(TRIM('Counts'!$B$44&amp;"")="","",IFERROR(TRIM(INDEX($A111:$Z111,MATCH('Counts'!$B$44,$A$1:$Z$1,0))&amp;""),""))</f>
        <v/>
      </c>
      <c r="AE111" s="41">
        <f>IF(TRIM('Cross-tab'!$B$5&amp;"")="","",IFERROR(TRIM(INDEX($A111:$Z111,MATCH('Cross-tab'!$B$5,$A$1:$Z$1,0))&amp;""),""))</f>
        <v/>
      </c>
      <c r="AF111" s="41">
        <f>IF(TRIM('Cross-tab'!$B$7&amp;"")="","",IFERROR(TRIM(INDEX($A111:$Z111,MATCH('Cross-tab'!$B$7,$A$1:$Z$1,0))&amp;""),""))</f>
        <v/>
      </c>
      <c r="AG111" s="41">
        <f>IF(ISNUMBER(IFERROR(VALUE(IF(TRIM('Scale score'!$B$5&amp;"")="","",IFERROR(TRIM(INDEX($A111:$Z111,MATCH('Scale score'!$B$5,$A$1:$Z$1,0))&amp;""),""))),"")),IF(AND(IFERROR(VALUE(IF(TRIM('Scale score'!$B$5&amp;"")="","",IFERROR(TRIM(INDEX($A111:$Z111,MATCH('Scale score'!$B$5,$A$1:$Z$1,0))&amp;""),""))),"")&gt;='Scale score'!$B$6,IFERROR(VALUE(IF(TRIM('Scale score'!$B$5&amp;"")="","",IFERROR(TRIM(INDEX($A111:$Z111,MATCH('Scale score'!$B$5,$A$1:$Z$1,0))&amp;""),""))),"")&lt;='Scale score'!$B$7),IFERROR(VALUE(IF(TRIM('Scale score'!$B$5&amp;"")="","",IFERROR(TRIM(INDEX($A111:$Z111,MATCH('Scale score'!$B$5,$A$1:$Z$1,0))&amp;""),""))),""),""),"")</f>
        <v/>
      </c>
      <c r="AH111" s="41">
        <f>IF(TRIM('Open answers'!$B$5&amp;"")="","",IFERROR(TRIM(INDEX($A111:$Z111,MATCH('Open answers'!$B$5,$A$1:$Z$1,0))&amp;""),""))</f>
        <v/>
      </c>
      <c r="AI111" s="41">
        <f>IF(LEN(AH111)&gt;0,MAX($AI$1:AI110)+1,"")</f>
        <v/>
      </c>
    </row>
    <row r="112">
      <c r="AA112" s="40" t="n"/>
      <c r="AB112" s="41">
        <f>IF(TRIM('Counts'!$B$8&amp;"")="","",IFERROR(TRIM(INDEX($A112:$Z112,MATCH('Counts'!$B$8,$A$1:$Z$1,0))&amp;""),""))</f>
        <v/>
      </c>
      <c r="AC112" s="41">
        <f>IF(TRIM('Counts'!$B$26&amp;"")="","",IFERROR(TRIM(INDEX($A112:$Z112,MATCH('Counts'!$B$26,$A$1:$Z$1,0))&amp;""),""))</f>
        <v/>
      </c>
      <c r="AD112" s="41">
        <f>IF(TRIM('Counts'!$B$44&amp;"")="","",IFERROR(TRIM(INDEX($A112:$Z112,MATCH('Counts'!$B$44,$A$1:$Z$1,0))&amp;""),""))</f>
        <v/>
      </c>
      <c r="AE112" s="41">
        <f>IF(TRIM('Cross-tab'!$B$5&amp;"")="","",IFERROR(TRIM(INDEX($A112:$Z112,MATCH('Cross-tab'!$B$5,$A$1:$Z$1,0))&amp;""),""))</f>
        <v/>
      </c>
      <c r="AF112" s="41">
        <f>IF(TRIM('Cross-tab'!$B$7&amp;"")="","",IFERROR(TRIM(INDEX($A112:$Z112,MATCH('Cross-tab'!$B$7,$A$1:$Z$1,0))&amp;""),""))</f>
        <v/>
      </c>
      <c r="AG112" s="41">
        <f>IF(ISNUMBER(IFERROR(VALUE(IF(TRIM('Scale score'!$B$5&amp;"")="","",IFERROR(TRIM(INDEX($A112:$Z112,MATCH('Scale score'!$B$5,$A$1:$Z$1,0))&amp;""),""))),"")),IF(AND(IFERROR(VALUE(IF(TRIM('Scale score'!$B$5&amp;"")="","",IFERROR(TRIM(INDEX($A112:$Z112,MATCH('Scale score'!$B$5,$A$1:$Z$1,0))&amp;""),""))),"")&gt;='Scale score'!$B$6,IFERROR(VALUE(IF(TRIM('Scale score'!$B$5&amp;"")="","",IFERROR(TRIM(INDEX($A112:$Z112,MATCH('Scale score'!$B$5,$A$1:$Z$1,0))&amp;""),""))),"")&lt;='Scale score'!$B$7),IFERROR(VALUE(IF(TRIM('Scale score'!$B$5&amp;"")="","",IFERROR(TRIM(INDEX($A112:$Z112,MATCH('Scale score'!$B$5,$A$1:$Z$1,0))&amp;""),""))),""),""),"")</f>
        <v/>
      </c>
      <c r="AH112" s="41">
        <f>IF(TRIM('Open answers'!$B$5&amp;"")="","",IFERROR(TRIM(INDEX($A112:$Z112,MATCH('Open answers'!$B$5,$A$1:$Z$1,0))&amp;""),""))</f>
        <v/>
      </c>
      <c r="AI112" s="41">
        <f>IF(LEN(AH112)&gt;0,MAX($AI$1:AI111)+1,"")</f>
        <v/>
      </c>
    </row>
    <row r="113">
      <c r="AA113" s="40" t="n"/>
      <c r="AB113" s="41">
        <f>IF(TRIM('Counts'!$B$8&amp;"")="","",IFERROR(TRIM(INDEX($A113:$Z113,MATCH('Counts'!$B$8,$A$1:$Z$1,0))&amp;""),""))</f>
        <v/>
      </c>
      <c r="AC113" s="41">
        <f>IF(TRIM('Counts'!$B$26&amp;"")="","",IFERROR(TRIM(INDEX($A113:$Z113,MATCH('Counts'!$B$26,$A$1:$Z$1,0))&amp;""),""))</f>
        <v/>
      </c>
      <c r="AD113" s="41">
        <f>IF(TRIM('Counts'!$B$44&amp;"")="","",IFERROR(TRIM(INDEX($A113:$Z113,MATCH('Counts'!$B$44,$A$1:$Z$1,0))&amp;""),""))</f>
        <v/>
      </c>
      <c r="AE113" s="41">
        <f>IF(TRIM('Cross-tab'!$B$5&amp;"")="","",IFERROR(TRIM(INDEX($A113:$Z113,MATCH('Cross-tab'!$B$5,$A$1:$Z$1,0))&amp;""),""))</f>
        <v/>
      </c>
      <c r="AF113" s="41">
        <f>IF(TRIM('Cross-tab'!$B$7&amp;"")="","",IFERROR(TRIM(INDEX($A113:$Z113,MATCH('Cross-tab'!$B$7,$A$1:$Z$1,0))&amp;""),""))</f>
        <v/>
      </c>
      <c r="AG113" s="41">
        <f>IF(ISNUMBER(IFERROR(VALUE(IF(TRIM('Scale score'!$B$5&amp;"")="","",IFERROR(TRIM(INDEX($A113:$Z113,MATCH('Scale score'!$B$5,$A$1:$Z$1,0))&amp;""),""))),"")),IF(AND(IFERROR(VALUE(IF(TRIM('Scale score'!$B$5&amp;"")="","",IFERROR(TRIM(INDEX($A113:$Z113,MATCH('Scale score'!$B$5,$A$1:$Z$1,0))&amp;""),""))),"")&gt;='Scale score'!$B$6,IFERROR(VALUE(IF(TRIM('Scale score'!$B$5&amp;"")="","",IFERROR(TRIM(INDEX($A113:$Z113,MATCH('Scale score'!$B$5,$A$1:$Z$1,0))&amp;""),""))),"")&lt;='Scale score'!$B$7),IFERROR(VALUE(IF(TRIM('Scale score'!$B$5&amp;"")="","",IFERROR(TRIM(INDEX($A113:$Z113,MATCH('Scale score'!$B$5,$A$1:$Z$1,0))&amp;""),""))),""),""),"")</f>
        <v/>
      </c>
      <c r="AH113" s="41">
        <f>IF(TRIM('Open answers'!$B$5&amp;"")="","",IFERROR(TRIM(INDEX($A113:$Z113,MATCH('Open answers'!$B$5,$A$1:$Z$1,0))&amp;""),""))</f>
        <v/>
      </c>
      <c r="AI113" s="41">
        <f>IF(LEN(AH113)&gt;0,MAX($AI$1:AI112)+1,"")</f>
        <v/>
      </c>
    </row>
    <row r="114">
      <c r="AA114" s="40" t="n"/>
      <c r="AB114" s="41">
        <f>IF(TRIM('Counts'!$B$8&amp;"")="","",IFERROR(TRIM(INDEX($A114:$Z114,MATCH('Counts'!$B$8,$A$1:$Z$1,0))&amp;""),""))</f>
        <v/>
      </c>
      <c r="AC114" s="41">
        <f>IF(TRIM('Counts'!$B$26&amp;"")="","",IFERROR(TRIM(INDEX($A114:$Z114,MATCH('Counts'!$B$26,$A$1:$Z$1,0))&amp;""),""))</f>
        <v/>
      </c>
      <c r="AD114" s="41">
        <f>IF(TRIM('Counts'!$B$44&amp;"")="","",IFERROR(TRIM(INDEX($A114:$Z114,MATCH('Counts'!$B$44,$A$1:$Z$1,0))&amp;""),""))</f>
        <v/>
      </c>
      <c r="AE114" s="41">
        <f>IF(TRIM('Cross-tab'!$B$5&amp;"")="","",IFERROR(TRIM(INDEX($A114:$Z114,MATCH('Cross-tab'!$B$5,$A$1:$Z$1,0))&amp;""),""))</f>
        <v/>
      </c>
      <c r="AF114" s="41">
        <f>IF(TRIM('Cross-tab'!$B$7&amp;"")="","",IFERROR(TRIM(INDEX($A114:$Z114,MATCH('Cross-tab'!$B$7,$A$1:$Z$1,0))&amp;""),""))</f>
        <v/>
      </c>
      <c r="AG114" s="41">
        <f>IF(ISNUMBER(IFERROR(VALUE(IF(TRIM('Scale score'!$B$5&amp;"")="","",IFERROR(TRIM(INDEX($A114:$Z114,MATCH('Scale score'!$B$5,$A$1:$Z$1,0))&amp;""),""))),"")),IF(AND(IFERROR(VALUE(IF(TRIM('Scale score'!$B$5&amp;"")="","",IFERROR(TRIM(INDEX($A114:$Z114,MATCH('Scale score'!$B$5,$A$1:$Z$1,0))&amp;""),""))),"")&gt;='Scale score'!$B$6,IFERROR(VALUE(IF(TRIM('Scale score'!$B$5&amp;"")="","",IFERROR(TRIM(INDEX($A114:$Z114,MATCH('Scale score'!$B$5,$A$1:$Z$1,0))&amp;""),""))),"")&lt;='Scale score'!$B$7),IFERROR(VALUE(IF(TRIM('Scale score'!$B$5&amp;"")="","",IFERROR(TRIM(INDEX($A114:$Z114,MATCH('Scale score'!$B$5,$A$1:$Z$1,0))&amp;""),""))),""),""),"")</f>
        <v/>
      </c>
      <c r="AH114" s="41">
        <f>IF(TRIM('Open answers'!$B$5&amp;"")="","",IFERROR(TRIM(INDEX($A114:$Z114,MATCH('Open answers'!$B$5,$A$1:$Z$1,0))&amp;""),""))</f>
        <v/>
      </c>
      <c r="AI114" s="41">
        <f>IF(LEN(AH114)&gt;0,MAX($AI$1:AI113)+1,"")</f>
        <v/>
      </c>
    </row>
    <row r="115">
      <c r="AA115" s="40" t="n"/>
      <c r="AB115" s="41">
        <f>IF(TRIM('Counts'!$B$8&amp;"")="","",IFERROR(TRIM(INDEX($A115:$Z115,MATCH('Counts'!$B$8,$A$1:$Z$1,0))&amp;""),""))</f>
        <v/>
      </c>
      <c r="AC115" s="41">
        <f>IF(TRIM('Counts'!$B$26&amp;"")="","",IFERROR(TRIM(INDEX($A115:$Z115,MATCH('Counts'!$B$26,$A$1:$Z$1,0))&amp;""),""))</f>
        <v/>
      </c>
      <c r="AD115" s="41">
        <f>IF(TRIM('Counts'!$B$44&amp;"")="","",IFERROR(TRIM(INDEX($A115:$Z115,MATCH('Counts'!$B$44,$A$1:$Z$1,0))&amp;""),""))</f>
        <v/>
      </c>
      <c r="AE115" s="41">
        <f>IF(TRIM('Cross-tab'!$B$5&amp;"")="","",IFERROR(TRIM(INDEX($A115:$Z115,MATCH('Cross-tab'!$B$5,$A$1:$Z$1,0))&amp;""),""))</f>
        <v/>
      </c>
      <c r="AF115" s="41">
        <f>IF(TRIM('Cross-tab'!$B$7&amp;"")="","",IFERROR(TRIM(INDEX($A115:$Z115,MATCH('Cross-tab'!$B$7,$A$1:$Z$1,0))&amp;""),""))</f>
        <v/>
      </c>
      <c r="AG115" s="41">
        <f>IF(ISNUMBER(IFERROR(VALUE(IF(TRIM('Scale score'!$B$5&amp;"")="","",IFERROR(TRIM(INDEX($A115:$Z115,MATCH('Scale score'!$B$5,$A$1:$Z$1,0))&amp;""),""))),"")),IF(AND(IFERROR(VALUE(IF(TRIM('Scale score'!$B$5&amp;"")="","",IFERROR(TRIM(INDEX($A115:$Z115,MATCH('Scale score'!$B$5,$A$1:$Z$1,0))&amp;""),""))),"")&gt;='Scale score'!$B$6,IFERROR(VALUE(IF(TRIM('Scale score'!$B$5&amp;"")="","",IFERROR(TRIM(INDEX($A115:$Z115,MATCH('Scale score'!$B$5,$A$1:$Z$1,0))&amp;""),""))),"")&lt;='Scale score'!$B$7),IFERROR(VALUE(IF(TRIM('Scale score'!$B$5&amp;"")="","",IFERROR(TRIM(INDEX($A115:$Z115,MATCH('Scale score'!$B$5,$A$1:$Z$1,0))&amp;""),""))),""),""),"")</f>
        <v/>
      </c>
      <c r="AH115" s="41">
        <f>IF(TRIM('Open answers'!$B$5&amp;"")="","",IFERROR(TRIM(INDEX($A115:$Z115,MATCH('Open answers'!$B$5,$A$1:$Z$1,0))&amp;""),""))</f>
        <v/>
      </c>
      <c r="AI115" s="41">
        <f>IF(LEN(AH115)&gt;0,MAX($AI$1:AI114)+1,"")</f>
        <v/>
      </c>
    </row>
    <row r="116">
      <c r="AA116" s="40" t="n"/>
      <c r="AB116" s="41">
        <f>IF(TRIM('Counts'!$B$8&amp;"")="","",IFERROR(TRIM(INDEX($A116:$Z116,MATCH('Counts'!$B$8,$A$1:$Z$1,0))&amp;""),""))</f>
        <v/>
      </c>
      <c r="AC116" s="41">
        <f>IF(TRIM('Counts'!$B$26&amp;"")="","",IFERROR(TRIM(INDEX($A116:$Z116,MATCH('Counts'!$B$26,$A$1:$Z$1,0))&amp;""),""))</f>
        <v/>
      </c>
      <c r="AD116" s="41">
        <f>IF(TRIM('Counts'!$B$44&amp;"")="","",IFERROR(TRIM(INDEX($A116:$Z116,MATCH('Counts'!$B$44,$A$1:$Z$1,0))&amp;""),""))</f>
        <v/>
      </c>
      <c r="AE116" s="41">
        <f>IF(TRIM('Cross-tab'!$B$5&amp;"")="","",IFERROR(TRIM(INDEX($A116:$Z116,MATCH('Cross-tab'!$B$5,$A$1:$Z$1,0))&amp;""),""))</f>
        <v/>
      </c>
      <c r="AF116" s="41">
        <f>IF(TRIM('Cross-tab'!$B$7&amp;"")="","",IFERROR(TRIM(INDEX($A116:$Z116,MATCH('Cross-tab'!$B$7,$A$1:$Z$1,0))&amp;""),""))</f>
        <v/>
      </c>
      <c r="AG116" s="41">
        <f>IF(ISNUMBER(IFERROR(VALUE(IF(TRIM('Scale score'!$B$5&amp;"")="","",IFERROR(TRIM(INDEX($A116:$Z116,MATCH('Scale score'!$B$5,$A$1:$Z$1,0))&amp;""),""))),"")),IF(AND(IFERROR(VALUE(IF(TRIM('Scale score'!$B$5&amp;"")="","",IFERROR(TRIM(INDEX($A116:$Z116,MATCH('Scale score'!$B$5,$A$1:$Z$1,0))&amp;""),""))),"")&gt;='Scale score'!$B$6,IFERROR(VALUE(IF(TRIM('Scale score'!$B$5&amp;"")="","",IFERROR(TRIM(INDEX($A116:$Z116,MATCH('Scale score'!$B$5,$A$1:$Z$1,0))&amp;""),""))),"")&lt;='Scale score'!$B$7),IFERROR(VALUE(IF(TRIM('Scale score'!$B$5&amp;"")="","",IFERROR(TRIM(INDEX($A116:$Z116,MATCH('Scale score'!$B$5,$A$1:$Z$1,0))&amp;""),""))),""),""),"")</f>
        <v/>
      </c>
      <c r="AH116" s="41">
        <f>IF(TRIM('Open answers'!$B$5&amp;"")="","",IFERROR(TRIM(INDEX($A116:$Z116,MATCH('Open answers'!$B$5,$A$1:$Z$1,0))&amp;""),""))</f>
        <v/>
      </c>
      <c r="AI116" s="41">
        <f>IF(LEN(AH116)&gt;0,MAX($AI$1:AI115)+1,"")</f>
        <v/>
      </c>
    </row>
    <row r="117">
      <c r="AA117" s="40" t="n"/>
      <c r="AB117" s="41">
        <f>IF(TRIM('Counts'!$B$8&amp;"")="","",IFERROR(TRIM(INDEX($A117:$Z117,MATCH('Counts'!$B$8,$A$1:$Z$1,0))&amp;""),""))</f>
        <v/>
      </c>
      <c r="AC117" s="41">
        <f>IF(TRIM('Counts'!$B$26&amp;"")="","",IFERROR(TRIM(INDEX($A117:$Z117,MATCH('Counts'!$B$26,$A$1:$Z$1,0))&amp;""),""))</f>
        <v/>
      </c>
      <c r="AD117" s="41">
        <f>IF(TRIM('Counts'!$B$44&amp;"")="","",IFERROR(TRIM(INDEX($A117:$Z117,MATCH('Counts'!$B$44,$A$1:$Z$1,0))&amp;""),""))</f>
        <v/>
      </c>
      <c r="AE117" s="41">
        <f>IF(TRIM('Cross-tab'!$B$5&amp;"")="","",IFERROR(TRIM(INDEX($A117:$Z117,MATCH('Cross-tab'!$B$5,$A$1:$Z$1,0))&amp;""),""))</f>
        <v/>
      </c>
      <c r="AF117" s="41">
        <f>IF(TRIM('Cross-tab'!$B$7&amp;"")="","",IFERROR(TRIM(INDEX($A117:$Z117,MATCH('Cross-tab'!$B$7,$A$1:$Z$1,0))&amp;""),""))</f>
        <v/>
      </c>
      <c r="AG117" s="41">
        <f>IF(ISNUMBER(IFERROR(VALUE(IF(TRIM('Scale score'!$B$5&amp;"")="","",IFERROR(TRIM(INDEX($A117:$Z117,MATCH('Scale score'!$B$5,$A$1:$Z$1,0))&amp;""),""))),"")),IF(AND(IFERROR(VALUE(IF(TRIM('Scale score'!$B$5&amp;"")="","",IFERROR(TRIM(INDEX($A117:$Z117,MATCH('Scale score'!$B$5,$A$1:$Z$1,0))&amp;""),""))),"")&gt;='Scale score'!$B$6,IFERROR(VALUE(IF(TRIM('Scale score'!$B$5&amp;"")="","",IFERROR(TRIM(INDEX($A117:$Z117,MATCH('Scale score'!$B$5,$A$1:$Z$1,0))&amp;""),""))),"")&lt;='Scale score'!$B$7),IFERROR(VALUE(IF(TRIM('Scale score'!$B$5&amp;"")="","",IFERROR(TRIM(INDEX($A117:$Z117,MATCH('Scale score'!$B$5,$A$1:$Z$1,0))&amp;""),""))),""),""),"")</f>
        <v/>
      </c>
      <c r="AH117" s="41">
        <f>IF(TRIM('Open answers'!$B$5&amp;"")="","",IFERROR(TRIM(INDEX($A117:$Z117,MATCH('Open answers'!$B$5,$A$1:$Z$1,0))&amp;""),""))</f>
        <v/>
      </c>
      <c r="AI117" s="41">
        <f>IF(LEN(AH117)&gt;0,MAX($AI$1:AI116)+1,"")</f>
        <v/>
      </c>
    </row>
    <row r="118">
      <c r="AA118" s="40" t="n"/>
      <c r="AB118" s="41">
        <f>IF(TRIM('Counts'!$B$8&amp;"")="","",IFERROR(TRIM(INDEX($A118:$Z118,MATCH('Counts'!$B$8,$A$1:$Z$1,0))&amp;""),""))</f>
        <v/>
      </c>
      <c r="AC118" s="41">
        <f>IF(TRIM('Counts'!$B$26&amp;"")="","",IFERROR(TRIM(INDEX($A118:$Z118,MATCH('Counts'!$B$26,$A$1:$Z$1,0))&amp;""),""))</f>
        <v/>
      </c>
      <c r="AD118" s="41">
        <f>IF(TRIM('Counts'!$B$44&amp;"")="","",IFERROR(TRIM(INDEX($A118:$Z118,MATCH('Counts'!$B$44,$A$1:$Z$1,0))&amp;""),""))</f>
        <v/>
      </c>
      <c r="AE118" s="41">
        <f>IF(TRIM('Cross-tab'!$B$5&amp;"")="","",IFERROR(TRIM(INDEX($A118:$Z118,MATCH('Cross-tab'!$B$5,$A$1:$Z$1,0))&amp;""),""))</f>
        <v/>
      </c>
      <c r="AF118" s="41">
        <f>IF(TRIM('Cross-tab'!$B$7&amp;"")="","",IFERROR(TRIM(INDEX($A118:$Z118,MATCH('Cross-tab'!$B$7,$A$1:$Z$1,0))&amp;""),""))</f>
        <v/>
      </c>
      <c r="AG118" s="41">
        <f>IF(ISNUMBER(IFERROR(VALUE(IF(TRIM('Scale score'!$B$5&amp;"")="","",IFERROR(TRIM(INDEX($A118:$Z118,MATCH('Scale score'!$B$5,$A$1:$Z$1,0))&amp;""),""))),"")),IF(AND(IFERROR(VALUE(IF(TRIM('Scale score'!$B$5&amp;"")="","",IFERROR(TRIM(INDEX($A118:$Z118,MATCH('Scale score'!$B$5,$A$1:$Z$1,0))&amp;""),""))),"")&gt;='Scale score'!$B$6,IFERROR(VALUE(IF(TRIM('Scale score'!$B$5&amp;"")="","",IFERROR(TRIM(INDEX($A118:$Z118,MATCH('Scale score'!$B$5,$A$1:$Z$1,0))&amp;""),""))),"")&lt;='Scale score'!$B$7),IFERROR(VALUE(IF(TRIM('Scale score'!$B$5&amp;"")="","",IFERROR(TRIM(INDEX($A118:$Z118,MATCH('Scale score'!$B$5,$A$1:$Z$1,0))&amp;""),""))),""),""),"")</f>
        <v/>
      </c>
      <c r="AH118" s="41">
        <f>IF(TRIM('Open answers'!$B$5&amp;"")="","",IFERROR(TRIM(INDEX($A118:$Z118,MATCH('Open answers'!$B$5,$A$1:$Z$1,0))&amp;""),""))</f>
        <v/>
      </c>
      <c r="AI118" s="41">
        <f>IF(LEN(AH118)&gt;0,MAX($AI$1:AI117)+1,"")</f>
        <v/>
      </c>
    </row>
    <row r="119">
      <c r="AA119" s="40" t="n"/>
      <c r="AB119" s="41">
        <f>IF(TRIM('Counts'!$B$8&amp;"")="","",IFERROR(TRIM(INDEX($A119:$Z119,MATCH('Counts'!$B$8,$A$1:$Z$1,0))&amp;""),""))</f>
        <v/>
      </c>
      <c r="AC119" s="41">
        <f>IF(TRIM('Counts'!$B$26&amp;"")="","",IFERROR(TRIM(INDEX($A119:$Z119,MATCH('Counts'!$B$26,$A$1:$Z$1,0))&amp;""),""))</f>
        <v/>
      </c>
      <c r="AD119" s="41">
        <f>IF(TRIM('Counts'!$B$44&amp;"")="","",IFERROR(TRIM(INDEX($A119:$Z119,MATCH('Counts'!$B$44,$A$1:$Z$1,0))&amp;""),""))</f>
        <v/>
      </c>
      <c r="AE119" s="41">
        <f>IF(TRIM('Cross-tab'!$B$5&amp;"")="","",IFERROR(TRIM(INDEX($A119:$Z119,MATCH('Cross-tab'!$B$5,$A$1:$Z$1,0))&amp;""),""))</f>
        <v/>
      </c>
      <c r="AF119" s="41">
        <f>IF(TRIM('Cross-tab'!$B$7&amp;"")="","",IFERROR(TRIM(INDEX($A119:$Z119,MATCH('Cross-tab'!$B$7,$A$1:$Z$1,0))&amp;""),""))</f>
        <v/>
      </c>
      <c r="AG119" s="41">
        <f>IF(ISNUMBER(IFERROR(VALUE(IF(TRIM('Scale score'!$B$5&amp;"")="","",IFERROR(TRIM(INDEX($A119:$Z119,MATCH('Scale score'!$B$5,$A$1:$Z$1,0))&amp;""),""))),"")),IF(AND(IFERROR(VALUE(IF(TRIM('Scale score'!$B$5&amp;"")="","",IFERROR(TRIM(INDEX($A119:$Z119,MATCH('Scale score'!$B$5,$A$1:$Z$1,0))&amp;""),""))),"")&gt;='Scale score'!$B$6,IFERROR(VALUE(IF(TRIM('Scale score'!$B$5&amp;"")="","",IFERROR(TRIM(INDEX($A119:$Z119,MATCH('Scale score'!$B$5,$A$1:$Z$1,0))&amp;""),""))),"")&lt;='Scale score'!$B$7),IFERROR(VALUE(IF(TRIM('Scale score'!$B$5&amp;"")="","",IFERROR(TRIM(INDEX($A119:$Z119,MATCH('Scale score'!$B$5,$A$1:$Z$1,0))&amp;""),""))),""),""),"")</f>
        <v/>
      </c>
      <c r="AH119" s="41">
        <f>IF(TRIM('Open answers'!$B$5&amp;"")="","",IFERROR(TRIM(INDEX($A119:$Z119,MATCH('Open answers'!$B$5,$A$1:$Z$1,0))&amp;""),""))</f>
        <v/>
      </c>
      <c r="AI119" s="41">
        <f>IF(LEN(AH119)&gt;0,MAX($AI$1:AI118)+1,"")</f>
        <v/>
      </c>
    </row>
    <row r="120">
      <c r="AA120" s="40" t="n"/>
      <c r="AB120" s="41">
        <f>IF(TRIM('Counts'!$B$8&amp;"")="","",IFERROR(TRIM(INDEX($A120:$Z120,MATCH('Counts'!$B$8,$A$1:$Z$1,0))&amp;""),""))</f>
        <v/>
      </c>
      <c r="AC120" s="41">
        <f>IF(TRIM('Counts'!$B$26&amp;"")="","",IFERROR(TRIM(INDEX($A120:$Z120,MATCH('Counts'!$B$26,$A$1:$Z$1,0))&amp;""),""))</f>
        <v/>
      </c>
      <c r="AD120" s="41">
        <f>IF(TRIM('Counts'!$B$44&amp;"")="","",IFERROR(TRIM(INDEX($A120:$Z120,MATCH('Counts'!$B$44,$A$1:$Z$1,0))&amp;""),""))</f>
        <v/>
      </c>
      <c r="AE120" s="41">
        <f>IF(TRIM('Cross-tab'!$B$5&amp;"")="","",IFERROR(TRIM(INDEX($A120:$Z120,MATCH('Cross-tab'!$B$5,$A$1:$Z$1,0))&amp;""),""))</f>
        <v/>
      </c>
      <c r="AF120" s="41">
        <f>IF(TRIM('Cross-tab'!$B$7&amp;"")="","",IFERROR(TRIM(INDEX($A120:$Z120,MATCH('Cross-tab'!$B$7,$A$1:$Z$1,0))&amp;""),""))</f>
        <v/>
      </c>
      <c r="AG120" s="41">
        <f>IF(ISNUMBER(IFERROR(VALUE(IF(TRIM('Scale score'!$B$5&amp;"")="","",IFERROR(TRIM(INDEX($A120:$Z120,MATCH('Scale score'!$B$5,$A$1:$Z$1,0))&amp;""),""))),"")),IF(AND(IFERROR(VALUE(IF(TRIM('Scale score'!$B$5&amp;"")="","",IFERROR(TRIM(INDEX($A120:$Z120,MATCH('Scale score'!$B$5,$A$1:$Z$1,0))&amp;""),""))),"")&gt;='Scale score'!$B$6,IFERROR(VALUE(IF(TRIM('Scale score'!$B$5&amp;"")="","",IFERROR(TRIM(INDEX($A120:$Z120,MATCH('Scale score'!$B$5,$A$1:$Z$1,0))&amp;""),""))),"")&lt;='Scale score'!$B$7),IFERROR(VALUE(IF(TRIM('Scale score'!$B$5&amp;"")="","",IFERROR(TRIM(INDEX($A120:$Z120,MATCH('Scale score'!$B$5,$A$1:$Z$1,0))&amp;""),""))),""),""),"")</f>
        <v/>
      </c>
      <c r="AH120" s="41">
        <f>IF(TRIM('Open answers'!$B$5&amp;"")="","",IFERROR(TRIM(INDEX($A120:$Z120,MATCH('Open answers'!$B$5,$A$1:$Z$1,0))&amp;""),""))</f>
        <v/>
      </c>
      <c r="AI120" s="41">
        <f>IF(LEN(AH120)&gt;0,MAX($AI$1:AI119)+1,"")</f>
        <v/>
      </c>
    </row>
    <row r="121">
      <c r="AA121" s="40" t="n"/>
      <c r="AB121" s="41">
        <f>IF(TRIM('Counts'!$B$8&amp;"")="","",IFERROR(TRIM(INDEX($A121:$Z121,MATCH('Counts'!$B$8,$A$1:$Z$1,0))&amp;""),""))</f>
        <v/>
      </c>
      <c r="AC121" s="41">
        <f>IF(TRIM('Counts'!$B$26&amp;"")="","",IFERROR(TRIM(INDEX($A121:$Z121,MATCH('Counts'!$B$26,$A$1:$Z$1,0))&amp;""),""))</f>
        <v/>
      </c>
      <c r="AD121" s="41">
        <f>IF(TRIM('Counts'!$B$44&amp;"")="","",IFERROR(TRIM(INDEX($A121:$Z121,MATCH('Counts'!$B$44,$A$1:$Z$1,0))&amp;""),""))</f>
        <v/>
      </c>
      <c r="AE121" s="41">
        <f>IF(TRIM('Cross-tab'!$B$5&amp;"")="","",IFERROR(TRIM(INDEX($A121:$Z121,MATCH('Cross-tab'!$B$5,$A$1:$Z$1,0))&amp;""),""))</f>
        <v/>
      </c>
      <c r="AF121" s="41">
        <f>IF(TRIM('Cross-tab'!$B$7&amp;"")="","",IFERROR(TRIM(INDEX($A121:$Z121,MATCH('Cross-tab'!$B$7,$A$1:$Z$1,0))&amp;""),""))</f>
        <v/>
      </c>
      <c r="AG121" s="41">
        <f>IF(ISNUMBER(IFERROR(VALUE(IF(TRIM('Scale score'!$B$5&amp;"")="","",IFERROR(TRIM(INDEX($A121:$Z121,MATCH('Scale score'!$B$5,$A$1:$Z$1,0))&amp;""),""))),"")),IF(AND(IFERROR(VALUE(IF(TRIM('Scale score'!$B$5&amp;"")="","",IFERROR(TRIM(INDEX($A121:$Z121,MATCH('Scale score'!$B$5,$A$1:$Z$1,0))&amp;""),""))),"")&gt;='Scale score'!$B$6,IFERROR(VALUE(IF(TRIM('Scale score'!$B$5&amp;"")="","",IFERROR(TRIM(INDEX($A121:$Z121,MATCH('Scale score'!$B$5,$A$1:$Z$1,0))&amp;""),""))),"")&lt;='Scale score'!$B$7),IFERROR(VALUE(IF(TRIM('Scale score'!$B$5&amp;"")="","",IFERROR(TRIM(INDEX($A121:$Z121,MATCH('Scale score'!$B$5,$A$1:$Z$1,0))&amp;""),""))),""),""),"")</f>
        <v/>
      </c>
      <c r="AH121" s="41">
        <f>IF(TRIM('Open answers'!$B$5&amp;"")="","",IFERROR(TRIM(INDEX($A121:$Z121,MATCH('Open answers'!$B$5,$A$1:$Z$1,0))&amp;""),""))</f>
        <v/>
      </c>
      <c r="AI121" s="41">
        <f>IF(LEN(AH121)&gt;0,MAX($AI$1:AI120)+1,"")</f>
        <v/>
      </c>
    </row>
    <row r="122">
      <c r="AA122" s="40" t="n"/>
      <c r="AB122" s="41">
        <f>IF(TRIM('Counts'!$B$8&amp;"")="","",IFERROR(TRIM(INDEX($A122:$Z122,MATCH('Counts'!$B$8,$A$1:$Z$1,0))&amp;""),""))</f>
        <v/>
      </c>
      <c r="AC122" s="41">
        <f>IF(TRIM('Counts'!$B$26&amp;"")="","",IFERROR(TRIM(INDEX($A122:$Z122,MATCH('Counts'!$B$26,$A$1:$Z$1,0))&amp;""),""))</f>
        <v/>
      </c>
      <c r="AD122" s="41">
        <f>IF(TRIM('Counts'!$B$44&amp;"")="","",IFERROR(TRIM(INDEX($A122:$Z122,MATCH('Counts'!$B$44,$A$1:$Z$1,0))&amp;""),""))</f>
        <v/>
      </c>
      <c r="AE122" s="41">
        <f>IF(TRIM('Cross-tab'!$B$5&amp;"")="","",IFERROR(TRIM(INDEX($A122:$Z122,MATCH('Cross-tab'!$B$5,$A$1:$Z$1,0))&amp;""),""))</f>
        <v/>
      </c>
      <c r="AF122" s="41">
        <f>IF(TRIM('Cross-tab'!$B$7&amp;"")="","",IFERROR(TRIM(INDEX($A122:$Z122,MATCH('Cross-tab'!$B$7,$A$1:$Z$1,0))&amp;""),""))</f>
        <v/>
      </c>
      <c r="AG122" s="41">
        <f>IF(ISNUMBER(IFERROR(VALUE(IF(TRIM('Scale score'!$B$5&amp;"")="","",IFERROR(TRIM(INDEX($A122:$Z122,MATCH('Scale score'!$B$5,$A$1:$Z$1,0))&amp;""),""))),"")),IF(AND(IFERROR(VALUE(IF(TRIM('Scale score'!$B$5&amp;"")="","",IFERROR(TRIM(INDEX($A122:$Z122,MATCH('Scale score'!$B$5,$A$1:$Z$1,0))&amp;""),""))),"")&gt;='Scale score'!$B$6,IFERROR(VALUE(IF(TRIM('Scale score'!$B$5&amp;"")="","",IFERROR(TRIM(INDEX($A122:$Z122,MATCH('Scale score'!$B$5,$A$1:$Z$1,0))&amp;""),""))),"")&lt;='Scale score'!$B$7),IFERROR(VALUE(IF(TRIM('Scale score'!$B$5&amp;"")="","",IFERROR(TRIM(INDEX($A122:$Z122,MATCH('Scale score'!$B$5,$A$1:$Z$1,0))&amp;""),""))),""),""),"")</f>
        <v/>
      </c>
      <c r="AH122" s="41">
        <f>IF(TRIM('Open answers'!$B$5&amp;"")="","",IFERROR(TRIM(INDEX($A122:$Z122,MATCH('Open answers'!$B$5,$A$1:$Z$1,0))&amp;""),""))</f>
        <v/>
      </c>
      <c r="AI122" s="41">
        <f>IF(LEN(AH122)&gt;0,MAX($AI$1:AI121)+1,"")</f>
        <v/>
      </c>
    </row>
    <row r="123">
      <c r="AA123" s="40" t="n"/>
      <c r="AB123" s="41">
        <f>IF(TRIM('Counts'!$B$8&amp;"")="","",IFERROR(TRIM(INDEX($A123:$Z123,MATCH('Counts'!$B$8,$A$1:$Z$1,0))&amp;""),""))</f>
        <v/>
      </c>
      <c r="AC123" s="41">
        <f>IF(TRIM('Counts'!$B$26&amp;"")="","",IFERROR(TRIM(INDEX($A123:$Z123,MATCH('Counts'!$B$26,$A$1:$Z$1,0))&amp;""),""))</f>
        <v/>
      </c>
      <c r="AD123" s="41">
        <f>IF(TRIM('Counts'!$B$44&amp;"")="","",IFERROR(TRIM(INDEX($A123:$Z123,MATCH('Counts'!$B$44,$A$1:$Z$1,0))&amp;""),""))</f>
        <v/>
      </c>
      <c r="AE123" s="41">
        <f>IF(TRIM('Cross-tab'!$B$5&amp;"")="","",IFERROR(TRIM(INDEX($A123:$Z123,MATCH('Cross-tab'!$B$5,$A$1:$Z$1,0))&amp;""),""))</f>
        <v/>
      </c>
      <c r="AF123" s="41">
        <f>IF(TRIM('Cross-tab'!$B$7&amp;"")="","",IFERROR(TRIM(INDEX($A123:$Z123,MATCH('Cross-tab'!$B$7,$A$1:$Z$1,0))&amp;""),""))</f>
        <v/>
      </c>
      <c r="AG123" s="41">
        <f>IF(ISNUMBER(IFERROR(VALUE(IF(TRIM('Scale score'!$B$5&amp;"")="","",IFERROR(TRIM(INDEX($A123:$Z123,MATCH('Scale score'!$B$5,$A$1:$Z$1,0))&amp;""),""))),"")),IF(AND(IFERROR(VALUE(IF(TRIM('Scale score'!$B$5&amp;"")="","",IFERROR(TRIM(INDEX($A123:$Z123,MATCH('Scale score'!$B$5,$A$1:$Z$1,0))&amp;""),""))),"")&gt;='Scale score'!$B$6,IFERROR(VALUE(IF(TRIM('Scale score'!$B$5&amp;"")="","",IFERROR(TRIM(INDEX($A123:$Z123,MATCH('Scale score'!$B$5,$A$1:$Z$1,0))&amp;""),""))),"")&lt;='Scale score'!$B$7),IFERROR(VALUE(IF(TRIM('Scale score'!$B$5&amp;"")="","",IFERROR(TRIM(INDEX($A123:$Z123,MATCH('Scale score'!$B$5,$A$1:$Z$1,0))&amp;""),""))),""),""),"")</f>
        <v/>
      </c>
      <c r="AH123" s="41">
        <f>IF(TRIM('Open answers'!$B$5&amp;"")="","",IFERROR(TRIM(INDEX($A123:$Z123,MATCH('Open answers'!$B$5,$A$1:$Z$1,0))&amp;""),""))</f>
        <v/>
      </c>
      <c r="AI123" s="41">
        <f>IF(LEN(AH123)&gt;0,MAX($AI$1:AI122)+1,"")</f>
        <v/>
      </c>
    </row>
    <row r="124">
      <c r="AA124" s="40" t="n"/>
      <c r="AB124" s="41">
        <f>IF(TRIM('Counts'!$B$8&amp;"")="","",IFERROR(TRIM(INDEX($A124:$Z124,MATCH('Counts'!$B$8,$A$1:$Z$1,0))&amp;""),""))</f>
        <v/>
      </c>
      <c r="AC124" s="41">
        <f>IF(TRIM('Counts'!$B$26&amp;"")="","",IFERROR(TRIM(INDEX($A124:$Z124,MATCH('Counts'!$B$26,$A$1:$Z$1,0))&amp;""),""))</f>
        <v/>
      </c>
      <c r="AD124" s="41">
        <f>IF(TRIM('Counts'!$B$44&amp;"")="","",IFERROR(TRIM(INDEX($A124:$Z124,MATCH('Counts'!$B$44,$A$1:$Z$1,0))&amp;""),""))</f>
        <v/>
      </c>
      <c r="AE124" s="41">
        <f>IF(TRIM('Cross-tab'!$B$5&amp;"")="","",IFERROR(TRIM(INDEX($A124:$Z124,MATCH('Cross-tab'!$B$5,$A$1:$Z$1,0))&amp;""),""))</f>
        <v/>
      </c>
      <c r="AF124" s="41">
        <f>IF(TRIM('Cross-tab'!$B$7&amp;"")="","",IFERROR(TRIM(INDEX($A124:$Z124,MATCH('Cross-tab'!$B$7,$A$1:$Z$1,0))&amp;""),""))</f>
        <v/>
      </c>
      <c r="AG124" s="41">
        <f>IF(ISNUMBER(IFERROR(VALUE(IF(TRIM('Scale score'!$B$5&amp;"")="","",IFERROR(TRIM(INDEX($A124:$Z124,MATCH('Scale score'!$B$5,$A$1:$Z$1,0))&amp;""),""))),"")),IF(AND(IFERROR(VALUE(IF(TRIM('Scale score'!$B$5&amp;"")="","",IFERROR(TRIM(INDEX($A124:$Z124,MATCH('Scale score'!$B$5,$A$1:$Z$1,0))&amp;""),""))),"")&gt;='Scale score'!$B$6,IFERROR(VALUE(IF(TRIM('Scale score'!$B$5&amp;"")="","",IFERROR(TRIM(INDEX($A124:$Z124,MATCH('Scale score'!$B$5,$A$1:$Z$1,0))&amp;""),""))),"")&lt;='Scale score'!$B$7),IFERROR(VALUE(IF(TRIM('Scale score'!$B$5&amp;"")="","",IFERROR(TRIM(INDEX($A124:$Z124,MATCH('Scale score'!$B$5,$A$1:$Z$1,0))&amp;""),""))),""),""),"")</f>
        <v/>
      </c>
      <c r="AH124" s="41">
        <f>IF(TRIM('Open answers'!$B$5&amp;"")="","",IFERROR(TRIM(INDEX($A124:$Z124,MATCH('Open answers'!$B$5,$A$1:$Z$1,0))&amp;""),""))</f>
        <v/>
      </c>
      <c r="AI124" s="41">
        <f>IF(LEN(AH124)&gt;0,MAX($AI$1:AI123)+1,"")</f>
        <v/>
      </c>
    </row>
    <row r="125">
      <c r="AA125" s="40" t="n"/>
      <c r="AB125" s="41">
        <f>IF(TRIM('Counts'!$B$8&amp;"")="","",IFERROR(TRIM(INDEX($A125:$Z125,MATCH('Counts'!$B$8,$A$1:$Z$1,0))&amp;""),""))</f>
        <v/>
      </c>
      <c r="AC125" s="41">
        <f>IF(TRIM('Counts'!$B$26&amp;"")="","",IFERROR(TRIM(INDEX($A125:$Z125,MATCH('Counts'!$B$26,$A$1:$Z$1,0))&amp;""),""))</f>
        <v/>
      </c>
      <c r="AD125" s="41">
        <f>IF(TRIM('Counts'!$B$44&amp;"")="","",IFERROR(TRIM(INDEX($A125:$Z125,MATCH('Counts'!$B$44,$A$1:$Z$1,0))&amp;""),""))</f>
        <v/>
      </c>
      <c r="AE125" s="41">
        <f>IF(TRIM('Cross-tab'!$B$5&amp;"")="","",IFERROR(TRIM(INDEX($A125:$Z125,MATCH('Cross-tab'!$B$5,$A$1:$Z$1,0))&amp;""),""))</f>
        <v/>
      </c>
      <c r="AF125" s="41">
        <f>IF(TRIM('Cross-tab'!$B$7&amp;"")="","",IFERROR(TRIM(INDEX($A125:$Z125,MATCH('Cross-tab'!$B$7,$A$1:$Z$1,0))&amp;""),""))</f>
        <v/>
      </c>
      <c r="AG125" s="41">
        <f>IF(ISNUMBER(IFERROR(VALUE(IF(TRIM('Scale score'!$B$5&amp;"")="","",IFERROR(TRIM(INDEX($A125:$Z125,MATCH('Scale score'!$B$5,$A$1:$Z$1,0))&amp;""),""))),"")),IF(AND(IFERROR(VALUE(IF(TRIM('Scale score'!$B$5&amp;"")="","",IFERROR(TRIM(INDEX($A125:$Z125,MATCH('Scale score'!$B$5,$A$1:$Z$1,0))&amp;""),""))),"")&gt;='Scale score'!$B$6,IFERROR(VALUE(IF(TRIM('Scale score'!$B$5&amp;"")="","",IFERROR(TRIM(INDEX($A125:$Z125,MATCH('Scale score'!$B$5,$A$1:$Z$1,0))&amp;""),""))),"")&lt;='Scale score'!$B$7),IFERROR(VALUE(IF(TRIM('Scale score'!$B$5&amp;"")="","",IFERROR(TRIM(INDEX($A125:$Z125,MATCH('Scale score'!$B$5,$A$1:$Z$1,0))&amp;""),""))),""),""),"")</f>
        <v/>
      </c>
      <c r="AH125" s="41">
        <f>IF(TRIM('Open answers'!$B$5&amp;"")="","",IFERROR(TRIM(INDEX($A125:$Z125,MATCH('Open answers'!$B$5,$A$1:$Z$1,0))&amp;""),""))</f>
        <v/>
      </c>
      <c r="AI125" s="41">
        <f>IF(LEN(AH125)&gt;0,MAX($AI$1:AI124)+1,"")</f>
        <v/>
      </c>
    </row>
    <row r="126">
      <c r="AA126" s="40" t="n"/>
      <c r="AB126" s="41">
        <f>IF(TRIM('Counts'!$B$8&amp;"")="","",IFERROR(TRIM(INDEX($A126:$Z126,MATCH('Counts'!$B$8,$A$1:$Z$1,0))&amp;""),""))</f>
        <v/>
      </c>
      <c r="AC126" s="41">
        <f>IF(TRIM('Counts'!$B$26&amp;"")="","",IFERROR(TRIM(INDEX($A126:$Z126,MATCH('Counts'!$B$26,$A$1:$Z$1,0))&amp;""),""))</f>
        <v/>
      </c>
      <c r="AD126" s="41">
        <f>IF(TRIM('Counts'!$B$44&amp;"")="","",IFERROR(TRIM(INDEX($A126:$Z126,MATCH('Counts'!$B$44,$A$1:$Z$1,0))&amp;""),""))</f>
        <v/>
      </c>
      <c r="AE126" s="41">
        <f>IF(TRIM('Cross-tab'!$B$5&amp;"")="","",IFERROR(TRIM(INDEX($A126:$Z126,MATCH('Cross-tab'!$B$5,$A$1:$Z$1,0))&amp;""),""))</f>
        <v/>
      </c>
      <c r="AF126" s="41">
        <f>IF(TRIM('Cross-tab'!$B$7&amp;"")="","",IFERROR(TRIM(INDEX($A126:$Z126,MATCH('Cross-tab'!$B$7,$A$1:$Z$1,0))&amp;""),""))</f>
        <v/>
      </c>
      <c r="AG126" s="41">
        <f>IF(ISNUMBER(IFERROR(VALUE(IF(TRIM('Scale score'!$B$5&amp;"")="","",IFERROR(TRIM(INDEX($A126:$Z126,MATCH('Scale score'!$B$5,$A$1:$Z$1,0))&amp;""),""))),"")),IF(AND(IFERROR(VALUE(IF(TRIM('Scale score'!$B$5&amp;"")="","",IFERROR(TRIM(INDEX($A126:$Z126,MATCH('Scale score'!$B$5,$A$1:$Z$1,0))&amp;""),""))),"")&gt;='Scale score'!$B$6,IFERROR(VALUE(IF(TRIM('Scale score'!$B$5&amp;"")="","",IFERROR(TRIM(INDEX($A126:$Z126,MATCH('Scale score'!$B$5,$A$1:$Z$1,0))&amp;""),""))),"")&lt;='Scale score'!$B$7),IFERROR(VALUE(IF(TRIM('Scale score'!$B$5&amp;"")="","",IFERROR(TRIM(INDEX($A126:$Z126,MATCH('Scale score'!$B$5,$A$1:$Z$1,0))&amp;""),""))),""),""),"")</f>
        <v/>
      </c>
      <c r="AH126" s="41">
        <f>IF(TRIM('Open answers'!$B$5&amp;"")="","",IFERROR(TRIM(INDEX($A126:$Z126,MATCH('Open answers'!$B$5,$A$1:$Z$1,0))&amp;""),""))</f>
        <v/>
      </c>
      <c r="AI126" s="41">
        <f>IF(LEN(AH126)&gt;0,MAX($AI$1:AI125)+1,"")</f>
        <v/>
      </c>
    </row>
    <row r="127">
      <c r="AA127" s="40" t="n"/>
      <c r="AB127" s="41">
        <f>IF(TRIM('Counts'!$B$8&amp;"")="","",IFERROR(TRIM(INDEX($A127:$Z127,MATCH('Counts'!$B$8,$A$1:$Z$1,0))&amp;""),""))</f>
        <v/>
      </c>
      <c r="AC127" s="41">
        <f>IF(TRIM('Counts'!$B$26&amp;"")="","",IFERROR(TRIM(INDEX($A127:$Z127,MATCH('Counts'!$B$26,$A$1:$Z$1,0))&amp;""),""))</f>
        <v/>
      </c>
      <c r="AD127" s="41">
        <f>IF(TRIM('Counts'!$B$44&amp;"")="","",IFERROR(TRIM(INDEX($A127:$Z127,MATCH('Counts'!$B$44,$A$1:$Z$1,0))&amp;""),""))</f>
        <v/>
      </c>
      <c r="AE127" s="41">
        <f>IF(TRIM('Cross-tab'!$B$5&amp;"")="","",IFERROR(TRIM(INDEX($A127:$Z127,MATCH('Cross-tab'!$B$5,$A$1:$Z$1,0))&amp;""),""))</f>
        <v/>
      </c>
      <c r="AF127" s="41">
        <f>IF(TRIM('Cross-tab'!$B$7&amp;"")="","",IFERROR(TRIM(INDEX($A127:$Z127,MATCH('Cross-tab'!$B$7,$A$1:$Z$1,0))&amp;""),""))</f>
        <v/>
      </c>
      <c r="AG127" s="41">
        <f>IF(ISNUMBER(IFERROR(VALUE(IF(TRIM('Scale score'!$B$5&amp;"")="","",IFERROR(TRIM(INDEX($A127:$Z127,MATCH('Scale score'!$B$5,$A$1:$Z$1,0))&amp;""),""))),"")),IF(AND(IFERROR(VALUE(IF(TRIM('Scale score'!$B$5&amp;"")="","",IFERROR(TRIM(INDEX($A127:$Z127,MATCH('Scale score'!$B$5,$A$1:$Z$1,0))&amp;""),""))),"")&gt;='Scale score'!$B$6,IFERROR(VALUE(IF(TRIM('Scale score'!$B$5&amp;"")="","",IFERROR(TRIM(INDEX($A127:$Z127,MATCH('Scale score'!$B$5,$A$1:$Z$1,0))&amp;""),""))),"")&lt;='Scale score'!$B$7),IFERROR(VALUE(IF(TRIM('Scale score'!$B$5&amp;"")="","",IFERROR(TRIM(INDEX($A127:$Z127,MATCH('Scale score'!$B$5,$A$1:$Z$1,0))&amp;""),""))),""),""),"")</f>
        <v/>
      </c>
      <c r="AH127" s="41">
        <f>IF(TRIM('Open answers'!$B$5&amp;"")="","",IFERROR(TRIM(INDEX($A127:$Z127,MATCH('Open answers'!$B$5,$A$1:$Z$1,0))&amp;""),""))</f>
        <v/>
      </c>
      <c r="AI127" s="41">
        <f>IF(LEN(AH127)&gt;0,MAX($AI$1:AI126)+1,"")</f>
        <v/>
      </c>
    </row>
    <row r="128">
      <c r="AA128" s="40" t="n"/>
      <c r="AB128" s="41">
        <f>IF(TRIM('Counts'!$B$8&amp;"")="","",IFERROR(TRIM(INDEX($A128:$Z128,MATCH('Counts'!$B$8,$A$1:$Z$1,0))&amp;""),""))</f>
        <v/>
      </c>
      <c r="AC128" s="41">
        <f>IF(TRIM('Counts'!$B$26&amp;"")="","",IFERROR(TRIM(INDEX($A128:$Z128,MATCH('Counts'!$B$26,$A$1:$Z$1,0))&amp;""),""))</f>
        <v/>
      </c>
      <c r="AD128" s="41">
        <f>IF(TRIM('Counts'!$B$44&amp;"")="","",IFERROR(TRIM(INDEX($A128:$Z128,MATCH('Counts'!$B$44,$A$1:$Z$1,0))&amp;""),""))</f>
        <v/>
      </c>
      <c r="AE128" s="41">
        <f>IF(TRIM('Cross-tab'!$B$5&amp;"")="","",IFERROR(TRIM(INDEX($A128:$Z128,MATCH('Cross-tab'!$B$5,$A$1:$Z$1,0))&amp;""),""))</f>
        <v/>
      </c>
      <c r="AF128" s="41">
        <f>IF(TRIM('Cross-tab'!$B$7&amp;"")="","",IFERROR(TRIM(INDEX($A128:$Z128,MATCH('Cross-tab'!$B$7,$A$1:$Z$1,0))&amp;""),""))</f>
        <v/>
      </c>
      <c r="AG128" s="41">
        <f>IF(ISNUMBER(IFERROR(VALUE(IF(TRIM('Scale score'!$B$5&amp;"")="","",IFERROR(TRIM(INDEX($A128:$Z128,MATCH('Scale score'!$B$5,$A$1:$Z$1,0))&amp;""),""))),"")),IF(AND(IFERROR(VALUE(IF(TRIM('Scale score'!$B$5&amp;"")="","",IFERROR(TRIM(INDEX($A128:$Z128,MATCH('Scale score'!$B$5,$A$1:$Z$1,0))&amp;""),""))),"")&gt;='Scale score'!$B$6,IFERROR(VALUE(IF(TRIM('Scale score'!$B$5&amp;"")="","",IFERROR(TRIM(INDEX($A128:$Z128,MATCH('Scale score'!$B$5,$A$1:$Z$1,0))&amp;""),""))),"")&lt;='Scale score'!$B$7),IFERROR(VALUE(IF(TRIM('Scale score'!$B$5&amp;"")="","",IFERROR(TRIM(INDEX($A128:$Z128,MATCH('Scale score'!$B$5,$A$1:$Z$1,0))&amp;""),""))),""),""),"")</f>
        <v/>
      </c>
      <c r="AH128" s="41">
        <f>IF(TRIM('Open answers'!$B$5&amp;"")="","",IFERROR(TRIM(INDEX($A128:$Z128,MATCH('Open answers'!$B$5,$A$1:$Z$1,0))&amp;""),""))</f>
        <v/>
      </c>
      <c r="AI128" s="41">
        <f>IF(LEN(AH128)&gt;0,MAX($AI$1:AI127)+1,"")</f>
        <v/>
      </c>
    </row>
    <row r="129">
      <c r="AA129" s="40" t="n"/>
      <c r="AB129" s="41">
        <f>IF(TRIM('Counts'!$B$8&amp;"")="","",IFERROR(TRIM(INDEX($A129:$Z129,MATCH('Counts'!$B$8,$A$1:$Z$1,0))&amp;""),""))</f>
        <v/>
      </c>
      <c r="AC129" s="41">
        <f>IF(TRIM('Counts'!$B$26&amp;"")="","",IFERROR(TRIM(INDEX($A129:$Z129,MATCH('Counts'!$B$26,$A$1:$Z$1,0))&amp;""),""))</f>
        <v/>
      </c>
      <c r="AD129" s="41">
        <f>IF(TRIM('Counts'!$B$44&amp;"")="","",IFERROR(TRIM(INDEX($A129:$Z129,MATCH('Counts'!$B$44,$A$1:$Z$1,0))&amp;""),""))</f>
        <v/>
      </c>
      <c r="AE129" s="41">
        <f>IF(TRIM('Cross-tab'!$B$5&amp;"")="","",IFERROR(TRIM(INDEX($A129:$Z129,MATCH('Cross-tab'!$B$5,$A$1:$Z$1,0))&amp;""),""))</f>
        <v/>
      </c>
      <c r="AF129" s="41">
        <f>IF(TRIM('Cross-tab'!$B$7&amp;"")="","",IFERROR(TRIM(INDEX($A129:$Z129,MATCH('Cross-tab'!$B$7,$A$1:$Z$1,0))&amp;""),""))</f>
        <v/>
      </c>
      <c r="AG129" s="41">
        <f>IF(ISNUMBER(IFERROR(VALUE(IF(TRIM('Scale score'!$B$5&amp;"")="","",IFERROR(TRIM(INDEX($A129:$Z129,MATCH('Scale score'!$B$5,$A$1:$Z$1,0))&amp;""),""))),"")),IF(AND(IFERROR(VALUE(IF(TRIM('Scale score'!$B$5&amp;"")="","",IFERROR(TRIM(INDEX($A129:$Z129,MATCH('Scale score'!$B$5,$A$1:$Z$1,0))&amp;""),""))),"")&gt;='Scale score'!$B$6,IFERROR(VALUE(IF(TRIM('Scale score'!$B$5&amp;"")="","",IFERROR(TRIM(INDEX($A129:$Z129,MATCH('Scale score'!$B$5,$A$1:$Z$1,0))&amp;""),""))),"")&lt;='Scale score'!$B$7),IFERROR(VALUE(IF(TRIM('Scale score'!$B$5&amp;"")="","",IFERROR(TRIM(INDEX($A129:$Z129,MATCH('Scale score'!$B$5,$A$1:$Z$1,0))&amp;""),""))),""),""),"")</f>
        <v/>
      </c>
      <c r="AH129" s="41">
        <f>IF(TRIM('Open answers'!$B$5&amp;"")="","",IFERROR(TRIM(INDEX($A129:$Z129,MATCH('Open answers'!$B$5,$A$1:$Z$1,0))&amp;""),""))</f>
        <v/>
      </c>
      <c r="AI129" s="41">
        <f>IF(LEN(AH129)&gt;0,MAX($AI$1:AI128)+1,"")</f>
        <v/>
      </c>
    </row>
    <row r="130">
      <c r="AA130" s="40" t="n"/>
      <c r="AB130" s="41">
        <f>IF(TRIM('Counts'!$B$8&amp;"")="","",IFERROR(TRIM(INDEX($A130:$Z130,MATCH('Counts'!$B$8,$A$1:$Z$1,0))&amp;""),""))</f>
        <v/>
      </c>
      <c r="AC130" s="41">
        <f>IF(TRIM('Counts'!$B$26&amp;"")="","",IFERROR(TRIM(INDEX($A130:$Z130,MATCH('Counts'!$B$26,$A$1:$Z$1,0))&amp;""),""))</f>
        <v/>
      </c>
      <c r="AD130" s="41">
        <f>IF(TRIM('Counts'!$B$44&amp;"")="","",IFERROR(TRIM(INDEX($A130:$Z130,MATCH('Counts'!$B$44,$A$1:$Z$1,0))&amp;""),""))</f>
        <v/>
      </c>
      <c r="AE130" s="41">
        <f>IF(TRIM('Cross-tab'!$B$5&amp;"")="","",IFERROR(TRIM(INDEX($A130:$Z130,MATCH('Cross-tab'!$B$5,$A$1:$Z$1,0))&amp;""),""))</f>
        <v/>
      </c>
      <c r="AF130" s="41">
        <f>IF(TRIM('Cross-tab'!$B$7&amp;"")="","",IFERROR(TRIM(INDEX($A130:$Z130,MATCH('Cross-tab'!$B$7,$A$1:$Z$1,0))&amp;""),""))</f>
        <v/>
      </c>
      <c r="AG130" s="41">
        <f>IF(ISNUMBER(IFERROR(VALUE(IF(TRIM('Scale score'!$B$5&amp;"")="","",IFERROR(TRIM(INDEX($A130:$Z130,MATCH('Scale score'!$B$5,$A$1:$Z$1,0))&amp;""),""))),"")),IF(AND(IFERROR(VALUE(IF(TRIM('Scale score'!$B$5&amp;"")="","",IFERROR(TRIM(INDEX($A130:$Z130,MATCH('Scale score'!$B$5,$A$1:$Z$1,0))&amp;""),""))),"")&gt;='Scale score'!$B$6,IFERROR(VALUE(IF(TRIM('Scale score'!$B$5&amp;"")="","",IFERROR(TRIM(INDEX($A130:$Z130,MATCH('Scale score'!$B$5,$A$1:$Z$1,0))&amp;""),""))),"")&lt;='Scale score'!$B$7),IFERROR(VALUE(IF(TRIM('Scale score'!$B$5&amp;"")="","",IFERROR(TRIM(INDEX($A130:$Z130,MATCH('Scale score'!$B$5,$A$1:$Z$1,0))&amp;""),""))),""),""),"")</f>
        <v/>
      </c>
      <c r="AH130" s="41">
        <f>IF(TRIM('Open answers'!$B$5&amp;"")="","",IFERROR(TRIM(INDEX($A130:$Z130,MATCH('Open answers'!$B$5,$A$1:$Z$1,0))&amp;""),""))</f>
        <v/>
      </c>
      <c r="AI130" s="41">
        <f>IF(LEN(AH130)&gt;0,MAX($AI$1:AI129)+1,"")</f>
        <v/>
      </c>
    </row>
    <row r="131">
      <c r="AA131" s="40" t="n"/>
      <c r="AB131" s="41">
        <f>IF(TRIM('Counts'!$B$8&amp;"")="","",IFERROR(TRIM(INDEX($A131:$Z131,MATCH('Counts'!$B$8,$A$1:$Z$1,0))&amp;""),""))</f>
        <v/>
      </c>
      <c r="AC131" s="41">
        <f>IF(TRIM('Counts'!$B$26&amp;"")="","",IFERROR(TRIM(INDEX($A131:$Z131,MATCH('Counts'!$B$26,$A$1:$Z$1,0))&amp;""),""))</f>
        <v/>
      </c>
      <c r="AD131" s="41">
        <f>IF(TRIM('Counts'!$B$44&amp;"")="","",IFERROR(TRIM(INDEX($A131:$Z131,MATCH('Counts'!$B$44,$A$1:$Z$1,0))&amp;""),""))</f>
        <v/>
      </c>
      <c r="AE131" s="41">
        <f>IF(TRIM('Cross-tab'!$B$5&amp;"")="","",IFERROR(TRIM(INDEX($A131:$Z131,MATCH('Cross-tab'!$B$5,$A$1:$Z$1,0))&amp;""),""))</f>
        <v/>
      </c>
      <c r="AF131" s="41">
        <f>IF(TRIM('Cross-tab'!$B$7&amp;"")="","",IFERROR(TRIM(INDEX($A131:$Z131,MATCH('Cross-tab'!$B$7,$A$1:$Z$1,0))&amp;""),""))</f>
        <v/>
      </c>
      <c r="AG131" s="41">
        <f>IF(ISNUMBER(IFERROR(VALUE(IF(TRIM('Scale score'!$B$5&amp;"")="","",IFERROR(TRIM(INDEX($A131:$Z131,MATCH('Scale score'!$B$5,$A$1:$Z$1,0))&amp;""),""))),"")),IF(AND(IFERROR(VALUE(IF(TRIM('Scale score'!$B$5&amp;"")="","",IFERROR(TRIM(INDEX($A131:$Z131,MATCH('Scale score'!$B$5,$A$1:$Z$1,0))&amp;""),""))),"")&gt;='Scale score'!$B$6,IFERROR(VALUE(IF(TRIM('Scale score'!$B$5&amp;"")="","",IFERROR(TRIM(INDEX($A131:$Z131,MATCH('Scale score'!$B$5,$A$1:$Z$1,0))&amp;""),""))),"")&lt;='Scale score'!$B$7),IFERROR(VALUE(IF(TRIM('Scale score'!$B$5&amp;"")="","",IFERROR(TRIM(INDEX($A131:$Z131,MATCH('Scale score'!$B$5,$A$1:$Z$1,0))&amp;""),""))),""),""),"")</f>
        <v/>
      </c>
      <c r="AH131" s="41">
        <f>IF(TRIM('Open answers'!$B$5&amp;"")="","",IFERROR(TRIM(INDEX($A131:$Z131,MATCH('Open answers'!$B$5,$A$1:$Z$1,0))&amp;""),""))</f>
        <v/>
      </c>
      <c r="AI131" s="41">
        <f>IF(LEN(AH131)&gt;0,MAX($AI$1:AI130)+1,"")</f>
        <v/>
      </c>
    </row>
    <row r="132">
      <c r="AA132" s="40" t="n"/>
      <c r="AB132" s="41">
        <f>IF(TRIM('Counts'!$B$8&amp;"")="","",IFERROR(TRIM(INDEX($A132:$Z132,MATCH('Counts'!$B$8,$A$1:$Z$1,0))&amp;""),""))</f>
        <v/>
      </c>
      <c r="AC132" s="41">
        <f>IF(TRIM('Counts'!$B$26&amp;"")="","",IFERROR(TRIM(INDEX($A132:$Z132,MATCH('Counts'!$B$26,$A$1:$Z$1,0))&amp;""),""))</f>
        <v/>
      </c>
      <c r="AD132" s="41">
        <f>IF(TRIM('Counts'!$B$44&amp;"")="","",IFERROR(TRIM(INDEX($A132:$Z132,MATCH('Counts'!$B$44,$A$1:$Z$1,0))&amp;""),""))</f>
        <v/>
      </c>
      <c r="AE132" s="41">
        <f>IF(TRIM('Cross-tab'!$B$5&amp;"")="","",IFERROR(TRIM(INDEX($A132:$Z132,MATCH('Cross-tab'!$B$5,$A$1:$Z$1,0))&amp;""),""))</f>
        <v/>
      </c>
      <c r="AF132" s="41">
        <f>IF(TRIM('Cross-tab'!$B$7&amp;"")="","",IFERROR(TRIM(INDEX($A132:$Z132,MATCH('Cross-tab'!$B$7,$A$1:$Z$1,0))&amp;""),""))</f>
        <v/>
      </c>
      <c r="AG132" s="41">
        <f>IF(ISNUMBER(IFERROR(VALUE(IF(TRIM('Scale score'!$B$5&amp;"")="","",IFERROR(TRIM(INDEX($A132:$Z132,MATCH('Scale score'!$B$5,$A$1:$Z$1,0))&amp;""),""))),"")),IF(AND(IFERROR(VALUE(IF(TRIM('Scale score'!$B$5&amp;"")="","",IFERROR(TRIM(INDEX($A132:$Z132,MATCH('Scale score'!$B$5,$A$1:$Z$1,0))&amp;""),""))),"")&gt;='Scale score'!$B$6,IFERROR(VALUE(IF(TRIM('Scale score'!$B$5&amp;"")="","",IFERROR(TRIM(INDEX($A132:$Z132,MATCH('Scale score'!$B$5,$A$1:$Z$1,0))&amp;""),""))),"")&lt;='Scale score'!$B$7),IFERROR(VALUE(IF(TRIM('Scale score'!$B$5&amp;"")="","",IFERROR(TRIM(INDEX($A132:$Z132,MATCH('Scale score'!$B$5,$A$1:$Z$1,0))&amp;""),""))),""),""),"")</f>
        <v/>
      </c>
      <c r="AH132" s="41">
        <f>IF(TRIM('Open answers'!$B$5&amp;"")="","",IFERROR(TRIM(INDEX($A132:$Z132,MATCH('Open answers'!$B$5,$A$1:$Z$1,0))&amp;""),""))</f>
        <v/>
      </c>
      <c r="AI132" s="41">
        <f>IF(LEN(AH132)&gt;0,MAX($AI$1:AI131)+1,"")</f>
        <v/>
      </c>
    </row>
    <row r="133">
      <c r="AA133" s="40" t="n"/>
      <c r="AB133" s="41">
        <f>IF(TRIM('Counts'!$B$8&amp;"")="","",IFERROR(TRIM(INDEX($A133:$Z133,MATCH('Counts'!$B$8,$A$1:$Z$1,0))&amp;""),""))</f>
        <v/>
      </c>
      <c r="AC133" s="41">
        <f>IF(TRIM('Counts'!$B$26&amp;"")="","",IFERROR(TRIM(INDEX($A133:$Z133,MATCH('Counts'!$B$26,$A$1:$Z$1,0))&amp;""),""))</f>
        <v/>
      </c>
      <c r="AD133" s="41">
        <f>IF(TRIM('Counts'!$B$44&amp;"")="","",IFERROR(TRIM(INDEX($A133:$Z133,MATCH('Counts'!$B$44,$A$1:$Z$1,0))&amp;""),""))</f>
        <v/>
      </c>
      <c r="AE133" s="41">
        <f>IF(TRIM('Cross-tab'!$B$5&amp;"")="","",IFERROR(TRIM(INDEX($A133:$Z133,MATCH('Cross-tab'!$B$5,$A$1:$Z$1,0))&amp;""),""))</f>
        <v/>
      </c>
      <c r="AF133" s="41">
        <f>IF(TRIM('Cross-tab'!$B$7&amp;"")="","",IFERROR(TRIM(INDEX($A133:$Z133,MATCH('Cross-tab'!$B$7,$A$1:$Z$1,0))&amp;""),""))</f>
        <v/>
      </c>
      <c r="AG133" s="41">
        <f>IF(ISNUMBER(IFERROR(VALUE(IF(TRIM('Scale score'!$B$5&amp;"")="","",IFERROR(TRIM(INDEX($A133:$Z133,MATCH('Scale score'!$B$5,$A$1:$Z$1,0))&amp;""),""))),"")),IF(AND(IFERROR(VALUE(IF(TRIM('Scale score'!$B$5&amp;"")="","",IFERROR(TRIM(INDEX($A133:$Z133,MATCH('Scale score'!$B$5,$A$1:$Z$1,0))&amp;""),""))),"")&gt;='Scale score'!$B$6,IFERROR(VALUE(IF(TRIM('Scale score'!$B$5&amp;"")="","",IFERROR(TRIM(INDEX($A133:$Z133,MATCH('Scale score'!$B$5,$A$1:$Z$1,0))&amp;""),""))),"")&lt;='Scale score'!$B$7),IFERROR(VALUE(IF(TRIM('Scale score'!$B$5&amp;"")="","",IFERROR(TRIM(INDEX($A133:$Z133,MATCH('Scale score'!$B$5,$A$1:$Z$1,0))&amp;""),""))),""),""),"")</f>
        <v/>
      </c>
      <c r="AH133" s="41">
        <f>IF(TRIM('Open answers'!$B$5&amp;"")="","",IFERROR(TRIM(INDEX($A133:$Z133,MATCH('Open answers'!$B$5,$A$1:$Z$1,0))&amp;""),""))</f>
        <v/>
      </c>
      <c r="AI133" s="41">
        <f>IF(LEN(AH133)&gt;0,MAX($AI$1:AI132)+1,"")</f>
        <v/>
      </c>
    </row>
    <row r="134">
      <c r="AA134" s="40" t="n"/>
      <c r="AB134" s="41">
        <f>IF(TRIM('Counts'!$B$8&amp;"")="","",IFERROR(TRIM(INDEX($A134:$Z134,MATCH('Counts'!$B$8,$A$1:$Z$1,0))&amp;""),""))</f>
        <v/>
      </c>
      <c r="AC134" s="41">
        <f>IF(TRIM('Counts'!$B$26&amp;"")="","",IFERROR(TRIM(INDEX($A134:$Z134,MATCH('Counts'!$B$26,$A$1:$Z$1,0))&amp;""),""))</f>
        <v/>
      </c>
      <c r="AD134" s="41">
        <f>IF(TRIM('Counts'!$B$44&amp;"")="","",IFERROR(TRIM(INDEX($A134:$Z134,MATCH('Counts'!$B$44,$A$1:$Z$1,0))&amp;""),""))</f>
        <v/>
      </c>
      <c r="AE134" s="41">
        <f>IF(TRIM('Cross-tab'!$B$5&amp;"")="","",IFERROR(TRIM(INDEX($A134:$Z134,MATCH('Cross-tab'!$B$5,$A$1:$Z$1,0))&amp;""),""))</f>
        <v/>
      </c>
      <c r="AF134" s="41">
        <f>IF(TRIM('Cross-tab'!$B$7&amp;"")="","",IFERROR(TRIM(INDEX($A134:$Z134,MATCH('Cross-tab'!$B$7,$A$1:$Z$1,0))&amp;""),""))</f>
        <v/>
      </c>
      <c r="AG134" s="41">
        <f>IF(ISNUMBER(IFERROR(VALUE(IF(TRIM('Scale score'!$B$5&amp;"")="","",IFERROR(TRIM(INDEX($A134:$Z134,MATCH('Scale score'!$B$5,$A$1:$Z$1,0))&amp;""),""))),"")),IF(AND(IFERROR(VALUE(IF(TRIM('Scale score'!$B$5&amp;"")="","",IFERROR(TRIM(INDEX($A134:$Z134,MATCH('Scale score'!$B$5,$A$1:$Z$1,0))&amp;""),""))),"")&gt;='Scale score'!$B$6,IFERROR(VALUE(IF(TRIM('Scale score'!$B$5&amp;"")="","",IFERROR(TRIM(INDEX($A134:$Z134,MATCH('Scale score'!$B$5,$A$1:$Z$1,0))&amp;""),""))),"")&lt;='Scale score'!$B$7),IFERROR(VALUE(IF(TRIM('Scale score'!$B$5&amp;"")="","",IFERROR(TRIM(INDEX($A134:$Z134,MATCH('Scale score'!$B$5,$A$1:$Z$1,0))&amp;""),""))),""),""),"")</f>
        <v/>
      </c>
      <c r="AH134" s="41">
        <f>IF(TRIM('Open answers'!$B$5&amp;"")="","",IFERROR(TRIM(INDEX($A134:$Z134,MATCH('Open answers'!$B$5,$A$1:$Z$1,0))&amp;""),""))</f>
        <v/>
      </c>
      <c r="AI134" s="41">
        <f>IF(LEN(AH134)&gt;0,MAX($AI$1:AI133)+1,"")</f>
        <v/>
      </c>
    </row>
    <row r="135">
      <c r="AA135" s="40" t="n"/>
      <c r="AB135" s="41">
        <f>IF(TRIM('Counts'!$B$8&amp;"")="","",IFERROR(TRIM(INDEX($A135:$Z135,MATCH('Counts'!$B$8,$A$1:$Z$1,0))&amp;""),""))</f>
        <v/>
      </c>
      <c r="AC135" s="41">
        <f>IF(TRIM('Counts'!$B$26&amp;"")="","",IFERROR(TRIM(INDEX($A135:$Z135,MATCH('Counts'!$B$26,$A$1:$Z$1,0))&amp;""),""))</f>
        <v/>
      </c>
      <c r="AD135" s="41">
        <f>IF(TRIM('Counts'!$B$44&amp;"")="","",IFERROR(TRIM(INDEX($A135:$Z135,MATCH('Counts'!$B$44,$A$1:$Z$1,0))&amp;""),""))</f>
        <v/>
      </c>
      <c r="AE135" s="41">
        <f>IF(TRIM('Cross-tab'!$B$5&amp;"")="","",IFERROR(TRIM(INDEX($A135:$Z135,MATCH('Cross-tab'!$B$5,$A$1:$Z$1,0))&amp;""),""))</f>
        <v/>
      </c>
      <c r="AF135" s="41">
        <f>IF(TRIM('Cross-tab'!$B$7&amp;"")="","",IFERROR(TRIM(INDEX($A135:$Z135,MATCH('Cross-tab'!$B$7,$A$1:$Z$1,0))&amp;""),""))</f>
        <v/>
      </c>
      <c r="AG135" s="41">
        <f>IF(ISNUMBER(IFERROR(VALUE(IF(TRIM('Scale score'!$B$5&amp;"")="","",IFERROR(TRIM(INDEX($A135:$Z135,MATCH('Scale score'!$B$5,$A$1:$Z$1,0))&amp;""),""))),"")),IF(AND(IFERROR(VALUE(IF(TRIM('Scale score'!$B$5&amp;"")="","",IFERROR(TRIM(INDEX($A135:$Z135,MATCH('Scale score'!$B$5,$A$1:$Z$1,0))&amp;""),""))),"")&gt;='Scale score'!$B$6,IFERROR(VALUE(IF(TRIM('Scale score'!$B$5&amp;"")="","",IFERROR(TRIM(INDEX($A135:$Z135,MATCH('Scale score'!$B$5,$A$1:$Z$1,0))&amp;""),""))),"")&lt;='Scale score'!$B$7),IFERROR(VALUE(IF(TRIM('Scale score'!$B$5&amp;"")="","",IFERROR(TRIM(INDEX($A135:$Z135,MATCH('Scale score'!$B$5,$A$1:$Z$1,0))&amp;""),""))),""),""),"")</f>
        <v/>
      </c>
      <c r="AH135" s="41">
        <f>IF(TRIM('Open answers'!$B$5&amp;"")="","",IFERROR(TRIM(INDEX($A135:$Z135,MATCH('Open answers'!$B$5,$A$1:$Z$1,0))&amp;""),""))</f>
        <v/>
      </c>
      <c r="AI135" s="41">
        <f>IF(LEN(AH135)&gt;0,MAX($AI$1:AI134)+1,"")</f>
        <v/>
      </c>
    </row>
    <row r="136">
      <c r="AA136" s="40" t="n"/>
      <c r="AB136" s="41">
        <f>IF(TRIM('Counts'!$B$8&amp;"")="","",IFERROR(TRIM(INDEX($A136:$Z136,MATCH('Counts'!$B$8,$A$1:$Z$1,0))&amp;""),""))</f>
        <v/>
      </c>
      <c r="AC136" s="41">
        <f>IF(TRIM('Counts'!$B$26&amp;"")="","",IFERROR(TRIM(INDEX($A136:$Z136,MATCH('Counts'!$B$26,$A$1:$Z$1,0))&amp;""),""))</f>
        <v/>
      </c>
      <c r="AD136" s="41">
        <f>IF(TRIM('Counts'!$B$44&amp;"")="","",IFERROR(TRIM(INDEX($A136:$Z136,MATCH('Counts'!$B$44,$A$1:$Z$1,0))&amp;""),""))</f>
        <v/>
      </c>
      <c r="AE136" s="41">
        <f>IF(TRIM('Cross-tab'!$B$5&amp;"")="","",IFERROR(TRIM(INDEX($A136:$Z136,MATCH('Cross-tab'!$B$5,$A$1:$Z$1,0))&amp;""),""))</f>
        <v/>
      </c>
      <c r="AF136" s="41">
        <f>IF(TRIM('Cross-tab'!$B$7&amp;"")="","",IFERROR(TRIM(INDEX($A136:$Z136,MATCH('Cross-tab'!$B$7,$A$1:$Z$1,0))&amp;""),""))</f>
        <v/>
      </c>
      <c r="AG136" s="41">
        <f>IF(ISNUMBER(IFERROR(VALUE(IF(TRIM('Scale score'!$B$5&amp;"")="","",IFERROR(TRIM(INDEX($A136:$Z136,MATCH('Scale score'!$B$5,$A$1:$Z$1,0))&amp;""),""))),"")),IF(AND(IFERROR(VALUE(IF(TRIM('Scale score'!$B$5&amp;"")="","",IFERROR(TRIM(INDEX($A136:$Z136,MATCH('Scale score'!$B$5,$A$1:$Z$1,0))&amp;""),""))),"")&gt;='Scale score'!$B$6,IFERROR(VALUE(IF(TRIM('Scale score'!$B$5&amp;"")="","",IFERROR(TRIM(INDEX($A136:$Z136,MATCH('Scale score'!$B$5,$A$1:$Z$1,0))&amp;""),""))),"")&lt;='Scale score'!$B$7),IFERROR(VALUE(IF(TRIM('Scale score'!$B$5&amp;"")="","",IFERROR(TRIM(INDEX($A136:$Z136,MATCH('Scale score'!$B$5,$A$1:$Z$1,0))&amp;""),""))),""),""),"")</f>
        <v/>
      </c>
      <c r="AH136" s="41">
        <f>IF(TRIM('Open answers'!$B$5&amp;"")="","",IFERROR(TRIM(INDEX($A136:$Z136,MATCH('Open answers'!$B$5,$A$1:$Z$1,0))&amp;""),""))</f>
        <v/>
      </c>
      <c r="AI136" s="41">
        <f>IF(LEN(AH136)&gt;0,MAX($AI$1:AI135)+1,"")</f>
        <v/>
      </c>
    </row>
    <row r="137">
      <c r="AA137" s="40" t="n"/>
      <c r="AB137" s="41">
        <f>IF(TRIM('Counts'!$B$8&amp;"")="","",IFERROR(TRIM(INDEX($A137:$Z137,MATCH('Counts'!$B$8,$A$1:$Z$1,0))&amp;""),""))</f>
        <v/>
      </c>
      <c r="AC137" s="41">
        <f>IF(TRIM('Counts'!$B$26&amp;"")="","",IFERROR(TRIM(INDEX($A137:$Z137,MATCH('Counts'!$B$26,$A$1:$Z$1,0))&amp;""),""))</f>
        <v/>
      </c>
      <c r="AD137" s="41">
        <f>IF(TRIM('Counts'!$B$44&amp;"")="","",IFERROR(TRIM(INDEX($A137:$Z137,MATCH('Counts'!$B$44,$A$1:$Z$1,0))&amp;""),""))</f>
        <v/>
      </c>
      <c r="AE137" s="41">
        <f>IF(TRIM('Cross-tab'!$B$5&amp;"")="","",IFERROR(TRIM(INDEX($A137:$Z137,MATCH('Cross-tab'!$B$5,$A$1:$Z$1,0))&amp;""),""))</f>
        <v/>
      </c>
      <c r="AF137" s="41">
        <f>IF(TRIM('Cross-tab'!$B$7&amp;"")="","",IFERROR(TRIM(INDEX($A137:$Z137,MATCH('Cross-tab'!$B$7,$A$1:$Z$1,0))&amp;""),""))</f>
        <v/>
      </c>
      <c r="AG137" s="41">
        <f>IF(ISNUMBER(IFERROR(VALUE(IF(TRIM('Scale score'!$B$5&amp;"")="","",IFERROR(TRIM(INDEX($A137:$Z137,MATCH('Scale score'!$B$5,$A$1:$Z$1,0))&amp;""),""))),"")),IF(AND(IFERROR(VALUE(IF(TRIM('Scale score'!$B$5&amp;"")="","",IFERROR(TRIM(INDEX($A137:$Z137,MATCH('Scale score'!$B$5,$A$1:$Z$1,0))&amp;""),""))),"")&gt;='Scale score'!$B$6,IFERROR(VALUE(IF(TRIM('Scale score'!$B$5&amp;"")="","",IFERROR(TRIM(INDEX($A137:$Z137,MATCH('Scale score'!$B$5,$A$1:$Z$1,0))&amp;""),""))),"")&lt;='Scale score'!$B$7),IFERROR(VALUE(IF(TRIM('Scale score'!$B$5&amp;"")="","",IFERROR(TRIM(INDEX($A137:$Z137,MATCH('Scale score'!$B$5,$A$1:$Z$1,0))&amp;""),""))),""),""),"")</f>
        <v/>
      </c>
      <c r="AH137" s="41">
        <f>IF(TRIM('Open answers'!$B$5&amp;"")="","",IFERROR(TRIM(INDEX($A137:$Z137,MATCH('Open answers'!$B$5,$A$1:$Z$1,0))&amp;""),""))</f>
        <v/>
      </c>
      <c r="AI137" s="41">
        <f>IF(LEN(AH137)&gt;0,MAX($AI$1:AI136)+1,"")</f>
        <v/>
      </c>
    </row>
    <row r="138">
      <c r="AA138" s="40" t="n"/>
      <c r="AB138" s="41">
        <f>IF(TRIM('Counts'!$B$8&amp;"")="","",IFERROR(TRIM(INDEX($A138:$Z138,MATCH('Counts'!$B$8,$A$1:$Z$1,0))&amp;""),""))</f>
        <v/>
      </c>
      <c r="AC138" s="41">
        <f>IF(TRIM('Counts'!$B$26&amp;"")="","",IFERROR(TRIM(INDEX($A138:$Z138,MATCH('Counts'!$B$26,$A$1:$Z$1,0))&amp;""),""))</f>
        <v/>
      </c>
      <c r="AD138" s="41">
        <f>IF(TRIM('Counts'!$B$44&amp;"")="","",IFERROR(TRIM(INDEX($A138:$Z138,MATCH('Counts'!$B$44,$A$1:$Z$1,0))&amp;""),""))</f>
        <v/>
      </c>
      <c r="AE138" s="41">
        <f>IF(TRIM('Cross-tab'!$B$5&amp;"")="","",IFERROR(TRIM(INDEX($A138:$Z138,MATCH('Cross-tab'!$B$5,$A$1:$Z$1,0))&amp;""),""))</f>
        <v/>
      </c>
      <c r="AF138" s="41">
        <f>IF(TRIM('Cross-tab'!$B$7&amp;"")="","",IFERROR(TRIM(INDEX($A138:$Z138,MATCH('Cross-tab'!$B$7,$A$1:$Z$1,0))&amp;""),""))</f>
        <v/>
      </c>
      <c r="AG138" s="41">
        <f>IF(ISNUMBER(IFERROR(VALUE(IF(TRIM('Scale score'!$B$5&amp;"")="","",IFERROR(TRIM(INDEX($A138:$Z138,MATCH('Scale score'!$B$5,$A$1:$Z$1,0))&amp;""),""))),"")),IF(AND(IFERROR(VALUE(IF(TRIM('Scale score'!$B$5&amp;"")="","",IFERROR(TRIM(INDEX($A138:$Z138,MATCH('Scale score'!$B$5,$A$1:$Z$1,0))&amp;""),""))),"")&gt;='Scale score'!$B$6,IFERROR(VALUE(IF(TRIM('Scale score'!$B$5&amp;"")="","",IFERROR(TRIM(INDEX($A138:$Z138,MATCH('Scale score'!$B$5,$A$1:$Z$1,0))&amp;""),""))),"")&lt;='Scale score'!$B$7),IFERROR(VALUE(IF(TRIM('Scale score'!$B$5&amp;"")="","",IFERROR(TRIM(INDEX($A138:$Z138,MATCH('Scale score'!$B$5,$A$1:$Z$1,0))&amp;""),""))),""),""),"")</f>
        <v/>
      </c>
      <c r="AH138" s="41">
        <f>IF(TRIM('Open answers'!$B$5&amp;"")="","",IFERROR(TRIM(INDEX($A138:$Z138,MATCH('Open answers'!$B$5,$A$1:$Z$1,0))&amp;""),""))</f>
        <v/>
      </c>
      <c r="AI138" s="41">
        <f>IF(LEN(AH138)&gt;0,MAX($AI$1:AI137)+1,"")</f>
        <v/>
      </c>
    </row>
    <row r="139">
      <c r="AA139" s="40" t="n"/>
      <c r="AB139" s="41">
        <f>IF(TRIM('Counts'!$B$8&amp;"")="","",IFERROR(TRIM(INDEX($A139:$Z139,MATCH('Counts'!$B$8,$A$1:$Z$1,0))&amp;""),""))</f>
        <v/>
      </c>
      <c r="AC139" s="41">
        <f>IF(TRIM('Counts'!$B$26&amp;"")="","",IFERROR(TRIM(INDEX($A139:$Z139,MATCH('Counts'!$B$26,$A$1:$Z$1,0))&amp;""),""))</f>
        <v/>
      </c>
      <c r="AD139" s="41">
        <f>IF(TRIM('Counts'!$B$44&amp;"")="","",IFERROR(TRIM(INDEX($A139:$Z139,MATCH('Counts'!$B$44,$A$1:$Z$1,0))&amp;""),""))</f>
        <v/>
      </c>
      <c r="AE139" s="41">
        <f>IF(TRIM('Cross-tab'!$B$5&amp;"")="","",IFERROR(TRIM(INDEX($A139:$Z139,MATCH('Cross-tab'!$B$5,$A$1:$Z$1,0))&amp;""),""))</f>
        <v/>
      </c>
      <c r="AF139" s="41">
        <f>IF(TRIM('Cross-tab'!$B$7&amp;"")="","",IFERROR(TRIM(INDEX($A139:$Z139,MATCH('Cross-tab'!$B$7,$A$1:$Z$1,0))&amp;""),""))</f>
        <v/>
      </c>
      <c r="AG139" s="41">
        <f>IF(ISNUMBER(IFERROR(VALUE(IF(TRIM('Scale score'!$B$5&amp;"")="","",IFERROR(TRIM(INDEX($A139:$Z139,MATCH('Scale score'!$B$5,$A$1:$Z$1,0))&amp;""),""))),"")),IF(AND(IFERROR(VALUE(IF(TRIM('Scale score'!$B$5&amp;"")="","",IFERROR(TRIM(INDEX($A139:$Z139,MATCH('Scale score'!$B$5,$A$1:$Z$1,0))&amp;""),""))),"")&gt;='Scale score'!$B$6,IFERROR(VALUE(IF(TRIM('Scale score'!$B$5&amp;"")="","",IFERROR(TRIM(INDEX($A139:$Z139,MATCH('Scale score'!$B$5,$A$1:$Z$1,0))&amp;""),""))),"")&lt;='Scale score'!$B$7),IFERROR(VALUE(IF(TRIM('Scale score'!$B$5&amp;"")="","",IFERROR(TRIM(INDEX($A139:$Z139,MATCH('Scale score'!$B$5,$A$1:$Z$1,0))&amp;""),""))),""),""),"")</f>
        <v/>
      </c>
      <c r="AH139" s="41">
        <f>IF(TRIM('Open answers'!$B$5&amp;"")="","",IFERROR(TRIM(INDEX($A139:$Z139,MATCH('Open answers'!$B$5,$A$1:$Z$1,0))&amp;""),""))</f>
        <v/>
      </c>
      <c r="AI139" s="41">
        <f>IF(LEN(AH139)&gt;0,MAX($AI$1:AI138)+1,"")</f>
        <v/>
      </c>
    </row>
    <row r="140">
      <c r="AA140" s="40" t="n"/>
      <c r="AB140" s="41">
        <f>IF(TRIM('Counts'!$B$8&amp;"")="","",IFERROR(TRIM(INDEX($A140:$Z140,MATCH('Counts'!$B$8,$A$1:$Z$1,0))&amp;""),""))</f>
        <v/>
      </c>
      <c r="AC140" s="41">
        <f>IF(TRIM('Counts'!$B$26&amp;"")="","",IFERROR(TRIM(INDEX($A140:$Z140,MATCH('Counts'!$B$26,$A$1:$Z$1,0))&amp;""),""))</f>
        <v/>
      </c>
      <c r="AD140" s="41">
        <f>IF(TRIM('Counts'!$B$44&amp;"")="","",IFERROR(TRIM(INDEX($A140:$Z140,MATCH('Counts'!$B$44,$A$1:$Z$1,0))&amp;""),""))</f>
        <v/>
      </c>
      <c r="AE140" s="41">
        <f>IF(TRIM('Cross-tab'!$B$5&amp;"")="","",IFERROR(TRIM(INDEX($A140:$Z140,MATCH('Cross-tab'!$B$5,$A$1:$Z$1,0))&amp;""),""))</f>
        <v/>
      </c>
      <c r="AF140" s="41">
        <f>IF(TRIM('Cross-tab'!$B$7&amp;"")="","",IFERROR(TRIM(INDEX($A140:$Z140,MATCH('Cross-tab'!$B$7,$A$1:$Z$1,0))&amp;""),""))</f>
        <v/>
      </c>
      <c r="AG140" s="41">
        <f>IF(ISNUMBER(IFERROR(VALUE(IF(TRIM('Scale score'!$B$5&amp;"")="","",IFERROR(TRIM(INDEX($A140:$Z140,MATCH('Scale score'!$B$5,$A$1:$Z$1,0))&amp;""),""))),"")),IF(AND(IFERROR(VALUE(IF(TRIM('Scale score'!$B$5&amp;"")="","",IFERROR(TRIM(INDEX($A140:$Z140,MATCH('Scale score'!$B$5,$A$1:$Z$1,0))&amp;""),""))),"")&gt;='Scale score'!$B$6,IFERROR(VALUE(IF(TRIM('Scale score'!$B$5&amp;"")="","",IFERROR(TRIM(INDEX($A140:$Z140,MATCH('Scale score'!$B$5,$A$1:$Z$1,0))&amp;""),""))),"")&lt;='Scale score'!$B$7),IFERROR(VALUE(IF(TRIM('Scale score'!$B$5&amp;"")="","",IFERROR(TRIM(INDEX($A140:$Z140,MATCH('Scale score'!$B$5,$A$1:$Z$1,0))&amp;""),""))),""),""),"")</f>
        <v/>
      </c>
      <c r="AH140" s="41">
        <f>IF(TRIM('Open answers'!$B$5&amp;"")="","",IFERROR(TRIM(INDEX($A140:$Z140,MATCH('Open answers'!$B$5,$A$1:$Z$1,0))&amp;""),""))</f>
        <v/>
      </c>
      <c r="AI140" s="41">
        <f>IF(LEN(AH140)&gt;0,MAX($AI$1:AI139)+1,"")</f>
        <v/>
      </c>
    </row>
    <row r="141">
      <c r="AA141" s="40" t="n"/>
      <c r="AB141" s="41">
        <f>IF(TRIM('Counts'!$B$8&amp;"")="","",IFERROR(TRIM(INDEX($A141:$Z141,MATCH('Counts'!$B$8,$A$1:$Z$1,0))&amp;""),""))</f>
        <v/>
      </c>
      <c r="AC141" s="41">
        <f>IF(TRIM('Counts'!$B$26&amp;"")="","",IFERROR(TRIM(INDEX($A141:$Z141,MATCH('Counts'!$B$26,$A$1:$Z$1,0))&amp;""),""))</f>
        <v/>
      </c>
      <c r="AD141" s="41">
        <f>IF(TRIM('Counts'!$B$44&amp;"")="","",IFERROR(TRIM(INDEX($A141:$Z141,MATCH('Counts'!$B$44,$A$1:$Z$1,0))&amp;""),""))</f>
        <v/>
      </c>
      <c r="AE141" s="41">
        <f>IF(TRIM('Cross-tab'!$B$5&amp;"")="","",IFERROR(TRIM(INDEX($A141:$Z141,MATCH('Cross-tab'!$B$5,$A$1:$Z$1,0))&amp;""),""))</f>
        <v/>
      </c>
      <c r="AF141" s="41">
        <f>IF(TRIM('Cross-tab'!$B$7&amp;"")="","",IFERROR(TRIM(INDEX($A141:$Z141,MATCH('Cross-tab'!$B$7,$A$1:$Z$1,0))&amp;""),""))</f>
        <v/>
      </c>
      <c r="AG141" s="41">
        <f>IF(ISNUMBER(IFERROR(VALUE(IF(TRIM('Scale score'!$B$5&amp;"")="","",IFERROR(TRIM(INDEX($A141:$Z141,MATCH('Scale score'!$B$5,$A$1:$Z$1,0))&amp;""),""))),"")),IF(AND(IFERROR(VALUE(IF(TRIM('Scale score'!$B$5&amp;"")="","",IFERROR(TRIM(INDEX($A141:$Z141,MATCH('Scale score'!$B$5,$A$1:$Z$1,0))&amp;""),""))),"")&gt;='Scale score'!$B$6,IFERROR(VALUE(IF(TRIM('Scale score'!$B$5&amp;"")="","",IFERROR(TRIM(INDEX($A141:$Z141,MATCH('Scale score'!$B$5,$A$1:$Z$1,0))&amp;""),""))),"")&lt;='Scale score'!$B$7),IFERROR(VALUE(IF(TRIM('Scale score'!$B$5&amp;"")="","",IFERROR(TRIM(INDEX($A141:$Z141,MATCH('Scale score'!$B$5,$A$1:$Z$1,0))&amp;""),""))),""),""),"")</f>
        <v/>
      </c>
      <c r="AH141" s="41">
        <f>IF(TRIM('Open answers'!$B$5&amp;"")="","",IFERROR(TRIM(INDEX($A141:$Z141,MATCH('Open answers'!$B$5,$A$1:$Z$1,0))&amp;""),""))</f>
        <v/>
      </c>
      <c r="AI141" s="41">
        <f>IF(LEN(AH141)&gt;0,MAX($AI$1:AI140)+1,"")</f>
        <v/>
      </c>
    </row>
    <row r="142">
      <c r="AA142" s="40" t="n"/>
      <c r="AB142" s="41">
        <f>IF(TRIM('Counts'!$B$8&amp;"")="","",IFERROR(TRIM(INDEX($A142:$Z142,MATCH('Counts'!$B$8,$A$1:$Z$1,0))&amp;""),""))</f>
        <v/>
      </c>
      <c r="AC142" s="41">
        <f>IF(TRIM('Counts'!$B$26&amp;"")="","",IFERROR(TRIM(INDEX($A142:$Z142,MATCH('Counts'!$B$26,$A$1:$Z$1,0))&amp;""),""))</f>
        <v/>
      </c>
      <c r="AD142" s="41">
        <f>IF(TRIM('Counts'!$B$44&amp;"")="","",IFERROR(TRIM(INDEX($A142:$Z142,MATCH('Counts'!$B$44,$A$1:$Z$1,0))&amp;""),""))</f>
        <v/>
      </c>
      <c r="AE142" s="41">
        <f>IF(TRIM('Cross-tab'!$B$5&amp;"")="","",IFERROR(TRIM(INDEX($A142:$Z142,MATCH('Cross-tab'!$B$5,$A$1:$Z$1,0))&amp;""),""))</f>
        <v/>
      </c>
      <c r="AF142" s="41">
        <f>IF(TRIM('Cross-tab'!$B$7&amp;"")="","",IFERROR(TRIM(INDEX($A142:$Z142,MATCH('Cross-tab'!$B$7,$A$1:$Z$1,0))&amp;""),""))</f>
        <v/>
      </c>
      <c r="AG142" s="41">
        <f>IF(ISNUMBER(IFERROR(VALUE(IF(TRIM('Scale score'!$B$5&amp;"")="","",IFERROR(TRIM(INDEX($A142:$Z142,MATCH('Scale score'!$B$5,$A$1:$Z$1,0))&amp;""),""))),"")),IF(AND(IFERROR(VALUE(IF(TRIM('Scale score'!$B$5&amp;"")="","",IFERROR(TRIM(INDEX($A142:$Z142,MATCH('Scale score'!$B$5,$A$1:$Z$1,0))&amp;""),""))),"")&gt;='Scale score'!$B$6,IFERROR(VALUE(IF(TRIM('Scale score'!$B$5&amp;"")="","",IFERROR(TRIM(INDEX($A142:$Z142,MATCH('Scale score'!$B$5,$A$1:$Z$1,0))&amp;""),""))),"")&lt;='Scale score'!$B$7),IFERROR(VALUE(IF(TRIM('Scale score'!$B$5&amp;"")="","",IFERROR(TRIM(INDEX($A142:$Z142,MATCH('Scale score'!$B$5,$A$1:$Z$1,0))&amp;""),""))),""),""),"")</f>
        <v/>
      </c>
      <c r="AH142" s="41">
        <f>IF(TRIM('Open answers'!$B$5&amp;"")="","",IFERROR(TRIM(INDEX($A142:$Z142,MATCH('Open answers'!$B$5,$A$1:$Z$1,0))&amp;""),""))</f>
        <v/>
      </c>
      <c r="AI142" s="41">
        <f>IF(LEN(AH142)&gt;0,MAX($AI$1:AI141)+1,"")</f>
        <v/>
      </c>
    </row>
    <row r="143">
      <c r="AA143" s="40" t="n"/>
      <c r="AB143" s="41">
        <f>IF(TRIM('Counts'!$B$8&amp;"")="","",IFERROR(TRIM(INDEX($A143:$Z143,MATCH('Counts'!$B$8,$A$1:$Z$1,0))&amp;""),""))</f>
        <v/>
      </c>
      <c r="AC143" s="41">
        <f>IF(TRIM('Counts'!$B$26&amp;"")="","",IFERROR(TRIM(INDEX($A143:$Z143,MATCH('Counts'!$B$26,$A$1:$Z$1,0))&amp;""),""))</f>
        <v/>
      </c>
      <c r="AD143" s="41">
        <f>IF(TRIM('Counts'!$B$44&amp;"")="","",IFERROR(TRIM(INDEX($A143:$Z143,MATCH('Counts'!$B$44,$A$1:$Z$1,0))&amp;""),""))</f>
        <v/>
      </c>
      <c r="AE143" s="41">
        <f>IF(TRIM('Cross-tab'!$B$5&amp;"")="","",IFERROR(TRIM(INDEX($A143:$Z143,MATCH('Cross-tab'!$B$5,$A$1:$Z$1,0))&amp;""),""))</f>
        <v/>
      </c>
      <c r="AF143" s="41">
        <f>IF(TRIM('Cross-tab'!$B$7&amp;"")="","",IFERROR(TRIM(INDEX($A143:$Z143,MATCH('Cross-tab'!$B$7,$A$1:$Z$1,0))&amp;""),""))</f>
        <v/>
      </c>
      <c r="AG143" s="41">
        <f>IF(ISNUMBER(IFERROR(VALUE(IF(TRIM('Scale score'!$B$5&amp;"")="","",IFERROR(TRIM(INDEX($A143:$Z143,MATCH('Scale score'!$B$5,$A$1:$Z$1,0))&amp;""),""))),"")),IF(AND(IFERROR(VALUE(IF(TRIM('Scale score'!$B$5&amp;"")="","",IFERROR(TRIM(INDEX($A143:$Z143,MATCH('Scale score'!$B$5,$A$1:$Z$1,0))&amp;""),""))),"")&gt;='Scale score'!$B$6,IFERROR(VALUE(IF(TRIM('Scale score'!$B$5&amp;"")="","",IFERROR(TRIM(INDEX($A143:$Z143,MATCH('Scale score'!$B$5,$A$1:$Z$1,0))&amp;""),""))),"")&lt;='Scale score'!$B$7),IFERROR(VALUE(IF(TRIM('Scale score'!$B$5&amp;"")="","",IFERROR(TRIM(INDEX($A143:$Z143,MATCH('Scale score'!$B$5,$A$1:$Z$1,0))&amp;""),""))),""),""),"")</f>
        <v/>
      </c>
      <c r="AH143" s="41">
        <f>IF(TRIM('Open answers'!$B$5&amp;"")="","",IFERROR(TRIM(INDEX($A143:$Z143,MATCH('Open answers'!$B$5,$A$1:$Z$1,0))&amp;""),""))</f>
        <v/>
      </c>
      <c r="AI143" s="41">
        <f>IF(LEN(AH143)&gt;0,MAX($AI$1:AI142)+1,"")</f>
        <v/>
      </c>
    </row>
    <row r="144">
      <c r="AA144" s="40" t="n"/>
      <c r="AB144" s="41">
        <f>IF(TRIM('Counts'!$B$8&amp;"")="","",IFERROR(TRIM(INDEX($A144:$Z144,MATCH('Counts'!$B$8,$A$1:$Z$1,0))&amp;""),""))</f>
        <v/>
      </c>
      <c r="AC144" s="41">
        <f>IF(TRIM('Counts'!$B$26&amp;"")="","",IFERROR(TRIM(INDEX($A144:$Z144,MATCH('Counts'!$B$26,$A$1:$Z$1,0))&amp;""),""))</f>
        <v/>
      </c>
      <c r="AD144" s="41">
        <f>IF(TRIM('Counts'!$B$44&amp;"")="","",IFERROR(TRIM(INDEX($A144:$Z144,MATCH('Counts'!$B$44,$A$1:$Z$1,0))&amp;""),""))</f>
        <v/>
      </c>
      <c r="AE144" s="41">
        <f>IF(TRIM('Cross-tab'!$B$5&amp;"")="","",IFERROR(TRIM(INDEX($A144:$Z144,MATCH('Cross-tab'!$B$5,$A$1:$Z$1,0))&amp;""),""))</f>
        <v/>
      </c>
      <c r="AF144" s="41">
        <f>IF(TRIM('Cross-tab'!$B$7&amp;"")="","",IFERROR(TRIM(INDEX($A144:$Z144,MATCH('Cross-tab'!$B$7,$A$1:$Z$1,0))&amp;""),""))</f>
        <v/>
      </c>
      <c r="AG144" s="41">
        <f>IF(ISNUMBER(IFERROR(VALUE(IF(TRIM('Scale score'!$B$5&amp;"")="","",IFERROR(TRIM(INDEX($A144:$Z144,MATCH('Scale score'!$B$5,$A$1:$Z$1,0))&amp;""),""))),"")),IF(AND(IFERROR(VALUE(IF(TRIM('Scale score'!$B$5&amp;"")="","",IFERROR(TRIM(INDEX($A144:$Z144,MATCH('Scale score'!$B$5,$A$1:$Z$1,0))&amp;""),""))),"")&gt;='Scale score'!$B$6,IFERROR(VALUE(IF(TRIM('Scale score'!$B$5&amp;"")="","",IFERROR(TRIM(INDEX($A144:$Z144,MATCH('Scale score'!$B$5,$A$1:$Z$1,0))&amp;""),""))),"")&lt;='Scale score'!$B$7),IFERROR(VALUE(IF(TRIM('Scale score'!$B$5&amp;"")="","",IFERROR(TRIM(INDEX($A144:$Z144,MATCH('Scale score'!$B$5,$A$1:$Z$1,0))&amp;""),""))),""),""),"")</f>
        <v/>
      </c>
      <c r="AH144" s="41">
        <f>IF(TRIM('Open answers'!$B$5&amp;"")="","",IFERROR(TRIM(INDEX($A144:$Z144,MATCH('Open answers'!$B$5,$A$1:$Z$1,0))&amp;""),""))</f>
        <v/>
      </c>
      <c r="AI144" s="41">
        <f>IF(LEN(AH144)&gt;0,MAX($AI$1:AI143)+1,"")</f>
        <v/>
      </c>
    </row>
    <row r="145">
      <c r="AA145" s="40" t="n"/>
      <c r="AB145" s="41">
        <f>IF(TRIM('Counts'!$B$8&amp;"")="","",IFERROR(TRIM(INDEX($A145:$Z145,MATCH('Counts'!$B$8,$A$1:$Z$1,0))&amp;""),""))</f>
        <v/>
      </c>
      <c r="AC145" s="41">
        <f>IF(TRIM('Counts'!$B$26&amp;"")="","",IFERROR(TRIM(INDEX($A145:$Z145,MATCH('Counts'!$B$26,$A$1:$Z$1,0))&amp;""),""))</f>
        <v/>
      </c>
      <c r="AD145" s="41">
        <f>IF(TRIM('Counts'!$B$44&amp;"")="","",IFERROR(TRIM(INDEX($A145:$Z145,MATCH('Counts'!$B$44,$A$1:$Z$1,0))&amp;""),""))</f>
        <v/>
      </c>
      <c r="AE145" s="41">
        <f>IF(TRIM('Cross-tab'!$B$5&amp;"")="","",IFERROR(TRIM(INDEX($A145:$Z145,MATCH('Cross-tab'!$B$5,$A$1:$Z$1,0))&amp;""),""))</f>
        <v/>
      </c>
      <c r="AF145" s="41">
        <f>IF(TRIM('Cross-tab'!$B$7&amp;"")="","",IFERROR(TRIM(INDEX($A145:$Z145,MATCH('Cross-tab'!$B$7,$A$1:$Z$1,0))&amp;""),""))</f>
        <v/>
      </c>
      <c r="AG145" s="41">
        <f>IF(ISNUMBER(IFERROR(VALUE(IF(TRIM('Scale score'!$B$5&amp;"")="","",IFERROR(TRIM(INDEX($A145:$Z145,MATCH('Scale score'!$B$5,$A$1:$Z$1,0))&amp;""),""))),"")),IF(AND(IFERROR(VALUE(IF(TRIM('Scale score'!$B$5&amp;"")="","",IFERROR(TRIM(INDEX($A145:$Z145,MATCH('Scale score'!$B$5,$A$1:$Z$1,0))&amp;""),""))),"")&gt;='Scale score'!$B$6,IFERROR(VALUE(IF(TRIM('Scale score'!$B$5&amp;"")="","",IFERROR(TRIM(INDEX($A145:$Z145,MATCH('Scale score'!$B$5,$A$1:$Z$1,0))&amp;""),""))),"")&lt;='Scale score'!$B$7),IFERROR(VALUE(IF(TRIM('Scale score'!$B$5&amp;"")="","",IFERROR(TRIM(INDEX($A145:$Z145,MATCH('Scale score'!$B$5,$A$1:$Z$1,0))&amp;""),""))),""),""),"")</f>
        <v/>
      </c>
      <c r="AH145" s="41">
        <f>IF(TRIM('Open answers'!$B$5&amp;"")="","",IFERROR(TRIM(INDEX($A145:$Z145,MATCH('Open answers'!$B$5,$A$1:$Z$1,0))&amp;""),""))</f>
        <v/>
      </c>
      <c r="AI145" s="41">
        <f>IF(LEN(AH145)&gt;0,MAX($AI$1:AI144)+1,"")</f>
        <v/>
      </c>
    </row>
    <row r="146">
      <c r="AA146" s="40" t="n"/>
      <c r="AB146" s="41">
        <f>IF(TRIM('Counts'!$B$8&amp;"")="","",IFERROR(TRIM(INDEX($A146:$Z146,MATCH('Counts'!$B$8,$A$1:$Z$1,0))&amp;""),""))</f>
        <v/>
      </c>
      <c r="AC146" s="41">
        <f>IF(TRIM('Counts'!$B$26&amp;"")="","",IFERROR(TRIM(INDEX($A146:$Z146,MATCH('Counts'!$B$26,$A$1:$Z$1,0))&amp;""),""))</f>
        <v/>
      </c>
      <c r="AD146" s="41">
        <f>IF(TRIM('Counts'!$B$44&amp;"")="","",IFERROR(TRIM(INDEX($A146:$Z146,MATCH('Counts'!$B$44,$A$1:$Z$1,0))&amp;""),""))</f>
        <v/>
      </c>
      <c r="AE146" s="41">
        <f>IF(TRIM('Cross-tab'!$B$5&amp;"")="","",IFERROR(TRIM(INDEX($A146:$Z146,MATCH('Cross-tab'!$B$5,$A$1:$Z$1,0))&amp;""),""))</f>
        <v/>
      </c>
      <c r="AF146" s="41">
        <f>IF(TRIM('Cross-tab'!$B$7&amp;"")="","",IFERROR(TRIM(INDEX($A146:$Z146,MATCH('Cross-tab'!$B$7,$A$1:$Z$1,0))&amp;""),""))</f>
        <v/>
      </c>
      <c r="AG146" s="41">
        <f>IF(ISNUMBER(IFERROR(VALUE(IF(TRIM('Scale score'!$B$5&amp;"")="","",IFERROR(TRIM(INDEX($A146:$Z146,MATCH('Scale score'!$B$5,$A$1:$Z$1,0))&amp;""),""))),"")),IF(AND(IFERROR(VALUE(IF(TRIM('Scale score'!$B$5&amp;"")="","",IFERROR(TRIM(INDEX($A146:$Z146,MATCH('Scale score'!$B$5,$A$1:$Z$1,0))&amp;""),""))),"")&gt;='Scale score'!$B$6,IFERROR(VALUE(IF(TRIM('Scale score'!$B$5&amp;"")="","",IFERROR(TRIM(INDEX($A146:$Z146,MATCH('Scale score'!$B$5,$A$1:$Z$1,0))&amp;""),""))),"")&lt;='Scale score'!$B$7),IFERROR(VALUE(IF(TRIM('Scale score'!$B$5&amp;"")="","",IFERROR(TRIM(INDEX($A146:$Z146,MATCH('Scale score'!$B$5,$A$1:$Z$1,0))&amp;""),""))),""),""),"")</f>
        <v/>
      </c>
      <c r="AH146" s="41">
        <f>IF(TRIM('Open answers'!$B$5&amp;"")="","",IFERROR(TRIM(INDEX($A146:$Z146,MATCH('Open answers'!$B$5,$A$1:$Z$1,0))&amp;""),""))</f>
        <v/>
      </c>
      <c r="AI146" s="41">
        <f>IF(LEN(AH146)&gt;0,MAX($AI$1:AI145)+1,"")</f>
        <v/>
      </c>
    </row>
    <row r="147">
      <c r="AA147" s="40" t="n"/>
      <c r="AB147" s="41">
        <f>IF(TRIM('Counts'!$B$8&amp;"")="","",IFERROR(TRIM(INDEX($A147:$Z147,MATCH('Counts'!$B$8,$A$1:$Z$1,0))&amp;""),""))</f>
        <v/>
      </c>
      <c r="AC147" s="41">
        <f>IF(TRIM('Counts'!$B$26&amp;"")="","",IFERROR(TRIM(INDEX($A147:$Z147,MATCH('Counts'!$B$26,$A$1:$Z$1,0))&amp;""),""))</f>
        <v/>
      </c>
      <c r="AD147" s="41">
        <f>IF(TRIM('Counts'!$B$44&amp;"")="","",IFERROR(TRIM(INDEX($A147:$Z147,MATCH('Counts'!$B$44,$A$1:$Z$1,0))&amp;""),""))</f>
        <v/>
      </c>
      <c r="AE147" s="41">
        <f>IF(TRIM('Cross-tab'!$B$5&amp;"")="","",IFERROR(TRIM(INDEX($A147:$Z147,MATCH('Cross-tab'!$B$5,$A$1:$Z$1,0))&amp;""),""))</f>
        <v/>
      </c>
      <c r="AF147" s="41">
        <f>IF(TRIM('Cross-tab'!$B$7&amp;"")="","",IFERROR(TRIM(INDEX($A147:$Z147,MATCH('Cross-tab'!$B$7,$A$1:$Z$1,0))&amp;""),""))</f>
        <v/>
      </c>
      <c r="AG147" s="41">
        <f>IF(ISNUMBER(IFERROR(VALUE(IF(TRIM('Scale score'!$B$5&amp;"")="","",IFERROR(TRIM(INDEX($A147:$Z147,MATCH('Scale score'!$B$5,$A$1:$Z$1,0))&amp;""),""))),"")),IF(AND(IFERROR(VALUE(IF(TRIM('Scale score'!$B$5&amp;"")="","",IFERROR(TRIM(INDEX($A147:$Z147,MATCH('Scale score'!$B$5,$A$1:$Z$1,0))&amp;""),""))),"")&gt;='Scale score'!$B$6,IFERROR(VALUE(IF(TRIM('Scale score'!$B$5&amp;"")="","",IFERROR(TRIM(INDEX($A147:$Z147,MATCH('Scale score'!$B$5,$A$1:$Z$1,0))&amp;""),""))),"")&lt;='Scale score'!$B$7),IFERROR(VALUE(IF(TRIM('Scale score'!$B$5&amp;"")="","",IFERROR(TRIM(INDEX($A147:$Z147,MATCH('Scale score'!$B$5,$A$1:$Z$1,0))&amp;""),""))),""),""),"")</f>
        <v/>
      </c>
      <c r="AH147" s="41">
        <f>IF(TRIM('Open answers'!$B$5&amp;"")="","",IFERROR(TRIM(INDEX($A147:$Z147,MATCH('Open answers'!$B$5,$A$1:$Z$1,0))&amp;""),""))</f>
        <v/>
      </c>
      <c r="AI147" s="41">
        <f>IF(LEN(AH147)&gt;0,MAX($AI$1:AI146)+1,"")</f>
        <v/>
      </c>
    </row>
    <row r="148">
      <c r="AA148" s="40" t="n"/>
      <c r="AB148" s="41">
        <f>IF(TRIM('Counts'!$B$8&amp;"")="","",IFERROR(TRIM(INDEX($A148:$Z148,MATCH('Counts'!$B$8,$A$1:$Z$1,0))&amp;""),""))</f>
        <v/>
      </c>
      <c r="AC148" s="41">
        <f>IF(TRIM('Counts'!$B$26&amp;"")="","",IFERROR(TRIM(INDEX($A148:$Z148,MATCH('Counts'!$B$26,$A$1:$Z$1,0))&amp;""),""))</f>
        <v/>
      </c>
      <c r="AD148" s="41">
        <f>IF(TRIM('Counts'!$B$44&amp;"")="","",IFERROR(TRIM(INDEX($A148:$Z148,MATCH('Counts'!$B$44,$A$1:$Z$1,0))&amp;""),""))</f>
        <v/>
      </c>
      <c r="AE148" s="41">
        <f>IF(TRIM('Cross-tab'!$B$5&amp;"")="","",IFERROR(TRIM(INDEX($A148:$Z148,MATCH('Cross-tab'!$B$5,$A$1:$Z$1,0))&amp;""),""))</f>
        <v/>
      </c>
      <c r="AF148" s="41">
        <f>IF(TRIM('Cross-tab'!$B$7&amp;"")="","",IFERROR(TRIM(INDEX($A148:$Z148,MATCH('Cross-tab'!$B$7,$A$1:$Z$1,0))&amp;""),""))</f>
        <v/>
      </c>
      <c r="AG148" s="41">
        <f>IF(ISNUMBER(IFERROR(VALUE(IF(TRIM('Scale score'!$B$5&amp;"")="","",IFERROR(TRIM(INDEX($A148:$Z148,MATCH('Scale score'!$B$5,$A$1:$Z$1,0))&amp;""),""))),"")),IF(AND(IFERROR(VALUE(IF(TRIM('Scale score'!$B$5&amp;"")="","",IFERROR(TRIM(INDEX($A148:$Z148,MATCH('Scale score'!$B$5,$A$1:$Z$1,0))&amp;""),""))),"")&gt;='Scale score'!$B$6,IFERROR(VALUE(IF(TRIM('Scale score'!$B$5&amp;"")="","",IFERROR(TRIM(INDEX($A148:$Z148,MATCH('Scale score'!$B$5,$A$1:$Z$1,0))&amp;""),""))),"")&lt;='Scale score'!$B$7),IFERROR(VALUE(IF(TRIM('Scale score'!$B$5&amp;"")="","",IFERROR(TRIM(INDEX($A148:$Z148,MATCH('Scale score'!$B$5,$A$1:$Z$1,0))&amp;""),""))),""),""),"")</f>
        <v/>
      </c>
      <c r="AH148" s="41">
        <f>IF(TRIM('Open answers'!$B$5&amp;"")="","",IFERROR(TRIM(INDEX($A148:$Z148,MATCH('Open answers'!$B$5,$A$1:$Z$1,0))&amp;""),""))</f>
        <v/>
      </c>
      <c r="AI148" s="41">
        <f>IF(LEN(AH148)&gt;0,MAX($AI$1:AI147)+1,"")</f>
        <v/>
      </c>
    </row>
    <row r="149">
      <c r="AA149" s="40" t="n"/>
      <c r="AB149" s="41">
        <f>IF(TRIM('Counts'!$B$8&amp;"")="","",IFERROR(TRIM(INDEX($A149:$Z149,MATCH('Counts'!$B$8,$A$1:$Z$1,0))&amp;""),""))</f>
        <v/>
      </c>
      <c r="AC149" s="41">
        <f>IF(TRIM('Counts'!$B$26&amp;"")="","",IFERROR(TRIM(INDEX($A149:$Z149,MATCH('Counts'!$B$26,$A$1:$Z$1,0))&amp;""),""))</f>
        <v/>
      </c>
      <c r="AD149" s="41">
        <f>IF(TRIM('Counts'!$B$44&amp;"")="","",IFERROR(TRIM(INDEX($A149:$Z149,MATCH('Counts'!$B$44,$A$1:$Z$1,0))&amp;""),""))</f>
        <v/>
      </c>
      <c r="AE149" s="41">
        <f>IF(TRIM('Cross-tab'!$B$5&amp;"")="","",IFERROR(TRIM(INDEX($A149:$Z149,MATCH('Cross-tab'!$B$5,$A$1:$Z$1,0))&amp;""),""))</f>
        <v/>
      </c>
      <c r="AF149" s="41">
        <f>IF(TRIM('Cross-tab'!$B$7&amp;"")="","",IFERROR(TRIM(INDEX($A149:$Z149,MATCH('Cross-tab'!$B$7,$A$1:$Z$1,0))&amp;""),""))</f>
        <v/>
      </c>
      <c r="AG149" s="41">
        <f>IF(ISNUMBER(IFERROR(VALUE(IF(TRIM('Scale score'!$B$5&amp;"")="","",IFERROR(TRIM(INDEX($A149:$Z149,MATCH('Scale score'!$B$5,$A$1:$Z$1,0))&amp;""),""))),"")),IF(AND(IFERROR(VALUE(IF(TRIM('Scale score'!$B$5&amp;"")="","",IFERROR(TRIM(INDEX($A149:$Z149,MATCH('Scale score'!$B$5,$A$1:$Z$1,0))&amp;""),""))),"")&gt;='Scale score'!$B$6,IFERROR(VALUE(IF(TRIM('Scale score'!$B$5&amp;"")="","",IFERROR(TRIM(INDEX($A149:$Z149,MATCH('Scale score'!$B$5,$A$1:$Z$1,0))&amp;""),""))),"")&lt;='Scale score'!$B$7),IFERROR(VALUE(IF(TRIM('Scale score'!$B$5&amp;"")="","",IFERROR(TRIM(INDEX($A149:$Z149,MATCH('Scale score'!$B$5,$A$1:$Z$1,0))&amp;""),""))),""),""),"")</f>
        <v/>
      </c>
      <c r="AH149" s="41">
        <f>IF(TRIM('Open answers'!$B$5&amp;"")="","",IFERROR(TRIM(INDEX($A149:$Z149,MATCH('Open answers'!$B$5,$A$1:$Z$1,0))&amp;""),""))</f>
        <v/>
      </c>
      <c r="AI149" s="41">
        <f>IF(LEN(AH149)&gt;0,MAX($AI$1:AI148)+1,"")</f>
        <v/>
      </c>
    </row>
    <row r="150">
      <c r="AA150" s="40" t="n"/>
      <c r="AB150" s="41">
        <f>IF(TRIM('Counts'!$B$8&amp;"")="","",IFERROR(TRIM(INDEX($A150:$Z150,MATCH('Counts'!$B$8,$A$1:$Z$1,0))&amp;""),""))</f>
        <v/>
      </c>
      <c r="AC150" s="41">
        <f>IF(TRIM('Counts'!$B$26&amp;"")="","",IFERROR(TRIM(INDEX($A150:$Z150,MATCH('Counts'!$B$26,$A$1:$Z$1,0))&amp;""),""))</f>
        <v/>
      </c>
      <c r="AD150" s="41">
        <f>IF(TRIM('Counts'!$B$44&amp;"")="","",IFERROR(TRIM(INDEX($A150:$Z150,MATCH('Counts'!$B$44,$A$1:$Z$1,0))&amp;""),""))</f>
        <v/>
      </c>
      <c r="AE150" s="41">
        <f>IF(TRIM('Cross-tab'!$B$5&amp;"")="","",IFERROR(TRIM(INDEX($A150:$Z150,MATCH('Cross-tab'!$B$5,$A$1:$Z$1,0))&amp;""),""))</f>
        <v/>
      </c>
      <c r="AF150" s="41">
        <f>IF(TRIM('Cross-tab'!$B$7&amp;"")="","",IFERROR(TRIM(INDEX($A150:$Z150,MATCH('Cross-tab'!$B$7,$A$1:$Z$1,0))&amp;""),""))</f>
        <v/>
      </c>
      <c r="AG150" s="41">
        <f>IF(ISNUMBER(IFERROR(VALUE(IF(TRIM('Scale score'!$B$5&amp;"")="","",IFERROR(TRIM(INDEX($A150:$Z150,MATCH('Scale score'!$B$5,$A$1:$Z$1,0))&amp;""),""))),"")),IF(AND(IFERROR(VALUE(IF(TRIM('Scale score'!$B$5&amp;"")="","",IFERROR(TRIM(INDEX($A150:$Z150,MATCH('Scale score'!$B$5,$A$1:$Z$1,0))&amp;""),""))),"")&gt;='Scale score'!$B$6,IFERROR(VALUE(IF(TRIM('Scale score'!$B$5&amp;"")="","",IFERROR(TRIM(INDEX($A150:$Z150,MATCH('Scale score'!$B$5,$A$1:$Z$1,0))&amp;""),""))),"")&lt;='Scale score'!$B$7),IFERROR(VALUE(IF(TRIM('Scale score'!$B$5&amp;"")="","",IFERROR(TRIM(INDEX($A150:$Z150,MATCH('Scale score'!$B$5,$A$1:$Z$1,0))&amp;""),""))),""),""),"")</f>
        <v/>
      </c>
      <c r="AH150" s="41">
        <f>IF(TRIM('Open answers'!$B$5&amp;"")="","",IFERROR(TRIM(INDEX($A150:$Z150,MATCH('Open answers'!$B$5,$A$1:$Z$1,0))&amp;""),""))</f>
        <v/>
      </c>
      <c r="AI150" s="41">
        <f>IF(LEN(AH150)&gt;0,MAX($AI$1:AI149)+1,"")</f>
        <v/>
      </c>
    </row>
    <row r="151">
      <c r="AA151" s="40" t="n"/>
      <c r="AB151" s="41">
        <f>IF(TRIM('Counts'!$B$8&amp;"")="","",IFERROR(TRIM(INDEX($A151:$Z151,MATCH('Counts'!$B$8,$A$1:$Z$1,0))&amp;""),""))</f>
        <v/>
      </c>
      <c r="AC151" s="41">
        <f>IF(TRIM('Counts'!$B$26&amp;"")="","",IFERROR(TRIM(INDEX($A151:$Z151,MATCH('Counts'!$B$26,$A$1:$Z$1,0))&amp;""),""))</f>
        <v/>
      </c>
      <c r="AD151" s="41">
        <f>IF(TRIM('Counts'!$B$44&amp;"")="","",IFERROR(TRIM(INDEX($A151:$Z151,MATCH('Counts'!$B$44,$A$1:$Z$1,0))&amp;""),""))</f>
        <v/>
      </c>
      <c r="AE151" s="41">
        <f>IF(TRIM('Cross-tab'!$B$5&amp;"")="","",IFERROR(TRIM(INDEX($A151:$Z151,MATCH('Cross-tab'!$B$5,$A$1:$Z$1,0))&amp;""),""))</f>
        <v/>
      </c>
      <c r="AF151" s="41">
        <f>IF(TRIM('Cross-tab'!$B$7&amp;"")="","",IFERROR(TRIM(INDEX($A151:$Z151,MATCH('Cross-tab'!$B$7,$A$1:$Z$1,0))&amp;""),""))</f>
        <v/>
      </c>
      <c r="AG151" s="41">
        <f>IF(ISNUMBER(IFERROR(VALUE(IF(TRIM('Scale score'!$B$5&amp;"")="","",IFERROR(TRIM(INDEX($A151:$Z151,MATCH('Scale score'!$B$5,$A$1:$Z$1,0))&amp;""),""))),"")),IF(AND(IFERROR(VALUE(IF(TRIM('Scale score'!$B$5&amp;"")="","",IFERROR(TRIM(INDEX($A151:$Z151,MATCH('Scale score'!$B$5,$A$1:$Z$1,0))&amp;""),""))),"")&gt;='Scale score'!$B$6,IFERROR(VALUE(IF(TRIM('Scale score'!$B$5&amp;"")="","",IFERROR(TRIM(INDEX($A151:$Z151,MATCH('Scale score'!$B$5,$A$1:$Z$1,0))&amp;""),""))),"")&lt;='Scale score'!$B$7),IFERROR(VALUE(IF(TRIM('Scale score'!$B$5&amp;"")="","",IFERROR(TRIM(INDEX($A151:$Z151,MATCH('Scale score'!$B$5,$A$1:$Z$1,0))&amp;""),""))),""),""),"")</f>
        <v/>
      </c>
      <c r="AH151" s="41">
        <f>IF(TRIM('Open answers'!$B$5&amp;"")="","",IFERROR(TRIM(INDEX($A151:$Z151,MATCH('Open answers'!$B$5,$A$1:$Z$1,0))&amp;""),""))</f>
        <v/>
      </c>
      <c r="AI151" s="41">
        <f>IF(LEN(AH151)&gt;0,MAX($AI$1:AI150)+1,"")</f>
        <v/>
      </c>
    </row>
    <row r="152">
      <c r="AA152" s="40" t="n"/>
      <c r="AB152" s="41">
        <f>IF(TRIM('Counts'!$B$8&amp;"")="","",IFERROR(TRIM(INDEX($A152:$Z152,MATCH('Counts'!$B$8,$A$1:$Z$1,0))&amp;""),""))</f>
        <v/>
      </c>
      <c r="AC152" s="41">
        <f>IF(TRIM('Counts'!$B$26&amp;"")="","",IFERROR(TRIM(INDEX($A152:$Z152,MATCH('Counts'!$B$26,$A$1:$Z$1,0))&amp;""),""))</f>
        <v/>
      </c>
      <c r="AD152" s="41">
        <f>IF(TRIM('Counts'!$B$44&amp;"")="","",IFERROR(TRIM(INDEX($A152:$Z152,MATCH('Counts'!$B$44,$A$1:$Z$1,0))&amp;""),""))</f>
        <v/>
      </c>
      <c r="AE152" s="41">
        <f>IF(TRIM('Cross-tab'!$B$5&amp;"")="","",IFERROR(TRIM(INDEX($A152:$Z152,MATCH('Cross-tab'!$B$5,$A$1:$Z$1,0))&amp;""),""))</f>
        <v/>
      </c>
      <c r="AF152" s="41">
        <f>IF(TRIM('Cross-tab'!$B$7&amp;"")="","",IFERROR(TRIM(INDEX($A152:$Z152,MATCH('Cross-tab'!$B$7,$A$1:$Z$1,0))&amp;""),""))</f>
        <v/>
      </c>
      <c r="AG152" s="41">
        <f>IF(ISNUMBER(IFERROR(VALUE(IF(TRIM('Scale score'!$B$5&amp;"")="","",IFERROR(TRIM(INDEX($A152:$Z152,MATCH('Scale score'!$B$5,$A$1:$Z$1,0))&amp;""),""))),"")),IF(AND(IFERROR(VALUE(IF(TRIM('Scale score'!$B$5&amp;"")="","",IFERROR(TRIM(INDEX($A152:$Z152,MATCH('Scale score'!$B$5,$A$1:$Z$1,0))&amp;""),""))),"")&gt;='Scale score'!$B$6,IFERROR(VALUE(IF(TRIM('Scale score'!$B$5&amp;"")="","",IFERROR(TRIM(INDEX($A152:$Z152,MATCH('Scale score'!$B$5,$A$1:$Z$1,0))&amp;""),""))),"")&lt;='Scale score'!$B$7),IFERROR(VALUE(IF(TRIM('Scale score'!$B$5&amp;"")="","",IFERROR(TRIM(INDEX($A152:$Z152,MATCH('Scale score'!$B$5,$A$1:$Z$1,0))&amp;""),""))),""),""),"")</f>
        <v/>
      </c>
      <c r="AH152" s="41">
        <f>IF(TRIM('Open answers'!$B$5&amp;"")="","",IFERROR(TRIM(INDEX($A152:$Z152,MATCH('Open answers'!$B$5,$A$1:$Z$1,0))&amp;""),""))</f>
        <v/>
      </c>
      <c r="AI152" s="41">
        <f>IF(LEN(AH152)&gt;0,MAX($AI$1:AI151)+1,"")</f>
        <v/>
      </c>
    </row>
    <row r="153">
      <c r="AA153" s="40" t="n"/>
      <c r="AB153" s="41">
        <f>IF(TRIM('Counts'!$B$8&amp;"")="","",IFERROR(TRIM(INDEX($A153:$Z153,MATCH('Counts'!$B$8,$A$1:$Z$1,0))&amp;""),""))</f>
        <v/>
      </c>
      <c r="AC153" s="41">
        <f>IF(TRIM('Counts'!$B$26&amp;"")="","",IFERROR(TRIM(INDEX($A153:$Z153,MATCH('Counts'!$B$26,$A$1:$Z$1,0))&amp;""),""))</f>
        <v/>
      </c>
      <c r="AD153" s="41">
        <f>IF(TRIM('Counts'!$B$44&amp;"")="","",IFERROR(TRIM(INDEX($A153:$Z153,MATCH('Counts'!$B$44,$A$1:$Z$1,0))&amp;""),""))</f>
        <v/>
      </c>
      <c r="AE153" s="41">
        <f>IF(TRIM('Cross-tab'!$B$5&amp;"")="","",IFERROR(TRIM(INDEX($A153:$Z153,MATCH('Cross-tab'!$B$5,$A$1:$Z$1,0))&amp;""),""))</f>
        <v/>
      </c>
      <c r="AF153" s="41">
        <f>IF(TRIM('Cross-tab'!$B$7&amp;"")="","",IFERROR(TRIM(INDEX($A153:$Z153,MATCH('Cross-tab'!$B$7,$A$1:$Z$1,0))&amp;""),""))</f>
        <v/>
      </c>
      <c r="AG153" s="41">
        <f>IF(ISNUMBER(IFERROR(VALUE(IF(TRIM('Scale score'!$B$5&amp;"")="","",IFERROR(TRIM(INDEX($A153:$Z153,MATCH('Scale score'!$B$5,$A$1:$Z$1,0))&amp;""),""))),"")),IF(AND(IFERROR(VALUE(IF(TRIM('Scale score'!$B$5&amp;"")="","",IFERROR(TRIM(INDEX($A153:$Z153,MATCH('Scale score'!$B$5,$A$1:$Z$1,0))&amp;""),""))),"")&gt;='Scale score'!$B$6,IFERROR(VALUE(IF(TRIM('Scale score'!$B$5&amp;"")="","",IFERROR(TRIM(INDEX($A153:$Z153,MATCH('Scale score'!$B$5,$A$1:$Z$1,0))&amp;""),""))),"")&lt;='Scale score'!$B$7),IFERROR(VALUE(IF(TRIM('Scale score'!$B$5&amp;"")="","",IFERROR(TRIM(INDEX($A153:$Z153,MATCH('Scale score'!$B$5,$A$1:$Z$1,0))&amp;""),""))),""),""),"")</f>
        <v/>
      </c>
      <c r="AH153" s="41">
        <f>IF(TRIM('Open answers'!$B$5&amp;"")="","",IFERROR(TRIM(INDEX($A153:$Z153,MATCH('Open answers'!$B$5,$A$1:$Z$1,0))&amp;""),""))</f>
        <v/>
      </c>
      <c r="AI153" s="41">
        <f>IF(LEN(AH153)&gt;0,MAX($AI$1:AI152)+1,"")</f>
        <v/>
      </c>
    </row>
    <row r="154">
      <c r="AA154" s="40" t="n"/>
      <c r="AB154" s="41">
        <f>IF(TRIM('Counts'!$B$8&amp;"")="","",IFERROR(TRIM(INDEX($A154:$Z154,MATCH('Counts'!$B$8,$A$1:$Z$1,0))&amp;""),""))</f>
        <v/>
      </c>
      <c r="AC154" s="41">
        <f>IF(TRIM('Counts'!$B$26&amp;"")="","",IFERROR(TRIM(INDEX($A154:$Z154,MATCH('Counts'!$B$26,$A$1:$Z$1,0))&amp;""),""))</f>
        <v/>
      </c>
      <c r="AD154" s="41">
        <f>IF(TRIM('Counts'!$B$44&amp;"")="","",IFERROR(TRIM(INDEX($A154:$Z154,MATCH('Counts'!$B$44,$A$1:$Z$1,0))&amp;""),""))</f>
        <v/>
      </c>
      <c r="AE154" s="41">
        <f>IF(TRIM('Cross-tab'!$B$5&amp;"")="","",IFERROR(TRIM(INDEX($A154:$Z154,MATCH('Cross-tab'!$B$5,$A$1:$Z$1,0))&amp;""),""))</f>
        <v/>
      </c>
      <c r="AF154" s="41">
        <f>IF(TRIM('Cross-tab'!$B$7&amp;"")="","",IFERROR(TRIM(INDEX($A154:$Z154,MATCH('Cross-tab'!$B$7,$A$1:$Z$1,0))&amp;""),""))</f>
        <v/>
      </c>
      <c r="AG154" s="41">
        <f>IF(ISNUMBER(IFERROR(VALUE(IF(TRIM('Scale score'!$B$5&amp;"")="","",IFERROR(TRIM(INDEX($A154:$Z154,MATCH('Scale score'!$B$5,$A$1:$Z$1,0))&amp;""),""))),"")),IF(AND(IFERROR(VALUE(IF(TRIM('Scale score'!$B$5&amp;"")="","",IFERROR(TRIM(INDEX($A154:$Z154,MATCH('Scale score'!$B$5,$A$1:$Z$1,0))&amp;""),""))),"")&gt;='Scale score'!$B$6,IFERROR(VALUE(IF(TRIM('Scale score'!$B$5&amp;"")="","",IFERROR(TRIM(INDEX($A154:$Z154,MATCH('Scale score'!$B$5,$A$1:$Z$1,0))&amp;""),""))),"")&lt;='Scale score'!$B$7),IFERROR(VALUE(IF(TRIM('Scale score'!$B$5&amp;"")="","",IFERROR(TRIM(INDEX($A154:$Z154,MATCH('Scale score'!$B$5,$A$1:$Z$1,0))&amp;""),""))),""),""),"")</f>
        <v/>
      </c>
      <c r="AH154" s="41">
        <f>IF(TRIM('Open answers'!$B$5&amp;"")="","",IFERROR(TRIM(INDEX($A154:$Z154,MATCH('Open answers'!$B$5,$A$1:$Z$1,0))&amp;""),""))</f>
        <v/>
      </c>
      <c r="AI154" s="41">
        <f>IF(LEN(AH154)&gt;0,MAX($AI$1:AI153)+1,"")</f>
        <v/>
      </c>
    </row>
    <row r="155">
      <c r="AA155" s="40" t="n"/>
      <c r="AB155" s="41">
        <f>IF(TRIM('Counts'!$B$8&amp;"")="","",IFERROR(TRIM(INDEX($A155:$Z155,MATCH('Counts'!$B$8,$A$1:$Z$1,0))&amp;""),""))</f>
        <v/>
      </c>
      <c r="AC155" s="41">
        <f>IF(TRIM('Counts'!$B$26&amp;"")="","",IFERROR(TRIM(INDEX($A155:$Z155,MATCH('Counts'!$B$26,$A$1:$Z$1,0))&amp;""),""))</f>
        <v/>
      </c>
      <c r="AD155" s="41">
        <f>IF(TRIM('Counts'!$B$44&amp;"")="","",IFERROR(TRIM(INDEX($A155:$Z155,MATCH('Counts'!$B$44,$A$1:$Z$1,0))&amp;""),""))</f>
        <v/>
      </c>
      <c r="AE155" s="41">
        <f>IF(TRIM('Cross-tab'!$B$5&amp;"")="","",IFERROR(TRIM(INDEX($A155:$Z155,MATCH('Cross-tab'!$B$5,$A$1:$Z$1,0))&amp;""),""))</f>
        <v/>
      </c>
      <c r="AF155" s="41">
        <f>IF(TRIM('Cross-tab'!$B$7&amp;"")="","",IFERROR(TRIM(INDEX($A155:$Z155,MATCH('Cross-tab'!$B$7,$A$1:$Z$1,0))&amp;""),""))</f>
        <v/>
      </c>
      <c r="AG155" s="41">
        <f>IF(ISNUMBER(IFERROR(VALUE(IF(TRIM('Scale score'!$B$5&amp;"")="","",IFERROR(TRIM(INDEX($A155:$Z155,MATCH('Scale score'!$B$5,$A$1:$Z$1,0))&amp;""),""))),"")),IF(AND(IFERROR(VALUE(IF(TRIM('Scale score'!$B$5&amp;"")="","",IFERROR(TRIM(INDEX($A155:$Z155,MATCH('Scale score'!$B$5,$A$1:$Z$1,0))&amp;""),""))),"")&gt;='Scale score'!$B$6,IFERROR(VALUE(IF(TRIM('Scale score'!$B$5&amp;"")="","",IFERROR(TRIM(INDEX($A155:$Z155,MATCH('Scale score'!$B$5,$A$1:$Z$1,0))&amp;""),""))),"")&lt;='Scale score'!$B$7),IFERROR(VALUE(IF(TRIM('Scale score'!$B$5&amp;"")="","",IFERROR(TRIM(INDEX($A155:$Z155,MATCH('Scale score'!$B$5,$A$1:$Z$1,0))&amp;""),""))),""),""),"")</f>
        <v/>
      </c>
      <c r="AH155" s="41">
        <f>IF(TRIM('Open answers'!$B$5&amp;"")="","",IFERROR(TRIM(INDEX($A155:$Z155,MATCH('Open answers'!$B$5,$A$1:$Z$1,0))&amp;""),""))</f>
        <v/>
      </c>
      <c r="AI155" s="41">
        <f>IF(LEN(AH155)&gt;0,MAX($AI$1:AI154)+1,"")</f>
        <v/>
      </c>
    </row>
    <row r="156">
      <c r="AA156" s="40" t="n"/>
      <c r="AB156" s="41">
        <f>IF(TRIM('Counts'!$B$8&amp;"")="","",IFERROR(TRIM(INDEX($A156:$Z156,MATCH('Counts'!$B$8,$A$1:$Z$1,0))&amp;""),""))</f>
        <v/>
      </c>
      <c r="AC156" s="41">
        <f>IF(TRIM('Counts'!$B$26&amp;"")="","",IFERROR(TRIM(INDEX($A156:$Z156,MATCH('Counts'!$B$26,$A$1:$Z$1,0))&amp;""),""))</f>
        <v/>
      </c>
      <c r="AD156" s="41">
        <f>IF(TRIM('Counts'!$B$44&amp;"")="","",IFERROR(TRIM(INDEX($A156:$Z156,MATCH('Counts'!$B$44,$A$1:$Z$1,0))&amp;""),""))</f>
        <v/>
      </c>
      <c r="AE156" s="41">
        <f>IF(TRIM('Cross-tab'!$B$5&amp;"")="","",IFERROR(TRIM(INDEX($A156:$Z156,MATCH('Cross-tab'!$B$5,$A$1:$Z$1,0))&amp;""),""))</f>
        <v/>
      </c>
      <c r="AF156" s="41">
        <f>IF(TRIM('Cross-tab'!$B$7&amp;"")="","",IFERROR(TRIM(INDEX($A156:$Z156,MATCH('Cross-tab'!$B$7,$A$1:$Z$1,0))&amp;""),""))</f>
        <v/>
      </c>
      <c r="AG156" s="41">
        <f>IF(ISNUMBER(IFERROR(VALUE(IF(TRIM('Scale score'!$B$5&amp;"")="","",IFERROR(TRIM(INDEX($A156:$Z156,MATCH('Scale score'!$B$5,$A$1:$Z$1,0))&amp;""),""))),"")),IF(AND(IFERROR(VALUE(IF(TRIM('Scale score'!$B$5&amp;"")="","",IFERROR(TRIM(INDEX($A156:$Z156,MATCH('Scale score'!$B$5,$A$1:$Z$1,0))&amp;""),""))),"")&gt;='Scale score'!$B$6,IFERROR(VALUE(IF(TRIM('Scale score'!$B$5&amp;"")="","",IFERROR(TRIM(INDEX($A156:$Z156,MATCH('Scale score'!$B$5,$A$1:$Z$1,0))&amp;""),""))),"")&lt;='Scale score'!$B$7),IFERROR(VALUE(IF(TRIM('Scale score'!$B$5&amp;"")="","",IFERROR(TRIM(INDEX($A156:$Z156,MATCH('Scale score'!$B$5,$A$1:$Z$1,0))&amp;""),""))),""),""),"")</f>
        <v/>
      </c>
      <c r="AH156" s="41">
        <f>IF(TRIM('Open answers'!$B$5&amp;"")="","",IFERROR(TRIM(INDEX($A156:$Z156,MATCH('Open answers'!$B$5,$A$1:$Z$1,0))&amp;""),""))</f>
        <v/>
      </c>
      <c r="AI156" s="41">
        <f>IF(LEN(AH156)&gt;0,MAX($AI$1:AI155)+1,"")</f>
        <v/>
      </c>
    </row>
    <row r="157">
      <c r="AA157" s="40" t="n"/>
      <c r="AB157" s="41">
        <f>IF(TRIM('Counts'!$B$8&amp;"")="","",IFERROR(TRIM(INDEX($A157:$Z157,MATCH('Counts'!$B$8,$A$1:$Z$1,0))&amp;""),""))</f>
        <v/>
      </c>
      <c r="AC157" s="41">
        <f>IF(TRIM('Counts'!$B$26&amp;"")="","",IFERROR(TRIM(INDEX($A157:$Z157,MATCH('Counts'!$B$26,$A$1:$Z$1,0))&amp;""),""))</f>
        <v/>
      </c>
      <c r="AD157" s="41">
        <f>IF(TRIM('Counts'!$B$44&amp;"")="","",IFERROR(TRIM(INDEX($A157:$Z157,MATCH('Counts'!$B$44,$A$1:$Z$1,0))&amp;""),""))</f>
        <v/>
      </c>
      <c r="AE157" s="41">
        <f>IF(TRIM('Cross-tab'!$B$5&amp;"")="","",IFERROR(TRIM(INDEX($A157:$Z157,MATCH('Cross-tab'!$B$5,$A$1:$Z$1,0))&amp;""),""))</f>
        <v/>
      </c>
      <c r="AF157" s="41">
        <f>IF(TRIM('Cross-tab'!$B$7&amp;"")="","",IFERROR(TRIM(INDEX($A157:$Z157,MATCH('Cross-tab'!$B$7,$A$1:$Z$1,0))&amp;""),""))</f>
        <v/>
      </c>
      <c r="AG157" s="41">
        <f>IF(ISNUMBER(IFERROR(VALUE(IF(TRIM('Scale score'!$B$5&amp;"")="","",IFERROR(TRIM(INDEX($A157:$Z157,MATCH('Scale score'!$B$5,$A$1:$Z$1,0))&amp;""),""))),"")),IF(AND(IFERROR(VALUE(IF(TRIM('Scale score'!$B$5&amp;"")="","",IFERROR(TRIM(INDEX($A157:$Z157,MATCH('Scale score'!$B$5,$A$1:$Z$1,0))&amp;""),""))),"")&gt;='Scale score'!$B$6,IFERROR(VALUE(IF(TRIM('Scale score'!$B$5&amp;"")="","",IFERROR(TRIM(INDEX($A157:$Z157,MATCH('Scale score'!$B$5,$A$1:$Z$1,0))&amp;""),""))),"")&lt;='Scale score'!$B$7),IFERROR(VALUE(IF(TRIM('Scale score'!$B$5&amp;"")="","",IFERROR(TRIM(INDEX($A157:$Z157,MATCH('Scale score'!$B$5,$A$1:$Z$1,0))&amp;""),""))),""),""),"")</f>
        <v/>
      </c>
      <c r="AH157" s="41">
        <f>IF(TRIM('Open answers'!$B$5&amp;"")="","",IFERROR(TRIM(INDEX($A157:$Z157,MATCH('Open answers'!$B$5,$A$1:$Z$1,0))&amp;""),""))</f>
        <v/>
      </c>
      <c r="AI157" s="41">
        <f>IF(LEN(AH157)&gt;0,MAX($AI$1:AI156)+1,"")</f>
        <v/>
      </c>
    </row>
    <row r="158">
      <c r="AA158" s="40" t="n"/>
      <c r="AB158" s="41">
        <f>IF(TRIM('Counts'!$B$8&amp;"")="","",IFERROR(TRIM(INDEX($A158:$Z158,MATCH('Counts'!$B$8,$A$1:$Z$1,0))&amp;""),""))</f>
        <v/>
      </c>
      <c r="AC158" s="41">
        <f>IF(TRIM('Counts'!$B$26&amp;"")="","",IFERROR(TRIM(INDEX($A158:$Z158,MATCH('Counts'!$B$26,$A$1:$Z$1,0))&amp;""),""))</f>
        <v/>
      </c>
      <c r="AD158" s="41">
        <f>IF(TRIM('Counts'!$B$44&amp;"")="","",IFERROR(TRIM(INDEX($A158:$Z158,MATCH('Counts'!$B$44,$A$1:$Z$1,0))&amp;""),""))</f>
        <v/>
      </c>
      <c r="AE158" s="41">
        <f>IF(TRIM('Cross-tab'!$B$5&amp;"")="","",IFERROR(TRIM(INDEX($A158:$Z158,MATCH('Cross-tab'!$B$5,$A$1:$Z$1,0))&amp;""),""))</f>
        <v/>
      </c>
      <c r="AF158" s="41">
        <f>IF(TRIM('Cross-tab'!$B$7&amp;"")="","",IFERROR(TRIM(INDEX($A158:$Z158,MATCH('Cross-tab'!$B$7,$A$1:$Z$1,0))&amp;""),""))</f>
        <v/>
      </c>
      <c r="AG158" s="41">
        <f>IF(ISNUMBER(IFERROR(VALUE(IF(TRIM('Scale score'!$B$5&amp;"")="","",IFERROR(TRIM(INDEX($A158:$Z158,MATCH('Scale score'!$B$5,$A$1:$Z$1,0))&amp;""),""))),"")),IF(AND(IFERROR(VALUE(IF(TRIM('Scale score'!$B$5&amp;"")="","",IFERROR(TRIM(INDEX($A158:$Z158,MATCH('Scale score'!$B$5,$A$1:$Z$1,0))&amp;""),""))),"")&gt;='Scale score'!$B$6,IFERROR(VALUE(IF(TRIM('Scale score'!$B$5&amp;"")="","",IFERROR(TRIM(INDEX($A158:$Z158,MATCH('Scale score'!$B$5,$A$1:$Z$1,0))&amp;""),""))),"")&lt;='Scale score'!$B$7),IFERROR(VALUE(IF(TRIM('Scale score'!$B$5&amp;"")="","",IFERROR(TRIM(INDEX($A158:$Z158,MATCH('Scale score'!$B$5,$A$1:$Z$1,0))&amp;""),""))),""),""),"")</f>
        <v/>
      </c>
      <c r="AH158" s="41">
        <f>IF(TRIM('Open answers'!$B$5&amp;"")="","",IFERROR(TRIM(INDEX($A158:$Z158,MATCH('Open answers'!$B$5,$A$1:$Z$1,0))&amp;""),""))</f>
        <v/>
      </c>
      <c r="AI158" s="41">
        <f>IF(LEN(AH158)&gt;0,MAX($AI$1:AI157)+1,"")</f>
        <v/>
      </c>
    </row>
    <row r="159">
      <c r="AA159" s="40" t="n"/>
      <c r="AB159" s="41">
        <f>IF(TRIM('Counts'!$B$8&amp;"")="","",IFERROR(TRIM(INDEX($A159:$Z159,MATCH('Counts'!$B$8,$A$1:$Z$1,0))&amp;""),""))</f>
        <v/>
      </c>
      <c r="AC159" s="41">
        <f>IF(TRIM('Counts'!$B$26&amp;"")="","",IFERROR(TRIM(INDEX($A159:$Z159,MATCH('Counts'!$B$26,$A$1:$Z$1,0))&amp;""),""))</f>
        <v/>
      </c>
      <c r="AD159" s="41">
        <f>IF(TRIM('Counts'!$B$44&amp;"")="","",IFERROR(TRIM(INDEX($A159:$Z159,MATCH('Counts'!$B$44,$A$1:$Z$1,0))&amp;""),""))</f>
        <v/>
      </c>
      <c r="AE159" s="41">
        <f>IF(TRIM('Cross-tab'!$B$5&amp;"")="","",IFERROR(TRIM(INDEX($A159:$Z159,MATCH('Cross-tab'!$B$5,$A$1:$Z$1,0))&amp;""),""))</f>
        <v/>
      </c>
      <c r="AF159" s="41">
        <f>IF(TRIM('Cross-tab'!$B$7&amp;"")="","",IFERROR(TRIM(INDEX($A159:$Z159,MATCH('Cross-tab'!$B$7,$A$1:$Z$1,0))&amp;""),""))</f>
        <v/>
      </c>
      <c r="AG159" s="41">
        <f>IF(ISNUMBER(IFERROR(VALUE(IF(TRIM('Scale score'!$B$5&amp;"")="","",IFERROR(TRIM(INDEX($A159:$Z159,MATCH('Scale score'!$B$5,$A$1:$Z$1,0))&amp;""),""))),"")),IF(AND(IFERROR(VALUE(IF(TRIM('Scale score'!$B$5&amp;"")="","",IFERROR(TRIM(INDEX($A159:$Z159,MATCH('Scale score'!$B$5,$A$1:$Z$1,0))&amp;""),""))),"")&gt;='Scale score'!$B$6,IFERROR(VALUE(IF(TRIM('Scale score'!$B$5&amp;"")="","",IFERROR(TRIM(INDEX($A159:$Z159,MATCH('Scale score'!$B$5,$A$1:$Z$1,0))&amp;""),""))),"")&lt;='Scale score'!$B$7),IFERROR(VALUE(IF(TRIM('Scale score'!$B$5&amp;"")="","",IFERROR(TRIM(INDEX($A159:$Z159,MATCH('Scale score'!$B$5,$A$1:$Z$1,0))&amp;""),""))),""),""),"")</f>
        <v/>
      </c>
      <c r="AH159" s="41">
        <f>IF(TRIM('Open answers'!$B$5&amp;"")="","",IFERROR(TRIM(INDEX($A159:$Z159,MATCH('Open answers'!$B$5,$A$1:$Z$1,0))&amp;""),""))</f>
        <v/>
      </c>
      <c r="AI159" s="41">
        <f>IF(LEN(AH159)&gt;0,MAX($AI$1:AI158)+1,"")</f>
        <v/>
      </c>
    </row>
    <row r="160">
      <c r="AA160" s="40" t="n"/>
      <c r="AB160" s="41">
        <f>IF(TRIM('Counts'!$B$8&amp;"")="","",IFERROR(TRIM(INDEX($A160:$Z160,MATCH('Counts'!$B$8,$A$1:$Z$1,0))&amp;""),""))</f>
        <v/>
      </c>
      <c r="AC160" s="41">
        <f>IF(TRIM('Counts'!$B$26&amp;"")="","",IFERROR(TRIM(INDEX($A160:$Z160,MATCH('Counts'!$B$26,$A$1:$Z$1,0))&amp;""),""))</f>
        <v/>
      </c>
      <c r="AD160" s="41">
        <f>IF(TRIM('Counts'!$B$44&amp;"")="","",IFERROR(TRIM(INDEX($A160:$Z160,MATCH('Counts'!$B$44,$A$1:$Z$1,0))&amp;""),""))</f>
        <v/>
      </c>
      <c r="AE160" s="41">
        <f>IF(TRIM('Cross-tab'!$B$5&amp;"")="","",IFERROR(TRIM(INDEX($A160:$Z160,MATCH('Cross-tab'!$B$5,$A$1:$Z$1,0))&amp;""),""))</f>
        <v/>
      </c>
      <c r="AF160" s="41">
        <f>IF(TRIM('Cross-tab'!$B$7&amp;"")="","",IFERROR(TRIM(INDEX($A160:$Z160,MATCH('Cross-tab'!$B$7,$A$1:$Z$1,0))&amp;""),""))</f>
        <v/>
      </c>
      <c r="AG160" s="41">
        <f>IF(ISNUMBER(IFERROR(VALUE(IF(TRIM('Scale score'!$B$5&amp;"")="","",IFERROR(TRIM(INDEX($A160:$Z160,MATCH('Scale score'!$B$5,$A$1:$Z$1,0))&amp;""),""))),"")),IF(AND(IFERROR(VALUE(IF(TRIM('Scale score'!$B$5&amp;"")="","",IFERROR(TRIM(INDEX($A160:$Z160,MATCH('Scale score'!$B$5,$A$1:$Z$1,0))&amp;""),""))),"")&gt;='Scale score'!$B$6,IFERROR(VALUE(IF(TRIM('Scale score'!$B$5&amp;"")="","",IFERROR(TRIM(INDEX($A160:$Z160,MATCH('Scale score'!$B$5,$A$1:$Z$1,0))&amp;""),""))),"")&lt;='Scale score'!$B$7),IFERROR(VALUE(IF(TRIM('Scale score'!$B$5&amp;"")="","",IFERROR(TRIM(INDEX($A160:$Z160,MATCH('Scale score'!$B$5,$A$1:$Z$1,0))&amp;""),""))),""),""),"")</f>
        <v/>
      </c>
      <c r="AH160" s="41">
        <f>IF(TRIM('Open answers'!$B$5&amp;"")="","",IFERROR(TRIM(INDEX($A160:$Z160,MATCH('Open answers'!$B$5,$A$1:$Z$1,0))&amp;""),""))</f>
        <v/>
      </c>
      <c r="AI160" s="41">
        <f>IF(LEN(AH160)&gt;0,MAX($AI$1:AI159)+1,"")</f>
        <v/>
      </c>
    </row>
    <row r="161">
      <c r="AA161" s="40" t="n"/>
      <c r="AB161" s="41">
        <f>IF(TRIM('Counts'!$B$8&amp;"")="","",IFERROR(TRIM(INDEX($A161:$Z161,MATCH('Counts'!$B$8,$A$1:$Z$1,0))&amp;""),""))</f>
        <v/>
      </c>
      <c r="AC161" s="41">
        <f>IF(TRIM('Counts'!$B$26&amp;"")="","",IFERROR(TRIM(INDEX($A161:$Z161,MATCH('Counts'!$B$26,$A$1:$Z$1,0))&amp;""),""))</f>
        <v/>
      </c>
      <c r="AD161" s="41">
        <f>IF(TRIM('Counts'!$B$44&amp;"")="","",IFERROR(TRIM(INDEX($A161:$Z161,MATCH('Counts'!$B$44,$A$1:$Z$1,0))&amp;""),""))</f>
        <v/>
      </c>
      <c r="AE161" s="41">
        <f>IF(TRIM('Cross-tab'!$B$5&amp;"")="","",IFERROR(TRIM(INDEX($A161:$Z161,MATCH('Cross-tab'!$B$5,$A$1:$Z$1,0))&amp;""),""))</f>
        <v/>
      </c>
      <c r="AF161" s="41">
        <f>IF(TRIM('Cross-tab'!$B$7&amp;"")="","",IFERROR(TRIM(INDEX($A161:$Z161,MATCH('Cross-tab'!$B$7,$A$1:$Z$1,0))&amp;""),""))</f>
        <v/>
      </c>
      <c r="AG161" s="41">
        <f>IF(ISNUMBER(IFERROR(VALUE(IF(TRIM('Scale score'!$B$5&amp;"")="","",IFERROR(TRIM(INDEX($A161:$Z161,MATCH('Scale score'!$B$5,$A$1:$Z$1,0))&amp;""),""))),"")),IF(AND(IFERROR(VALUE(IF(TRIM('Scale score'!$B$5&amp;"")="","",IFERROR(TRIM(INDEX($A161:$Z161,MATCH('Scale score'!$B$5,$A$1:$Z$1,0))&amp;""),""))),"")&gt;='Scale score'!$B$6,IFERROR(VALUE(IF(TRIM('Scale score'!$B$5&amp;"")="","",IFERROR(TRIM(INDEX($A161:$Z161,MATCH('Scale score'!$B$5,$A$1:$Z$1,0))&amp;""),""))),"")&lt;='Scale score'!$B$7),IFERROR(VALUE(IF(TRIM('Scale score'!$B$5&amp;"")="","",IFERROR(TRIM(INDEX($A161:$Z161,MATCH('Scale score'!$B$5,$A$1:$Z$1,0))&amp;""),""))),""),""),"")</f>
        <v/>
      </c>
      <c r="AH161" s="41">
        <f>IF(TRIM('Open answers'!$B$5&amp;"")="","",IFERROR(TRIM(INDEX($A161:$Z161,MATCH('Open answers'!$B$5,$A$1:$Z$1,0))&amp;""),""))</f>
        <v/>
      </c>
      <c r="AI161" s="41">
        <f>IF(LEN(AH161)&gt;0,MAX($AI$1:AI160)+1,"")</f>
        <v/>
      </c>
    </row>
    <row r="162">
      <c r="AA162" s="40" t="n"/>
      <c r="AB162" s="41">
        <f>IF(TRIM('Counts'!$B$8&amp;"")="","",IFERROR(TRIM(INDEX($A162:$Z162,MATCH('Counts'!$B$8,$A$1:$Z$1,0))&amp;""),""))</f>
        <v/>
      </c>
      <c r="AC162" s="41">
        <f>IF(TRIM('Counts'!$B$26&amp;"")="","",IFERROR(TRIM(INDEX($A162:$Z162,MATCH('Counts'!$B$26,$A$1:$Z$1,0))&amp;""),""))</f>
        <v/>
      </c>
      <c r="AD162" s="41">
        <f>IF(TRIM('Counts'!$B$44&amp;"")="","",IFERROR(TRIM(INDEX($A162:$Z162,MATCH('Counts'!$B$44,$A$1:$Z$1,0))&amp;""),""))</f>
        <v/>
      </c>
      <c r="AE162" s="41">
        <f>IF(TRIM('Cross-tab'!$B$5&amp;"")="","",IFERROR(TRIM(INDEX($A162:$Z162,MATCH('Cross-tab'!$B$5,$A$1:$Z$1,0))&amp;""),""))</f>
        <v/>
      </c>
      <c r="AF162" s="41">
        <f>IF(TRIM('Cross-tab'!$B$7&amp;"")="","",IFERROR(TRIM(INDEX($A162:$Z162,MATCH('Cross-tab'!$B$7,$A$1:$Z$1,0))&amp;""),""))</f>
        <v/>
      </c>
      <c r="AG162" s="41">
        <f>IF(ISNUMBER(IFERROR(VALUE(IF(TRIM('Scale score'!$B$5&amp;"")="","",IFERROR(TRIM(INDEX($A162:$Z162,MATCH('Scale score'!$B$5,$A$1:$Z$1,0))&amp;""),""))),"")),IF(AND(IFERROR(VALUE(IF(TRIM('Scale score'!$B$5&amp;"")="","",IFERROR(TRIM(INDEX($A162:$Z162,MATCH('Scale score'!$B$5,$A$1:$Z$1,0))&amp;""),""))),"")&gt;='Scale score'!$B$6,IFERROR(VALUE(IF(TRIM('Scale score'!$B$5&amp;"")="","",IFERROR(TRIM(INDEX($A162:$Z162,MATCH('Scale score'!$B$5,$A$1:$Z$1,0))&amp;""),""))),"")&lt;='Scale score'!$B$7),IFERROR(VALUE(IF(TRIM('Scale score'!$B$5&amp;"")="","",IFERROR(TRIM(INDEX($A162:$Z162,MATCH('Scale score'!$B$5,$A$1:$Z$1,0))&amp;""),""))),""),""),"")</f>
        <v/>
      </c>
      <c r="AH162" s="41">
        <f>IF(TRIM('Open answers'!$B$5&amp;"")="","",IFERROR(TRIM(INDEX($A162:$Z162,MATCH('Open answers'!$B$5,$A$1:$Z$1,0))&amp;""),""))</f>
        <v/>
      </c>
      <c r="AI162" s="41">
        <f>IF(LEN(AH162)&gt;0,MAX($AI$1:AI161)+1,"")</f>
        <v/>
      </c>
    </row>
    <row r="163">
      <c r="AA163" s="40" t="n"/>
      <c r="AB163" s="41">
        <f>IF(TRIM('Counts'!$B$8&amp;"")="","",IFERROR(TRIM(INDEX($A163:$Z163,MATCH('Counts'!$B$8,$A$1:$Z$1,0))&amp;""),""))</f>
        <v/>
      </c>
      <c r="AC163" s="41">
        <f>IF(TRIM('Counts'!$B$26&amp;"")="","",IFERROR(TRIM(INDEX($A163:$Z163,MATCH('Counts'!$B$26,$A$1:$Z$1,0))&amp;""),""))</f>
        <v/>
      </c>
      <c r="AD163" s="41">
        <f>IF(TRIM('Counts'!$B$44&amp;"")="","",IFERROR(TRIM(INDEX($A163:$Z163,MATCH('Counts'!$B$44,$A$1:$Z$1,0))&amp;""),""))</f>
        <v/>
      </c>
      <c r="AE163" s="41">
        <f>IF(TRIM('Cross-tab'!$B$5&amp;"")="","",IFERROR(TRIM(INDEX($A163:$Z163,MATCH('Cross-tab'!$B$5,$A$1:$Z$1,0))&amp;""),""))</f>
        <v/>
      </c>
      <c r="AF163" s="41">
        <f>IF(TRIM('Cross-tab'!$B$7&amp;"")="","",IFERROR(TRIM(INDEX($A163:$Z163,MATCH('Cross-tab'!$B$7,$A$1:$Z$1,0))&amp;""),""))</f>
        <v/>
      </c>
      <c r="AG163" s="41">
        <f>IF(ISNUMBER(IFERROR(VALUE(IF(TRIM('Scale score'!$B$5&amp;"")="","",IFERROR(TRIM(INDEX($A163:$Z163,MATCH('Scale score'!$B$5,$A$1:$Z$1,0))&amp;""),""))),"")),IF(AND(IFERROR(VALUE(IF(TRIM('Scale score'!$B$5&amp;"")="","",IFERROR(TRIM(INDEX($A163:$Z163,MATCH('Scale score'!$B$5,$A$1:$Z$1,0))&amp;""),""))),"")&gt;='Scale score'!$B$6,IFERROR(VALUE(IF(TRIM('Scale score'!$B$5&amp;"")="","",IFERROR(TRIM(INDEX($A163:$Z163,MATCH('Scale score'!$B$5,$A$1:$Z$1,0))&amp;""),""))),"")&lt;='Scale score'!$B$7),IFERROR(VALUE(IF(TRIM('Scale score'!$B$5&amp;"")="","",IFERROR(TRIM(INDEX($A163:$Z163,MATCH('Scale score'!$B$5,$A$1:$Z$1,0))&amp;""),""))),""),""),"")</f>
        <v/>
      </c>
      <c r="AH163" s="41">
        <f>IF(TRIM('Open answers'!$B$5&amp;"")="","",IFERROR(TRIM(INDEX($A163:$Z163,MATCH('Open answers'!$B$5,$A$1:$Z$1,0))&amp;""),""))</f>
        <v/>
      </c>
      <c r="AI163" s="41">
        <f>IF(LEN(AH163)&gt;0,MAX($AI$1:AI162)+1,"")</f>
        <v/>
      </c>
    </row>
    <row r="164">
      <c r="AA164" s="40" t="n"/>
      <c r="AB164" s="41">
        <f>IF(TRIM('Counts'!$B$8&amp;"")="","",IFERROR(TRIM(INDEX($A164:$Z164,MATCH('Counts'!$B$8,$A$1:$Z$1,0))&amp;""),""))</f>
        <v/>
      </c>
      <c r="AC164" s="41">
        <f>IF(TRIM('Counts'!$B$26&amp;"")="","",IFERROR(TRIM(INDEX($A164:$Z164,MATCH('Counts'!$B$26,$A$1:$Z$1,0))&amp;""),""))</f>
        <v/>
      </c>
      <c r="AD164" s="41">
        <f>IF(TRIM('Counts'!$B$44&amp;"")="","",IFERROR(TRIM(INDEX($A164:$Z164,MATCH('Counts'!$B$44,$A$1:$Z$1,0))&amp;""),""))</f>
        <v/>
      </c>
      <c r="AE164" s="41">
        <f>IF(TRIM('Cross-tab'!$B$5&amp;"")="","",IFERROR(TRIM(INDEX($A164:$Z164,MATCH('Cross-tab'!$B$5,$A$1:$Z$1,0))&amp;""),""))</f>
        <v/>
      </c>
      <c r="AF164" s="41">
        <f>IF(TRIM('Cross-tab'!$B$7&amp;"")="","",IFERROR(TRIM(INDEX($A164:$Z164,MATCH('Cross-tab'!$B$7,$A$1:$Z$1,0))&amp;""),""))</f>
        <v/>
      </c>
      <c r="AG164" s="41">
        <f>IF(ISNUMBER(IFERROR(VALUE(IF(TRIM('Scale score'!$B$5&amp;"")="","",IFERROR(TRIM(INDEX($A164:$Z164,MATCH('Scale score'!$B$5,$A$1:$Z$1,0))&amp;""),""))),"")),IF(AND(IFERROR(VALUE(IF(TRIM('Scale score'!$B$5&amp;"")="","",IFERROR(TRIM(INDEX($A164:$Z164,MATCH('Scale score'!$B$5,$A$1:$Z$1,0))&amp;""),""))),"")&gt;='Scale score'!$B$6,IFERROR(VALUE(IF(TRIM('Scale score'!$B$5&amp;"")="","",IFERROR(TRIM(INDEX($A164:$Z164,MATCH('Scale score'!$B$5,$A$1:$Z$1,0))&amp;""),""))),"")&lt;='Scale score'!$B$7),IFERROR(VALUE(IF(TRIM('Scale score'!$B$5&amp;"")="","",IFERROR(TRIM(INDEX($A164:$Z164,MATCH('Scale score'!$B$5,$A$1:$Z$1,0))&amp;""),""))),""),""),"")</f>
        <v/>
      </c>
      <c r="AH164" s="41">
        <f>IF(TRIM('Open answers'!$B$5&amp;"")="","",IFERROR(TRIM(INDEX($A164:$Z164,MATCH('Open answers'!$B$5,$A$1:$Z$1,0))&amp;""),""))</f>
        <v/>
      </c>
      <c r="AI164" s="41">
        <f>IF(LEN(AH164)&gt;0,MAX($AI$1:AI163)+1,"")</f>
        <v/>
      </c>
    </row>
    <row r="165">
      <c r="AA165" s="40" t="n"/>
      <c r="AB165" s="41">
        <f>IF(TRIM('Counts'!$B$8&amp;"")="","",IFERROR(TRIM(INDEX($A165:$Z165,MATCH('Counts'!$B$8,$A$1:$Z$1,0))&amp;""),""))</f>
        <v/>
      </c>
      <c r="AC165" s="41">
        <f>IF(TRIM('Counts'!$B$26&amp;"")="","",IFERROR(TRIM(INDEX($A165:$Z165,MATCH('Counts'!$B$26,$A$1:$Z$1,0))&amp;""),""))</f>
        <v/>
      </c>
      <c r="AD165" s="41">
        <f>IF(TRIM('Counts'!$B$44&amp;"")="","",IFERROR(TRIM(INDEX($A165:$Z165,MATCH('Counts'!$B$44,$A$1:$Z$1,0))&amp;""),""))</f>
        <v/>
      </c>
      <c r="AE165" s="41">
        <f>IF(TRIM('Cross-tab'!$B$5&amp;"")="","",IFERROR(TRIM(INDEX($A165:$Z165,MATCH('Cross-tab'!$B$5,$A$1:$Z$1,0))&amp;""),""))</f>
        <v/>
      </c>
      <c r="AF165" s="41">
        <f>IF(TRIM('Cross-tab'!$B$7&amp;"")="","",IFERROR(TRIM(INDEX($A165:$Z165,MATCH('Cross-tab'!$B$7,$A$1:$Z$1,0))&amp;""),""))</f>
        <v/>
      </c>
      <c r="AG165" s="41">
        <f>IF(ISNUMBER(IFERROR(VALUE(IF(TRIM('Scale score'!$B$5&amp;"")="","",IFERROR(TRIM(INDEX($A165:$Z165,MATCH('Scale score'!$B$5,$A$1:$Z$1,0))&amp;""),""))),"")),IF(AND(IFERROR(VALUE(IF(TRIM('Scale score'!$B$5&amp;"")="","",IFERROR(TRIM(INDEX($A165:$Z165,MATCH('Scale score'!$B$5,$A$1:$Z$1,0))&amp;""),""))),"")&gt;='Scale score'!$B$6,IFERROR(VALUE(IF(TRIM('Scale score'!$B$5&amp;"")="","",IFERROR(TRIM(INDEX($A165:$Z165,MATCH('Scale score'!$B$5,$A$1:$Z$1,0))&amp;""),""))),"")&lt;='Scale score'!$B$7),IFERROR(VALUE(IF(TRIM('Scale score'!$B$5&amp;"")="","",IFERROR(TRIM(INDEX($A165:$Z165,MATCH('Scale score'!$B$5,$A$1:$Z$1,0))&amp;""),""))),""),""),"")</f>
        <v/>
      </c>
      <c r="AH165" s="41">
        <f>IF(TRIM('Open answers'!$B$5&amp;"")="","",IFERROR(TRIM(INDEX($A165:$Z165,MATCH('Open answers'!$B$5,$A$1:$Z$1,0))&amp;""),""))</f>
        <v/>
      </c>
      <c r="AI165" s="41">
        <f>IF(LEN(AH165)&gt;0,MAX($AI$1:AI164)+1,"")</f>
        <v/>
      </c>
    </row>
    <row r="166">
      <c r="AA166" s="40" t="n"/>
      <c r="AB166" s="41">
        <f>IF(TRIM('Counts'!$B$8&amp;"")="","",IFERROR(TRIM(INDEX($A166:$Z166,MATCH('Counts'!$B$8,$A$1:$Z$1,0))&amp;""),""))</f>
        <v/>
      </c>
      <c r="AC166" s="41">
        <f>IF(TRIM('Counts'!$B$26&amp;"")="","",IFERROR(TRIM(INDEX($A166:$Z166,MATCH('Counts'!$B$26,$A$1:$Z$1,0))&amp;""),""))</f>
        <v/>
      </c>
      <c r="AD166" s="41">
        <f>IF(TRIM('Counts'!$B$44&amp;"")="","",IFERROR(TRIM(INDEX($A166:$Z166,MATCH('Counts'!$B$44,$A$1:$Z$1,0))&amp;""),""))</f>
        <v/>
      </c>
      <c r="AE166" s="41">
        <f>IF(TRIM('Cross-tab'!$B$5&amp;"")="","",IFERROR(TRIM(INDEX($A166:$Z166,MATCH('Cross-tab'!$B$5,$A$1:$Z$1,0))&amp;""),""))</f>
        <v/>
      </c>
      <c r="AF166" s="41">
        <f>IF(TRIM('Cross-tab'!$B$7&amp;"")="","",IFERROR(TRIM(INDEX($A166:$Z166,MATCH('Cross-tab'!$B$7,$A$1:$Z$1,0))&amp;""),""))</f>
        <v/>
      </c>
      <c r="AG166" s="41">
        <f>IF(ISNUMBER(IFERROR(VALUE(IF(TRIM('Scale score'!$B$5&amp;"")="","",IFERROR(TRIM(INDEX($A166:$Z166,MATCH('Scale score'!$B$5,$A$1:$Z$1,0))&amp;""),""))),"")),IF(AND(IFERROR(VALUE(IF(TRIM('Scale score'!$B$5&amp;"")="","",IFERROR(TRIM(INDEX($A166:$Z166,MATCH('Scale score'!$B$5,$A$1:$Z$1,0))&amp;""),""))),"")&gt;='Scale score'!$B$6,IFERROR(VALUE(IF(TRIM('Scale score'!$B$5&amp;"")="","",IFERROR(TRIM(INDEX($A166:$Z166,MATCH('Scale score'!$B$5,$A$1:$Z$1,0))&amp;""),""))),"")&lt;='Scale score'!$B$7),IFERROR(VALUE(IF(TRIM('Scale score'!$B$5&amp;"")="","",IFERROR(TRIM(INDEX($A166:$Z166,MATCH('Scale score'!$B$5,$A$1:$Z$1,0))&amp;""),""))),""),""),"")</f>
        <v/>
      </c>
      <c r="AH166" s="41">
        <f>IF(TRIM('Open answers'!$B$5&amp;"")="","",IFERROR(TRIM(INDEX($A166:$Z166,MATCH('Open answers'!$B$5,$A$1:$Z$1,0))&amp;""),""))</f>
        <v/>
      </c>
      <c r="AI166" s="41">
        <f>IF(LEN(AH166)&gt;0,MAX($AI$1:AI165)+1,"")</f>
        <v/>
      </c>
    </row>
    <row r="167">
      <c r="AA167" s="40" t="n"/>
      <c r="AB167" s="41">
        <f>IF(TRIM('Counts'!$B$8&amp;"")="","",IFERROR(TRIM(INDEX($A167:$Z167,MATCH('Counts'!$B$8,$A$1:$Z$1,0))&amp;""),""))</f>
        <v/>
      </c>
      <c r="AC167" s="41">
        <f>IF(TRIM('Counts'!$B$26&amp;"")="","",IFERROR(TRIM(INDEX($A167:$Z167,MATCH('Counts'!$B$26,$A$1:$Z$1,0))&amp;""),""))</f>
        <v/>
      </c>
      <c r="AD167" s="41">
        <f>IF(TRIM('Counts'!$B$44&amp;"")="","",IFERROR(TRIM(INDEX($A167:$Z167,MATCH('Counts'!$B$44,$A$1:$Z$1,0))&amp;""),""))</f>
        <v/>
      </c>
      <c r="AE167" s="41">
        <f>IF(TRIM('Cross-tab'!$B$5&amp;"")="","",IFERROR(TRIM(INDEX($A167:$Z167,MATCH('Cross-tab'!$B$5,$A$1:$Z$1,0))&amp;""),""))</f>
        <v/>
      </c>
      <c r="AF167" s="41">
        <f>IF(TRIM('Cross-tab'!$B$7&amp;"")="","",IFERROR(TRIM(INDEX($A167:$Z167,MATCH('Cross-tab'!$B$7,$A$1:$Z$1,0))&amp;""),""))</f>
        <v/>
      </c>
      <c r="AG167" s="41">
        <f>IF(ISNUMBER(IFERROR(VALUE(IF(TRIM('Scale score'!$B$5&amp;"")="","",IFERROR(TRIM(INDEX($A167:$Z167,MATCH('Scale score'!$B$5,$A$1:$Z$1,0))&amp;""),""))),"")),IF(AND(IFERROR(VALUE(IF(TRIM('Scale score'!$B$5&amp;"")="","",IFERROR(TRIM(INDEX($A167:$Z167,MATCH('Scale score'!$B$5,$A$1:$Z$1,0))&amp;""),""))),"")&gt;='Scale score'!$B$6,IFERROR(VALUE(IF(TRIM('Scale score'!$B$5&amp;"")="","",IFERROR(TRIM(INDEX($A167:$Z167,MATCH('Scale score'!$B$5,$A$1:$Z$1,0))&amp;""),""))),"")&lt;='Scale score'!$B$7),IFERROR(VALUE(IF(TRIM('Scale score'!$B$5&amp;"")="","",IFERROR(TRIM(INDEX($A167:$Z167,MATCH('Scale score'!$B$5,$A$1:$Z$1,0))&amp;""),""))),""),""),"")</f>
        <v/>
      </c>
      <c r="AH167" s="41">
        <f>IF(TRIM('Open answers'!$B$5&amp;"")="","",IFERROR(TRIM(INDEX($A167:$Z167,MATCH('Open answers'!$B$5,$A$1:$Z$1,0))&amp;""),""))</f>
        <v/>
      </c>
      <c r="AI167" s="41">
        <f>IF(LEN(AH167)&gt;0,MAX($AI$1:AI166)+1,"")</f>
        <v/>
      </c>
    </row>
    <row r="168">
      <c r="AA168" s="40" t="n"/>
      <c r="AB168" s="41">
        <f>IF(TRIM('Counts'!$B$8&amp;"")="","",IFERROR(TRIM(INDEX($A168:$Z168,MATCH('Counts'!$B$8,$A$1:$Z$1,0))&amp;""),""))</f>
        <v/>
      </c>
      <c r="AC168" s="41">
        <f>IF(TRIM('Counts'!$B$26&amp;"")="","",IFERROR(TRIM(INDEX($A168:$Z168,MATCH('Counts'!$B$26,$A$1:$Z$1,0))&amp;""),""))</f>
        <v/>
      </c>
      <c r="AD168" s="41">
        <f>IF(TRIM('Counts'!$B$44&amp;"")="","",IFERROR(TRIM(INDEX($A168:$Z168,MATCH('Counts'!$B$44,$A$1:$Z$1,0))&amp;""),""))</f>
        <v/>
      </c>
      <c r="AE168" s="41">
        <f>IF(TRIM('Cross-tab'!$B$5&amp;"")="","",IFERROR(TRIM(INDEX($A168:$Z168,MATCH('Cross-tab'!$B$5,$A$1:$Z$1,0))&amp;""),""))</f>
        <v/>
      </c>
      <c r="AF168" s="41">
        <f>IF(TRIM('Cross-tab'!$B$7&amp;"")="","",IFERROR(TRIM(INDEX($A168:$Z168,MATCH('Cross-tab'!$B$7,$A$1:$Z$1,0))&amp;""),""))</f>
        <v/>
      </c>
      <c r="AG168" s="41">
        <f>IF(ISNUMBER(IFERROR(VALUE(IF(TRIM('Scale score'!$B$5&amp;"")="","",IFERROR(TRIM(INDEX($A168:$Z168,MATCH('Scale score'!$B$5,$A$1:$Z$1,0))&amp;""),""))),"")),IF(AND(IFERROR(VALUE(IF(TRIM('Scale score'!$B$5&amp;"")="","",IFERROR(TRIM(INDEX($A168:$Z168,MATCH('Scale score'!$B$5,$A$1:$Z$1,0))&amp;""),""))),"")&gt;='Scale score'!$B$6,IFERROR(VALUE(IF(TRIM('Scale score'!$B$5&amp;"")="","",IFERROR(TRIM(INDEX($A168:$Z168,MATCH('Scale score'!$B$5,$A$1:$Z$1,0))&amp;""),""))),"")&lt;='Scale score'!$B$7),IFERROR(VALUE(IF(TRIM('Scale score'!$B$5&amp;"")="","",IFERROR(TRIM(INDEX($A168:$Z168,MATCH('Scale score'!$B$5,$A$1:$Z$1,0))&amp;""),""))),""),""),"")</f>
        <v/>
      </c>
      <c r="AH168" s="41">
        <f>IF(TRIM('Open answers'!$B$5&amp;"")="","",IFERROR(TRIM(INDEX($A168:$Z168,MATCH('Open answers'!$B$5,$A$1:$Z$1,0))&amp;""),""))</f>
        <v/>
      </c>
      <c r="AI168" s="41">
        <f>IF(LEN(AH168)&gt;0,MAX($AI$1:AI167)+1,"")</f>
        <v/>
      </c>
    </row>
    <row r="169">
      <c r="AA169" s="40" t="n"/>
      <c r="AB169" s="41">
        <f>IF(TRIM('Counts'!$B$8&amp;"")="","",IFERROR(TRIM(INDEX($A169:$Z169,MATCH('Counts'!$B$8,$A$1:$Z$1,0))&amp;""),""))</f>
        <v/>
      </c>
      <c r="AC169" s="41">
        <f>IF(TRIM('Counts'!$B$26&amp;"")="","",IFERROR(TRIM(INDEX($A169:$Z169,MATCH('Counts'!$B$26,$A$1:$Z$1,0))&amp;""),""))</f>
        <v/>
      </c>
      <c r="AD169" s="41">
        <f>IF(TRIM('Counts'!$B$44&amp;"")="","",IFERROR(TRIM(INDEX($A169:$Z169,MATCH('Counts'!$B$44,$A$1:$Z$1,0))&amp;""),""))</f>
        <v/>
      </c>
      <c r="AE169" s="41">
        <f>IF(TRIM('Cross-tab'!$B$5&amp;"")="","",IFERROR(TRIM(INDEX($A169:$Z169,MATCH('Cross-tab'!$B$5,$A$1:$Z$1,0))&amp;""),""))</f>
        <v/>
      </c>
      <c r="AF169" s="41">
        <f>IF(TRIM('Cross-tab'!$B$7&amp;"")="","",IFERROR(TRIM(INDEX($A169:$Z169,MATCH('Cross-tab'!$B$7,$A$1:$Z$1,0))&amp;""),""))</f>
        <v/>
      </c>
      <c r="AG169" s="41">
        <f>IF(ISNUMBER(IFERROR(VALUE(IF(TRIM('Scale score'!$B$5&amp;"")="","",IFERROR(TRIM(INDEX($A169:$Z169,MATCH('Scale score'!$B$5,$A$1:$Z$1,0))&amp;""),""))),"")),IF(AND(IFERROR(VALUE(IF(TRIM('Scale score'!$B$5&amp;"")="","",IFERROR(TRIM(INDEX($A169:$Z169,MATCH('Scale score'!$B$5,$A$1:$Z$1,0))&amp;""),""))),"")&gt;='Scale score'!$B$6,IFERROR(VALUE(IF(TRIM('Scale score'!$B$5&amp;"")="","",IFERROR(TRIM(INDEX($A169:$Z169,MATCH('Scale score'!$B$5,$A$1:$Z$1,0))&amp;""),""))),"")&lt;='Scale score'!$B$7),IFERROR(VALUE(IF(TRIM('Scale score'!$B$5&amp;"")="","",IFERROR(TRIM(INDEX($A169:$Z169,MATCH('Scale score'!$B$5,$A$1:$Z$1,0))&amp;""),""))),""),""),"")</f>
        <v/>
      </c>
      <c r="AH169" s="41">
        <f>IF(TRIM('Open answers'!$B$5&amp;"")="","",IFERROR(TRIM(INDEX($A169:$Z169,MATCH('Open answers'!$B$5,$A$1:$Z$1,0))&amp;""),""))</f>
        <v/>
      </c>
      <c r="AI169" s="41">
        <f>IF(LEN(AH169)&gt;0,MAX($AI$1:AI168)+1,"")</f>
        <v/>
      </c>
    </row>
    <row r="170">
      <c r="AA170" s="40" t="n"/>
      <c r="AB170" s="41">
        <f>IF(TRIM('Counts'!$B$8&amp;"")="","",IFERROR(TRIM(INDEX($A170:$Z170,MATCH('Counts'!$B$8,$A$1:$Z$1,0))&amp;""),""))</f>
        <v/>
      </c>
      <c r="AC170" s="41">
        <f>IF(TRIM('Counts'!$B$26&amp;"")="","",IFERROR(TRIM(INDEX($A170:$Z170,MATCH('Counts'!$B$26,$A$1:$Z$1,0))&amp;""),""))</f>
        <v/>
      </c>
      <c r="AD170" s="41">
        <f>IF(TRIM('Counts'!$B$44&amp;"")="","",IFERROR(TRIM(INDEX($A170:$Z170,MATCH('Counts'!$B$44,$A$1:$Z$1,0))&amp;""),""))</f>
        <v/>
      </c>
      <c r="AE170" s="41">
        <f>IF(TRIM('Cross-tab'!$B$5&amp;"")="","",IFERROR(TRIM(INDEX($A170:$Z170,MATCH('Cross-tab'!$B$5,$A$1:$Z$1,0))&amp;""),""))</f>
        <v/>
      </c>
      <c r="AF170" s="41">
        <f>IF(TRIM('Cross-tab'!$B$7&amp;"")="","",IFERROR(TRIM(INDEX($A170:$Z170,MATCH('Cross-tab'!$B$7,$A$1:$Z$1,0))&amp;""),""))</f>
        <v/>
      </c>
      <c r="AG170" s="41">
        <f>IF(ISNUMBER(IFERROR(VALUE(IF(TRIM('Scale score'!$B$5&amp;"")="","",IFERROR(TRIM(INDEX($A170:$Z170,MATCH('Scale score'!$B$5,$A$1:$Z$1,0))&amp;""),""))),"")),IF(AND(IFERROR(VALUE(IF(TRIM('Scale score'!$B$5&amp;"")="","",IFERROR(TRIM(INDEX($A170:$Z170,MATCH('Scale score'!$B$5,$A$1:$Z$1,0))&amp;""),""))),"")&gt;='Scale score'!$B$6,IFERROR(VALUE(IF(TRIM('Scale score'!$B$5&amp;"")="","",IFERROR(TRIM(INDEX($A170:$Z170,MATCH('Scale score'!$B$5,$A$1:$Z$1,0))&amp;""),""))),"")&lt;='Scale score'!$B$7),IFERROR(VALUE(IF(TRIM('Scale score'!$B$5&amp;"")="","",IFERROR(TRIM(INDEX($A170:$Z170,MATCH('Scale score'!$B$5,$A$1:$Z$1,0))&amp;""),""))),""),""),"")</f>
        <v/>
      </c>
      <c r="AH170" s="41">
        <f>IF(TRIM('Open answers'!$B$5&amp;"")="","",IFERROR(TRIM(INDEX($A170:$Z170,MATCH('Open answers'!$B$5,$A$1:$Z$1,0))&amp;""),""))</f>
        <v/>
      </c>
      <c r="AI170" s="41">
        <f>IF(LEN(AH170)&gt;0,MAX($AI$1:AI169)+1,"")</f>
        <v/>
      </c>
    </row>
    <row r="171">
      <c r="AA171" s="40" t="n"/>
      <c r="AB171" s="41">
        <f>IF(TRIM('Counts'!$B$8&amp;"")="","",IFERROR(TRIM(INDEX($A171:$Z171,MATCH('Counts'!$B$8,$A$1:$Z$1,0))&amp;""),""))</f>
        <v/>
      </c>
      <c r="AC171" s="41">
        <f>IF(TRIM('Counts'!$B$26&amp;"")="","",IFERROR(TRIM(INDEX($A171:$Z171,MATCH('Counts'!$B$26,$A$1:$Z$1,0))&amp;""),""))</f>
        <v/>
      </c>
      <c r="AD171" s="41">
        <f>IF(TRIM('Counts'!$B$44&amp;"")="","",IFERROR(TRIM(INDEX($A171:$Z171,MATCH('Counts'!$B$44,$A$1:$Z$1,0))&amp;""),""))</f>
        <v/>
      </c>
      <c r="AE171" s="41">
        <f>IF(TRIM('Cross-tab'!$B$5&amp;"")="","",IFERROR(TRIM(INDEX($A171:$Z171,MATCH('Cross-tab'!$B$5,$A$1:$Z$1,0))&amp;""),""))</f>
        <v/>
      </c>
      <c r="AF171" s="41">
        <f>IF(TRIM('Cross-tab'!$B$7&amp;"")="","",IFERROR(TRIM(INDEX($A171:$Z171,MATCH('Cross-tab'!$B$7,$A$1:$Z$1,0))&amp;""),""))</f>
        <v/>
      </c>
      <c r="AG171" s="41">
        <f>IF(ISNUMBER(IFERROR(VALUE(IF(TRIM('Scale score'!$B$5&amp;"")="","",IFERROR(TRIM(INDEX($A171:$Z171,MATCH('Scale score'!$B$5,$A$1:$Z$1,0))&amp;""),""))),"")),IF(AND(IFERROR(VALUE(IF(TRIM('Scale score'!$B$5&amp;"")="","",IFERROR(TRIM(INDEX($A171:$Z171,MATCH('Scale score'!$B$5,$A$1:$Z$1,0))&amp;""),""))),"")&gt;='Scale score'!$B$6,IFERROR(VALUE(IF(TRIM('Scale score'!$B$5&amp;"")="","",IFERROR(TRIM(INDEX($A171:$Z171,MATCH('Scale score'!$B$5,$A$1:$Z$1,0))&amp;""),""))),"")&lt;='Scale score'!$B$7),IFERROR(VALUE(IF(TRIM('Scale score'!$B$5&amp;"")="","",IFERROR(TRIM(INDEX($A171:$Z171,MATCH('Scale score'!$B$5,$A$1:$Z$1,0))&amp;""),""))),""),""),"")</f>
        <v/>
      </c>
      <c r="AH171" s="41">
        <f>IF(TRIM('Open answers'!$B$5&amp;"")="","",IFERROR(TRIM(INDEX($A171:$Z171,MATCH('Open answers'!$B$5,$A$1:$Z$1,0))&amp;""),""))</f>
        <v/>
      </c>
      <c r="AI171" s="41">
        <f>IF(LEN(AH171)&gt;0,MAX($AI$1:AI170)+1,"")</f>
        <v/>
      </c>
    </row>
    <row r="172">
      <c r="AA172" s="40" t="n"/>
      <c r="AB172" s="41">
        <f>IF(TRIM('Counts'!$B$8&amp;"")="","",IFERROR(TRIM(INDEX($A172:$Z172,MATCH('Counts'!$B$8,$A$1:$Z$1,0))&amp;""),""))</f>
        <v/>
      </c>
      <c r="AC172" s="41">
        <f>IF(TRIM('Counts'!$B$26&amp;"")="","",IFERROR(TRIM(INDEX($A172:$Z172,MATCH('Counts'!$B$26,$A$1:$Z$1,0))&amp;""),""))</f>
        <v/>
      </c>
      <c r="AD172" s="41">
        <f>IF(TRIM('Counts'!$B$44&amp;"")="","",IFERROR(TRIM(INDEX($A172:$Z172,MATCH('Counts'!$B$44,$A$1:$Z$1,0))&amp;""),""))</f>
        <v/>
      </c>
      <c r="AE172" s="41">
        <f>IF(TRIM('Cross-tab'!$B$5&amp;"")="","",IFERROR(TRIM(INDEX($A172:$Z172,MATCH('Cross-tab'!$B$5,$A$1:$Z$1,0))&amp;""),""))</f>
        <v/>
      </c>
      <c r="AF172" s="41">
        <f>IF(TRIM('Cross-tab'!$B$7&amp;"")="","",IFERROR(TRIM(INDEX($A172:$Z172,MATCH('Cross-tab'!$B$7,$A$1:$Z$1,0))&amp;""),""))</f>
        <v/>
      </c>
      <c r="AG172" s="41">
        <f>IF(ISNUMBER(IFERROR(VALUE(IF(TRIM('Scale score'!$B$5&amp;"")="","",IFERROR(TRIM(INDEX($A172:$Z172,MATCH('Scale score'!$B$5,$A$1:$Z$1,0))&amp;""),""))),"")),IF(AND(IFERROR(VALUE(IF(TRIM('Scale score'!$B$5&amp;"")="","",IFERROR(TRIM(INDEX($A172:$Z172,MATCH('Scale score'!$B$5,$A$1:$Z$1,0))&amp;""),""))),"")&gt;='Scale score'!$B$6,IFERROR(VALUE(IF(TRIM('Scale score'!$B$5&amp;"")="","",IFERROR(TRIM(INDEX($A172:$Z172,MATCH('Scale score'!$B$5,$A$1:$Z$1,0))&amp;""),""))),"")&lt;='Scale score'!$B$7),IFERROR(VALUE(IF(TRIM('Scale score'!$B$5&amp;"")="","",IFERROR(TRIM(INDEX($A172:$Z172,MATCH('Scale score'!$B$5,$A$1:$Z$1,0))&amp;""),""))),""),""),"")</f>
        <v/>
      </c>
      <c r="AH172" s="41">
        <f>IF(TRIM('Open answers'!$B$5&amp;"")="","",IFERROR(TRIM(INDEX($A172:$Z172,MATCH('Open answers'!$B$5,$A$1:$Z$1,0))&amp;""),""))</f>
        <v/>
      </c>
      <c r="AI172" s="41">
        <f>IF(LEN(AH172)&gt;0,MAX($AI$1:AI171)+1,"")</f>
        <v/>
      </c>
    </row>
    <row r="173">
      <c r="AA173" s="40" t="n"/>
      <c r="AB173" s="41">
        <f>IF(TRIM('Counts'!$B$8&amp;"")="","",IFERROR(TRIM(INDEX($A173:$Z173,MATCH('Counts'!$B$8,$A$1:$Z$1,0))&amp;""),""))</f>
        <v/>
      </c>
      <c r="AC173" s="41">
        <f>IF(TRIM('Counts'!$B$26&amp;"")="","",IFERROR(TRIM(INDEX($A173:$Z173,MATCH('Counts'!$B$26,$A$1:$Z$1,0))&amp;""),""))</f>
        <v/>
      </c>
      <c r="AD173" s="41">
        <f>IF(TRIM('Counts'!$B$44&amp;"")="","",IFERROR(TRIM(INDEX($A173:$Z173,MATCH('Counts'!$B$44,$A$1:$Z$1,0))&amp;""),""))</f>
        <v/>
      </c>
      <c r="AE173" s="41">
        <f>IF(TRIM('Cross-tab'!$B$5&amp;"")="","",IFERROR(TRIM(INDEX($A173:$Z173,MATCH('Cross-tab'!$B$5,$A$1:$Z$1,0))&amp;""),""))</f>
        <v/>
      </c>
      <c r="AF173" s="41">
        <f>IF(TRIM('Cross-tab'!$B$7&amp;"")="","",IFERROR(TRIM(INDEX($A173:$Z173,MATCH('Cross-tab'!$B$7,$A$1:$Z$1,0))&amp;""),""))</f>
        <v/>
      </c>
      <c r="AG173" s="41">
        <f>IF(ISNUMBER(IFERROR(VALUE(IF(TRIM('Scale score'!$B$5&amp;"")="","",IFERROR(TRIM(INDEX($A173:$Z173,MATCH('Scale score'!$B$5,$A$1:$Z$1,0))&amp;""),""))),"")),IF(AND(IFERROR(VALUE(IF(TRIM('Scale score'!$B$5&amp;"")="","",IFERROR(TRIM(INDEX($A173:$Z173,MATCH('Scale score'!$B$5,$A$1:$Z$1,0))&amp;""),""))),"")&gt;='Scale score'!$B$6,IFERROR(VALUE(IF(TRIM('Scale score'!$B$5&amp;"")="","",IFERROR(TRIM(INDEX($A173:$Z173,MATCH('Scale score'!$B$5,$A$1:$Z$1,0))&amp;""),""))),"")&lt;='Scale score'!$B$7),IFERROR(VALUE(IF(TRIM('Scale score'!$B$5&amp;"")="","",IFERROR(TRIM(INDEX($A173:$Z173,MATCH('Scale score'!$B$5,$A$1:$Z$1,0))&amp;""),""))),""),""),"")</f>
        <v/>
      </c>
      <c r="AH173" s="41">
        <f>IF(TRIM('Open answers'!$B$5&amp;"")="","",IFERROR(TRIM(INDEX($A173:$Z173,MATCH('Open answers'!$B$5,$A$1:$Z$1,0))&amp;""),""))</f>
        <v/>
      </c>
      <c r="AI173" s="41">
        <f>IF(LEN(AH173)&gt;0,MAX($AI$1:AI172)+1,"")</f>
        <v/>
      </c>
    </row>
    <row r="174">
      <c r="AA174" s="40" t="n"/>
      <c r="AB174" s="41">
        <f>IF(TRIM('Counts'!$B$8&amp;"")="","",IFERROR(TRIM(INDEX($A174:$Z174,MATCH('Counts'!$B$8,$A$1:$Z$1,0))&amp;""),""))</f>
        <v/>
      </c>
      <c r="AC174" s="41">
        <f>IF(TRIM('Counts'!$B$26&amp;"")="","",IFERROR(TRIM(INDEX($A174:$Z174,MATCH('Counts'!$B$26,$A$1:$Z$1,0))&amp;""),""))</f>
        <v/>
      </c>
      <c r="AD174" s="41">
        <f>IF(TRIM('Counts'!$B$44&amp;"")="","",IFERROR(TRIM(INDEX($A174:$Z174,MATCH('Counts'!$B$44,$A$1:$Z$1,0))&amp;""),""))</f>
        <v/>
      </c>
      <c r="AE174" s="41">
        <f>IF(TRIM('Cross-tab'!$B$5&amp;"")="","",IFERROR(TRIM(INDEX($A174:$Z174,MATCH('Cross-tab'!$B$5,$A$1:$Z$1,0))&amp;""),""))</f>
        <v/>
      </c>
      <c r="AF174" s="41">
        <f>IF(TRIM('Cross-tab'!$B$7&amp;"")="","",IFERROR(TRIM(INDEX($A174:$Z174,MATCH('Cross-tab'!$B$7,$A$1:$Z$1,0))&amp;""),""))</f>
        <v/>
      </c>
      <c r="AG174" s="41">
        <f>IF(ISNUMBER(IFERROR(VALUE(IF(TRIM('Scale score'!$B$5&amp;"")="","",IFERROR(TRIM(INDEX($A174:$Z174,MATCH('Scale score'!$B$5,$A$1:$Z$1,0))&amp;""),""))),"")),IF(AND(IFERROR(VALUE(IF(TRIM('Scale score'!$B$5&amp;"")="","",IFERROR(TRIM(INDEX($A174:$Z174,MATCH('Scale score'!$B$5,$A$1:$Z$1,0))&amp;""),""))),"")&gt;='Scale score'!$B$6,IFERROR(VALUE(IF(TRIM('Scale score'!$B$5&amp;"")="","",IFERROR(TRIM(INDEX($A174:$Z174,MATCH('Scale score'!$B$5,$A$1:$Z$1,0))&amp;""),""))),"")&lt;='Scale score'!$B$7),IFERROR(VALUE(IF(TRIM('Scale score'!$B$5&amp;"")="","",IFERROR(TRIM(INDEX($A174:$Z174,MATCH('Scale score'!$B$5,$A$1:$Z$1,0))&amp;""),""))),""),""),"")</f>
        <v/>
      </c>
      <c r="AH174" s="41">
        <f>IF(TRIM('Open answers'!$B$5&amp;"")="","",IFERROR(TRIM(INDEX($A174:$Z174,MATCH('Open answers'!$B$5,$A$1:$Z$1,0))&amp;""),""))</f>
        <v/>
      </c>
      <c r="AI174" s="41">
        <f>IF(LEN(AH174)&gt;0,MAX($AI$1:AI173)+1,"")</f>
        <v/>
      </c>
    </row>
    <row r="175">
      <c r="AA175" s="40" t="n"/>
      <c r="AB175" s="41">
        <f>IF(TRIM('Counts'!$B$8&amp;"")="","",IFERROR(TRIM(INDEX($A175:$Z175,MATCH('Counts'!$B$8,$A$1:$Z$1,0))&amp;""),""))</f>
        <v/>
      </c>
      <c r="AC175" s="41">
        <f>IF(TRIM('Counts'!$B$26&amp;"")="","",IFERROR(TRIM(INDEX($A175:$Z175,MATCH('Counts'!$B$26,$A$1:$Z$1,0))&amp;""),""))</f>
        <v/>
      </c>
      <c r="AD175" s="41">
        <f>IF(TRIM('Counts'!$B$44&amp;"")="","",IFERROR(TRIM(INDEX($A175:$Z175,MATCH('Counts'!$B$44,$A$1:$Z$1,0))&amp;""),""))</f>
        <v/>
      </c>
      <c r="AE175" s="41">
        <f>IF(TRIM('Cross-tab'!$B$5&amp;"")="","",IFERROR(TRIM(INDEX($A175:$Z175,MATCH('Cross-tab'!$B$5,$A$1:$Z$1,0))&amp;""),""))</f>
        <v/>
      </c>
      <c r="AF175" s="41">
        <f>IF(TRIM('Cross-tab'!$B$7&amp;"")="","",IFERROR(TRIM(INDEX($A175:$Z175,MATCH('Cross-tab'!$B$7,$A$1:$Z$1,0))&amp;""),""))</f>
        <v/>
      </c>
      <c r="AG175" s="41">
        <f>IF(ISNUMBER(IFERROR(VALUE(IF(TRIM('Scale score'!$B$5&amp;"")="","",IFERROR(TRIM(INDEX($A175:$Z175,MATCH('Scale score'!$B$5,$A$1:$Z$1,0))&amp;""),""))),"")),IF(AND(IFERROR(VALUE(IF(TRIM('Scale score'!$B$5&amp;"")="","",IFERROR(TRIM(INDEX($A175:$Z175,MATCH('Scale score'!$B$5,$A$1:$Z$1,0))&amp;""),""))),"")&gt;='Scale score'!$B$6,IFERROR(VALUE(IF(TRIM('Scale score'!$B$5&amp;"")="","",IFERROR(TRIM(INDEX($A175:$Z175,MATCH('Scale score'!$B$5,$A$1:$Z$1,0))&amp;""),""))),"")&lt;='Scale score'!$B$7),IFERROR(VALUE(IF(TRIM('Scale score'!$B$5&amp;"")="","",IFERROR(TRIM(INDEX($A175:$Z175,MATCH('Scale score'!$B$5,$A$1:$Z$1,0))&amp;""),""))),""),""),"")</f>
        <v/>
      </c>
      <c r="AH175" s="41">
        <f>IF(TRIM('Open answers'!$B$5&amp;"")="","",IFERROR(TRIM(INDEX($A175:$Z175,MATCH('Open answers'!$B$5,$A$1:$Z$1,0))&amp;""),""))</f>
        <v/>
      </c>
      <c r="AI175" s="41">
        <f>IF(LEN(AH175)&gt;0,MAX($AI$1:AI174)+1,"")</f>
        <v/>
      </c>
    </row>
    <row r="176">
      <c r="AA176" s="40" t="n"/>
      <c r="AB176" s="41">
        <f>IF(TRIM('Counts'!$B$8&amp;"")="","",IFERROR(TRIM(INDEX($A176:$Z176,MATCH('Counts'!$B$8,$A$1:$Z$1,0))&amp;""),""))</f>
        <v/>
      </c>
      <c r="AC176" s="41">
        <f>IF(TRIM('Counts'!$B$26&amp;"")="","",IFERROR(TRIM(INDEX($A176:$Z176,MATCH('Counts'!$B$26,$A$1:$Z$1,0))&amp;""),""))</f>
        <v/>
      </c>
      <c r="AD176" s="41">
        <f>IF(TRIM('Counts'!$B$44&amp;"")="","",IFERROR(TRIM(INDEX($A176:$Z176,MATCH('Counts'!$B$44,$A$1:$Z$1,0))&amp;""),""))</f>
        <v/>
      </c>
      <c r="AE176" s="41">
        <f>IF(TRIM('Cross-tab'!$B$5&amp;"")="","",IFERROR(TRIM(INDEX($A176:$Z176,MATCH('Cross-tab'!$B$5,$A$1:$Z$1,0))&amp;""),""))</f>
        <v/>
      </c>
      <c r="AF176" s="41">
        <f>IF(TRIM('Cross-tab'!$B$7&amp;"")="","",IFERROR(TRIM(INDEX($A176:$Z176,MATCH('Cross-tab'!$B$7,$A$1:$Z$1,0))&amp;""),""))</f>
        <v/>
      </c>
      <c r="AG176" s="41">
        <f>IF(ISNUMBER(IFERROR(VALUE(IF(TRIM('Scale score'!$B$5&amp;"")="","",IFERROR(TRIM(INDEX($A176:$Z176,MATCH('Scale score'!$B$5,$A$1:$Z$1,0))&amp;""),""))),"")),IF(AND(IFERROR(VALUE(IF(TRIM('Scale score'!$B$5&amp;"")="","",IFERROR(TRIM(INDEX($A176:$Z176,MATCH('Scale score'!$B$5,$A$1:$Z$1,0))&amp;""),""))),"")&gt;='Scale score'!$B$6,IFERROR(VALUE(IF(TRIM('Scale score'!$B$5&amp;"")="","",IFERROR(TRIM(INDEX($A176:$Z176,MATCH('Scale score'!$B$5,$A$1:$Z$1,0))&amp;""),""))),"")&lt;='Scale score'!$B$7),IFERROR(VALUE(IF(TRIM('Scale score'!$B$5&amp;"")="","",IFERROR(TRIM(INDEX($A176:$Z176,MATCH('Scale score'!$B$5,$A$1:$Z$1,0))&amp;""),""))),""),""),"")</f>
        <v/>
      </c>
      <c r="AH176" s="41">
        <f>IF(TRIM('Open answers'!$B$5&amp;"")="","",IFERROR(TRIM(INDEX($A176:$Z176,MATCH('Open answers'!$B$5,$A$1:$Z$1,0))&amp;""),""))</f>
        <v/>
      </c>
      <c r="AI176" s="41">
        <f>IF(LEN(AH176)&gt;0,MAX($AI$1:AI175)+1,"")</f>
        <v/>
      </c>
    </row>
    <row r="177">
      <c r="AA177" s="40" t="n"/>
      <c r="AB177" s="41">
        <f>IF(TRIM('Counts'!$B$8&amp;"")="","",IFERROR(TRIM(INDEX($A177:$Z177,MATCH('Counts'!$B$8,$A$1:$Z$1,0))&amp;""),""))</f>
        <v/>
      </c>
      <c r="AC177" s="41">
        <f>IF(TRIM('Counts'!$B$26&amp;"")="","",IFERROR(TRIM(INDEX($A177:$Z177,MATCH('Counts'!$B$26,$A$1:$Z$1,0))&amp;""),""))</f>
        <v/>
      </c>
      <c r="AD177" s="41">
        <f>IF(TRIM('Counts'!$B$44&amp;"")="","",IFERROR(TRIM(INDEX($A177:$Z177,MATCH('Counts'!$B$44,$A$1:$Z$1,0))&amp;""),""))</f>
        <v/>
      </c>
      <c r="AE177" s="41">
        <f>IF(TRIM('Cross-tab'!$B$5&amp;"")="","",IFERROR(TRIM(INDEX($A177:$Z177,MATCH('Cross-tab'!$B$5,$A$1:$Z$1,0))&amp;""),""))</f>
        <v/>
      </c>
      <c r="AF177" s="41">
        <f>IF(TRIM('Cross-tab'!$B$7&amp;"")="","",IFERROR(TRIM(INDEX($A177:$Z177,MATCH('Cross-tab'!$B$7,$A$1:$Z$1,0))&amp;""),""))</f>
        <v/>
      </c>
      <c r="AG177" s="41">
        <f>IF(ISNUMBER(IFERROR(VALUE(IF(TRIM('Scale score'!$B$5&amp;"")="","",IFERROR(TRIM(INDEX($A177:$Z177,MATCH('Scale score'!$B$5,$A$1:$Z$1,0))&amp;""),""))),"")),IF(AND(IFERROR(VALUE(IF(TRIM('Scale score'!$B$5&amp;"")="","",IFERROR(TRIM(INDEX($A177:$Z177,MATCH('Scale score'!$B$5,$A$1:$Z$1,0))&amp;""),""))),"")&gt;='Scale score'!$B$6,IFERROR(VALUE(IF(TRIM('Scale score'!$B$5&amp;"")="","",IFERROR(TRIM(INDEX($A177:$Z177,MATCH('Scale score'!$B$5,$A$1:$Z$1,0))&amp;""),""))),"")&lt;='Scale score'!$B$7),IFERROR(VALUE(IF(TRIM('Scale score'!$B$5&amp;"")="","",IFERROR(TRIM(INDEX($A177:$Z177,MATCH('Scale score'!$B$5,$A$1:$Z$1,0))&amp;""),""))),""),""),"")</f>
        <v/>
      </c>
      <c r="AH177" s="41">
        <f>IF(TRIM('Open answers'!$B$5&amp;"")="","",IFERROR(TRIM(INDEX($A177:$Z177,MATCH('Open answers'!$B$5,$A$1:$Z$1,0))&amp;""),""))</f>
        <v/>
      </c>
      <c r="AI177" s="41">
        <f>IF(LEN(AH177)&gt;0,MAX($AI$1:AI176)+1,"")</f>
        <v/>
      </c>
    </row>
    <row r="178">
      <c r="AA178" s="40" t="n"/>
      <c r="AB178" s="41">
        <f>IF(TRIM('Counts'!$B$8&amp;"")="","",IFERROR(TRIM(INDEX($A178:$Z178,MATCH('Counts'!$B$8,$A$1:$Z$1,0))&amp;""),""))</f>
        <v/>
      </c>
      <c r="AC178" s="41">
        <f>IF(TRIM('Counts'!$B$26&amp;"")="","",IFERROR(TRIM(INDEX($A178:$Z178,MATCH('Counts'!$B$26,$A$1:$Z$1,0))&amp;""),""))</f>
        <v/>
      </c>
      <c r="AD178" s="41">
        <f>IF(TRIM('Counts'!$B$44&amp;"")="","",IFERROR(TRIM(INDEX($A178:$Z178,MATCH('Counts'!$B$44,$A$1:$Z$1,0))&amp;""),""))</f>
        <v/>
      </c>
      <c r="AE178" s="41">
        <f>IF(TRIM('Cross-tab'!$B$5&amp;"")="","",IFERROR(TRIM(INDEX($A178:$Z178,MATCH('Cross-tab'!$B$5,$A$1:$Z$1,0))&amp;""),""))</f>
        <v/>
      </c>
      <c r="AF178" s="41">
        <f>IF(TRIM('Cross-tab'!$B$7&amp;"")="","",IFERROR(TRIM(INDEX($A178:$Z178,MATCH('Cross-tab'!$B$7,$A$1:$Z$1,0))&amp;""),""))</f>
        <v/>
      </c>
      <c r="AG178" s="41">
        <f>IF(ISNUMBER(IFERROR(VALUE(IF(TRIM('Scale score'!$B$5&amp;"")="","",IFERROR(TRIM(INDEX($A178:$Z178,MATCH('Scale score'!$B$5,$A$1:$Z$1,0))&amp;""),""))),"")),IF(AND(IFERROR(VALUE(IF(TRIM('Scale score'!$B$5&amp;"")="","",IFERROR(TRIM(INDEX($A178:$Z178,MATCH('Scale score'!$B$5,$A$1:$Z$1,0))&amp;""),""))),"")&gt;='Scale score'!$B$6,IFERROR(VALUE(IF(TRIM('Scale score'!$B$5&amp;"")="","",IFERROR(TRIM(INDEX($A178:$Z178,MATCH('Scale score'!$B$5,$A$1:$Z$1,0))&amp;""),""))),"")&lt;='Scale score'!$B$7),IFERROR(VALUE(IF(TRIM('Scale score'!$B$5&amp;"")="","",IFERROR(TRIM(INDEX($A178:$Z178,MATCH('Scale score'!$B$5,$A$1:$Z$1,0))&amp;""),""))),""),""),"")</f>
        <v/>
      </c>
      <c r="AH178" s="41">
        <f>IF(TRIM('Open answers'!$B$5&amp;"")="","",IFERROR(TRIM(INDEX($A178:$Z178,MATCH('Open answers'!$B$5,$A$1:$Z$1,0))&amp;""),""))</f>
        <v/>
      </c>
      <c r="AI178" s="41">
        <f>IF(LEN(AH178)&gt;0,MAX($AI$1:AI177)+1,"")</f>
        <v/>
      </c>
    </row>
    <row r="179">
      <c r="AA179" s="40" t="n"/>
      <c r="AB179" s="41">
        <f>IF(TRIM('Counts'!$B$8&amp;"")="","",IFERROR(TRIM(INDEX($A179:$Z179,MATCH('Counts'!$B$8,$A$1:$Z$1,0))&amp;""),""))</f>
        <v/>
      </c>
      <c r="AC179" s="41">
        <f>IF(TRIM('Counts'!$B$26&amp;"")="","",IFERROR(TRIM(INDEX($A179:$Z179,MATCH('Counts'!$B$26,$A$1:$Z$1,0))&amp;""),""))</f>
        <v/>
      </c>
      <c r="AD179" s="41">
        <f>IF(TRIM('Counts'!$B$44&amp;"")="","",IFERROR(TRIM(INDEX($A179:$Z179,MATCH('Counts'!$B$44,$A$1:$Z$1,0))&amp;""),""))</f>
        <v/>
      </c>
      <c r="AE179" s="41">
        <f>IF(TRIM('Cross-tab'!$B$5&amp;"")="","",IFERROR(TRIM(INDEX($A179:$Z179,MATCH('Cross-tab'!$B$5,$A$1:$Z$1,0))&amp;""),""))</f>
        <v/>
      </c>
      <c r="AF179" s="41">
        <f>IF(TRIM('Cross-tab'!$B$7&amp;"")="","",IFERROR(TRIM(INDEX($A179:$Z179,MATCH('Cross-tab'!$B$7,$A$1:$Z$1,0))&amp;""),""))</f>
        <v/>
      </c>
      <c r="AG179" s="41">
        <f>IF(ISNUMBER(IFERROR(VALUE(IF(TRIM('Scale score'!$B$5&amp;"")="","",IFERROR(TRIM(INDEX($A179:$Z179,MATCH('Scale score'!$B$5,$A$1:$Z$1,0))&amp;""),""))),"")),IF(AND(IFERROR(VALUE(IF(TRIM('Scale score'!$B$5&amp;"")="","",IFERROR(TRIM(INDEX($A179:$Z179,MATCH('Scale score'!$B$5,$A$1:$Z$1,0))&amp;""),""))),"")&gt;='Scale score'!$B$6,IFERROR(VALUE(IF(TRIM('Scale score'!$B$5&amp;"")="","",IFERROR(TRIM(INDEX($A179:$Z179,MATCH('Scale score'!$B$5,$A$1:$Z$1,0))&amp;""),""))),"")&lt;='Scale score'!$B$7),IFERROR(VALUE(IF(TRIM('Scale score'!$B$5&amp;"")="","",IFERROR(TRIM(INDEX($A179:$Z179,MATCH('Scale score'!$B$5,$A$1:$Z$1,0))&amp;""),""))),""),""),"")</f>
        <v/>
      </c>
      <c r="AH179" s="41">
        <f>IF(TRIM('Open answers'!$B$5&amp;"")="","",IFERROR(TRIM(INDEX($A179:$Z179,MATCH('Open answers'!$B$5,$A$1:$Z$1,0))&amp;""),""))</f>
        <v/>
      </c>
      <c r="AI179" s="41">
        <f>IF(LEN(AH179)&gt;0,MAX($AI$1:AI178)+1,"")</f>
        <v/>
      </c>
    </row>
    <row r="180">
      <c r="AA180" s="40" t="n"/>
      <c r="AB180" s="41">
        <f>IF(TRIM('Counts'!$B$8&amp;"")="","",IFERROR(TRIM(INDEX($A180:$Z180,MATCH('Counts'!$B$8,$A$1:$Z$1,0))&amp;""),""))</f>
        <v/>
      </c>
      <c r="AC180" s="41">
        <f>IF(TRIM('Counts'!$B$26&amp;"")="","",IFERROR(TRIM(INDEX($A180:$Z180,MATCH('Counts'!$B$26,$A$1:$Z$1,0))&amp;""),""))</f>
        <v/>
      </c>
      <c r="AD180" s="41">
        <f>IF(TRIM('Counts'!$B$44&amp;"")="","",IFERROR(TRIM(INDEX($A180:$Z180,MATCH('Counts'!$B$44,$A$1:$Z$1,0))&amp;""),""))</f>
        <v/>
      </c>
      <c r="AE180" s="41">
        <f>IF(TRIM('Cross-tab'!$B$5&amp;"")="","",IFERROR(TRIM(INDEX($A180:$Z180,MATCH('Cross-tab'!$B$5,$A$1:$Z$1,0))&amp;""),""))</f>
        <v/>
      </c>
      <c r="AF180" s="41">
        <f>IF(TRIM('Cross-tab'!$B$7&amp;"")="","",IFERROR(TRIM(INDEX($A180:$Z180,MATCH('Cross-tab'!$B$7,$A$1:$Z$1,0))&amp;""),""))</f>
        <v/>
      </c>
      <c r="AG180" s="41">
        <f>IF(ISNUMBER(IFERROR(VALUE(IF(TRIM('Scale score'!$B$5&amp;"")="","",IFERROR(TRIM(INDEX($A180:$Z180,MATCH('Scale score'!$B$5,$A$1:$Z$1,0))&amp;""),""))),"")),IF(AND(IFERROR(VALUE(IF(TRIM('Scale score'!$B$5&amp;"")="","",IFERROR(TRIM(INDEX($A180:$Z180,MATCH('Scale score'!$B$5,$A$1:$Z$1,0))&amp;""),""))),"")&gt;='Scale score'!$B$6,IFERROR(VALUE(IF(TRIM('Scale score'!$B$5&amp;"")="","",IFERROR(TRIM(INDEX($A180:$Z180,MATCH('Scale score'!$B$5,$A$1:$Z$1,0))&amp;""),""))),"")&lt;='Scale score'!$B$7),IFERROR(VALUE(IF(TRIM('Scale score'!$B$5&amp;"")="","",IFERROR(TRIM(INDEX($A180:$Z180,MATCH('Scale score'!$B$5,$A$1:$Z$1,0))&amp;""),""))),""),""),"")</f>
        <v/>
      </c>
      <c r="AH180" s="41">
        <f>IF(TRIM('Open answers'!$B$5&amp;"")="","",IFERROR(TRIM(INDEX($A180:$Z180,MATCH('Open answers'!$B$5,$A$1:$Z$1,0))&amp;""),""))</f>
        <v/>
      </c>
      <c r="AI180" s="41">
        <f>IF(LEN(AH180)&gt;0,MAX($AI$1:AI179)+1,"")</f>
        <v/>
      </c>
    </row>
    <row r="181">
      <c r="AA181" s="40" t="n"/>
      <c r="AB181" s="41">
        <f>IF(TRIM('Counts'!$B$8&amp;"")="","",IFERROR(TRIM(INDEX($A181:$Z181,MATCH('Counts'!$B$8,$A$1:$Z$1,0))&amp;""),""))</f>
        <v/>
      </c>
      <c r="AC181" s="41">
        <f>IF(TRIM('Counts'!$B$26&amp;"")="","",IFERROR(TRIM(INDEX($A181:$Z181,MATCH('Counts'!$B$26,$A$1:$Z$1,0))&amp;""),""))</f>
        <v/>
      </c>
      <c r="AD181" s="41">
        <f>IF(TRIM('Counts'!$B$44&amp;"")="","",IFERROR(TRIM(INDEX($A181:$Z181,MATCH('Counts'!$B$44,$A$1:$Z$1,0))&amp;""),""))</f>
        <v/>
      </c>
      <c r="AE181" s="41">
        <f>IF(TRIM('Cross-tab'!$B$5&amp;"")="","",IFERROR(TRIM(INDEX($A181:$Z181,MATCH('Cross-tab'!$B$5,$A$1:$Z$1,0))&amp;""),""))</f>
        <v/>
      </c>
      <c r="AF181" s="41">
        <f>IF(TRIM('Cross-tab'!$B$7&amp;"")="","",IFERROR(TRIM(INDEX($A181:$Z181,MATCH('Cross-tab'!$B$7,$A$1:$Z$1,0))&amp;""),""))</f>
        <v/>
      </c>
      <c r="AG181" s="41">
        <f>IF(ISNUMBER(IFERROR(VALUE(IF(TRIM('Scale score'!$B$5&amp;"")="","",IFERROR(TRIM(INDEX($A181:$Z181,MATCH('Scale score'!$B$5,$A$1:$Z$1,0))&amp;""),""))),"")),IF(AND(IFERROR(VALUE(IF(TRIM('Scale score'!$B$5&amp;"")="","",IFERROR(TRIM(INDEX($A181:$Z181,MATCH('Scale score'!$B$5,$A$1:$Z$1,0))&amp;""),""))),"")&gt;='Scale score'!$B$6,IFERROR(VALUE(IF(TRIM('Scale score'!$B$5&amp;"")="","",IFERROR(TRIM(INDEX($A181:$Z181,MATCH('Scale score'!$B$5,$A$1:$Z$1,0))&amp;""),""))),"")&lt;='Scale score'!$B$7),IFERROR(VALUE(IF(TRIM('Scale score'!$B$5&amp;"")="","",IFERROR(TRIM(INDEX($A181:$Z181,MATCH('Scale score'!$B$5,$A$1:$Z$1,0))&amp;""),""))),""),""),"")</f>
        <v/>
      </c>
      <c r="AH181" s="41">
        <f>IF(TRIM('Open answers'!$B$5&amp;"")="","",IFERROR(TRIM(INDEX($A181:$Z181,MATCH('Open answers'!$B$5,$A$1:$Z$1,0))&amp;""),""))</f>
        <v/>
      </c>
      <c r="AI181" s="41">
        <f>IF(LEN(AH181)&gt;0,MAX($AI$1:AI180)+1,"")</f>
        <v/>
      </c>
    </row>
    <row r="182">
      <c r="AA182" s="40" t="n"/>
      <c r="AB182" s="41">
        <f>IF(TRIM('Counts'!$B$8&amp;"")="","",IFERROR(TRIM(INDEX($A182:$Z182,MATCH('Counts'!$B$8,$A$1:$Z$1,0))&amp;""),""))</f>
        <v/>
      </c>
      <c r="AC182" s="41">
        <f>IF(TRIM('Counts'!$B$26&amp;"")="","",IFERROR(TRIM(INDEX($A182:$Z182,MATCH('Counts'!$B$26,$A$1:$Z$1,0))&amp;""),""))</f>
        <v/>
      </c>
      <c r="AD182" s="41">
        <f>IF(TRIM('Counts'!$B$44&amp;"")="","",IFERROR(TRIM(INDEX($A182:$Z182,MATCH('Counts'!$B$44,$A$1:$Z$1,0))&amp;""),""))</f>
        <v/>
      </c>
      <c r="AE182" s="41">
        <f>IF(TRIM('Cross-tab'!$B$5&amp;"")="","",IFERROR(TRIM(INDEX($A182:$Z182,MATCH('Cross-tab'!$B$5,$A$1:$Z$1,0))&amp;""),""))</f>
        <v/>
      </c>
      <c r="AF182" s="41">
        <f>IF(TRIM('Cross-tab'!$B$7&amp;"")="","",IFERROR(TRIM(INDEX($A182:$Z182,MATCH('Cross-tab'!$B$7,$A$1:$Z$1,0))&amp;""),""))</f>
        <v/>
      </c>
      <c r="AG182" s="41">
        <f>IF(ISNUMBER(IFERROR(VALUE(IF(TRIM('Scale score'!$B$5&amp;"")="","",IFERROR(TRIM(INDEX($A182:$Z182,MATCH('Scale score'!$B$5,$A$1:$Z$1,0))&amp;""),""))),"")),IF(AND(IFERROR(VALUE(IF(TRIM('Scale score'!$B$5&amp;"")="","",IFERROR(TRIM(INDEX($A182:$Z182,MATCH('Scale score'!$B$5,$A$1:$Z$1,0))&amp;""),""))),"")&gt;='Scale score'!$B$6,IFERROR(VALUE(IF(TRIM('Scale score'!$B$5&amp;"")="","",IFERROR(TRIM(INDEX($A182:$Z182,MATCH('Scale score'!$B$5,$A$1:$Z$1,0))&amp;""),""))),"")&lt;='Scale score'!$B$7),IFERROR(VALUE(IF(TRIM('Scale score'!$B$5&amp;"")="","",IFERROR(TRIM(INDEX($A182:$Z182,MATCH('Scale score'!$B$5,$A$1:$Z$1,0))&amp;""),""))),""),""),"")</f>
        <v/>
      </c>
      <c r="AH182" s="41">
        <f>IF(TRIM('Open answers'!$B$5&amp;"")="","",IFERROR(TRIM(INDEX($A182:$Z182,MATCH('Open answers'!$B$5,$A$1:$Z$1,0))&amp;""),""))</f>
        <v/>
      </c>
      <c r="AI182" s="41">
        <f>IF(LEN(AH182)&gt;0,MAX($AI$1:AI181)+1,"")</f>
        <v/>
      </c>
    </row>
    <row r="183">
      <c r="AA183" s="40" t="n"/>
      <c r="AB183" s="41">
        <f>IF(TRIM('Counts'!$B$8&amp;"")="","",IFERROR(TRIM(INDEX($A183:$Z183,MATCH('Counts'!$B$8,$A$1:$Z$1,0))&amp;""),""))</f>
        <v/>
      </c>
      <c r="AC183" s="41">
        <f>IF(TRIM('Counts'!$B$26&amp;"")="","",IFERROR(TRIM(INDEX($A183:$Z183,MATCH('Counts'!$B$26,$A$1:$Z$1,0))&amp;""),""))</f>
        <v/>
      </c>
      <c r="AD183" s="41">
        <f>IF(TRIM('Counts'!$B$44&amp;"")="","",IFERROR(TRIM(INDEX($A183:$Z183,MATCH('Counts'!$B$44,$A$1:$Z$1,0))&amp;""),""))</f>
        <v/>
      </c>
      <c r="AE183" s="41">
        <f>IF(TRIM('Cross-tab'!$B$5&amp;"")="","",IFERROR(TRIM(INDEX($A183:$Z183,MATCH('Cross-tab'!$B$5,$A$1:$Z$1,0))&amp;""),""))</f>
        <v/>
      </c>
      <c r="AF183" s="41">
        <f>IF(TRIM('Cross-tab'!$B$7&amp;"")="","",IFERROR(TRIM(INDEX($A183:$Z183,MATCH('Cross-tab'!$B$7,$A$1:$Z$1,0))&amp;""),""))</f>
        <v/>
      </c>
      <c r="AG183" s="41">
        <f>IF(ISNUMBER(IFERROR(VALUE(IF(TRIM('Scale score'!$B$5&amp;"")="","",IFERROR(TRIM(INDEX($A183:$Z183,MATCH('Scale score'!$B$5,$A$1:$Z$1,0))&amp;""),""))),"")),IF(AND(IFERROR(VALUE(IF(TRIM('Scale score'!$B$5&amp;"")="","",IFERROR(TRIM(INDEX($A183:$Z183,MATCH('Scale score'!$B$5,$A$1:$Z$1,0))&amp;""),""))),"")&gt;='Scale score'!$B$6,IFERROR(VALUE(IF(TRIM('Scale score'!$B$5&amp;"")="","",IFERROR(TRIM(INDEX($A183:$Z183,MATCH('Scale score'!$B$5,$A$1:$Z$1,0))&amp;""),""))),"")&lt;='Scale score'!$B$7),IFERROR(VALUE(IF(TRIM('Scale score'!$B$5&amp;"")="","",IFERROR(TRIM(INDEX($A183:$Z183,MATCH('Scale score'!$B$5,$A$1:$Z$1,0))&amp;""),""))),""),""),"")</f>
        <v/>
      </c>
      <c r="AH183" s="41">
        <f>IF(TRIM('Open answers'!$B$5&amp;"")="","",IFERROR(TRIM(INDEX($A183:$Z183,MATCH('Open answers'!$B$5,$A$1:$Z$1,0))&amp;""),""))</f>
        <v/>
      </c>
      <c r="AI183" s="41">
        <f>IF(LEN(AH183)&gt;0,MAX($AI$1:AI182)+1,"")</f>
        <v/>
      </c>
    </row>
    <row r="184">
      <c r="AA184" s="40" t="n"/>
      <c r="AB184" s="41">
        <f>IF(TRIM('Counts'!$B$8&amp;"")="","",IFERROR(TRIM(INDEX($A184:$Z184,MATCH('Counts'!$B$8,$A$1:$Z$1,0))&amp;""),""))</f>
        <v/>
      </c>
      <c r="AC184" s="41">
        <f>IF(TRIM('Counts'!$B$26&amp;"")="","",IFERROR(TRIM(INDEX($A184:$Z184,MATCH('Counts'!$B$26,$A$1:$Z$1,0))&amp;""),""))</f>
        <v/>
      </c>
      <c r="AD184" s="41">
        <f>IF(TRIM('Counts'!$B$44&amp;"")="","",IFERROR(TRIM(INDEX($A184:$Z184,MATCH('Counts'!$B$44,$A$1:$Z$1,0))&amp;""),""))</f>
        <v/>
      </c>
      <c r="AE184" s="41">
        <f>IF(TRIM('Cross-tab'!$B$5&amp;"")="","",IFERROR(TRIM(INDEX($A184:$Z184,MATCH('Cross-tab'!$B$5,$A$1:$Z$1,0))&amp;""),""))</f>
        <v/>
      </c>
      <c r="AF184" s="41">
        <f>IF(TRIM('Cross-tab'!$B$7&amp;"")="","",IFERROR(TRIM(INDEX($A184:$Z184,MATCH('Cross-tab'!$B$7,$A$1:$Z$1,0))&amp;""),""))</f>
        <v/>
      </c>
      <c r="AG184" s="41">
        <f>IF(ISNUMBER(IFERROR(VALUE(IF(TRIM('Scale score'!$B$5&amp;"")="","",IFERROR(TRIM(INDEX($A184:$Z184,MATCH('Scale score'!$B$5,$A$1:$Z$1,0))&amp;""),""))),"")),IF(AND(IFERROR(VALUE(IF(TRIM('Scale score'!$B$5&amp;"")="","",IFERROR(TRIM(INDEX($A184:$Z184,MATCH('Scale score'!$B$5,$A$1:$Z$1,0))&amp;""),""))),"")&gt;='Scale score'!$B$6,IFERROR(VALUE(IF(TRIM('Scale score'!$B$5&amp;"")="","",IFERROR(TRIM(INDEX($A184:$Z184,MATCH('Scale score'!$B$5,$A$1:$Z$1,0))&amp;""),""))),"")&lt;='Scale score'!$B$7),IFERROR(VALUE(IF(TRIM('Scale score'!$B$5&amp;"")="","",IFERROR(TRIM(INDEX($A184:$Z184,MATCH('Scale score'!$B$5,$A$1:$Z$1,0))&amp;""),""))),""),""),"")</f>
        <v/>
      </c>
      <c r="AH184" s="41">
        <f>IF(TRIM('Open answers'!$B$5&amp;"")="","",IFERROR(TRIM(INDEX($A184:$Z184,MATCH('Open answers'!$B$5,$A$1:$Z$1,0))&amp;""),""))</f>
        <v/>
      </c>
      <c r="AI184" s="41">
        <f>IF(LEN(AH184)&gt;0,MAX($AI$1:AI183)+1,"")</f>
        <v/>
      </c>
    </row>
    <row r="185">
      <c r="AA185" s="40" t="n"/>
      <c r="AB185" s="41">
        <f>IF(TRIM('Counts'!$B$8&amp;"")="","",IFERROR(TRIM(INDEX($A185:$Z185,MATCH('Counts'!$B$8,$A$1:$Z$1,0))&amp;""),""))</f>
        <v/>
      </c>
      <c r="AC185" s="41">
        <f>IF(TRIM('Counts'!$B$26&amp;"")="","",IFERROR(TRIM(INDEX($A185:$Z185,MATCH('Counts'!$B$26,$A$1:$Z$1,0))&amp;""),""))</f>
        <v/>
      </c>
      <c r="AD185" s="41">
        <f>IF(TRIM('Counts'!$B$44&amp;"")="","",IFERROR(TRIM(INDEX($A185:$Z185,MATCH('Counts'!$B$44,$A$1:$Z$1,0))&amp;""),""))</f>
        <v/>
      </c>
      <c r="AE185" s="41">
        <f>IF(TRIM('Cross-tab'!$B$5&amp;"")="","",IFERROR(TRIM(INDEX($A185:$Z185,MATCH('Cross-tab'!$B$5,$A$1:$Z$1,0))&amp;""),""))</f>
        <v/>
      </c>
      <c r="AF185" s="41">
        <f>IF(TRIM('Cross-tab'!$B$7&amp;"")="","",IFERROR(TRIM(INDEX($A185:$Z185,MATCH('Cross-tab'!$B$7,$A$1:$Z$1,0))&amp;""),""))</f>
        <v/>
      </c>
      <c r="AG185" s="41">
        <f>IF(ISNUMBER(IFERROR(VALUE(IF(TRIM('Scale score'!$B$5&amp;"")="","",IFERROR(TRIM(INDEX($A185:$Z185,MATCH('Scale score'!$B$5,$A$1:$Z$1,0))&amp;""),""))),"")),IF(AND(IFERROR(VALUE(IF(TRIM('Scale score'!$B$5&amp;"")="","",IFERROR(TRIM(INDEX($A185:$Z185,MATCH('Scale score'!$B$5,$A$1:$Z$1,0))&amp;""),""))),"")&gt;='Scale score'!$B$6,IFERROR(VALUE(IF(TRIM('Scale score'!$B$5&amp;"")="","",IFERROR(TRIM(INDEX($A185:$Z185,MATCH('Scale score'!$B$5,$A$1:$Z$1,0))&amp;""),""))),"")&lt;='Scale score'!$B$7),IFERROR(VALUE(IF(TRIM('Scale score'!$B$5&amp;"")="","",IFERROR(TRIM(INDEX($A185:$Z185,MATCH('Scale score'!$B$5,$A$1:$Z$1,0))&amp;""),""))),""),""),"")</f>
        <v/>
      </c>
      <c r="AH185" s="41">
        <f>IF(TRIM('Open answers'!$B$5&amp;"")="","",IFERROR(TRIM(INDEX($A185:$Z185,MATCH('Open answers'!$B$5,$A$1:$Z$1,0))&amp;""),""))</f>
        <v/>
      </c>
      <c r="AI185" s="41">
        <f>IF(LEN(AH185)&gt;0,MAX($AI$1:AI184)+1,"")</f>
        <v/>
      </c>
    </row>
    <row r="186">
      <c r="AA186" s="40" t="n"/>
      <c r="AB186" s="41">
        <f>IF(TRIM('Counts'!$B$8&amp;"")="","",IFERROR(TRIM(INDEX($A186:$Z186,MATCH('Counts'!$B$8,$A$1:$Z$1,0))&amp;""),""))</f>
        <v/>
      </c>
      <c r="AC186" s="41">
        <f>IF(TRIM('Counts'!$B$26&amp;"")="","",IFERROR(TRIM(INDEX($A186:$Z186,MATCH('Counts'!$B$26,$A$1:$Z$1,0))&amp;""),""))</f>
        <v/>
      </c>
      <c r="AD186" s="41">
        <f>IF(TRIM('Counts'!$B$44&amp;"")="","",IFERROR(TRIM(INDEX($A186:$Z186,MATCH('Counts'!$B$44,$A$1:$Z$1,0))&amp;""),""))</f>
        <v/>
      </c>
      <c r="AE186" s="41">
        <f>IF(TRIM('Cross-tab'!$B$5&amp;"")="","",IFERROR(TRIM(INDEX($A186:$Z186,MATCH('Cross-tab'!$B$5,$A$1:$Z$1,0))&amp;""),""))</f>
        <v/>
      </c>
      <c r="AF186" s="41">
        <f>IF(TRIM('Cross-tab'!$B$7&amp;"")="","",IFERROR(TRIM(INDEX($A186:$Z186,MATCH('Cross-tab'!$B$7,$A$1:$Z$1,0))&amp;""),""))</f>
        <v/>
      </c>
      <c r="AG186" s="41">
        <f>IF(ISNUMBER(IFERROR(VALUE(IF(TRIM('Scale score'!$B$5&amp;"")="","",IFERROR(TRIM(INDEX($A186:$Z186,MATCH('Scale score'!$B$5,$A$1:$Z$1,0))&amp;""),""))),"")),IF(AND(IFERROR(VALUE(IF(TRIM('Scale score'!$B$5&amp;"")="","",IFERROR(TRIM(INDEX($A186:$Z186,MATCH('Scale score'!$B$5,$A$1:$Z$1,0))&amp;""),""))),"")&gt;='Scale score'!$B$6,IFERROR(VALUE(IF(TRIM('Scale score'!$B$5&amp;"")="","",IFERROR(TRIM(INDEX($A186:$Z186,MATCH('Scale score'!$B$5,$A$1:$Z$1,0))&amp;""),""))),"")&lt;='Scale score'!$B$7),IFERROR(VALUE(IF(TRIM('Scale score'!$B$5&amp;"")="","",IFERROR(TRIM(INDEX($A186:$Z186,MATCH('Scale score'!$B$5,$A$1:$Z$1,0))&amp;""),""))),""),""),"")</f>
        <v/>
      </c>
      <c r="AH186" s="41">
        <f>IF(TRIM('Open answers'!$B$5&amp;"")="","",IFERROR(TRIM(INDEX($A186:$Z186,MATCH('Open answers'!$B$5,$A$1:$Z$1,0))&amp;""),""))</f>
        <v/>
      </c>
      <c r="AI186" s="41">
        <f>IF(LEN(AH186)&gt;0,MAX($AI$1:AI185)+1,"")</f>
        <v/>
      </c>
    </row>
    <row r="187">
      <c r="AA187" s="40" t="n"/>
      <c r="AB187" s="41">
        <f>IF(TRIM('Counts'!$B$8&amp;"")="","",IFERROR(TRIM(INDEX($A187:$Z187,MATCH('Counts'!$B$8,$A$1:$Z$1,0))&amp;""),""))</f>
        <v/>
      </c>
      <c r="AC187" s="41">
        <f>IF(TRIM('Counts'!$B$26&amp;"")="","",IFERROR(TRIM(INDEX($A187:$Z187,MATCH('Counts'!$B$26,$A$1:$Z$1,0))&amp;""),""))</f>
        <v/>
      </c>
      <c r="AD187" s="41">
        <f>IF(TRIM('Counts'!$B$44&amp;"")="","",IFERROR(TRIM(INDEX($A187:$Z187,MATCH('Counts'!$B$44,$A$1:$Z$1,0))&amp;""),""))</f>
        <v/>
      </c>
      <c r="AE187" s="41">
        <f>IF(TRIM('Cross-tab'!$B$5&amp;"")="","",IFERROR(TRIM(INDEX($A187:$Z187,MATCH('Cross-tab'!$B$5,$A$1:$Z$1,0))&amp;""),""))</f>
        <v/>
      </c>
      <c r="AF187" s="41">
        <f>IF(TRIM('Cross-tab'!$B$7&amp;"")="","",IFERROR(TRIM(INDEX($A187:$Z187,MATCH('Cross-tab'!$B$7,$A$1:$Z$1,0))&amp;""),""))</f>
        <v/>
      </c>
      <c r="AG187" s="41">
        <f>IF(ISNUMBER(IFERROR(VALUE(IF(TRIM('Scale score'!$B$5&amp;"")="","",IFERROR(TRIM(INDEX($A187:$Z187,MATCH('Scale score'!$B$5,$A$1:$Z$1,0))&amp;""),""))),"")),IF(AND(IFERROR(VALUE(IF(TRIM('Scale score'!$B$5&amp;"")="","",IFERROR(TRIM(INDEX($A187:$Z187,MATCH('Scale score'!$B$5,$A$1:$Z$1,0))&amp;""),""))),"")&gt;='Scale score'!$B$6,IFERROR(VALUE(IF(TRIM('Scale score'!$B$5&amp;"")="","",IFERROR(TRIM(INDEX($A187:$Z187,MATCH('Scale score'!$B$5,$A$1:$Z$1,0))&amp;""),""))),"")&lt;='Scale score'!$B$7),IFERROR(VALUE(IF(TRIM('Scale score'!$B$5&amp;"")="","",IFERROR(TRIM(INDEX($A187:$Z187,MATCH('Scale score'!$B$5,$A$1:$Z$1,0))&amp;""),""))),""),""),"")</f>
        <v/>
      </c>
      <c r="AH187" s="41">
        <f>IF(TRIM('Open answers'!$B$5&amp;"")="","",IFERROR(TRIM(INDEX($A187:$Z187,MATCH('Open answers'!$B$5,$A$1:$Z$1,0))&amp;""),""))</f>
        <v/>
      </c>
      <c r="AI187" s="41">
        <f>IF(LEN(AH187)&gt;0,MAX($AI$1:AI186)+1,"")</f>
        <v/>
      </c>
    </row>
    <row r="188">
      <c r="AA188" s="40" t="n"/>
      <c r="AB188" s="41">
        <f>IF(TRIM('Counts'!$B$8&amp;"")="","",IFERROR(TRIM(INDEX($A188:$Z188,MATCH('Counts'!$B$8,$A$1:$Z$1,0))&amp;""),""))</f>
        <v/>
      </c>
      <c r="AC188" s="41">
        <f>IF(TRIM('Counts'!$B$26&amp;"")="","",IFERROR(TRIM(INDEX($A188:$Z188,MATCH('Counts'!$B$26,$A$1:$Z$1,0))&amp;""),""))</f>
        <v/>
      </c>
      <c r="AD188" s="41">
        <f>IF(TRIM('Counts'!$B$44&amp;"")="","",IFERROR(TRIM(INDEX($A188:$Z188,MATCH('Counts'!$B$44,$A$1:$Z$1,0))&amp;""),""))</f>
        <v/>
      </c>
      <c r="AE188" s="41">
        <f>IF(TRIM('Cross-tab'!$B$5&amp;"")="","",IFERROR(TRIM(INDEX($A188:$Z188,MATCH('Cross-tab'!$B$5,$A$1:$Z$1,0))&amp;""),""))</f>
        <v/>
      </c>
      <c r="AF188" s="41">
        <f>IF(TRIM('Cross-tab'!$B$7&amp;"")="","",IFERROR(TRIM(INDEX($A188:$Z188,MATCH('Cross-tab'!$B$7,$A$1:$Z$1,0))&amp;""),""))</f>
        <v/>
      </c>
      <c r="AG188" s="41">
        <f>IF(ISNUMBER(IFERROR(VALUE(IF(TRIM('Scale score'!$B$5&amp;"")="","",IFERROR(TRIM(INDEX($A188:$Z188,MATCH('Scale score'!$B$5,$A$1:$Z$1,0))&amp;""),""))),"")),IF(AND(IFERROR(VALUE(IF(TRIM('Scale score'!$B$5&amp;"")="","",IFERROR(TRIM(INDEX($A188:$Z188,MATCH('Scale score'!$B$5,$A$1:$Z$1,0))&amp;""),""))),"")&gt;='Scale score'!$B$6,IFERROR(VALUE(IF(TRIM('Scale score'!$B$5&amp;"")="","",IFERROR(TRIM(INDEX($A188:$Z188,MATCH('Scale score'!$B$5,$A$1:$Z$1,0))&amp;""),""))),"")&lt;='Scale score'!$B$7),IFERROR(VALUE(IF(TRIM('Scale score'!$B$5&amp;"")="","",IFERROR(TRIM(INDEX($A188:$Z188,MATCH('Scale score'!$B$5,$A$1:$Z$1,0))&amp;""),""))),""),""),"")</f>
        <v/>
      </c>
      <c r="AH188" s="41">
        <f>IF(TRIM('Open answers'!$B$5&amp;"")="","",IFERROR(TRIM(INDEX($A188:$Z188,MATCH('Open answers'!$B$5,$A$1:$Z$1,0))&amp;""),""))</f>
        <v/>
      </c>
      <c r="AI188" s="41">
        <f>IF(LEN(AH188)&gt;0,MAX($AI$1:AI187)+1,"")</f>
        <v/>
      </c>
    </row>
    <row r="189">
      <c r="AA189" s="40" t="n"/>
      <c r="AB189" s="41">
        <f>IF(TRIM('Counts'!$B$8&amp;"")="","",IFERROR(TRIM(INDEX($A189:$Z189,MATCH('Counts'!$B$8,$A$1:$Z$1,0))&amp;""),""))</f>
        <v/>
      </c>
      <c r="AC189" s="41">
        <f>IF(TRIM('Counts'!$B$26&amp;"")="","",IFERROR(TRIM(INDEX($A189:$Z189,MATCH('Counts'!$B$26,$A$1:$Z$1,0))&amp;""),""))</f>
        <v/>
      </c>
      <c r="AD189" s="41">
        <f>IF(TRIM('Counts'!$B$44&amp;"")="","",IFERROR(TRIM(INDEX($A189:$Z189,MATCH('Counts'!$B$44,$A$1:$Z$1,0))&amp;""),""))</f>
        <v/>
      </c>
      <c r="AE189" s="41">
        <f>IF(TRIM('Cross-tab'!$B$5&amp;"")="","",IFERROR(TRIM(INDEX($A189:$Z189,MATCH('Cross-tab'!$B$5,$A$1:$Z$1,0))&amp;""),""))</f>
        <v/>
      </c>
      <c r="AF189" s="41">
        <f>IF(TRIM('Cross-tab'!$B$7&amp;"")="","",IFERROR(TRIM(INDEX($A189:$Z189,MATCH('Cross-tab'!$B$7,$A$1:$Z$1,0))&amp;""),""))</f>
        <v/>
      </c>
      <c r="AG189" s="41">
        <f>IF(ISNUMBER(IFERROR(VALUE(IF(TRIM('Scale score'!$B$5&amp;"")="","",IFERROR(TRIM(INDEX($A189:$Z189,MATCH('Scale score'!$B$5,$A$1:$Z$1,0))&amp;""),""))),"")),IF(AND(IFERROR(VALUE(IF(TRIM('Scale score'!$B$5&amp;"")="","",IFERROR(TRIM(INDEX($A189:$Z189,MATCH('Scale score'!$B$5,$A$1:$Z$1,0))&amp;""),""))),"")&gt;='Scale score'!$B$6,IFERROR(VALUE(IF(TRIM('Scale score'!$B$5&amp;"")="","",IFERROR(TRIM(INDEX($A189:$Z189,MATCH('Scale score'!$B$5,$A$1:$Z$1,0))&amp;""),""))),"")&lt;='Scale score'!$B$7),IFERROR(VALUE(IF(TRIM('Scale score'!$B$5&amp;"")="","",IFERROR(TRIM(INDEX($A189:$Z189,MATCH('Scale score'!$B$5,$A$1:$Z$1,0))&amp;""),""))),""),""),"")</f>
        <v/>
      </c>
      <c r="AH189" s="41">
        <f>IF(TRIM('Open answers'!$B$5&amp;"")="","",IFERROR(TRIM(INDEX($A189:$Z189,MATCH('Open answers'!$B$5,$A$1:$Z$1,0))&amp;""),""))</f>
        <v/>
      </c>
      <c r="AI189" s="41">
        <f>IF(LEN(AH189)&gt;0,MAX($AI$1:AI188)+1,"")</f>
        <v/>
      </c>
    </row>
    <row r="190">
      <c r="AA190" s="40" t="n"/>
      <c r="AB190" s="41">
        <f>IF(TRIM('Counts'!$B$8&amp;"")="","",IFERROR(TRIM(INDEX($A190:$Z190,MATCH('Counts'!$B$8,$A$1:$Z$1,0))&amp;""),""))</f>
        <v/>
      </c>
      <c r="AC190" s="41">
        <f>IF(TRIM('Counts'!$B$26&amp;"")="","",IFERROR(TRIM(INDEX($A190:$Z190,MATCH('Counts'!$B$26,$A$1:$Z$1,0))&amp;""),""))</f>
        <v/>
      </c>
      <c r="AD190" s="41">
        <f>IF(TRIM('Counts'!$B$44&amp;"")="","",IFERROR(TRIM(INDEX($A190:$Z190,MATCH('Counts'!$B$44,$A$1:$Z$1,0))&amp;""),""))</f>
        <v/>
      </c>
      <c r="AE190" s="41">
        <f>IF(TRIM('Cross-tab'!$B$5&amp;"")="","",IFERROR(TRIM(INDEX($A190:$Z190,MATCH('Cross-tab'!$B$5,$A$1:$Z$1,0))&amp;""),""))</f>
        <v/>
      </c>
      <c r="AF190" s="41">
        <f>IF(TRIM('Cross-tab'!$B$7&amp;"")="","",IFERROR(TRIM(INDEX($A190:$Z190,MATCH('Cross-tab'!$B$7,$A$1:$Z$1,0))&amp;""),""))</f>
        <v/>
      </c>
      <c r="AG190" s="41">
        <f>IF(ISNUMBER(IFERROR(VALUE(IF(TRIM('Scale score'!$B$5&amp;"")="","",IFERROR(TRIM(INDEX($A190:$Z190,MATCH('Scale score'!$B$5,$A$1:$Z$1,0))&amp;""),""))),"")),IF(AND(IFERROR(VALUE(IF(TRIM('Scale score'!$B$5&amp;"")="","",IFERROR(TRIM(INDEX($A190:$Z190,MATCH('Scale score'!$B$5,$A$1:$Z$1,0))&amp;""),""))),"")&gt;='Scale score'!$B$6,IFERROR(VALUE(IF(TRIM('Scale score'!$B$5&amp;"")="","",IFERROR(TRIM(INDEX($A190:$Z190,MATCH('Scale score'!$B$5,$A$1:$Z$1,0))&amp;""),""))),"")&lt;='Scale score'!$B$7),IFERROR(VALUE(IF(TRIM('Scale score'!$B$5&amp;"")="","",IFERROR(TRIM(INDEX($A190:$Z190,MATCH('Scale score'!$B$5,$A$1:$Z$1,0))&amp;""),""))),""),""),"")</f>
        <v/>
      </c>
      <c r="AH190" s="41">
        <f>IF(TRIM('Open answers'!$B$5&amp;"")="","",IFERROR(TRIM(INDEX($A190:$Z190,MATCH('Open answers'!$B$5,$A$1:$Z$1,0))&amp;""),""))</f>
        <v/>
      </c>
      <c r="AI190" s="41">
        <f>IF(LEN(AH190)&gt;0,MAX($AI$1:AI189)+1,"")</f>
        <v/>
      </c>
    </row>
    <row r="191">
      <c r="AA191" s="40" t="n"/>
      <c r="AB191" s="41">
        <f>IF(TRIM('Counts'!$B$8&amp;"")="","",IFERROR(TRIM(INDEX($A191:$Z191,MATCH('Counts'!$B$8,$A$1:$Z$1,0))&amp;""),""))</f>
        <v/>
      </c>
      <c r="AC191" s="41">
        <f>IF(TRIM('Counts'!$B$26&amp;"")="","",IFERROR(TRIM(INDEX($A191:$Z191,MATCH('Counts'!$B$26,$A$1:$Z$1,0))&amp;""),""))</f>
        <v/>
      </c>
      <c r="AD191" s="41">
        <f>IF(TRIM('Counts'!$B$44&amp;"")="","",IFERROR(TRIM(INDEX($A191:$Z191,MATCH('Counts'!$B$44,$A$1:$Z$1,0))&amp;""),""))</f>
        <v/>
      </c>
      <c r="AE191" s="41">
        <f>IF(TRIM('Cross-tab'!$B$5&amp;"")="","",IFERROR(TRIM(INDEX($A191:$Z191,MATCH('Cross-tab'!$B$5,$A$1:$Z$1,0))&amp;""),""))</f>
        <v/>
      </c>
      <c r="AF191" s="41">
        <f>IF(TRIM('Cross-tab'!$B$7&amp;"")="","",IFERROR(TRIM(INDEX($A191:$Z191,MATCH('Cross-tab'!$B$7,$A$1:$Z$1,0))&amp;""),""))</f>
        <v/>
      </c>
      <c r="AG191" s="41">
        <f>IF(ISNUMBER(IFERROR(VALUE(IF(TRIM('Scale score'!$B$5&amp;"")="","",IFERROR(TRIM(INDEX($A191:$Z191,MATCH('Scale score'!$B$5,$A$1:$Z$1,0))&amp;""),""))),"")),IF(AND(IFERROR(VALUE(IF(TRIM('Scale score'!$B$5&amp;"")="","",IFERROR(TRIM(INDEX($A191:$Z191,MATCH('Scale score'!$B$5,$A$1:$Z$1,0))&amp;""),""))),"")&gt;='Scale score'!$B$6,IFERROR(VALUE(IF(TRIM('Scale score'!$B$5&amp;"")="","",IFERROR(TRIM(INDEX($A191:$Z191,MATCH('Scale score'!$B$5,$A$1:$Z$1,0))&amp;""),""))),"")&lt;='Scale score'!$B$7),IFERROR(VALUE(IF(TRIM('Scale score'!$B$5&amp;"")="","",IFERROR(TRIM(INDEX($A191:$Z191,MATCH('Scale score'!$B$5,$A$1:$Z$1,0))&amp;""),""))),""),""),"")</f>
        <v/>
      </c>
      <c r="AH191" s="41">
        <f>IF(TRIM('Open answers'!$B$5&amp;"")="","",IFERROR(TRIM(INDEX($A191:$Z191,MATCH('Open answers'!$B$5,$A$1:$Z$1,0))&amp;""),""))</f>
        <v/>
      </c>
      <c r="AI191" s="41">
        <f>IF(LEN(AH191)&gt;0,MAX($AI$1:AI190)+1,"")</f>
        <v/>
      </c>
    </row>
    <row r="192">
      <c r="AA192" s="40" t="n"/>
      <c r="AB192" s="41">
        <f>IF(TRIM('Counts'!$B$8&amp;"")="","",IFERROR(TRIM(INDEX($A192:$Z192,MATCH('Counts'!$B$8,$A$1:$Z$1,0))&amp;""),""))</f>
        <v/>
      </c>
      <c r="AC192" s="41">
        <f>IF(TRIM('Counts'!$B$26&amp;"")="","",IFERROR(TRIM(INDEX($A192:$Z192,MATCH('Counts'!$B$26,$A$1:$Z$1,0))&amp;""),""))</f>
        <v/>
      </c>
      <c r="AD192" s="41">
        <f>IF(TRIM('Counts'!$B$44&amp;"")="","",IFERROR(TRIM(INDEX($A192:$Z192,MATCH('Counts'!$B$44,$A$1:$Z$1,0))&amp;""),""))</f>
        <v/>
      </c>
      <c r="AE192" s="41">
        <f>IF(TRIM('Cross-tab'!$B$5&amp;"")="","",IFERROR(TRIM(INDEX($A192:$Z192,MATCH('Cross-tab'!$B$5,$A$1:$Z$1,0))&amp;""),""))</f>
        <v/>
      </c>
      <c r="AF192" s="41">
        <f>IF(TRIM('Cross-tab'!$B$7&amp;"")="","",IFERROR(TRIM(INDEX($A192:$Z192,MATCH('Cross-tab'!$B$7,$A$1:$Z$1,0))&amp;""),""))</f>
        <v/>
      </c>
      <c r="AG192" s="41">
        <f>IF(ISNUMBER(IFERROR(VALUE(IF(TRIM('Scale score'!$B$5&amp;"")="","",IFERROR(TRIM(INDEX($A192:$Z192,MATCH('Scale score'!$B$5,$A$1:$Z$1,0))&amp;""),""))),"")),IF(AND(IFERROR(VALUE(IF(TRIM('Scale score'!$B$5&amp;"")="","",IFERROR(TRIM(INDEX($A192:$Z192,MATCH('Scale score'!$B$5,$A$1:$Z$1,0))&amp;""),""))),"")&gt;='Scale score'!$B$6,IFERROR(VALUE(IF(TRIM('Scale score'!$B$5&amp;"")="","",IFERROR(TRIM(INDEX($A192:$Z192,MATCH('Scale score'!$B$5,$A$1:$Z$1,0))&amp;""),""))),"")&lt;='Scale score'!$B$7),IFERROR(VALUE(IF(TRIM('Scale score'!$B$5&amp;"")="","",IFERROR(TRIM(INDEX($A192:$Z192,MATCH('Scale score'!$B$5,$A$1:$Z$1,0))&amp;""),""))),""),""),"")</f>
        <v/>
      </c>
      <c r="AH192" s="41">
        <f>IF(TRIM('Open answers'!$B$5&amp;"")="","",IFERROR(TRIM(INDEX($A192:$Z192,MATCH('Open answers'!$B$5,$A$1:$Z$1,0))&amp;""),""))</f>
        <v/>
      </c>
      <c r="AI192" s="41">
        <f>IF(LEN(AH192)&gt;0,MAX($AI$1:AI191)+1,"")</f>
        <v/>
      </c>
    </row>
    <row r="193">
      <c r="AA193" s="40" t="n"/>
      <c r="AB193" s="41">
        <f>IF(TRIM('Counts'!$B$8&amp;"")="","",IFERROR(TRIM(INDEX($A193:$Z193,MATCH('Counts'!$B$8,$A$1:$Z$1,0))&amp;""),""))</f>
        <v/>
      </c>
      <c r="AC193" s="41">
        <f>IF(TRIM('Counts'!$B$26&amp;"")="","",IFERROR(TRIM(INDEX($A193:$Z193,MATCH('Counts'!$B$26,$A$1:$Z$1,0))&amp;""),""))</f>
        <v/>
      </c>
      <c r="AD193" s="41">
        <f>IF(TRIM('Counts'!$B$44&amp;"")="","",IFERROR(TRIM(INDEX($A193:$Z193,MATCH('Counts'!$B$44,$A$1:$Z$1,0))&amp;""),""))</f>
        <v/>
      </c>
      <c r="AE193" s="41">
        <f>IF(TRIM('Cross-tab'!$B$5&amp;"")="","",IFERROR(TRIM(INDEX($A193:$Z193,MATCH('Cross-tab'!$B$5,$A$1:$Z$1,0))&amp;""),""))</f>
        <v/>
      </c>
      <c r="AF193" s="41">
        <f>IF(TRIM('Cross-tab'!$B$7&amp;"")="","",IFERROR(TRIM(INDEX($A193:$Z193,MATCH('Cross-tab'!$B$7,$A$1:$Z$1,0))&amp;""),""))</f>
        <v/>
      </c>
      <c r="AG193" s="41">
        <f>IF(ISNUMBER(IFERROR(VALUE(IF(TRIM('Scale score'!$B$5&amp;"")="","",IFERROR(TRIM(INDEX($A193:$Z193,MATCH('Scale score'!$B$5,$A$1:$Z$1,0))&amp;""),""))),"")),IF(AND(IFERROR(VALUE(IF(TRIM('Scale score'!$B$5&amp;"")="","",IFERROR(TRIM(INDEX($A193:$Z193,MATCH('Scale score'!$B$5,$A$1:$Z$1,0))&amp;""),""))),"")&gt;='Scale score'!$B$6,IFERROR(VALUE(IF(TRIM('Scale score'!$B$5&amp;"")="","",IFERROR(TRIM(INDEX($A193:$Z193,MATCH('Scale score'!$B$5,$A$1:$Z$1,0))&amp;""),""))),"")&lt;='Scale score'!$B$7),IFERROR(VALUE(IF(TRIM('Scale score'!$B$5&amp;"")="","",IFERROR(TRIM(INDEX($A193:$Z193,MATCH('Scale score'!$B$5,$A$1:$Z$1,0))&amp;""),""))),""),""),"")</f>
        <v/>
      </c>
      <c r="AH193" s="41">
        <f>IF(TRIM('Open answers'!$B$5&amp;"")="","",IFERROR(TRIM(INDEX($A193:$Z193,MATCH('Open answers'!$B$5,$A$1:$Z$1,0))&amp;""),""))</f>
        <v/>
      </c>
      <c r="AI193" s="41">
        <f>IF(LEN(AH193)&gt;0,MAX($AI$1:AI192)+1,"")</f>
        <v/>
      </c>
    </row>
    <row r="194">
      <c r="AA194" s="40" t="n"/>
      <c r="AB194" s="41">
        <f>IF(TRIM('Counts'!$B$8&amp;"")="","",IFERROR(TRIM(INDEX($A194:$Z194,MATCH('Counts'!$B$8,$A$1:$Z$1,0))&amp;""),""))</f>
        <v/>
      </c>
      <c r="AC194" s="41">
        <f>IF(TRIM('Counts'!$B$26&amp;"")="","",IFERROR(TRIM(INDEX($A194:$Z194,MATCH('Counts'!$B$26,$A$1:$Z$1,0))&amp;""),""))</f>
        <v/>
      </c>
      <c r="AD194" s="41">
        <f>IF(TRIM('Counts'!$B$44&amp;"")="","",IFERROR(TRIM(INDEX($A194:$Z194,MATCH('Counts'!$B$44,$A$1:$Z$1,0))&amp;""),""))</f>
        <v/>
      </c>
      <c r="AE194" s="41">
        <f>IF(TRIM('Cross-tab'!$B$5&amp;"")="","",IFERROR(TRIM(INDEX($A194:$Z194,MATCH('Cross-tab'!$B$5,$A$1:$Z$1,0))&amp;""),""))</f>
        <v/>
      </c>
      <c r="AF194" s="41">
        <f>IF(TRIM('Cross-tab'!$B$7&amp;"")="","",IFERROR(TRIM(INDEX($A194:$Z194,MATCH('Cross-tab'!$B$7,$A$1:$Z$1,0))&amp;""),""))</f>
        <v/>
      </c>
      <c r="AG194" s="41">
        <f>IF(ISNUMBER(IFERROR(VALUE(IF(TRIM('Scale score'!$B$5&amp;"")="","",IFERROR(TRIM(INDEX($A194:$Z194,MATCH('Scale score'!$B$5,$A$1:$Z$1,0))&amp;""),""))),"")),IF(AND(IFERROR(VALUE(IF(TRIM('Scale score'!$B$5&amp;"")="","",IFERROR(TRIM(INDEX($A194:$Z194,MATCH('Scale score'!$B$5,$A$1:$Z$1,0))&amp;""),""))),"")&gt;='Scale score'!$B$6,IFERROR(VALUE(IF(TRIM('Scale score'!$B$5&amp;"")="","",IFERROR(TRIM(INDEX($A194:$Z194,MATCH('Scale score'!$B$5,$A$1:$Z$1,0))&amp;""),""))),"")&lt;='Scale score'!$B$7),IFERROR(VALUE(IF(TRIM('Scale score'!$B$5&amp;"")="","",IFERROR(TRIM(INDEX($A194:$Z194,MATCH('Scale score'!$B$5,$A$1:$Z$1,0))&amp;""),""))),""),""),"")</f>
        <v/>
      </c>
      <c r="AH194" s="41">
        <f>IF(TRIM('Open answers'!$B$5&amp;"")="","",IFERROR(TRIM(INDEX($A194:$Z194,MATCH('Open answers'!$B$5,$A$1:$Z$1,0))&amp;""),""))</f>
        <v/>
      </c>
      <c r="AI194" s="41">
        <f>IF(LEN(AH194)&gt;0,MAX($AI$1:AI193)+1,"")</f>
        <v/>
      </c>
    </row>
    <row r="195">
      <c r="AA195" s="40" t="n"/>
      <c r="AB195" s="41">
        <f>IF(TRIM('Counts'!$B$8&amp;"")="","",IFERROR(TRIM(INDEX($A195:$Z195,MATCH('Counts'!$B$8,$A$1:$Z$1,0))&amp;""),""))</f>
        <v/>
      </c>
      <c r="AC195" s="41">
        <f>IF(TRIM('Counts'!$B$26&amp;"")="","",IFERROR(TRIM(INDEX($A195:$Z195,MATCH('Counts'!$B$26,$A$1:$Z$1,0))&amp;""),""))</f>
        <v/>
      </c>
      <c r="AD195" s="41">
        <f>IF(TRIM('Counts'!$B$44&amp;"")="","",IFERROR(TRIM(INDEX($A195:$Z195,MATCH('Counts'!$B$44,$A$1:$Z$1,0))&amp;""),""))</f>
        <v/>
      </c>
      <c r="AE195" s="41">
        <f>IF(TRIM('Cross-tab'!$B$5&amp;"")="","",IFERROR(TRIM(INDEX($A195:$Z195,MATCH('Cross-tab'!$B$5,$A$1:$Z$1,0))&amp;""),""))</f>
        <v/>
      </c>
      <c r="AF195" s="41">
        <f>IF(TRIM('Cross-tab'!$B$7&amp;"")="","",IFERROR(TRIM(INDEX($A195:$Z195,MATCH('Cross-tab'!$B$7,$A$1:$Z$1,0))&amp;""),""))</f>
        <v/>
      </c>
      <c r="AG195" s="41">
        <f>IF(ISNUMBER(IFERROR(VALUE(IF(TRIM('Scale score'!$B$5&amp;"")="","",IFERROR(TRIM(INDEX($A195:$Z195,MATCH('Scale score'!$B$5,$A$1:$Z$1,0))&amp;""),""))),"")),IF(AND(IFERROR(VALUE(IF(TRIM('Scale score'!$B$5&amp;"")="","",IFERROR(TRIM(INDEX($A195:$Z195,MATCH('Scale score'!$B$5,$A$1:$Z$1,0))&amp;""),""))),"")&gt;='Scale score'!$B$6,IFERROR(VALUE(IF(TRIM('Scale score'!$B$5&amp;"")="","",IFERROR(TRIM(INDEX($A195:$Z195,MATCH('Scale score'!$B$5,$A$1:$Z$1,0))&amp;""),""))),"")&lt;='Scale score'!$B$7),IFERROR(VALUE(IF(TRIM('Scale score'!$B$5&amp;"")="","",IFERROR(TRIM(INDEX($A195:$Z195,MATCH('Scale score'!$B$5,$A$1:$Z$1,0))&amp;""),""))),""),""),"")</f>
        <v/>
      </c>
      <c r="AH195" s="41">
        <f>IF(TRIM('Open answers'!$B$5&amp;"")="","",IFERROR(TRIM(INDEX($A195:$Z195,MATCH('Open answers'!$B$5,$A$1:$Z$1,0))&amp;""),""))</f>
        <v/>
      </c>
      <c r="AI195" s="41">
        <f>IF(LEN(AH195)&gt;0,MAX($AI$1:AI194)+1,"")</f>
        <v/>
      </c>
    </row>
    <row r="196">
      <c r="AA196" s="40" t="n"/>
      <c r="AB196" s="41">
        <f>IF(TRIM('Counts'!$B$8&amp;"")="","",IFERROR(TRIM(INDEX($A196:$Z196,MATCH('Counts'!$B$8,$A$1:$Z$1,0))&amp;""),""))</f>
        <v/>
      </c>
      <c r="AC196" s="41">
        <f>IF(TRIM('Counts'!$B$26&amp;"")="","",IFERROR(TRIM(INDEX($A196:$Z196,MATCH('Counts'!$B$26,$A$1:$Z$1,0))&amp;""),""))</f>
        <v/>
      </c>
      <c r="AD196" s="41">
        <f>IF(TRIM('Counts'!$B$44&amp;"")="","",IFERROR(TRIM(INDEX($A196:$Z196,MATCH('Counts'!$B$44,$A$1:$Z$1,0))&amp;""),""))</f>
        <v/>
      </c>
      <c r="AE196" s="41">
        <f>IF(TRIM('Cross-tab'!$B$5&amp;"")="","",IFERROR(TRIM(INDEX($A196:$Z196,MATCH('Cross-tab'!$B$5,$A$1:$Z$1,0))&amp;""),""))</f>
        <v/>
      </c>
      <c r="AF196" s="41">
        <f>IF(TRIM('Cross-tab'!$B$7&amp;"")="","",IFERROR(TRIM(INDEX($A196:$Z196,MATCH('Cross-tab'!$B$7,$A$1:$Z$1,0))&amp;""),""))</f>
        <v/>
      </c>
      <c r="AG196" s="41">
        <f>IF(ISNUMBER(IFERROR(VALUE(IF(TRIM('Scale score'!$B$5&amp;"")="","",IFERROR(TRIM(INDEX($A196:$Z196,MATCH('Scale score'!$B$5,$A$1:$Z$1,0))&amp;""),""))),"")),IF(AND(IFERROR(VALUE(IF(TRIM('Scale score'!$B$5&amp;"")="","",IFERROR(TRIM(INDEX($A196:$Z196,MATCH('Scale score'!$B$5,$A$1:$Z$1,0))&amp;""),""))),"")&gt;='Scale score'!$B$6,IFERROR(VALUE(IF(TRIM('Scale score'!$B$5&amp;"")="","",IFERROR(TRIM(INDEX($A196:$Z196,MATCH('Scale score'!$B$5,$A$1:$Z$1,0))&amp;""),""))),"")&lt;='Scale score'!$B$7),IFERROR(VALUE(IF(TRIM('Scale score'!$B$5&amp;"")="","",IFERROR(TRIM(INDEX($A196:$Z196,MATCH('Scale score'!$B$5,$A$1:$Z$1,0))&amp;""),""))),""),""),"")</f>
        <v/>
      </c>
      <c r="AH196" s="41">
        <f>IF(TRIM('Open answers'!$B$5&amp;"")="","",IFERROR(TRIM(INDEX($A196:$Z196,MATCH('Open answers'!$B$5,$A$1:$Z$1,0))&amp;""),""))</f>
        <v/>
      </c>
      <c r="AI196" s="41">
        <f>IF(LEN(AH196)&gt;0,MAX($AI$1:AI195)+1,"")</f>
        <v/>
      </c>
    </row>
    <row r="197">
      <c r="AA197" s="40" t="n"/>
      <c r="AB197" s="41">
        <f>IF(TRIM('Counts'!$B$8&amp;"")="","",IFERROR(TRIM(INDEX($A197:$Z197,MATCH('Counts'!$B$8,$A$1:$Z$1,0))&amp;""),""))</f>
        <v/>
      </c>
      <c r="AC197" s="41">
        <f>IF(TRIM('Counts'!$B$26&amp;"")="","",IFERROR(TRIM(INDEX($A197:$Z197,MATCH('Counts'!$B$26,$A$1:$Z$1,0))&amp;""),""))</f>
        <v/>
      </c>
      <c r="AD197" s="41">
        <f>IF(TRIM('Counts'!$B$44&amp;"")="","",IFERROR(TRIM(INDEX($A197:$Z197,MATCH('Counts'!$B$44,$A$1:$Z$1,0))&amp;""),""))</f>
        <v/>
      </c>
      <c r="AE197" s="41">
        <f>IF(TRIM('Cross-tab'!$B$5&amp;"")="","",IFERROR(TRIM(INDEX($A197:$Z197,MATCH('Cross-tab'!$B$5,$A$1:$Z$1,0))&amp;""),""))</f>
        <v/>
      </c>
      <c r="AF197" s="41">
        <f>IF(TRIM('Cross-tab'!$B$7&amp;"")="","",IFERROR(TRIM(INDEX($A197:$Z197,MATCH('Cross-tab'!$B$7,$A$1:$Z$1,0))&amp;""),""))</f>
        <v/>
      </c>
      <c r="AG197" s="41">
        <f>IF(ISNUMBER(IFERROR(VALUE(IF(TRIM('Scale score'!$B$5&amp;"")="","",IFERROR(TRIM(INDEX($A197:$Z197,MATCH('Scale score'!$B$5,$A$1:$Z$1,0))&amp;""),""))),"")),IF(AND(IFERROR(VALUE(IF(TRIM('Scale score'!$B$5&amp;"")="","",IFERROR(TRIM(INDEX($A197:$Z197,MATCH('Scale score'!$B$5,$A$1:$Z$1,0))&amp;""),""))),"")&gt;='Scale score'!$B$6,IFERROR(VALUE(IF(TRIM('Scale score'!$B$5&amp;"")="","",IFERROR(TRIM(INDEX($A197:$Z197,MATCH('Scale score'!$B$5,$A$1:$Z$1,0))&amp;""),""))),"")&lt;='Scale score'!$B$7),IFERROR(VALUE(IF(TRIM('Scale score'!$B$5&amp;"")="","",IFERROR(TRIM(INDEX($A197:$Z197,MATCH('Scale score'!$B$5,$A$1:$Z$1,0))&amp;""),""))),""),""),"")</f>
        <v/>
      </c>
      <c r="AH197" s="41">
        <f>IF(TRIM('Open answers'!$B$5&amp;"")="","",IFERROR(TRIM(INDEX($A197:$Z197,MATCH('Open answers'!$B$5,$A$1:$Z$1,0))&amp;""),""))</f>
        <v/>
      </c>
      <c r="AI197" s="41">
        <f>IF(LEN(AH197)&gt;0,MAX($AI$1:AI196)+1,"")</f>
        <v/>
      </c>
    </row>
    <row r="198">
      <c r="AA198" s="40" t="n"/>
      <c r="AB198" s="41">
        <f>IF(TRIM('Counts'!$B$8&amp;"")="","",IFERROR(TRIM(INDEX($A198:$Z198,MATCH('Counts'!$B$8,$A$1:$Z$1,0))&amp;""),""))</f>
        <v/>
      </c>
      <c r="AC198" s="41">
        <f>IF(TRIM('Counts'!$B$26&amp;"")="","",IFERROR(TRIM(INDEX($A198:$Z198,MATCH('Counts'!$B$26,$A$1:$Z$1,0))&amp;""),""))</f>
        <v/>
      </c>
      <c r="AD198" s="41">
        <f>IF(TRIM('Counts'!$B$44&amp;"")="","",IFERROR(TRIM(INDEX($A198:$Z198,MATCH('Counts'!$B$44,$A$1:$Z$1,0))&amp;""),""))</f>
        <v/>
      </c>
      <c r="AE198" s="41">
        <f>IF(TRIM('Cross-tab'!$B$5&amp;"")="","",IFERROR(TRIM(INDEX($A198:$Z198,MATCH('Cross-tab'!$B$5,$A$1:$Z$1,0))&amp;""),""))</f>
        <v/>
      </c>
      <c r="AF198" s="41">
        <f>IF(TRIM('Cross-tab'!$B$7&amp;"")="","",IFERROR(TRIM(INDEX($A198:$Z198,MATCH('Cross-tab'!$B$7,$A$1:$Z$1,0))&amp;""),""))</f>
        <v/>
      </c>
      <c r="AG198" s="41">
        <f>IF(ISNUMBER(IFERROR(VALUE(IF(TRIM('Scale score'!$B$5&amp;"")="","",IFERROR(TRIM(INDEX($A198:$Z198,MATCH('Scale score'!$B$5,$A$1:$Z$1,0))&amp;""),""))),"")),IF(AND(IFERROR(VALUE(IF(TRIM('Scale score'!$B$5&amp;"")="","",IFERROR(TRIM(INDEX($A198:$Z198,MATCH('Scale score'!$B$5,$A$1:$Z$1,0))&amp;""),""))),"")&gt;='Scale score'!$B$6,IFERROR(VALUE(IF(TRIM('Scale score'!$B$5&amp;"")="","",IFERROR(TRIM(INDEX($A198:$Z198,MATCH('Scale score'!$B$5,$A$1:$Z$1,0))&amp;""),""))),"")&lt;='Scale score'!$B$7),IFERROR(VALUE(IF(TRIM('Scale score'!$B$5&amp;"")="","",IFERROR(TRIM(INDEX($A198:$Z198,MATCH('Scale score'!$B$5,$A$1:$Z$1,0))&amp;""),""))),""),""),"")</f>
        <v/>
      </c>
      <c r="AH198" s="41">
        <f>IF(TRIM('Open answers'!$B$5&amp;"")="","",IFERROR(TRIM(INDEX($A198:$Z198,MATCH('Open answers'!$B$5,$A$1:$Z$1,0))&amp;""),""))</f>
        <v/>
      </c>
      <c r="AI198" s="41">
        <f>IF(LEN(AH198)&gt;0,MAX($AI$1:AI197)+1,"")</f>
        <v/>
      </c>
    </row>
    <row r="199">
      <c r="AA199" s="40" t="n"/>
      <c r="AB199" s="41">
        <f>IF(TRIM('Counts'!$B$8&amp;"")="","",IFERROR(TRIM(INDEX($A199:$Z199,MATCH('Counts'!$B$8,$A$1:$Z$1,0))&amp;""),""))</f>
        <v/>
      </c>
      <c r="AC199" s="41">
        <f>IF(TRIM('Counts'!$B$26&amp;"")="","",IFERROR(TRIM(INDEX($A199:$Z199,MATCH('Counts'!$B$26,$A$1:$Z$1,0))&amp;""),""))</f>
        <v/>
      </c>
      <c r="AD199" s="41">
        <f>IF(TRIM('Counts'!$B$44&amp;"")="","",IFERROR(TRIM(INDEX($A199:$Z199,MATCH('Counts'!$B$44,$A$1:$Z$1,0))&amp;""),""))</f>
        <v/>
      </c>
      <c r="AE199" s="41">
        <f>IF(TRIM('Cross-tab'!$B$5&amp;"")="","",IFERROR(TRIM(INDEX($A199:$Z199,MATCH('Cross-tab'!$B$5,$A$1:$Z$1,0))&amp;""),""))</f>
        <v/>
      </c>
      <c r="AF199" s="41">
        <f>IF(TRIM('Cross-tab'!$B$7&amp;"")="","",IFERROR(TRIM(INDEX($A199:$Z199,MATCH('Cross-tab'!$B$7,$A$1:$Z$1,0))&amp;""),""))</f>
        <v/>
      </c>
      <c r="AG199" s="41">
        <f>IF(ISNUMBER(IFERROR(VALUE(IF(TRIM('Scale score'!$B$5&amp;"")="","",IFERROR(TRIM(INDEX($A199:$Z199,MATCH('Scale score'!$B$5,$A$1:$Z$1,0))&amp;""),""))),"")),IF(AND(IFERROR(VALUE(IF(TRIM('Scale score'!$B$5&amp;"")="","",IFERROR(TRIM(INDEX($A199:$Z199,MATCH('Scale score'!$B$5,$A$1:$Z$1,0))&amp;""),""))),"")&gt;='Scale score'!$B$6,IFERROR(VALUE(IF(TRIM('Scale score'!$B$5&amp;"")="","",IFERROR(TRIM(INDEX($A199:$Z199,MATCH('Scale score'!$B$5,$A$1:$Z$1,0))&amp;""),""))),"")&lt;='Scale score'!$B$7),IFERROR(VALUE(IF(TRIM('Scale score'!$B$5&amp;"")="","",IFERROR(TRIM(INDEX($A199:$Z199,MATCH('Scale score'!$B$5,$A$1:$Z$1,0))&amp;""),""))),""),""),"")</f>
        <v/>
      </c>
      <c r="AH199" s="41">
        <f>IF(TRIM('Open answers'!$B$5&amp;"")="","",IFERROR(TRIM(INDEX($A199:$Z199,MATCH('Open answers'!$B$5,$A$1:$Z$1,0))&amp;""),""))</f>
        <v/>
      </c>
      <c r="AI199" s="41">
        <f>IF(LEN(AH199)&gt;0,MAX($AI$1:AI198)+1,"")</f>
        <v/>
      </c>
    </row>
    <row r="200">
      <c r="AA200" s="40" t="n"/>
      <c r="AB200" s="41">
        <f>IF(TRIM('Counts'!$B$8&amp;"")="","",IFERROR(TRIM(INDEX($A200:$Z200,MATCH('Counts'!$B$8,$A$1:$Z$1,0))&amp;""),""))</f>
        <v/>
      </c>
      <c r="AC200" s="41">
        <f>IF(TRIM('Counts'!$B$26&amp;"")="","",IFERROR(TRIM(INDEX($A200:$Z200,MATCH('Counts'!$B$26,$A$1:$Z$1,0))&amp;""),""))</f>
        <v/>
      </c>
      <c r="AD200" s="41">
        <f>IF(TRIM('Counts'!$B$44&amp;"")="","",IFERROR(TRIM(INDEX($A200:$Z200,MATCH('Counts'!$B$44,$A$1:$Z$1,0))&amp;""),""))</f>
        <v/>
      </c>
      <c r="AE200" s="41">
        <f>IF(TRIM('Cross-tab'!$B$5&amp;"")="","",IFERROR(TRIM(INDEX($A200:$Z200,MATCH('Cross-tab'!$B$5,$A$1:$Z$1,0))&amp;""),""))</f>
        <v/>
      </c>
      <c r="AF200" s="41">
        <f>IF(TRIM('Cross-tab'!$B$7&amp;"")="","",IFERROR(TRIM(INDEX($A200:$Z200,MATCH('Cross-tab'!$B$7,$A$1:$Z$1,0))&amp;""),""))</f>
        <v/>
      </c>
      <c r="AG200" s="41">
        <f>IF(ISNUMBER(IFERROR(VALUE(IF(TRIM('Scale score'!$B$5&amp;"")="","",IFERROR(TRIM(INDEX($A200:$Z200,MATCH('Scale score'!$B$5,$A$1:$Z$1,0))&amp;""),""))),"")),IF(AND(IFERROR(VALUE(IF(TRIM('Scale score'!$B$5&amp;"")="","",IFERROR(TRIM(INDEX($A200:$Z200,MATCH('Scale score'!$B$5,$A$1:$Z$1,0))&amp;""),""))),"")&gt;='Scale score'!$B$6,IFERROR(VALUE(IF(TRIM('Scale score'!$B$5&amp;"")="","",IFERROR(TRIM(INDEX($A200:$Z200,MATCH('Scale score'!$B$5,$A$1:$Z$1,0))&amp;""),""))),"")&lt;='Scale score'!$B$7),IFERROR(VALUE(IF(TRIM('Scale score'!$B$5&amp;"")="","",IFERROR(TRIM(INDEX($A200:$Z200,MATCH('Scale score'!$B$5,$A$1:$Z$1,0))&amp;""),""))),""),""),"")</f>
        <v/>
      </c>
      <c r="AH200" s="41">
        <f>IF(TRIM('Open answers'!$B$5&amp;"")="","",IFERROR(TRIM(INDEX($A200:$Z200,MATCH('Open answers'!$B$5,$A$1:$Z$1,0))&amp;""),""))</f>
        <v/>
      </c>
      <c r="AI200" s="41">
        <f>IF(LEN(AH200)&gt;0,MAX($AI$1:AI199)+1,"")</f>
        <v/>
      </c>
    </row>
    <row r="201">
      <c r="AA201" s="40" t="n"/>
      <c r="AB201" s="41">
        <f>IF(TRIM('Counts'!$B$8&amp;"")="","",IFERROR(TRIM(INDEX($A201:$Z201,MATCH('Counts'!$B$8,$A$1:$Z$1,0))&amp;""),""))</f>
        <v/>
      </c>
      <c r="AC201" s="41">
        <f>IF(TRIM('Counts'!$B$26&amp;"")="","",IFERROR(TRIM(INDEX($A201:$Z201,MATCH('Counts'!$B$26,$A$1:$Z$1,0))&amp;""),""))</f>
        <v/>
      </c>
      <c r="AD201" s="41">
        <f>IF(TRIM('Counts'!$B$44&amp;"")="","",IFERROR(TRIM(INDEX($A201:$Z201,MATCH('Counts'!$B$44,$A$1:$Z$1,0))&amp;""),""))</f>
        <v/>
      </c>
      <c r="AE201" s="41">
        <f>IF(TRIM('Cross-tab'!$B$5&amp;"")="","",IFERROR(TRIM(INDEX($A201:$Z201,MATCH('Cross-tab'!$B$5,$A$1:$Z$1,0))&amp;""),""))</f>
        <v/>
      </c>
      <c r="AF201" s="41">
        <f>IF(TRIM('Cross-tab'!$B$7&amp;"")="","",IFERROR(TRIM(INDEX($A201:$Z201,MATCH('Cross-tab'!$B$7,$A$1:$Z$1,0))&amp;""),""))</f>
        <v/>
      </c>
      <c r="AG201" s="41">
        <f>IF(ISNUMBER(IFERROR(VALUE(IF(TRIM('Scale score'!$B$5&amp;"")="","",IFERROR(TRIM(INDEX($A201:$Z201,MATCH('Scale score'!$B$5,$A$1:$Z$1,0))&amp;""),""))),"")),IF(AND(IFERROR(VALUE(IF(TRIM('Scale score'!$B$5&amp;"")="","",IFERROR(TRIM(INDEX($A201:$Z201,MATCH('Scale score'!$B$5,$A$1:$Z$1,0))&amp;""),""))),"")&gt;='Scale score'!$B$6,IFERROR(VALUE(IF(TRIM('Scale score'!$B$5&amp;"")="","",IFERROR(TRIM(INDEX($A201:$Z201,MATCH('Scale score'!$B$5,$A$1:$Z$1,0))&amp;""),""))),"")&lt;='Scale score'!$B$7),IFERROR(VALUE(IF(TRIM('Scale score'!$B$5&amp;"")="","",IFERROR(TRIM(INDEX($A201:$Z201,MATCH('Scale score'!$B$5,$A$1:$Z$1,0))&amp;""),""))),""),""),"")</f>
        <v/>
      </c>
      <c r="AH201" s="41">
        <f>IF(TRIM('Open answers'!$B$5&amp;"")="","",IFERROR(TRIM(INDEX($A201:$Z201,MATCH('Open answers'!$B$5,$A$1:$Z$1,0))&amp;""),""))</f>
        <v/>
      </c>
      <c r="AI201" s="41">
        <f>IF(LEN(AH201)&gt;0,MAX($AI$1:AI200)+1,"")</f>
        <v/>
      </c>
    </row>
    <row r="202">
      <c r="AA202" s="40" t="n"/>
      <c r="AB202" s="41">
        <f>IF(TRIM('Counts'!$B$8&amp;"")="","",IFERROR(TRIM(INDEX($A202:$Z202,MATCH('Counts'!$B$8,$A$1:$Z$1,0))&amp;""),""))</f>
        <v/>
      </c>
      <c r="AC202" s="41">
        <f>IF(TRIM('Counts'!$B$26&amp;"")="","",IFERROR(TRIM(INDEX($A202:$Z202,MATCH('Counts'!$B$26,$A$1:$Z$1,0))&amp;""),""))</f>
        <v/>
      </c>
      <c r="AD202" s="41">
        <f>IF(TRIM('Counts'!$B$44&amp;"")="","",IFERROR(TRIM(INDEX($A202:$Z202,MATCH('Counts'!$B$44,$A$1:$Z$1,0))&amp;""),""))</f>
        <v/>
      </c>
      <c r="AE202" s="41">
        <f>IF(TRIM('Cross-tab'!$B$5&amp;"")="","",IFERROR(TRIM(INDEX($A202:$Z202,MATCH('Cross-tab'!$B$5,$A$1:$Z$1,0))&amp;""),""))</f>
        <v/>
      </c>
      <c r="AF202" s="41">
        <f>IF(TRIM('Cross-tab'!$B$7&amp;"")="","",IFERROR(TRIM(INDEX($A202:$Z202,MATCH('Cross-tab'!$B$7,$A$1:$Z$1,0))&amp;""),""))</f>
        <v/>
      </c>
      <c r="AG202" s="41">
        <f>IF(ISNUMBER(IFERROR(VALUE(IF(TRIM('Scale score'!$B$5&amp;"")="","",IFERROR(TRIM(INDEX($A202:$Z202,MATCH('Scale score'!$B$5,$A$1:$Z$1,0))&amp;""),""))),"")),IF(AND(IFERROR(VALUE(IF(TRIM('Scale score'!$B$5&amp;"")="","",IFERROR(TRIM(INDEX($A202:$Z202,MATCH('Scale score'!$B$5,$A$1:$Z$1,0))&amp;""),""))),"")&gt;='Scale score'!$B$6,IFERROR(VALUE(IF(TRIM('Scale score'!$B$5&amp;"")="","",IFERROR(TRIM(INDEX($A202:$Z202,MATCH('Scale score'!$B$5,$A$1:$Z$1,0))&amp;""),""))),"")&lt;='Scale score'!$B$7),IFERROR(VALUE(IF(TRIM('Scale score'!$B$5&amp;"")="","",IFERROR(TRIM(INDEX($A202:$Z202,MATCH('Scale score'!$B$5,$A$1:$Z$1,0))&amp;""),""))),""),""),"")</f>
        <v/>
      </c>
      <c r="AH202" s="41">
        <f>IF(TRIM('Open answers'!$B$5&amp;"")="","",IFERROR(TRIM(INDEX($A202:$Z202,MATCH('Open answers'!$B$5,$A$1:$Z$1,0))&amp;""),""))</f>
        <v/>
      </c>
      <c r="AI202" s="41">
        <f>IF(LEN(AH202)&gt;0,MAX($AI$1:AI201)+1,"")</f>
        <v/>
      </c>
    </row>
    <row r="203">
      <c r="AA203" s="40" t="n"/>
      <c r="AB203" s="41">
        <f>IF(TRIM('Counts'!$B$8&amp;"")="","",IFERROR(TRIM(INDEX($A203:$Z203,MATCH('Counts'!$B$8,$A$1:$Z$1,0))&amp;""),""))</f>
        <v/>
      </c>
      <c r="AC203" s="41">
        <f>IF(TRIM('Counts'!$B$26&amp;"")="","",IFERROR(TRIM(INDEX($A203:$Z203,MATCH('Counts'!$B$26,$A$1:$Z$1,0))&amp;""),""))</f>
        <v/>
      </c>
      <c r="AD203" s="41">
        <f>IF(TRIM('Counts'!$B$44&amp;"")="","",IFERROR(TRIM(INDEX($A203:$Z203,MATCH('Counts'!$B$44,$A$1:$Z$1,0))&amp;""),""))</f>
        <v/>
      </c>
      <c r="AE203" s="41">
        <f>IF(TRIM('Cross-tab'!$B$5&amp;"")="","",IFERROR(TRIM(INDEX($A203:$Z203,MATCH('Cross-tab'!$B$5,$A$1:$Z$1,0))&amp;""),""))</f>
        <v/>
      </c>
      <c r="AF203" s="41">
        <f>IF(TRIM('Cross-tab'!$B$7&amp;"")="","",IFERROR(TRIM(INDEX($A203:$Z203,MATCH('Cross-tab'!$B$7,$A$1:$Z$1,0))&amp;""),""))</f>
        <v/>
      </c>
      <c r="AG203" s="41">
        <f>IF(ISNUMBER(IFERROR(VALUE(IF(TRIM('Scale score'!$B$5&amp;"")="","",IFERROR(TRIM(INDEX($A203:$Z203,MATCH('Scale score'!$B$5,$A$1:$Z$1,0))&amp;""),""))),"")),IF(AND(IFERROR(VALUE(IF(TRIM('Scale score'!$B$5&amp;"")="","",IFERROR(TRIM(INDEX($A203:$Z203,MATCH('Scale score'!$B$5,$A$1:$Z$1,0))&amp;""),""))),"")&gt;='Scale score'!$B$6,IFERROR(VALUE(IF(TRIM('Scale score'!$B$5&amp;"")="","",IFERROR(TRIM(INDEX($A203:$Z203,MATCH('Scale score'!$B$5,$A$1:$Z$1,0))&amp;""),""))),"")&lt;='Scale score'!$B$7),IFERROR(VALUE(IF(TRIM('Scale score'!$B$5&amp;"")="","",IFERROR(TRIM(INDEX($A203:$Z203,MATCH('Scale score'!$B$5,$A$1:$Z$1,0))&amp;""),""))),""),""),"")</f>
        <v/>
      </c>
      <c r="AH203" s="41">
        <f>IF(TRIM('Open answers'!$B$5&amp;"")="","",IFERROR(TRIM(INDEX($A203:$Z203,MATCH('Open answers'!$B$5,$A$1:$Z$1,0))&amp;""),""))</f>
        <v/>
      </c>
      <c r="AI203" s="41">
        <f>IF(LEN(AH203)&gt;0,MAX($AI$1:AI202)+1,"")</f>
        <v/>
      </c>
    </row>
    <row r="204">
      <c r="AA204" s="40" t="n"/>
      <c r="AB204" s="41">
        <f>IF(TRIM('Counts'!$B$8&amp;"")="","",IFERROR(TRIM(INDEX($A204:$Z204,MATCH('Counts'!$B$8,$A$1:$Z$1,0))&amp;""),""))</f>
        <v/>
      </c>
      <c r="AC204" s="41">
        <f>IF(TRIM('Counts'!$B$26&amp;"")="","",IFERROR(TRIM(INDEX($A204:$Z204,MATCH('Counts'!$B$26,$A$1:$Z$1,0))&amp;""),""))</f>
        <v/>
      </c>
      <c r="AD204" s="41">
        <f>IF(TRIM('Counts'!$B$44&amp;"")="","",IFERROR(TRIM(INDEX($A204:$Z204,MATCH('Counts'!$B$44,$A$1:$Z$1,0))&amp;""),""))</f>
        <v/>
      </c>
      <c r="AE204" s="41">
        <f>IF(TRIM('Cross-tab'!$B$5&amp;"")="","",IFERROR(TRIM(INDEX($A204:$Z204,MATCH('Cross-tab'!$B$5,$A$1:$Z$1,0))&amp;""),""))</f>
        <v/>
      </c>
      <c r="AF204" s="41">
        <f>IF(TRIM('Cross-tab'!$B$7&amp;"")="","",IFERROR(TRIM(INDEX($A204:$Z204,MATCH('Cross-tab'!$B$7,$A$1:$Z$1,0))&amp;""),""))</f>
        <v/>
      </c>
      <c r="AG204" s="41">
        <f>IF(ISNUMBER(IFERROR(VALUE(IF(TRIM('Scale score'!$B$5&amp;"")="","",IFERROR(TRIM(INDEX($A204:$Z204,MATCH('Scale score'!$B$5,$A$1:$Z$1,0))&amp;""),""))),"")),IF(AND(IFERROR(VALUE(IF(TRIM('Scale score'!$B$5&amp;"")="","",IFERROR(TRIM(INDEX($A204:$Z204,MATCH('Scale score'!$B$5,$A$1:$Z$1,0))&amp;""),""))),"")&gt;='Scale score'!$B$6,IFERROR(VALUE(IF(TRIM('Scale score'!$B$5&amp;"")="","",IFERROR(TRIM(INDEX($A204:$Z204,MATCH('Scale score'!$B$5,$A$1:$Z$1,0))&amp;""),""))),"")&lt;='Scale score'!$B$7),IFERROR(VALUE(IF(TRIM('Scale score'!$B$5&amp;"")="","",IFERROR(TRIM(INDEX($A204:$Z204,MATCH('Scale score'!$B$5,$A$1:$Z$1,0))&amp;""),""))),""),""),"")</f>
        <v/>
      </c>
      <c r="AH204" s="41">
        <f>IF(TRIM('Open answers'!$B$5&amp;"")="","",IFERROR(TRIM(INDEX($A204:$Z204,MATCH('Open answers'!$B$5,$A$1:$Z$1,0))&amp;""),""))</f>
        <v/>
      </c>
      <c r="AI204" s="41">
        <f>IF(LEN(AH204)&gt;0,MAX($AI$1:AI203)+1,"")</f>
        <v/>
      </c>
    </row>
    <row r="205">
      <c r="AA205" s="40" t="n"/>
      <c r="AB205" s="41">
        <f>IF(TRIM('Counts'!$B$8&amp;"")="","",IFERROR(TRIM(INDEX($A205:$Z205,MATCH('Counts'!$B$8,$A$1:$Z$1,0))&amp;""),""))</f>
        <v/>
      </c>
      <c r="AC205" s="41">
        <f>IF(TRIM('Counts'!$B$26&amp;"")="","",IFERROR(TRIM(INDEX($A205:$Z205,MATCH('Counts'!$B$26,$A$1:$Z$1,0))&amp;""),""))</f>
        <v/>
      </c>
      <c r="AD205" s="41">
        <f>IF(TRIM('Counts'!$B$44&amp;"")="","",IFERROR(TRIM(INDEX($A205:$Z205,MATCH('Counts'!$B$44,$A$1:$Z$1,0))&amp;""),""))</f>
        <v/>
      </c>
      <c r="AE205" s="41">
        <f>IF(TRIM('Cross-tab'!$B$5&amp;"")="","",IFERROR(TRIM(INDEX($A205:$Z205,MATCH('Cross-tab'!$B$5,$A$1:$Z$1,0))&amp;""),""))</f>
        <v/>
      </c>
      <c r="AF205" s="41">
        <f>IF(TRIM('Cross-tab'!$B$7&amp;"")="","",IFERROR(TRIM(INDEX($A205:$Z205,MATCH('Cross-tab'!$B$7,$A$1:$Z$1,0))&amp;""),""))</f>
        <v/>
      </c>
      <c r="AG205" s="41">
        <f>IF(ISNUMBER(IFERROR(VALUE(IF(TRIM('Scale score'!$B$5&amp;"")="","",IFERROR(TRIM(INDEX($A205:$Z205,MATCH('Scale score'!$B$5,$A$1:$Z$1,0))&amp;""),""))),"")),IF(AND(IFERROR(VALUE(IF(TRIM('Scale score'!$B$5&amp;"")="","",IFERROR(TRIM(INDEX($A205:$Z205,MATCH('Scale score'!$B$5,$A$1:$Z$1,0))&amp;""),""))),"")&gt;='Scale score'!$B$6,IFERROR(VALUE(IF(TRIM('Scale score'!$B$5&amp;"")="","",IFERROR(TRIM(INDEX($A205:$Z205,MATCH('Scale score'!$B$5,$A$1:$Z$1,0))&amp;""),""))),"")&lt;='Scale score'!$B$7),IFERROR(VALUE(IF(TRIM('Scale score'!$B$5&amp;"")="","",IFERROR(TRIM(INDEX($A205:$Z205,MATCH('Scale score'!$B$5,$A$1:$Z$1,0))&amp;""),""))),""),""),"")</f>
        <v/>
      </c>
      <c r="AH205" s="41">
        <f>IF(TRIM('Open answers'!$B$5&amp;"")="","",IFERROR(TRIM(INDEX($A205:$Z205,MATCH('Open answers'!$B$5,$A$1:$Z$1,0))&amp;""),""))</f>
        <v/>
      </c>
      <c r="AI205" s="41">
        <f>IF(LEN(AH205)&gt;0,MAX($AI$1:AI204)+1,"")</f>
        <v/>
      </c>
    </row>
    <row r="206">
      <c r="AA206" s="40" t="n"/>
      <c r="AB206" s="41">
        <f>IF(TRIM('Counts'!$B$8&amp;"")="","",IFERROR(TRIM(INDEX($A206:$Z206,MATCH('Counts'!$B$8,$A$1:$Z$1,0))&amp;""),""))</f>
        <v/>
      </c>
      <c r="AC206" s="41">
        <f>IF(TRIM('Counts'!$B$26&amp;"")="","",IFERROR(TRIM(INDEX($A206:$Z206,MATCH('Counts'!$B$26,$A$1:$Z$1,0))&amp;""),""))</f>
        <v/>
      </c>
      <c r="AD206" s="41">
        <f>IF(TRIM('Counts'!$B$44&amp;"")="","",IFERROR(TRIM(INDEX($A206:$Z206,MATCH('Counts'!$B$44,$A$1:$Z$1,0))&amp;""),""))</f>
        <v/>
      </c>
      <c r="AE206" s="41">
        <f>IF(TRIM('Cross-tab'!$B$5&amp;"")="","",IFERROR(TRIM(INDEX($A206:$Z206,MATCH('Cross-tab'!$B$5,$A$1:$Z$1,0))&amp;""),""))</f>
        <v/>
      </c>
      <c r="AF206" s="41">
        <f>IF(TRIM('Cross-tab'!$B$7&amp;"")="","",IFERROR(TRIM(INDEX($A206:$Z206,MATCH('Cross-tab'!$B$7,$A$1:$Z$1,0))&amp;""),""))</f>
        <v/>
      </c>
      <c r="AG206" s="41">
        <f>IF(ISNUMBER(IFERROR(VALUE(IF(TRIM('Scale score'!$B$5&amp;"")="","",IFERROR(TRIM(INDEX($A206:$Z206,MATCH('Scale score'!$B$5,$A$1:$Z$1,0))&amp;""),""))),"")),IF(AND(IFERROR(VALUE(IF(TRIM('Scale score'!$B$5&amp;"")="","",IFERROR(TRIM(INDEX($A206:$Z206,MATCH('Scale score'!$B$5,$A$1:$Z$1,0))&amp;""),""))),"")&gt;='Scale score'!$B$6,IFERROR(VALUE(IF(TRIM('Scale score'!$B$5&amp;"")="","",IFERROR(TRIM(INDEX($A206:$Z206,MATCH('Scale score'!$B$5,$A$1:$Z$1,0))&amp;""),""))),"")&lt;='Scale score'!$B$7),IFERROR(VALUE(IF(TRIM('Scale score'!$B$5&amp;"")="","",IFERROR(TRIM(INDEX($A206:$Z206,MATCH('Scale score'!$B$5,$A$1:$Z$1,0))&amp;""),""))),""),""),"")</f>
        <v/>
      </c>
      <c r="AH206" s="41">
        <f>IF(TRIM('Open answers'!$B$5&amp;"")="","",IFERROR(TRIM(INDEX($A206:$Z206,MATCH('Open answers'!$B$5,$A$1:$Z$1,0))&amp;""),""))</f>
        <v/>
      </c>
      <c r="AI206" s="41">
        <f>IF(LEN(AH206)&gt;0,MAX($AI$1:AI205)+1,"")</f>
        <v/>
      </c>
    </row>
    <row r="207">
      <c r="AA207" s="40" t="n"/>
      <c r="AB207" s="41">
        <f>IF(TRIM('Counts'!$B$8&amp;"")="","",IFERROR(TRIM(INDEX($A207:$Z207,MATCH('Counts'!$B$8,$A$1:$Z$1,0))&amp;""),""))</f>
        <v/>
      </c>
      <c r="AC207" s="41">
        <f>IF(TRIM('Counts'!$B$26&amp;"")="","",IFERROR(TRIM(INDEX($A207:$Z207,MATCH('Counts'!$B$26,$A$1:$Z$1,0))&amp;""),""))</f>
        <v/>
      </c>
      <c r="AD207" s="41">
        <f>IF(TRIM('Counts'!$B$44&amp;"")="","",IFERROR(TRIM(INDEX($A207:$Z207,MATCH('Counts'!$B$44,$A$1:$Z$1,0))&amp;""),""))</f>
        <v/>
      </c>
      <c r="AE207" s="41">
        <f>IF(TRIM('Cross-tab'!$B$5&amp;"")="","",IFERROR(TRIM(INDEX($A207:$Z207,MATCH('Cross-tab'!$B$5,$A$1:$Z$1,0))&amp;""),""))</f>
        <v/>
      </c>
      <c r="AF207" s="41">
        <f>IF(TRIM('Cross-tab'!$B$7&amp;"")="","",IFERROR(TRIM(INDEX($A207:$Z207,MATCH('Cross-tab'!$B$7,$A$1:$Z$1,0))&amp;""),""))</f>
        <v/>
      </c>
      <c r="AG207" s="41">
        <f>IF(ISNUMBER(IFERROR(VALUE(IF(TRIM('Scale score'!$B$5&amp;"")="","",IFERROR(TRIM(INDEX($A207:$Z207,MATCH('Scale score'!$B$5,$A$1:$Z$1,0))&amp;""),""))),"")),IF(AND(IFERROR(VALUE(IF(TRIM('Scale score'!$B$5&amp;"")="","",IFERROR(TRIM(INDEX($A207:$Z207,MATCH('Scale score'!$B$5,$A$1:$Z$1,0))&amp;""),""))),"")&gt;='Scale score'!$B$6,IFERROR(VALUE(IF(TRIM('Scale score'!$B$5&amp;"")="","",IFERROR(TRIM(INDEX($A207:$Z207,MATCH('Scale score'!$B$5,$A$1:$Z$1,0))&amp;""),""))),"")&lt;='Scale score'!$B$7),IFERROR(VALUE(IF(TRIM('Scale score'!$B$5&amp;"")="","",IFERROR(TRIM(INDEX($A207:$Z207,MATCH('Scale score'!$B$5,$A$1:$Z$1,0))&amp;""),""))),""),""),"")</f>
        <v/>
      </c>
      <c r="AH207" s="41">
        <f>IF(TRIM('Open answers'!$B$5&amp;"")="","",IFERROR(TRIM(INDEX($A207:$Z207,MATCH('Open answers'!$B$5,$A$1:$Z$1,0))&amp;""),""))</f>
        <v/>
      </c>
      <c r="AI207" s="41">
        <f>IF(LEN(AH207)&gt;0,MAX($AI$1:AI206)+1,"")</f>
        <v/>
      </c>
    </row>
    <row r="208">
      <c r="AA208" s="40" t="n"/>
      <c r="AB208" s="41">
        <f>IF(TRIM('Counts'!$B$8&amp;"")="","",IFERROR(TRIM(INDEX($A208:$Z208,MATCH('Counts'!$B$8,$A$1:$Z$1,0))&amp;""),""))</f>
        <v/>
      </c>
      <c r="AC208" s="41">
        <f>IF(TRIM('Counts'!$B$26&amp;"")="","",IFERROR(TRIM(INDEX($A208:$Z208,MATCH('Counts'!$B$26,$A$1:$Z$1,0))&amp;""),""))</f>
        <v/>
      </c>
      <c r="AD208" s="41">
        <f>IF(TRIM('Counts'!$B$44&amp;"")="","",IFERROR(TRIM(INDEX($A208:$Z208,MATCH('Counts'!$B$44,$A$1:$Z$1,0))&amp;""),""))</f>
        <v/>
      </c>
      <c r="AE208" s="41">
        <f>IF(TRIM('Cross-tab'!$B$5&amp;"")="","",IFERROR(TRIM(INDEX($A208:$Z208,MATCH('Cross-tab'!$B$5,$A$1:$Z$1,0))&amp;""),""))</f>
        <v/>
      </c>
      <c r="AF208" s="41">
        <f>IF(TRIM('Cross-tab'!$B$7&amp;"")="","",IFERROR(TRIM(INDEX($A208:$Z208,MATCH('Cross-tab'!$B$7,$A$1:$Z$1,0))&amp;""),""))</f>
        <v/>
      </c>
      <c r="AG208" s="41">
        <f>IF(ISNUMBER(IFERROR(VALUE(IF(TRIM('Scale score'!$B$5&amp;"")="","",IFERROR(TRIM(INDEX($A208:$Z208,MATCH('Scale score'!$B$5,$A$1:$Z$1,0))&amp;""),""))),"")),IF(AND(IFERROR(VALUE(IF(TRIM('Scale score'!$B$5&amp;"")="","",IFERROR(TRIM(INDEX($A208:$Z208,MATCH('Scale score'!$B$5,$A$1:$Z$1,0))&amp;""),""))),"")&gt;='Scale score'!$B$6,IFERROR(VALUE(IF(TRIM('Scale score'!$B$5&amp;"")="","",IFERROR(TRIM(INDEX($A208:$Z208,MATCH('Scale score'!$B$5,$A$1:$Z$1,0))&amp;""),""))),"")&lt;='Scale score'!$B$7),IFERROR(VALUE(IF(TRIM('Scale score'!$B$5&amp;"")="","",IFERROR(TRIM(INDEX($A208:$Z208,MATCH('Scale score'!$B$5,$A$1:$Z$1,0))&amp;""),""))),""),""),"")</f>
        <v/>
      </c>
      <c r="AH208" s="41">
        <f>IF(TRIM('Open answers'!$B$5&amp;"")="","",IFERROR(TRIM(INDEX($A208:$Z208,MATCH('Open answers'!$B$5,$A$1:$Z$1,0))&amp;""),""))</f>
        <v/>
      </c>
      <c r="AI208" s="41">
        <f>IF(LEN(AH208)&gt;0,MAX($AI$1:AI207)+1,"")</f>
        <v/>
      </c>
    </row>
    <row r="209">
      <c r="AA209" s="40" t="n"/>
      <c r="AB209" s="41">
        <f>IF(TRIM('Counts'!$B$8&amp;"")="","",IFERROR(TRIM(INDEX($A209:$Z209,MATCH('Counts'!$B$8,$A$1:$Z$1,0))&amp;""),""))</f>
        <v/>
      </c>
      <c r="AC209" s="41">
        <f>IF(TRIM('Counts'!$B$26&amp;"")="","",IFERROR(TRIM(INDEX($A209:$Z209,MATCH('Counts'!$B$26,$A$1:$Z$1,0))&amp;""),""))</f>
        <v/>
      </c>
      <c r="AD209" s="41">
        <f>IF(TRIM('Counts'!$B$44&amp;"")="","",IFERROR(TRIM(INDEX($A209:$Z209,MATCH('Counts'!$B$44,$A$1:$Z$1,0))&amp;""),""))</f>
        <v/>
      </c>
      <c r="AE209" s="41">
        <f>IF(TRIM('Cross-tab'!$B$5&amp;"")="","",IFERROR(TRIM(INDEX($A209:$Z209,MATCH('Cross-tab'!$B$5,$A$1:$Z$1,0))&amp;""),""))</f>
        <v/>
      </c>
      <c r="AF209" s="41">
        <f>IF(TRIM('Cross-tab'!$B$7&amp;"")="","",IFERROR(TRIM(INDEX($A209:$Z209,MATCH('Cross-tab'!$B$7,$A$1:$Z$1,0))&amp;""),""))</f>
        <v/>
      </c>
      <c r="AG209" s="41">
        <f>IF(ISNUMBER(IFERROR(VALUE(IF(TRIM('Scale score'!$B$5&amp;"")="","",IFERROR(TRIM(INDEX($A209:$Z209,MATCH('Scale score'!$B$5,$A$1:$Z$1,0))&amp;""),""))),"")),IF(AND(IFERROR(VALUE(IF(TRIM('Scale score'!$B$5&amp;"")="","",IFERROR(TRIM(INDEX($A209:$Z209,MATCH('Scale score'!$B$5,$A$1:$Z$1,0))&amp;""),""))),"")&gt;='Scale score'!$B$6,IFERROR(VALUE(IF(TRIM('Scale score'!$B$5&amp;"")="","",IFERROR(TRIM(INDEX($A209:$Z209,MATCH('Scale score'!$B$5,$A$1:$Z$1,0))&amp;""),""))),"")&lt;='Scale score'!$B$7),IFERROR(VALUE(IF(TRIM('Scale score'!$B$5&amp;"")="","",IFERROR(TRIM(INDEX($A209:$Z209,MATCH('Scale score'!$B$5,$A$1:$Z$1,0))&amp;""),""))),""),""),"")</f>
        <v/>
      </c>
      <c r="AH209" s="41">
        <f>IF(TRIM('Open answers'!$B$5&amp;"")="","",IFERROR(TRIM(INDEX($A209:$Z209,MATCH('Open answers'!$B$5,$A$1:$Z$1,0))&amp;""),""))</f>
        <v/>
      </c>
      <c r="AI209" s="41">
        <f>IF(LEN(AH209)&gt;0,MAX($AI$1:AI208)+1,"")</f>
        <v/>
      </c>
    </row>
    <row r="210">
      <c r="AA210" s="40" t="n"/>
      <c r="AB210" s="41">
        <f>IF(TRIM('Counts'!$B$8&amp;"")="","",IFERROR(TRIM(INDEX($A210:$Z210,MATCH('Counts'!$B$8,$A$1:$Z$1,0))&amp;""),""))</f>
        <v/>
      </c>
      <c r="AC210" s="41">
        <f>IF(TRIM('Counts'!$B$26&amp;"")="","",IFERROR(TRIM(INDEX($A210:$Z210,MATCH('Counts'!$B$26,$A$1:$Z$1,0))&amp;""),""))</f>
        <v/>
      </c>
      <c r="AD210" s="41">
        <f>IF(TRIM('Counts'!$B$44&amp;"")="","",IFERROR(TRIM(INDEX($A210:$Z210,MATCH('Counts'!$B$44,$A$1:$Z$1,0))&amp;""),""))</f>
        <v/>
      </c>
      <c r="AE210" s="41">
        <f>IF(TRIM('Cross-tab'!$B$5&amp;"")="","",IFERROR(TRIM(INDEX($A210:$Z210,MATCH('Cross-tab'!$B$5,$A$1:$Z$1,0))&amp;""),""))</f>
        <v/>
      </c>
      <c r="AF210" s="41">
        <f>IF(TRIM('Cross-tab'!$B$7&amp;"")="","",IFERROR(TRIM(INDEX($A210:$Z210,MATCH('Cross-tab'!$B$7,$A$1:$Z$1,0))&amp;""),""))</f>
        <v/>
      </c>
      <c r="AG210" s="41">
        <f>IF(ISNUMBER(IFERROR(VALUE(IF(TRIM('Scale score'!$B$5&amp;"")="","",IFERROR(TRIM(INDEX($A210:$Z210,MATCH('Scale score'!$B$5,$A$1:$Z$1,0))&amp;""),""))),"")),IF(AND(IFERROR(VALUE(IF(TRIM('Scale score'!$B$5&amp;"")="","",IFERROR(TRIM(INDEX($A210:$Z210,MATCH('Scale score'!$B$5,$A$1:$Z$1,0))&amp;""),""))),"")&gt;='Scale score'!$B$6,IFERROR(VALUE(IF(TRIM('Scale score'!$B$5&amp;"")="","",IFERROR(TRIM(INDEX($A210:$Z210,MATCH('Scale score'!$B$5,$A$1:$Z$1,0))&amp;""),""))),"")&lt;='Scale score'!$B$7),IFERROR(VALUE(IF(TRIM('Scale score'!$B$5&amp;"")="","",IFERROR(TRIM(INDEX($A210:$Z210,MATCH('Scale score'!$B$5,$A$1:$Z$1,0))&amp;""),""))),""),""),"")</f>
        <v/>
      </c>
      <c r="AH210" s="41">
        <f>IF(TRIM('Open answers'!$B$5&amp;"")="","",IFERROR(TRIM(INDEX($A210:$Z210,MATCH('Open answers'!$B$5,$A$1:$Z$1,0))&amp;""),""))</f>
        <v/>
      </c>
      <c r="AI210" s="41">
        <f>IF(LEN(AH210)&gt;0,MAX($AI$1:AI209)+1,"")</f>
        <v/>
      </c>
    </row>
    <row r="211">
      <c r="AA211" s="40" t="n"/>
      <c r="AB211" s="41">
        <f>IF(TRIM('Counts'!$B$8&amp;"")="","",IFERROR(TRIM(INDEX($A211:$Z211,MATCH('Counts'!$B$8,$A$1:$Z$1,0))&amp;""),""))</f>
        <v/>
      </c>
      <c r="AC211" s="41">
        <f>IF(TRIM('Counts'!$B$26&amp;"")="","",IFERROR(TRIM(INDEX($A211:$Z211,MATCH('Counts'!$B$26,$A$1:$Z$1,0))&amp;""),""))</f>
        <v/>
      </c>
      <c r="AD211" s="41">
        <f>IF(TRIM('Counts'!$B$44&amp;"")="","",IFERROR(TRIM(INDEX($A211:$Z211,MATCH('Counts'!$B$44,$A$1:$Z$1,0))&amp;""),""))</f>
        <v/>
      </c>
      <c r="AE211" s="41">
        <f>IF(TRIM('Cross-tab'!$B$5&amp;"")="","",IFERROR(TRIM(INDEX($A211:$Z211,MATCH('Cross-tab'!$B$5,$A$1:$Z$1,0))&amp;""),""))</f>
        <v/>
      </c>
      <c r="AF211" s="41">
        <f>IF(TRIM('Cross-tab'!$B$7&amp;"")="","",IFERROR(TRIM(INDEX($A211:$Z211,MATCH('Cross-tab'!$B$7,$A$1:$Z$1,0))&amp;""),""))</f>
        <v/>
      </c>
      <c r="AG211" s="41">
        <f>IF(ISNUMBER(IFERROR(VALUE(IF(TRIM('Scale score'!$B$5&amp;"")="","",IFERROR(TRIM(INDEX($A211:$Z211,MATCH('Scale score'!$B$5,$A$1:$Z$1,0))&amp;""),""))),"")),IF(AND(IFERROR(VALUE(IF(TRIM('Scale score'!$B$5&amp;"")="","",IFERROR(TRIM(INDEX($A211:$Z211,MATCH('Scale score'!$B$5,$A$1:$Z$1,0))&amp;""),""))),"")&gt;='Scale score'!$B$6,IFERROR(VALUE(IF(TRIM('Scale score'!$B$5&amp;"")="","",IFERROR(TRIM(INDEX($A211:$Z211,MATCH('Scale score'!$B$5,$A$1:$Z$1,0))&amp;""),""))),"")&lt;='Scale score'!$B$7),IFERROR(VALUE(IF(TRIM('Scale score'!$B$5&amp;"")="","",IFERROR(TRIM(INDEX($A211:$Z211,MATCH('Scale score'!$B$5,$A$1:$Z$1,0))&amp;""),""))),""),""),"")</f>
        <v/>
      </c>
      <c r="AH211" s="41">
        <f>IF(TRIM('Open answers'!$B$5&amp;"")="","",IFERROR(TRIM(INDEX($A211:$Z211,MATCH('Open answers'!$B$5,$A$1:$Z$1,0))&amp;""),""))</f>
        <v/>
      </c>
      <c r="AI211" s="41">
        <f>IF(LEN(AH211)&gt;0,MAX($AI$1:AI210)+1,"")</f>
        <v/>
      </c>
    </row>
    <row r="212">
      <c r="AA212" s="40" t="n"/>
      <c r="AB212" s="41">
        <f>IF(TRIM('Counts'!$B$8&amp;"")="","",IFERROR(TRIM(INDEX($A212:$Z212,MATCH('Counts'!$B$8,$A$1:$Z$1,0))&amp;""),""))</f>
        <v/>
      </c>
      <c r="AC212" s="41">
        <f>IF(TRIM('Counts'!$B$26&amp;"")="","",IFERROR(TRIM(INDEX($A212:$Z212,MATCH('Counts'!$B$26,$A$1:$Z$1,0))&amp;""),""))</f>
        <v/>
      </c>
      <c r="AD212" s="41">
        <f>IF(TRIM('Counts'!$B$44&amp;"")="","",IFERROR(TRIM(INDEX($A212:$Z212,MATCH('Counts'!$B$44,$A$1:$Z$1,0))&amp;""),""))</f>
        <v/>
      </c>
      <c r="AE212" s="41">
        <f>IF(TRIM('Cross-tab'!$B$5&amp;"")="","",IFERROR(TRIM(INDEX($A212:$Z212,MATCH('Cross-tab'!$B$5,$A$1:$Z$1,0))&amp;""),""))</f>
        <v/>
      </c>
      <c r="AF212" s="41">
        <f>IF(TRIM('Cross-tab'!$B$7&amp;"")="","",IFERROR(TRIM(INDEX($A212:$Z212,MATCH('Cross-tab'!$B$7,$A$1:$Z$1,0))&amp;""),""))</f>
        <v/>
      </c>
      <c r="AG212" s="41">
        <f>IF(ISNUMBER(IFERROR(VALUE(IF(TRIM('Scale score'!$B$5&amp;"")="","",IFERROR(TRIM(INDEX($A212:$Z212,MATCH('Scale score'!$B$5,$A$1:$Z$1,0))&amp;""),""))),"")),IF(AND(IFERROR(VALUE(IF(TRIM('Scale score'!$B$5&amp;"")="","",IFERROR(TRIM(INDEX($A212:$Z212,MATCH('Scale score'!$B$5,$A$1:$Z$1,0))&amp;""),""))),"")&gt;='Scale score'!$B$6,IFERROR(VALUE(IF(TRIM('Scale score'!$B$5&amp;"")="","",IFERROR(TRIM(INDEX($A212:$Z212,MATCH('Scale score'!$B$5,$A$1:$Z$1,0))&amp;""),""))),"")&lt;='Scale score'!$B$7),IFERROR(VALUE(IF(TRIM('Scale score'!$B$5&amp;"")="","",IFERROR(TRIM(INDEX($A212:$Z212,MATCH('Scale score'!$B$5,$A$1:$Z$1,0))&amp;""),""))),""),""),"")</f>
        <v/>
      </c>
      <c r="AH212" s="41">
        <f>IF(TRIM('Open answers'!$B$5&amp;"")="","",IFERROR(TRIM(INDEX($A212:$Z212,MATCH('Open answers'!$B$5,$A$1:$Z$1,0))&amp;""),""))</f>
        <v/>
      </c>
      <c r="AI212" s="41">
        <f>IF(LEN(AH212)&gt;0,MAX($AI$1:AI211)+1,"")</f>
        <v/>
      </c>
    </row>
    <row r="213">
      <c r="AA213" s="40" t="n"/>
      <c r="AB213" s="41">
        <f>IF(TRIM('Counts'!$B$8&amp;"")="","",IFERROR(TRIM(INDEX($A213:$Z213,MATCH('Counts'!$B$8,$A$1:$Z$1,0))&amp;""),""))</f>
        <v/>
      </c>
      <c r="AC213" s="41">
        <f>IF(TRIM('Counts'!$B$26&amp;"")="","",IFERROR(TRIM(INDEX($A213:$Z213,MATCH('Counts'!$B$26,$A$1:$Z$1,0))&amp;""),""))</f>
        <v/>
      </c>
      <c r="AD213" s="41">
        <f>IF(TRIM('Counts'!$B$44&amp;"")="","",IFERROR(TRIM(INDEX($A213:$Z213,MATCH('Counts'!$B$44,$A$1:$Z$1,0))&amp;""),""))</f>
        <v/>
      </c>
      <c r="AE213" s="41">
        <f>IF(TRIM('Cross-tab'!$B$5&amp;"")="","",IFERROR(TRIM(INDEX($A213:$Z213,MATCH('Cross-tab'!$B$5,$A$1:$Z$1,0))&amp;""),""))</f>
        <v/>
      </c>
      <c r="AF213" s="41">
        <f>IF(TRIM('Cross-tab'!$B$7&amp;"")="","",IFERROR(TRIM(INDEX($A213:$Z213,MATCH('Cross-tab'!$B$7,$A$1:$Z$1,0))&amp;""),""))</f>
        <v/>
      </c>
      <c r="AG213" s="41">
        <f>IF(ISNUMBER(IFERROR(VALUE(IF(TRIM('Scale score'!$B$5&amp;"")="","",IFERROR(TRIM(INDEX($A213:$Z213,MATCH('Scale score'!$B$5,$A$1:$Z$1,0))&amp;""),""))),"")),IF(AND(IFERROR(VALUE(IF(TRIM('Scale score'!$B$5&amp;"")="","",IFERROR(TRIM(INDEX($A213:$Z213,MATCH('Scale score'!$B$5,$A$1:$Z$1,0))&amp;""),""))),"")&gt;='Scale score'!$B$6,IFERROR(VALUE(IF(TRIM('Scale score'!$B$5&amp;"")="","",IFERROR(TRIM(INDEX($A213:$Z213,MATCH('Scale score'!$B$5,$A$1:$Z$1,0))&amp;""),""))),"")&lt;='Scale score'!$B$7),IFERROR(VALUE(IF(TRIM('Scale score'!$B$5&amp;"")="","",IFERROR(TRIM(INDEX($A213:$Z213,MATCH('Scale score'!$B$5,$A$1:$Z$1,0))&amp;""),""))),""),""),"")</f>
        <v/>
      </c>
      <c r="AH213" s="41">
        <f>IF(TRIM('Open answers'!$B$5&amp;"")="","",IFERROR(TRIM(INDEX($A213:$Z213,MATCH('Open answers'!$B$5,$A$1:$Z$1,0))&amp;""),""))</f>
        <v/>
      </c>
      <c r="AI213" s="41">
        <f>IF(LEN(AH213)&gt;0,MAX($AI$1:AI212)+1,"")</f>
        <v/>
      </c>
    </row>
    <row r="214">
      <c r="AA214" s="40" t="n"/>
      <c r="AB214" s="41">
        <f>IF(TRIM('Counts'!$B$8&amp;"")="","",IFERROR(TRIM(INDEX($A214:$Z214,MATCH('Counts'!$B$8,$A$1:$Z$1,0))&amp;""),""))</f>
        <v/>
      </c>
      <c r="AC214" s="41">
        <f>IF(TRIM('Counts'!$B$26&amp;"")="","",IFERROR(TRIM(INDEX($A214:$Z214,MATCH('Counts'!$B$26,$A$1:$Z$1,0))&amp;""),""))</f>
        <v/>
      </c>
      <c r="AD214" s="41">
        <f>IF(TRIM('Counts'!$B$44&amp;"")="","",IFERROR(TRIM(INDEX($A214:$Z214,MATCH('Counts'!$B$44,$A$1:$Z$1,0))&amp;""),""))</f>
        <v/>
      </c>
      <c r="AE214" s="41">
        <f>IF(TRIM('Cross-tab'!$B$5&amp;"")="","",IFERROR(TRIM(INDEX($A214:$Z214,MATCH('Cross-tab'!$B$5,$A$1:$Z$1,0))&amp;""),""))</f>
        <v/>
      </c>
      <c r="AF214" s="41">
        <f>IF(TRIM('Cross-tab'!$B$7&amp;"")="","",IFERROR(TRIM(INDEX($A214:$Z214,MATCH('Cross-tab'!$B$7,$A$1:$Z$1,0))&amp;""),""))</f>
        <v/>
      </c>
      <c r="AG214" s="41">
        <f>IF(ISNUMBER(IFERROR(VALUE(IF(TRIM('Scale score'!$B$5&amp;"")="","",IFERROR(TRIM(INDEX($A214:$Z214,MATCH('Scale score'!$B$5,$A$1:$Z$1,0))&amp;""),""))),"")),IF(AND(IFERROR(VALUE(IF(TRIM('Scale score'!$B$5&amp;"")="","",IFERROR(TRIM(INDEX($A214:$Z214,MATCH('Scale score'!$B$5,$A$1:$Z$1,0))&amp;""),""))),"")&gt;='Scale score'!$B$6,IFERROR(VALUE(IF(TRIM('Scale score'!$B$5&amp;"")="","",IFERROR(TRIM(INDEX($A214:$Z214,MATCH('Scale score'!$B$5,$A$1:$Z$1,0))&amp;""),""))),"")&lt;='Scale score'!$B$7),IFERROR(VALUE(IF(TRIM('Scale score'!$B$5&amp;"")="","",IFERROR(TRIM(INDEX($A214:$Z214,MATCH('Scale score'!$B$5,$A$1:$Z$1,0))&amp;""),""))),""),""),"")</f>
        <v/>
      </c>
      <c r="AH214" s="41">
        <f>IF(TRIM('Open answers'!$B$5&amp;"")="","",IFERROR(TRIM(INDEX($A214:$Z214,MATCH('Open answers'!$B$5,$A$1:$Z$1,0))&amp;""),""))</f>
        <v/>
      </c>
      <c r="AI214" s="41">
        <f>IF(LEN(AH214)&gt;0,MAX($AI$1:AI213)+1,"")</f>
        <v/>
      </c>
    </row>
    <row r="215">
      <c r="AA215" s="40" t="n"/>
      <c r="AB215" s="41">
        <f>IF(TRIM('Counts'!$B$8&amp;"")="","",IFERROR(TRIM(INDEX($A215:$Z215,MATCH('Counts'!$B$8,$A$1:$Z$1,0))&amp;""),""))</f>
        <v/>
      </c>
      <c r="AC215" s="41">
        <f>IF(TRIM('Counts'!$B$26&amp;"")="","",IFERROR(TRIM(INDEX($A215:$Z215,MATCH('Counts'!$B$26,$A$1:$Z$1,0))&amp;""),""))</f>
        <v/>
      </c>
      <c r="AD215" s="41">
        <f>IF(TRIM('Counts'!$B$44&amp;"")="","",IFERROR(TRIM(INDEX($A215:$Z215,MATCH('Counts'!$B$44,$A$1:$Z$1,0))&amp;""),""))</f>
        <v/>
      </c>
      <c r="AE215" s="41">
        <f>IF(TRIM('Cross-tab'!$B$5&amp;"")="","",IFERROR(TRIM(INDEX($A215:$Z215,MATCH('Cross-tab'!$B$5,$A$1:$Z$1,0))&amp;""),""))</f>
        <v/>
      </c>
      <c r="AF215" s="41">
        <f>IF(TRIM('Cross-tab'!$B$7&amp;"")="","",IFERROR(TRIM(INDEX($A215:$Z215,MATCH('Cross-tab'!$B$7,$A$1:$Z$1,0))&amp;""),""))</f>
        <v/>
      </c>
      <c r="AG215" s="41">
        <f>IF(ISNUMBER(IFERROR(VALUE(IF(TRIM('Scale score'!$B$5&amp;"")="","",IFERROR(TRIM(INDEX($A215:$Z215,MATCH('Scale score'!$B$5,$A$1:$Z$1,0))&amp;""),""))),"")),IF(AND(IFERROR(VALUE(IF(TRIM('Scale score'!$B$5&amp;"")="","",IFERROR(TRIM(INDEX($A215:$Z215,MATCH('Scale score'!$B$5,$A$1:$Z$1,0))&amp;""),""))),"")&gt;='Scale score'!$B$6,IFERROR(VALUE(IF(TRIM('Scale score'!$B$5&amp;"")="","",IFERROR(TRIM(INDEX($A215:$Z215,MATCH('Scale score'!$B$5,$A$1:$Z$1,0))&amp;""),""))),"")&lt;='Scale score'!$B$7),IFERROR(VALUE(IF(TRIM('Scale score'!$B$5&amp;"")="","",IFERROR(TRIM(INDEX($A215:$Z215,MATCH('Scale score'!$B$5,$A$1:$Z$1,0))&amp;""),""))),""),""),"")</f>
        <v/>
      </c>
      <c r="AH215" s="41">
        <f>IF(TRIM('Open answers'!$B$5&amp;"")="","",IFERROR(TRIM(INDEX($A215:$Z215,MATCH('Open answers'!$B$5,$A$1:$Z$1,0))&amp;""),""))</f>
        <v/>
      </c>
      <c r="AI215" s="41">
        <f>IF(LEN(AH215)&gt;0,MAX($AI$1:AI214)+1,"")</f>
        <v/>
      </c>
    </row>
    <row r="216">
      <c r="AA216" s="40" t="n"/>
      <c r="AB216" s="41">
        <f>IF(TRIM('Counts'!$B$8&amp;"")="","",IFERROR(TRIM(INDEX($A216:$Z216,MATCH('Counts'!$B$8,$A$1:$Z$1,0))&amp;""),""))</f>
        <v/>
      </c>
      <c r="AC216" s="41">
        <f>IF(TRIM('Counts'!$B$26&amp;"")="","",IFERROR(TRIM(INDEX($A216:$Z216,MATCH('Counts'!$B$26,$A$1:$Z$1,0))&amp;""),""))</f>
        <v/>
      </c>
      <c r="AD216" s="41">
        <f>IF(TRIM('Counts'!$B$44&amp;"")="","",IFERROR(TRIM(INDEX($A216:$Z216,MATCH('Counts'!$B$44,$A$1:$Z$1,0))&amp;""),""))</f>
        <v/>
      </c>
      <c r="AE216" s="41">
        <f>IF(TRIM('Cross-tab'!$B$5&amp;"")="","",IFERROR(TRIM(INDEX($A216:$Z216,MATCH('Cross-tab'!$B$5,$A$1:$Z$1,0))&amp;""),""))</f>
        <v/>
      </c>
      <c r="AF216" s="41">
        <f>IF(TRIM('Cross-tab'!$B$7&amp;"")="","",IFERROR(TRIM(INDEX($A216:$Z216,MATCH('Cross-tab'!$B$7,$A$1:$Z$1,0))&amp;""),""))</f>
        <v/>
      </c>
      <c r="AG216" s="41">
        <f>IF(ISNUMBER(IFERROR(VALUE(IF(TRIM('Scale score'!$B$5&amp;"")="","",IFERROR(TRIM(INDEX($A216:$Z216,MATCH('Scale score'!$B$5,$A$1:$Z$1,0))&amp;""),""))),"")),IF(AND(IFERROR(VALUE(IF(TRIM('Scale score'!$B$5&amp;"")="","",IFERROR(TRIM(INDEX($A216:$Z216,MATCH('Scale score'!$B$5,$A$1:$Z$1,0))&amp;""),""))),"")&gt;='Scale score'!$B$6,IFERROR(VALUE(IF(TRIM('Scale score'!$B$5&amp;"")="","",IFERROR(TRIM(INDEX($A216:$Z216,MATCH('Scale score'!$B$5,$A$1:$Z$1,0))&amp;""),""))),"")&lt;='Scale score'!$B$7),IFERROR(VALUE(IF(TRIM('Scale score'!$B$5&amp;"")="","",IFERROR(TRIM(INDEX($A216:$Z216,MATCH('Scale score'!$B$5,$A$1:$Z$1,0))&amp;""),""))),""),""),"")</f>
        <v/>
      </c>
      <c r="AH216" s="41">
        <f>IF(TRIM('Open answers'!$B$5&amp;"")="","",IFERROR(TRIM(INDEX($A216:$Z216,MATCH('Open answers'!$B$5,$A$1:$Z$1,0))&amp;""),""))</f>
        <v/>
      </c>
      <c r="AI216" s="41">
        <f>IF(LEN(AH216)&gt;0,MAX($AI$1:AI215)+1,"")</f>
        <v/>
      </c>
    </row>
    <row r="217">
      <c r="AA217" s="40" t="n"/>
      <c r="AB217" s="41">
        <f>IF(TRIM('Counts'!$B$8&amp;"")="","",IFERROR(TRIM(INDEX($A217:$Z217,MATCH('Counts'!$B$8,$A$1:$Z$1,0))&amp;""),""))</f>
        <v/>
      </c>
      <c r="AC217" s="41">
        <f>IF(TRIM('Counts'!$B$26&amp;"")="","",IFERROR(TRIM(INDEX($A217:$Z217,MATCH('Counts'!$B$26,$A$1:$Z$1,0))&amp;""),""))</f>
        <v/>
      </c>
      <c r="AD217" s="41">
        <f>IF(TRIM('Counts'!$B$44&amp;"")="","",IFERROR(TRIM(INDEX($A217:$Z217,MATCH('Counts'!$B$44,$A$1:$Z$1,0))&amp;""),""))</f>
        <v/>
      </c>
      <c r="AE217" s="41">
        <f>IF(TRIM('Cross-tab'!$B$5&amp;"")="","",IFERROR(TRIM(INDEX($A217:$Z217,MATCH('Cross-tab'!$B$5,$A$1:$Z$1,0))&amp;""),""))</f>
        <v/>
      </c>
      <c r="AF217" s="41">
        <f>IF(TRIM('Cross-tab'!$B$7&amp;"")="","",IFERROR(TRIM(INDEX($A217:$Z217,MATCH('Cross-tab'!$B$7,$A$1:$Z$1,0))&amp;""),""))</f>
        <v/>
      </c>
      <c r="AG217" s="41">
        <f>IF(ISNUMBER(IFERROR(VALUE(IF(TRIM('Scale score'!$B$5&amp;"")="","",IFERROR(TRIM(INDEX($A217:$Z217,MATCH('Scale score'!$B$5,$A$1:$Z$1,0))&amp;""),""))),"")),IF(AND(IFERROR(VALUE(IF(TRIM('Scale score'!$B$5&amp;"")="","",IFERROR(TRIM(INDEX($A217:$Z217,MATCH('Scale score'!$B$5,$A$1:$Z$1,0))&amp;""),""))),"")&gt;='Scale score'!$B$6,IFERROR(VALUE(IF(TRIM('Scale score'!$B$5&amp;"")="","",IFERROR(TRIM(INDEX($A217:$Z217,MATCH('Scale score'!$B$5,$A$1:$Z$1,0))&amp;""),""))),"")&lt;='Scale score'!$B$7),IFERROR(VALUE(IF(TRIM('Scale score'!$B$5&amp;"")="","",IFERROR(TRIM(INDEX($A217:$Z217,MATCH('Scale score'!$B$5,$A$1:$Z$1,0))&amp;""),""))),""),""),"")</f>
        <v/>
      </c>
      <c r="AH217" s="41">
        <f>IF(TRIM('Open answers'!$B$5&amp;"")="","",IFERROR(TRIM(INDEX($A217:$Z217,MATCH('Open answers'!$B$5,$A$1:$Z$1,0))&amp;""),""))</f>
        <v/>
      </c>
      <c r="AI217" s="41">
        <f>IF(LEN(AH217)&gt;0,MAX($AI$1:AI216)+1,"")</f>
        <v/>
      </c>
    </row>
    <row r="218">
      <c r="AA218" s="40" t="n"/>
      <c r="AB218" s="41">
        <f>IF(TRIM('Counts'!$B$8&amp;"")="","",IFERROR(TRIM(INDEX($A218:$Z218,MATCH('Counts'!$B$8,$A$1:$Z$1,0))&amp;""),""))</f>
        <v/>
      </c>
      <c r="AC218" s="41">
        <f>IF(TRIM('Counts'!$B$26&amp;"")="","",IFERROR(TRIM(INDEX($A218:$Z218,MATCH('Counts'!$B$26,$A$1:$Z$1,0))&amp;""),""))</f>
        <v/>
      </c>
      <c r="AD218" s="41">
        <f>IF(TRIM('Counts'!$B$44&amp;"")="","",IFERROR(TRIM(INDEX($A218:$Z218,MATCH('Counts'!$B$44,$A$1:$Z$1,0))&amp;""),""))</f>
        <v/>
      </c>
      <c r="AE218" s="41">
        <f>IF(TRIM('Cross-tab'!$B$5&amp;"")="","",IFERROR(TRIM(INDEX($A218:$Z218,MATCH('Cross-tab'!$B$5,$A$1:$Z$1,0))&amp;""),""))</f>
        <v/>
      </c>
      <c r="AF218" s="41">
        <f>IF(TRIM('Cross-tab'!$B$7&amp;"")="","",IFERROR(TRIM(INDEX($A218:$Z218,MATCH('Cross-tab'!$B$7,$A$1:$Z$1,0))&amp;""),""))</f>
        <v/>
      </c>
      <c r="AG218" s="41">
        <f>IF(ISNUMBER(IFERROR(VALUE(IF(TRIM('Scale score'!$B$5&amp;"")="","",IFERROR(TRIM(INDEX($A218:$Z218,MATCH('Scale score'!$B$5,$A$1:$Z$1,0))&amp;""),""))),"")),IF(AND(IFERROR(VALUE(IF(TRIM('Scale score'!$B$5&amp;"")="","",IFERROR(TRIM(INDEX($A218:$Z218,MATCH('Scale score'!$B$5,$A$1:$Z$1,0))&amp;""),""))),"")&gt;='Scale score'!$B$6,IFERROR(VALUE(IF(TRIM('Scale score'!$B$5&amp;"")="","",IFERROR(TRIM(INDEX($A218:$Z218,MATCH('Scale score'!$B$5,$A$1:$Z$1,0))&amp;""),""))),"")&lt;='Scale score'!$B$7),IFERROR(VALUE(IF(TRIM('Scale score'!$B$5&amp;"")="","",IFERROR(TRIM(INDEX($A218:$Z218,MATCH('Scale score'!$B$5,$A$1:$Z$1,0))&amp;""),""))),""),""),"")</f>
        <v/>
      </c>
      <c r="AH218" s="41">
        <f>IF(TRIM('Open answers'!$B$5&amp;"")="","",IFERROR(TRIM(INDEX($A218:$Z218,MATCH('Open answers'!$B$5,$A$1:$Z$1,0))&amp;""),""))</f>
        <v/>
      </c>
      <c r="AI218" s="41">
        <f>IF(LEN(AH218)&gt;0,MAX($AI$1:AI217)+1,"")</f>
        <v/>
      </c>
    </row>
    <row r="219">
      <c r="AA219" s="40" t="n"/>
      <c r="AB219" s="41">
        <f>IF(TRIM('Counts'!$B$8&amp;"")="","",IFERROR(TRIM(INDEX($A219:$Z219,MATCH('Counts'!$B$8,$A$1:$Z$1,0))&amp;""),""))</f>
        <v/>
      </c>
      <c r="AC219" s="41">
        <f>IF(TRIM('Counts'!$B$26&amp;"")="","",IFERROR(TRIM(INDEX($A219:$Z219,MATCH('Counts'!$B$26,$A$1:$Z$1,0))&amp;""),""))</f>
        <v/>
      </c>
      <c r="AD219" s="41">
        <f>IF(TRIM('Counts'!$B$44&amp;"")="","",IFERROR(TRIM(INDEX($A219:$Z219,MATCH('Counts'!$B$44,$A$1:$Z$1,0))&amp;""),""))</f>
        <v/>
      </c>
      <c r="AE219" s="41">
        <f>IF(TRIM('Cross-tab'!$B$5&amp;"")="","",IFERROR(TRIM(INDEX($A219:$Z219,MATCH('Cross-tab'!$B$5,$A$1:$Z$1,0))&amp;""),""))</f>
        <v/>
      </c>
      <c r="AF219" s="41">
        <f>IF(TRIM('Cross-tab'!$B$7&amp;"")="","",IFERROR(TRIM(INDEX($A219:$Z219,MATCH('Cross-tab'!$B$7,$A$1:$Z$1,0))&amp;""),""))</f>
        <v/>
      </c>
      <c r="AG219" s="41">
        <f>IF(ISNUMBER(IFERROR(VALUE(IF(TRIM('Scale score'!$B$5&amp;"")="","",IFERROR(TRIM(INDEX($A219:$Z219,MATCH('Scale score'!$B$5,$A$1:$Z$1,0))&amp;""),""))),"")),IF(AND(IFERROR(VALUE(IF(TRIM('Scale score'!$B$5&amp;"")="","",IFERROR(TRIM(INDEX($A219:$Z219,MATCH('Scale score'!$B$5,$A$1:$Z$1,0))&amp;""),""))),"")&gt;='Scale score'!$B$6,IFERROR(VALUE(IF(TRIM('Scale score'!$B$5&amp;"")="","",IFERROR(TRIM(INDEX($A219:$Z219,MATCH('Scale score'!$B$5,$A$1:$Z$1,0))&amp;""),""))),"")&lt;='Scale score'!$B$7),IFERROR(VALUE(IF(TRIM('Scale score'!$B$5&amp;"")="","",IFERROR(TRIM(INDEX($A219:$Z219,MATCH('Scale score'!$B$5,$A$1:$Z$1,0))&amp;""),""))),""),""),"")</f>
        <v/>
      </c>
      <c r="AH219" s="41">
        <f>IF(TRIM('Open answers'!$B$5&amp;"")="","",IFERROR(TRIM(INDEX($A219:$Z219,MATCH('Open answers'!$B$5,$A$1:$Z$1,0))&amp;""),""))</f>
        <v/>
      </c>
      <c r="AI219" s="41">
        <f>IF(LEN(AH219)&gt;0,MAX($AI$1:AI218)+1,"")</f>
        <v/>
      </c>
    </row>
    <row r="220">
      <c r="AA220" s="40" t="n"/>
      <c r="AB220" s="41">
        <f>IF(TRIM('Counts'!$B$8&amp;"")="","",IFERROR(TRIM(INDEX($A220:$Z220,MATCH('Counts'!$B$8,$A$1:$Z$1,0))&amp;""),""))</f>
        <v/>
      </c>
      <c r="AC220" s="41">
        <f>IF(TRIM('Counts'!$B$26&amp;"")="","",IFERROR(TRIM(INDEX($A220:$Z220,MATCH('Counts'!$B$26,$A$1:$Z$1,0))&amp;""),""))</f>
        <v/>
      </c>
      <c r="AD220" s="41">
        <f>IF(TRIM('Counts'!$B$44&amp;"")="","",IFERROR(TRIM(INDEX($A220:$Z220,MATCH('Counts'!$B$44,$A$1:$Z$1,0))&amp;""),""))</f>
        <v/>
      </c>
      <c r="AE220" s="41">
        <f>IF(TRIM('Cross-tab'!$B$5&amp;"")="","",IFERROR(TRIM(INDEX($A220:$Z220,MATCH('Cross-tab'!$B$5,$A$1:$Z$1,0))&amp;""),""))</f>
        <v/>
      </c>
      <c r="AF220" s="41">
        <f>IF(TRIM('Cross-tab'!$B$7&amp;"")="","",IFERROR(TRIM(INDEX($A220:$Z220,MATCH('Cross-tab'!$B$7,$A$1:$Z$1,0))&amp;""),""))</f>
        <v/>
      </c>
      <c r="AG220" s="41">
        <f>IF(ISNUMBER(IFERROR(VALUE(IF(TRIM('Scale score'!$B$5&amp;"")="","",IFERROR(TRIM(INDEX($A220:$Z220,MATCH('Scale score'!$B$5,$A$1:$Z$1,0))&amp;""),""))),"")),IF(AND(IFERROR(VALUE(IF(TRIM('Scale score'!$B$5&amp;"")="","",IFERROR(TRIM(INDEX($A220:$Z220,MATCH('Scale score'!$B$5,$A$1:$Z$1,0))&amp;""),""))),"")&gt;='Scale score'!$B$6,IFERROR(VALUE(IF(TRIM('Scale score'!$B$5&amp;"")="","",IFERROR(TRIM(INDEX($A220:$Z220,MATCH('Scale score'!$B$5,$A$1:$Z$1,0))&amp;""),""))),"")&lt;='Scale score'!$B$7),IFERROR(VALUE(IF(TRIM('Scale score'!$B$5&amp;"")="","",IFERROR(TRIM(INDEX($A220:$Z220,MATCH('Scale score'!$B$5,$A$1:$Z$1,0))&amp;""),""))),""),""),"")</f>
        <v/>
      </c>
      <c r="AH220" s="41">
        <f>IF(TRIM('Open answers'!$B$5&amp;"")="","",IFERROR(TRIM(INDEX($A220:$Z220,MATCH('Open answers'!$B$5,$A$1:$Z$1,0))&amp;""),""))</f>
        <v/>
      </c>
      <c r="AI220" s="41">
        <f>IF(LEN(AH220)&gt;0,MAX($AI$1:AI219)+1,"")</f>
        <v/>
      </c>
    </row>
    <row r="221">
      <c r="AA221" s="40" t="n"/>
      <c r="AB221" s="41">
        <f>IF(TRIM('Counts'!$B$8&amp;"")="","",IFERROR(TRIM(INDEX($A221:$Z221,MATCH('Counts'!$B$8,$A$1:$Z$1,0))&amp;""),""))</f>
        <v/>
      </c>
      <c r="AC221" s="41">
        <f>IF(TRIM('Counts'!$B$26&amp;"")="","",IFERROR(TRIM(INDEX($A221:$Z221,MATCH('Counts'!$B$26,$A$1:$Z$1,0))&amp;""),""))</f>
        <v/>
      </c>
      <c r="AD221" s="41">
        <f>IF(TRIM('Counts'!$B$44&amp;"")="","",IFERROR(TRIM(INDEX($A221:$Z221,MATCH('Counts'!$B$44,$A$1:$Z$1,0))&amp;""),""))</f>
        <v/>
      </c>
      <c r="AE221" s="41">
        <f>IF(TRIM('Cross-tab'!$B$5&amp;"")="","",IFERROR(TRIM(INDEX($A221:$Z221,MATCH('Cross-tab'!$B$5,$A$1:$Z$1,0))&amp;""),""))</f>
        <v/>
      </c>
      <c r="AF221" s="41">
        <f>IF(TRIM('Cross-tab'!$B$7&amp;"")="","",IFERROR(TRIM(INDEX($A221:$Z221,MATCH('Cross-tab'!$B$7,$A$1:$Z$1,0))&amp;""),""))</f>
        <v/>
      </c>
      <c r="AG221" s="41">
        <f>IF(ISNUMBER(IFERROR(VALUE(IF(TRIM('Scale score'!$B$5&amp;"")="","",IFERROR(TRIM(INDEX($A221:$Z221,MATCH('Scale score'!$B$5,$A$1:$Z$1,0))&amp;""),""))),"")),IF(AND(IFERROR(VALUE(IF(TRIM('Scale score'!$B$5&amp;"")="","",IFERROR(TRIM(INDEX($A221:$Z221,MATCH('Scale score'!$B$5,$A$1:$Z$1,0))&amp;""),""))),"")&gt;='Scale score'!$B$6,IFERROR(VALUE(IF(TRIM('Scale score'!$B$5&amp;"")="","",IFERROR(TRIM(INDEX($A221:$Z221,MATCH('Scale score'!$B$5,$A$1:$Z$1,0))&amp;""),""))),"")&lt;='Scale score'!$B$7),IFERROR(VALUE(IF(TRIM('Scale score'!$B$5&amp;"")="","",IFERROR(TRIM(INDEX($A221:$Z221,MATCH('Scale score'!$B$5,$A$1:$Z$1,0))&amp;""),""))),""),""),"")</f>
        <v/>
      </c>
      <c r="AH221" s="41">
        <f>IF(TRIM('Open answers'!$B$5&amp;"")="","",IFERROR(TRIM(INDEX($A221:$Z221,MATCH('Open answers'!$B$5,$A$1:$Z$1,0))&amp;""),""))</f>
        <v/>
      </c>
      <c r="AI221" s="41">
        <f>IF(LEN(AH221)&gt;0,MAX($AI$1:AI220)+1,"")</f>
        <v/>
      </c>
    </row>
    <row r="222">
      <c r="AA222" s="40" t="n"/>
      <c r="AB222" s="41">
        <f>IF(TRIM('Counts'!$B$8&amp;"")="","",IFERROR(TRIM(INDEX($A222:$Z222,MATCH('Counts'!$B$8,$A$1:$Z$1,0))&amp;""),""))</f>
        <v/>
      </c>
      <c r="AC222" s="41">
        <f>IF(TRIM('Counts'!$B$26&amp;"")="","",IFERROR(TRIM(INDEX($A222:$Z222,MATCH('Counts'!$B$26,$A$1:$Z$1,0))&amp;""),""))</f>
        <v/>
      </c>
      <c r="AD222" s="41">
        <f>IF(TRIM('Counts'!$B$44&amp;"")="","",IFERROR(TRIM(INDEX($A222:$Z222,MATCH('Counts'!$B$44,$A$1:$Z$1,0))&amp;""),""))</f>
        <v/>
      </c>
      <c r="AE222" s="41">
        <f>IF(TRIM('Cross-tab'!$B$5&amp;"")="","",IFERROR(TRIM(INDEX($A222:$Z222,MATCH('Cross-tab'!$B$5,$A$1:$Z$1,0))&amp;""),""))</f>
        <v/>
      </c>
      <c r="AF222" s="41">
        <f>IF(TRIM('Cross-tab'!$B$7&amp;"")="","",IFERROR(TRIM(INDEX($A222:$Z222,MATCH('Cross-tab'!$B$7,$A$1:$Z$1,0))&amp;""),""))</f>
        <v/>
      </c>
      <c r="AG222" s="41">
        <f>IF(ISNUMBER(IFERROR(VALUE(IF(TRIM('Scale score'!$B$5&amp;"")="","",IFERROR(TRIM(INDEX($A222:$Z222,MATCH('Scale score'!$B$5,$A$1:$Z$1,0))&amp;""),""))),"")),IF(AND(IFERROR(VALUE(IF(TRIM('Scale score'!$B$5&amp;"")="","",IFERROR(TRIM(INDEX($A222:$Z222,MATCH('Scale score'!$B$5,$A$1:$Z$1,0))&amp;""),""))),"")&gt;='Scale score'!$B$6,IFERROR(VALUE(IF(TRIM('Scale score'!$B$5&amp;"")="","",IFERROR(TRIM(INDEX($A222:$Z222,MATCH('Scale score'!$B$5,$A$1:$Z$1,0))&amp;""),""))),"")&lt;='Scale score'!$B$7),IFERROR(VALUE(IF(TRIM('Scale score'!$B$5&amp;"")="","",IFERROR(TRIM(INDEX($A222:$Z222,MATCH('Scale score'!$B$5,$A$1:$Z$1,0))&amp;""),""))),""),""),"")</f>
        <v/>
      </c>
      <c r="AH222" s="41">
        <f>IF(TRIM('Open answers'!$B$5&amp;"")="","",IFERROR(TRIM(INDEX($A222:$Z222,MATCH('Open answers'!$B$5,$A$1:$Z$1,0))&amp;""),""))</f>
        <v/>
      </c>
      <c r="AI222" s="41">
        <f>IF(LEN(AH222)&gt;0,MAX($AI$1:AI221)+1,"")</f>
        <v/>
      </c>
    </row>
    <row r="223">
      <c r="AA223" s="40" t="n"/>
      <c r="AB223" s="41">
        <f>IF(TRIM('Counts'!$B$8&amp;"")="","",IFERROR(TRIM(INDEX($A223:$Z223,MATCH('Counts'!$B$8,$A$1:$Z$1,0))&amp;""),""))</f>
        <v/>
      </c>
      <c r="AC223" s="41">
        <f>IF(TRIM('Counts'!$B$26&amp;"")="","",IFERROR(TRIM(INDEX($A223:$Z223,MATCH('Counts'!$B$26,$A$1:$Z$1,0))&amp;""),""))</f>
        <v/>
      </c>
      <c r="AD223" s="41">
        <f>IF(TRIM('Counts'!$B$44&amp;"")="","",IFERROR(TRIM(INDEX($A223:$Z223,MATCH('Counts'!$B$44,$A$1:$Z$1,0))&amp;""),""))</f>
        <v/>
      </c>
      <c r="AE223" s="41">
        <f>IF(TRIM('Cross-tab'!$B$5&amp;"")="","",IFERROR(TRIM(INDEX($A223:$Z223,MATCH('Cross-tab'!$B$5,$A$1:$Z$1,0))&amp;""),""))</f>
        <v/>
      </c>
      <c r="AF223" s="41">
        <f>IF(TRIM('Cross-tab'!$B$7&amp;"")="","",IFERROR(TRIM(INDEX($A223:$Z223,MATCH('Cross-tab'!$B$7,$A$1:$Z$1,0))&amp;""),""))</f>
        <v/>
      </c>
      <c r="AG223" s="41">
        <f>IF(ISNUMBER(IFERROR(VALUE(IF(TRIM('Scale score'!$B$5&amp;"")="","",IFERROR(TRIM(INDEX($A223:$Z223,MATCH('Scale score'!$B$5,$A$1:$Z$1,0))&amp;""),""))),"")),IF(AND(IFERROR(VALUE(IF(TRIM('Scale score'!$B$5&amp;"")="","",IFERROR(TRIM(INDEX($A223:$Z223,MATCH('Scale score'!$B$5,$A$1:$Z$1,0))&amp;""),""))),"")&gt;='Scale score'!$B$6,IFERROR(VALUE(IF(TRIM('Scale score'!$B$5&amp;"")="","",IFERROR(TRIM(INDEX($A223:$Z223,MATCH('Scale score'!$B$5,$A$1:$Z$1,0))&amp;""),""))),"")&lt;='Scale score'!$B$7),IFERROR(VALUE(IF(TRIM('Scale score'!$B$5&amp;"")="","",IFERROR(TRIM(INDEX($A223:$Z223,MATCH('Scale score'!$B$5,$A$1:$Z$1,0))&amp;""),""))),""),""),"")</f>
        <v/>
      </c>
      <c r="AH223" s="41">
        <f>IF(TRIM('Open answers'!$B$5&amp;"")="","",IFERROR(TRIM(INDEX($A223:$Z223,MATCH('Open answers'!$B$5,$A$1:$Z$1,0))&amp;""),""))</f>
        <v/>
      </c>
      <c r="AI223" s="41">
        <f>IF(LEN(AH223)&gt;0,MAX($AI$1:AI222)+1,"")</f>
        <v/>
      </c>
    </row>
    <row r="224">
      <c r="AA224" s="40" t="n"/>
      <c r="AB224" s="41">
        <f>IF(TRIM('Counts'!$B$8&amp;"")="","",IFERROR(TRIM(INDEX($A224:$Z224,MATCH('Counts'!$B$8,$A$1:$Z$1,0))&amp;""),""))</f>
        <v/>
      </c>
      <c r="AC224" s="41">
        <f>IF(TRIM('Counts'!$B$26&amp;"")="","",IFERROR(TRIM(INDEX($A224:$Z224,MATCH('Counts'!$B$26,$A$1:$Z$1,0))&amp;""),""))</f>
        <v/>
      </c>
      <c r="AD224" s="41">
        <f>IF(TRIM('Counts'!$B$44&amp;"")="","",IFERROR(TRIM(INDEX($A224:$Z224,MATCH('Counts'!$B$44,$A$1:$Z$1,0))&amp;""),""))</f>
        <v/>
      </c>
      <c r="AE224" s="41">
        <f>IF(TRIM('Cross-tab'!$B$5&amp;"")="","",IFERROR(TRIM(INDEX($A224:$Z224,MATCH('Cross-tab'!$B$5,$A$1:$Z$1,0))&amp;""),""))</f>
        <v/>
      </c>
      <c r="AF224" s="41">
        <f>IF(TRIM('Cross-tab'!$B$7&amp;"")="","",IFERROR(TRIM(INDEX($A224:$Z224,MATCH('Cross-tab'!$B$7,$A$1:$Z$1,0))&amp;""),""))</f>
        <v/>
      </c>
      <c r="AG224" s="41">
        <f>IF(ISNUMBER(IFERROR(VALUE(IF(TRIM('Scale score'!$B$5&amp;"")="","",IFERROR(TRIM(INDEX($A224:$Z224,MATCH('Scale score'!$B$5,$A$1:$Z$1,0))&amp;""),""))),"")),IF(AND(IFERROR(VALUE(IF(TRIM('Scale score'!$B$5&amp;"")="","",IFERROR(TRIM(INDEX($A224:$Z224,MATCH('Scale score'!$B$5,$A$1:$Z$1,0))&amp;""),""))),"")&gt;='Scale score'!$B$6,IFERROR(VALUE(IF(TRIM('Scale score'!$B$5&amp;"")="","",IFERROR(TRIM(INDEX($A224:$Z224,MATCH('Scale score'!$B$5,$A$1:$Z$1,0))&amp;""),""))),"")&lt;='Scale score'!$B$7),IFERROR(VALUE(IF(TRIM('Scale score'!$B$5&amp;"")="","",IFERROR(TRIM(INDEX($A224:$Z224,MATCH('Scale score'!$B$5,$A$1:$Z$1,0))&amp;""),""))),""),""),"")</f>
        <v/>
      </c>
      <c r="AH224" s="41">
        <f>IF(TRIM('Open answers'!$B$5&amp;"")="","",IFERROR(TRIM(INDEX($A224:$Z224,MATCH('Open answers'!$B$5,$A$1:$Z$1,0))&amp;""),""))</f>
        <v/>
      </c>
      <c r="AI224" s="41">
        <f>IF(LEN(AH224)&gt;0,MAX($AI$1:AI223)+1,"")</f>
        <v/>
      </c>
    </row>
    <row r="225">
      <c r="AA225" s="40" t="n"/>
      <c r="AB225" s="41">
        <f>IF(TRIM('Counts'!$B$8&amp;"")="","",IFERROR(TRIM(INDEX($A225:$Z225,MATCH('Counts'!$B$8,$A$1:$Z$1,0))&amp;""),""))</f>
        <v/>
      </c>
      <c r="AC225" s="41">
        <f>IF(TRIM('Counts'!$B$26&amp;"")="","",IFERROR(TRIM(INDEX($A225:$Z225,MATCH('Counts'!$B$26,$A$1:$Z$1,0))&amp;""),""))</f>
        <v/>
      </c>
      <c r="AD225" s="41">
        <f>IF(TRIM('Counts'!$B$44&amp;"")="","",IFERROR(TRIM(INDEX($A225:$Z225,MATCH('Counts'!$B$44,$A$1:$Z$1,0))&amp;""),""))</f>
        <v/>
      </c>
      <c r="AE225" s="41">
        <f>IF(TRIM('Cross-tab'!$B$5&amp;"")="","",IFERROR(TRIM(INDEX($A225:$Z225,MATCH('Cross-tab'!$B$5,$A$1:$Z$1,0))&amp;""),""))</f>
        <v/>
      </c>
      <c r="AF225" s="41">
        <f>IF(TRIM('Cross-tab'!$B$7&amp;"")="","",IFERROR(TRIM(INDEX($A225:$Z225,MATCH('Cross-tab'!$B$7,$A$1:$Z$1,0))&amp;""),""))</f>
        <v/>
      </c>
      <c r="AG225" s="41">
        <f>IF(ISNUMBER(IFERROR(VALUE(IF(TRIM('Scale score'!$B$5&amp;"")="","",IFERROR(TRIM(INDEX($A225:$Z225,MATCH('Scale score'!$B$5,$A$1:$Z$1,0))&amp;""),""))),"")),IF(AND(IFERROR(VALUE(IF(TRIM('Scale score'!$B$5&amp;"")="","",IFERROR(TRIM(INDEX($A225:$Z225,MATCH('Scale score'!$B$5,$A$1:$Z$1,0))&amp;""),""))),"")&gt;='Scale score'!$B$6,IFERROR(VALUE(IF(TRIM('Scale score'!$B$5&amp;"")="","",IFERROR(TRIM(INDEX($A225:$Z225,MATCH('Scale score'!$B$5,$A$1:$Z$1,0))&amp;""),""))),"")&lt;='Scale score'!$B$7),IFERROR(VALUE(IF(TRIM('Scale score'!$B$5&amp;"")="","",IFERROR(TRIM(INDEX($A225:$Z225,MATCH('Scale score'!$B$5,$A$1:$Z$1,0))&amp;""),""))),""),""),"")</f>
        <v/>
      </c>
      <c r="AH225" s="41">
        <f>IF(TRIM('Open answers'!$B$5&amp;"")="","",IFERROR(TRIM(INDEX($A225:$Z225,MATCH('Open answers'!$B$5,$A$1:$Z$1,0))&amp;""),""))</f>
        <v/>
      </c>
      <c r="AI225" s="41">
        <f>IF(LEN(AH225)&gt;0,MAX($AI$1:AI224)+1,"")</f>
        <v/>
      </c>
    </row>
    <row r="226">
      <c r="AA226" s="40" t="n"/>
      <c r="AB226" s="41">
        <f>IF(TRIM('Counts'!$B$8&amp;"")="","",IFERROR(TRIM(INDEX($A226:$Z226,MATCH('Counts'!$B$8,$A$1:$Z$1,0))&amp;""),""))</f>
        <v/>
      </c>
      <c r="AC226" s="41">
        <f>IF(TRIM('Counts'!$B$26&amp;"")="","",IFERROR(TRIM(INDEX($A226:$Z226,MATCH('Counts'!$B$26,$A$1:$Z$1,0))&amp;""),""))</f>
        <v/>
      </c>
      <c r="AD226" s="41">
        <f>IF(TRIM('Counts'!$B$44&amp;"")="","",IFERROR(TRIM(INDEX($A226:$Z226,MATCH('Counts'!$B$44,$A$1:$Z$1,0))&amp;""),""))</f>
        <v/>
      </c>
      <c r="AE226" s="41">
        <f>IF(TRIM('Cross-tab'!$B$5&amp;"")="","",IFERROR(TRIM(INDEX($A226:$Z226,MATCH('Cross-tab'!$B$5,$A$1:$Z$1,0))&amp;""),""))</f>
        <v/>
      </c>
      <c r="AF226" s="41">
        <f>IF(TRIM('Cross-tab'!$B$7&amp;"")="","",IFERROR(TRIM(INDEX($A226:$Z226,MATCH('Cross-tab'!$B$7,$A$1:$Z$1,0))&amp;""),""))</f>
        <v/>
      </c>
      <c r="AG226" s="41">
        <f>IF(ISNUMBER(IFERROR(VALUE(IF(TRIM('Scale score'!$B$5&amp;"")="","",IFERROR(TRIM(INDEX($A226:$Z226,MATCH('Scale score'!$B$5,$A$1:$Z$1,0))&amp;""),""))),"")),IF(AND(IFERROR(VALUE(IF(TRIM('Scale score'!$B$5&amp;"")="","",IFERROR(TRIM(INDEX($A226:$Z226,MATCH('Scale score'!$B$5,$A$1:$Z$1,0))&amp;""),""))),"")&gt;='Scale score'!$B$6,IFERROR(VALUE(IF(TRIM('Scale score'!$B$5&amp;"")="","",IFERROR(TRIM(INDEX($A226:$Z226,MATCH('Scale score'!$B$5,$A$1:$Z$1,0))&amp;""),""))),"")&lt;='Scale score'!$B$7),IFERROR(VALUE(IF(TRIM('Scale score'!$B$5&amp;"")="","",IFERROR(TRIM(INDEX($A226:$Z226,MATCH('Scale score'!$B$5,$A$1:$Z$1,0))&amp;""),""))),""),""),"")</f>
        <v/>
      </c>
      <c r="AH226" s="41">
        <f>IF(TRIM('Open answers'!$B$5&amp;"")="","",IFERROR(TRIM(INDEX($A226:$Z226,MATCH('Open answers'!$B$5,$A$1:$Z$1,0))&amp;""),""))</f>
        <v/>
      </c>
      <c r="AI226" s="41">
        <f>IF(LEN(AH226)&gt;0,MAX($AI$1:AI225)+1,"")</f>
        <v/>
      </c>
    </row>
    <row r="227">
      <c r="AA227" s="40" t="n"/>
      <c r="AB227" s="41">
        <f>IF(TRIM('Counts'!$B$8&amp;"")="","",IFERROR(TRIM(INDEX($A227:$Z227,MATCH('Counts'!$B$8,$A$1:$Z$1,0))&amp;""),""))</f>
        <v/>
      </c>
      <c r="AC227" s="41">
        <f>IF(TRIM('Counts'!$B$26&amp;"")="","",IFERROR(TRIM(INDEX($A227:$Z227,MATCH('Counts'!$B$26,$A$1:$Z$1,0))&amp;""),""))</f>
        <v/>
      </c>
      <c r="AD227" s="41">
        <f>IF(TRIM('Counts'!$B$44&amp;"")="","",IFERROR(TRIM(INDEX($A227:$Z227,MATCH('Counts'!$B$44,$A$1:$Z$1,0))&amp;""),""))</f>
        <v/>
      </c>
      <c r="AE227" s="41">
        <f>IF(TRIM('Cross-tab'!$B$5&amp;"")="","",IFERROR(TRIM(INDEX($A227:$Z227,MATCH('Cross-tab'!$B$5,$A$1:$Z$1,0))&amp;""),""))</f>
        <v/>
      </c>
      <c r="AF227" s="41">
        <f>IF(TRIM('Cross-tab'!$B$7&amp;"")="","",IFERROR(TRIM(INDEX($A227:$Z227,MATCH('Cross-tab'!$B$7,$A$1:$Z$1,0))&amp;""),""))</f>
        <v/>
      </c>
      <c r="AG227" s="41">
        <f>IF(ISNUMBER(IFERROR(VALUE(IF(TRIM('Scale score'!$B$5&amp;"")="","",IFERROR(TRIM(INDEX($A227:$Z227,MATCH('Scale score'!$B$5,$A$1:$Z$1,0))&amp;""),""))),"")),IF(AND(IFERROR(VALUE(IF(TRIM('Scale score'!$B$5&amp;"")="","",IFERROR(TRIM(INDEX($A227:$Z227,MATCH('Scale score'!$B$5,$A$1:$Z$1,0))&amp;""),""))),"")&gt;='Scale score'!$B$6,IFERROR(VALUE(IF(TRIM('Scale score'!$B$5&amp;"")="","",IFERROR(TRIM(INDEX($A227:$Z227,MATCH('Scale score'!$B$5,$A$1:$Z$1,0))&amp;""),""))),"")&lt;='Scale score'!$B$7),IFERROR(VALUE(IF(TRIM('Scale score'!$B$5&amp;"")="","",IFERROR(TRIM(INDEX($A227:$Z227,MATCH('Scale score'!$B$5,$A$1:$Z$1,0))&amp;""),""))),""),""),"")</f>
        <v/>
      </c>
      <c r="AH227" s="41">
        <f>IF(TRIM('Open answers'!$B$5&amp;"")="","",IFERROR(TRIM(INDEX($A227:$Z227,MATCH('Open answers'!$B$5,$A$1:$Z$1,0))&amp;""),""))</f>
        <v/>
      </c>
      <c r="AI227" s="41">
        <f>IF(LEN(AH227)&gt;0,MAX($AI$1:AI226)+1,"")</f>
        <v/>
      </c>
    </row>
    <row r="228">
      <c r="AA228" s="40" t="n"/>
      <c r="AB228" s="41">
        <f>IF(TRIM('Counts'!$B$8&amp;"")="","",IFERROR(TRIM(INDEX($A228:$Z228,MATCH('Counts'!$B$8,$A$1:$Z$1,0))&amp;""),""))</f>
        <v/>
      </c>
      <c r="AC228" s="41">
        <f>IF(TRIM('Counts'!$B$26&amp;"")="","",IFERROR(TRIM(INDEX($A228:$Z228,MATCH('Counts'!$B$26,$A$1:$Z$1,0))&amp;""),""))</f>
        <v/>
      </c>
      <c r="AD228" s="41">
        <f>IF(TRIM('Counts'!$B$44&amp;"")="","",IFERROR(TRIM(INDEX($A228:$Z228,MATCH('Counts'!$B$44,$A$1:$Z$1,0))&amp;""),""))</f>
        <v/>
      </c>
      <c r="AE228" s="41">
        <f>IF(TRIM('Cross-tab'!$B$5&amp;"")="","",IFERROR(TRIM(INDEX($A228:$Z228,MATCH('Cross-tab'!$B$5,$A$1:$Z$1,0))&amp;""),""))</f>
        <v/>
      </c>
      <c r="AF228" s="41">
        <f>IF(TRIM('Cross-tab'!$B$7&amp;"")="","",IFERROR(TRIM(INDEX($A228:$Z228,MATCH('Cross-tab'!$B$7,$A$1:$Z$1,0))&amp;""),""))</f>
        <v/>
      </c>
      <c r="AG228" s="41">
        <f>IF(ISNUMBER(IFERROR(VALUE(IF(TRIM('Scale score'!$B$5&amp;"")="","",IFERROR(TRIM(INDEX($A228:$Z228,MATCH('Scale score'!$B$5,$A$1:$Z$1,0))&amp;""),""))),"")),IF(AND(IFERROR(VALUE(IF(TRIM('Scale score'!$B$5&amp;"")="","",IFERROR(TRIM(INDEX($A228:$Z228,MATCH('Scale score'!$B$5,$A$1:$Z$1,0))&amp;""),""))),"")&gt;='Scale score'!$B$6,IFERROR(VALUE(IF(TRIM('Scale score'!$B$5&amp;"")="","",IFERROR(TRIM(INDEX($A228:$Z228,MATCH('Scale score'!$B$5,$A$1:$Z$1,0))&amp;""),""))),"")&lt;='Scale score'!$B$7),IFERROR(VALUE(IF(TRIM('Scale score'!$B$5&amp;"")="","",IFERROR(TRIM(INDEX($A228:$Z228,MATCH('Scale score'!$B$5,$A$1:$Z$1,0))&amp;""),""))),""),""),"")</f>
        <v/>
      </c>
      <c r="AH228" s="41">
        <f>IF(TRIM('Open answers'!$B$5&amp;"")="","",IFERROR(TRIM(INDEX($A228:$Z228,MATCH('Open answers'!$B$5,$A$1:$Z$1,0))&amp;""),""))</f>
        <v/>
      </c>
      <c r="AI228" s="41">
        <f>IF(LEN(AH228)&gt;0,MAX($AI$1:AI227)+1,"")</f>
        <v/>
      </c>
    </row>
    <row r="229">
      <c r="AA229" s="40" t="n"/>
      <c r="AB229" s="41">
        <f>IF(TRIM('Counts'!$B$8&amp;"")="","",IFERROR(TRIM(INDEX($A229:$Z229,MATCH('Counts'!$B$8,$A$1:$Z$1,0))&amp;""),""))</f>
        <v/>
      </c>
      <c r="AC229" s="41">
        <f>IF(TRIM('Counts'!$B$26&amp;"")="","",IFERROR(TRIM(INDEX($A229:$Z229,MATCH('Counts'!$B$26,$A$1:$Z$1,0))&amp;""),""))</f>
        <v/>
      </c>
      <c r="AD229" s="41">
        <f>IF(TRIM('Counts'!$B$44&amp;"")="","",IFERROR(TRIM(INDEX($A229:$Z229,MATCH('Counts'!$B$44,$A$1:$Z$1,0))&amp;""),""))</f>
        <v/>
      </c>
      <c r="AE229" s="41">
        <f>IF(TRIM('Cross-tab'!$B$5&amp;"")="","",IFERROR(TRIM(INDEX($A229:$Z229,MATCH('Cross-tab'!$B$5,$A$1:$Z$1,0))&amp;""),""))</f>
        <v/>
      </c>
      <c r="AF229" s="41">
        <f>IF(TRIM('Cross-tab'!$B$7&amp;"")="","",IFERROR(TRIM(INDEX($A229:$Z229,MATCH('Cross-tab'!$B$7,$A$1:$Z$1,0))&amp;""),""))</f>
        <v/>
      </c>
      <c r="AG229" s="41">
        <f>IF(ISNUMBER(IFERROR(VALUE(IF(TRIM('Scale score'!$B$5&amp;"")="","",IFERROR(TRIM(INDEX($A229:$Z229,MATCH('Scale score'!$B$5,$A$1:$Z$1,0))&amp;""),""))),"")),IF(AND(IFERROR(VALUE(IF(TRIM('Scale score'!$B$5&amp;"")="","",IFERROR(TRIM(INDEX($A229:$Z229,MATCH('Scale score'!$B$5,$A$1:$Z$1,0))&amp;""),""))),"")&gt;='Scale score'!$B$6,IFERROR(VALUE(IF(TRIM('Scale score'!$B$5&amp;"")="","",IFERROR(TRIM(INDEX($A229:$Z229,MATCH('Scale score'!$B$5,$A$1:$Z$1,0))&amp;""),""))),"")&lt;='Scale score'!$B$7),IFERROR(VALUE(IF(TRIM('Scale score'!$B$5&amp;"")="","",IFERROR(TRIM(INDEX($A229:$Z229,MATCH('Scale score'!$B$5,$A$1:$Z$1,0))&amp;""),""))),""),""),"")</f>
        <v/>
      </c>
      <c r="AH229" s="41">
        <f>IF(TRIM('Open answers'!$B$5&amp;"")="","",IFERROR(TRIM(INDEX($A229:$Z229,MATCH('Open answers'!$B$5,$A$1:$Z$1,0))&amp;""),""))</f>
        <v/>
      </c>
      <c r="AI229" s="41">
        <f>IF(LEN(AH229)&gt;0,MAX($AI$1:AI228)+1,"")</f>
        <v/>
      </c>
    </row>
    <row r="230">
      <c r="AA230" s="40" t="n"/>
      <c r="AB230" s="41">
        <f>IF(TRIM('Counts'!$B$8&amp;"")="","",IFERROR(TRIM(INDEX($A230:$Z230,MATCH('Counts'!$B$8,$A$1:$Z$1,0))&amp;""),""))</f>
        <v/>
      </c>
      <c r="AC230" s="41">
        <f>IF(TRIM('Counts'!$B$26&amp;"")="","",IFERROR(TRIM(INDEX($A230:$Z230,MATCH('Counts'!$B$26,$A$1:$Z$1,0))&amp;""),""))</f>
        <v/>
      </c>
      <c r="AD230" s="41">
        <f>IF(TRIM('Counts'!$B$44&amp;"")="","",IFERROR(TRIM(INDEX($A230:$Z230,MATCH('Counts'!$B$44,$A$1:$Z$1,0))&amp;""),""))</f>
        <v/>
      </c>
      <c r="AE230" s="41">
        <f>IF(TRIM('Cross-tab'!$B$5&amp;"")="","",IFERROR(TRIM(INDEX($A230:$Z230,MATCH('Cross-tab'!$B$5,$A$1:$Z$1,0))&amp;""),""))</f>
        <v/>
      </c>
      <c r="AF230" s="41">
        <f>IF(TRIM('Cross-tab'!$B$7&amp;"")="","",IFERROR(TRIM(INDEX($A230:$Z230,MATCH('Cross-tab'!$B$7,$A$1:$Z$1,0))&amp;""),""))</f>
        <v/>
      </c>
      <c r="AG230" s="41">
        <f>IF(ISNUMBER(IFERROR(VALUE(IF(TRIM('Scale score'!$B$5&amp;"")="","",IFERROR(TRIM(INDEX($A230:$Z230,MATCH('Scale score'!$B$5,$A$1:$Z$1,0))&amp;""),""))),"")),IF(AND(IFERROR(VALUE(IF(TRIM('Scale score'!$B$5&amp;"")="","",IFERROR(TRIM(INDEX($A230:$Z230,MATCH('Scale score'!$B$5,$A$1:$Z$1,0))&amp;""),""))),"")&gt;='Scale score'!$B$6,IFERROR(VALUE(IF(TRIM('Scale score'!$B$5&amp;"")="","",IFERROR(TRIM(INDEX($A230:$Z230,MATCH('Scale score'!$B$5,$A$1:$Z$1,0))&amp;""),""))),"")&lt;='Scale score'!$B$7),IFERROR(VALUE(IF(TRIM('Scale score'!$B$5&amp;"")="","",IFERROR(TRIM(INDEX($A230:$Z230,MATCH('Scale score'!$B$5,$A$1:$Z$1,0))&amp;""),""))),""),""),"")</f>
        <v/>
      </c>
      <c r="AH230" s="41">
        <f>IF(TRIM('Open answers'!$B$5&amp;"")="","",IFERROR(TRIM(INDEX($A230:$Z230,MATCH('Open answers'!$B$5,$A$1:$Z$1,0))&amp;""),""))</f>
        <v/>
      </c>
      <c r="AI230" s="41">
        <f>IF(LEN(AH230)&gt;0,MAX($AI$1:AI229)+1,"")</f>
        <v/>
      </c>
    </row>
    <row r="231">
      <c r="AA231" s="40" t="n"/>
      <c r="AB231" s="41">
        <f>IF(TRIM('Counts'!$B$8&amp;"")="","",IFERROR(TRIM(INDEX($A231:$Z231,MATCH('Counts'!$B$8,$A$1:$Z$1,0))&amp;""),""))</f>
        <v/>
      </c>
      <c r="AC231" s="41">
        <f>IF(TRIM('Counts'!$B$26&amp;"")="","",IFERROR(TRIM(INDEX($A231:$Z231,MATCH('Counts'!$B$26,$A$1:$Z$1,0))&amp;""),""))</f>
        <v/>
      </c>
      <c r="AD231" s="41">
        <f>IF(TRIM('Counts'!$B$44&amp;"")="","",IFERROR(TRIM(INDEX($A231:$Z231,MATCH('Counts'!$B$44,$A$1:$Z$1,0))&amp;""),""))</f>
        <v/>
      </c>
      <c r="AE231" s="41">
        <f>IF(TRIM('Cross-tab'!$B$5&amp;"")="","",IFERROR(TRIM(INDEX($A231:$Z231,MATCH('Cross-tab'!$B$5,$A$1:$Z$1,0))&amp;""),""))</f>
        <v/>
      </c>
      <c r="AF231" s="41">
        <f>IF(TRIM('Cross-tab'!$B$7&amp;"")="","",IFERROR(TRIM(INDEX($A231:$Z231,MATCH('Cross-tab'!$B$7,$A$1:$Z$1,0))&amp;""),""))</f>
        <v/>
      </c>
      <c r="AG231" s="41">
        <f>IF(ISNUMBER(IFERROR(VALUE(IF(TRIM('Scale score'!$B$5&amp;"")="","",IFERROR(TRIM(INDEX($A231:$Z231,MATCH('Scale score'!$B$5,$A$1:$Z$1,0))&amp;""),""))),"")),IF(AND(IFERROR(VALUE(IF(TRIM('Scale score'!$B$5&amp;"")="","",IFERROR(TRIM(INDEX($A231:$Z231,MATCH('Scale score'!$B$5,$A$1:$Z$1,0))&amp;""),""))),"")&gt;='Scale score'!$B$6,IFERROR(VALUE(IF(TRIM('Scale score'!$B$5&amp;"")="","",IFERROR(TRIM(INDEX($A231:$Z231,MATCH('Scale score'!$B$5,$A$1:$Z$1,0))&amp;""),""))),"")&lt;='Scale score'!$B$7),IFERROR(VALUE(IF(TRIM('Scale score'!$B$5&amp;"")="","",IFERROR(TRIM(INDEX($A231:$Z231,MATCH('Scale score'!$B$5,$A$1:$Z$1,0))&amp;""),""))),""),""),"")</f>
        <v/>
      </c>
      <c r="AH231" s="41">
        <f>IF(TRIM('Open answers'!$B$5&amp;"")="","",IFERROR(TRIM(INDEX($A231:$Z231,MATCH('Open answers'!$B$5,$A$1:$Z$1,0))&amp;""),""))</f>
        <v/>
      </c>
      <c r="AI231" s="41">
        <f>IF(LEN(AH231)&gt;0,MAX($AI$1:AI230)+1,"")</f>
        <v/>
      </c>
    </row>
    <row r="232">
      <c r="AA232" s="40" t="n"/>
      <c r="AB232" s="41">
        <f>IF(TRIM('Counts'!$B$8&amp;"")="","",IFERROR(TRIM(INDEX($A232:$Z232,MATCH('Counts'!$B$8,$A$1:$Z$1,0))&amp;""),""))</f>
        <v/>
      </c>
      <c r="AC232" s="41">
        <f>IF(TRIM('Counts'!$B$26&amp;"")="","",IFERROR(TRIM(INDEX($A232:$Z232,MATCH('Counts'!$B$26,$A$1:$Z$1,0))&amp;""),""))</f>
        <v/>
      </c>
      <c r="AD232" s="41">
        <f>IF(TRIM('Counts'!$B$44&amp;"")="","",IFERROR(TRIM(INDEX($A232:$Z232,MATCH('Counts'!$B$44,$A$1:$Z$1,0))&amp;""),""))</f>
        <v/>
      </c>
      <c r="AE232" s="41">
        <f>IF(TRIM('Cross-tab'!$B$5&amp;"")="","",IFERROR(TRIM(INDEX($A232:$Z232,MATCH('Cross-tab'!$B$5,$A$1:$Z$1,0))&amp;""),""))</f>
        <v/>
      </c>
      <c r="AF232" s="41">
        <f>IF(TRIM('Cross-tab'!$B$7&amp;"")="","",IFERROR(TRIM(INDEX($A232:$Z232,MATCH('Cross-tab'!$B$7,$A$1:$Z$1,0))&amp;""),""))</f>
        <v/>
      </c>
      <c r="AG232" s="41">
        <f>IF(ISNUMBER(IFERROR(VALUE(IF(TRIM('Scale score'!$B$5&amp;"")="","",IFERROR(TRIM(INDEX($A232:$Z232,MATCH('Scale score'!$B$5,$A$1:$Z$1,0))&amp;""),""))),"")),IF(AND(IFERROR(VALUE(IF(TRIM('Scale score'!$B$5&amp;"")="","",IFERROR(TRIM(INDEX($A232:$Z232,MATCH('Scale score'!$B$5,$A$1:$Z$1,0))&amp;""),""))),"")&gt;='Scale score'!$B$6,IFERROR(VALUE(IF(TRIM('Scale score'!$B$5&amp;"")="","",IFERROR(TRIM(INDEX($A232:$Z232,MATCH('Scale score'!$B$5,$A$1:$Z$1,0))&amp;""),""))),"")&lt;='Scale score'!$B$7),IFERROR(VALUE(IF(TRIM('Scale score'!$B$5&amp;"")="","",IFERROR(TRIM(INDEX($A232:$Z232,MATCH('Scale score'!$B$5,$A$1:$Z$1,0))&amp;""),""))),""),""),"")</f>
        <v/>
      </c>
      <c r="AH232" s="41">
        <f>IF(TRIM('Open answers'!$B$5&amp;"")="","",IFERROR(TRIM(INDEX($A232:$Z232,MATCH('Open answers'!$B$5,$A$1:$Z$1,0))&amp;""),""))</f>
        <v/>
      </c>
      <c r="AI232" s="41">
        <f>IF(LEN(AH232)&gt;0,MAX($AI$1:AI231)+1,"")</f>
        <v/>
      </c>
    </row>
    <row r="233">
      <c r="AA233" s="40" t="n"/>
      <c r="AB233" s="41">
        <f>IF(TRIM('Counts'!$B$8&amp;"")="","",IFERROR(TRIM(INDEX($A233:$Z233,MATCH('Counts'!$B$8,$A$1:$Z$1,0))&amp;""),""))</f>
        <v/>
      </c>
      <c r="AC233" s="41">
        <f>IF(TRIM('Counts'!$B$26&amp;"")="","",IFERROR(TRIM(INDEX($A233:$Z233,MATCH('Counts'!$B$26,$A$1:$Z$1,0))&amp;""),""))</f>
        <v/>
      </c>
      <c r="AD233" s="41">
        <f>IF(TRIM('Counts'!$B$44&amp;"")="","",IFERROR(TRIM(INDEX($A233:$Z233,MATCH('Counts'!$B$44,$A$1:$Z$1,0))&amp;""),""))</f>
        <v/>
      </c>
      <c r="AE233" s="41">
        <f>IF(TRIM('Cross-tab'!$B$5&amp;"")="","",IFERROR(TRIM(INDEX($A233:$Z233,MATCH('Cross-tab'!$B$5,$A$1:$Z$1,0))&amp;""),""))</f>
        <v/>
      </c>
      <c r="AF233" s="41">
        <f>IF(TRIM('Cross-tab'!$B$7&amp;"")="","",IFERROR(TRIM(INDEX($A233:$Z233,MATCH('Cross-tab'!$B$7,$A$1:$Z$1,0))&amp;""),""))</f>
        <v/>
      </c>
      <c r="AG233" s="41">
        <f>IF(ISNUMBER(IFERROR(VALUE(IF(TRIM('Scale score'!$B$5&amp;"")="","",IFERROR(TRIM(INDEX($A233:$Z233,MATCH('Scale score'!$B$5,$A$1:$Z$1,0))&amp;""),""))),"")),IF(AND(IFERROR(VALUE(IF(TRIM('Scale score'!$B$5&amp;"")="","",IFERROR(TRIM(INDEX($A233:$Z233,MATCH('Scale score'!$B$5,$A$1:$Z$1,0))&amp;""),""))),"")&gt;='Scale score'!$B$6,IFERROR(VALUE(IF(TRIM('Scale score'!$B$5&amp;"")="","",IFERROR(TRIM(INDEX($A233:$Z233,MATCH('Scale score'!$B$5,$A$1:$Z$1,0))&amp;""),""))),"")&lt;='Scale score'!$B$7),IFERROR(VALUE(IF(TRIM('Scale score'!$B$5&amp;"")="","",IFERROR(TRIM(INDEX($A233:$Z233,MATCH('Scale score'!$B$5,$A$1:$Z$1,0))&amp;""),""))),""),""),"")</f>
        <v/>
      </c>
      <c r="AH233" s="41">
        <f>IF(TRIM('Open answers'!$B$5&amp;"")="","",IFERROR(TRIM(INDEX($A233:$Z233,MATCH('Open answers'!$B$5,$A$1:$Z$1,0))&amp;""),""))</f>
        <v/>
      </c>
      <c r="AI233" s="41">
        <f>IF(LEN(AH233)&gt;0,MAX($AI$1:AI232)+1,"")</f>
        <v/>
      </c>
    </row>
    <row r="234">
      <c r="AA234" s="40" t="n"/>
      <c r="AB234" s="41">
        <f>IF(TRIM('Counts'!$B$8&amp;"")="","",IFERROR(TRIM(INDEX($A234:$Z234,MATCH('Counts'!$B$8,$A$1:$Z$1,0))&amp;""),""))</f>
        <v/>
      </c>
      <c r="AC234" s="41">
        <f>IF(TRIM('Counts'!$B$26&amp;"")="","",IFERROR(TRIM(INDEX($A234:$Z234,MATCH('Counts'!$B$26,$A$1:$Z$1,0))&amp;""),""))</f>
        <v/>
      </c>
      <c r="AD234" s="41">
        <f>IF(TRIM('Counts'!$B$44&amp;"")="","",IFERROR(TRIM(INDEX($A234:$Z234,MATCH('Counts'!$B$44,$A$1:$Z$1,0))&amp;""),""))</f>
        <v/>
      </c>
      <c r="AE234" s="41">
        <f>IF(TRIM('Cross-tab'!$B$5&amp;"")="","",IFERROR(TRIM(INDEX($A234:$Z234,MATCH('Cross-tab'!$B$5,$A$1:$Z$1,0))&amp;""),""))</f>
        <v/>
      </c>
      <c r="AF234" s="41">
        <f>IF(TRIM('Cross-tab'!$B$7&amp;"")="","",IFERROR(TRIM(INDEX($A234:$Z234,MATCH('Cross-tab'!$B$7,$A$1:$Z$1,0))&amp;""),""))</f>
        <v/>
      </c>
      <c r="AG234" s="41">
        <f>IF(ISNUMBER(IFERROR(VALUE(IF(TRIM('Scale score'!$B$5&amp;"")="","",IFERROR(TRIM(INDEX($A234:$Z234,MATCH('Scale score'!$B$5,$A$1:$Z$1,0))&amp;""),""))),"")),IF(AND(IFERROR(VALUE(IF(TRIM('Scale score'!$B$5&amp;"")="","",IFERROR(TRIM(INDEX($A234:$Z234,MATCH('Scale score'!$B$5,$A$1:$Z$1,0))&amp;""),""))),"")&gt;='Scale score'!$B$6,IFERROR(VALUE(IF(TRIM('Scale score'!$B$5&amp;"")="","",IFERROR(TRIM(INDEX($A234:$Z234,MATCH('Scale score'!$B$5,$A$1:$Z$1,0))&amp;""),""))),"")&lt;='Scale score'!$B$7),IFERROR(VALUE(IF(TRIM('Scale score'!$B$5&amp;"")="","",IFERROR(TRIM(INDEX($A234:$Z234,MATCH('Scale score'!$B$5,$A$1:$Z$1,0))&amp;""),""))),""),""),"")</f>
        <v/>
      </c>
      <c r="AH234" s="41">
        <f>IF(TRIM('Open answers'!$B$5&amp;"")="","",IFERROR(TRIM(INDEX($A234:$Z234,MATCH('Open answers'!$B$5,$A$1:$Z$1,0))&amp;""),""))</f>
        <v/>
      </c>
      <c r="AI234" s="41">
        <f>IF(LEN(AH234)&gt;0,MAX($AI$1:AI233)+1,"")</f>
        <v/>
      </c>
    </row>
    <row r="235">
      <c r="AA235" s="40" t="n"/>
      <c r="AB235" s="41">
        <f>IF(TRIM('Counts'!$B$8&amp;"")="","",IFERROR(TRIM(INDEX($A235:$Z235,MATCH('Counts'!$B$8,$A$1:$Z$1,0))&amp;""),""))</f>
        <v/>
      </c>
      <c r="AC235" s="41">
        <f>IF(TRIM('Counts'!$B$26&amp;"")="","",IFERROR(TRIM(INDEX($A235:$Z235,MATCH('Counts'!$B$26,$A$1:$Z$1,0))&amp;""),""))</f>
        <v/>
      </c>
      <c r="AD235" s="41">
        <f>IF(TRIM('Counts'!$B$44&amp;"")="","",IFERROR(TRIM(INDEX($A235:$Z235,MATCH('Counts'!$B$44,$A$1:$Z$1,0))&amp;""),""))</f>
        <v/>
      </c>
      <c r="AE235" s="41">
        <f>IF(TRIM('Cross-tab'!$B$5&amp;"")="","",IFERROR(TRIM(INDEX($A235:$Z235,MATCH('Cross-tab'!$B$5,$A$1:$Z$1,0))&amp;""),""))</f>
        <v/>
      </c>
      <c r="AF235" s="41">
        <f>IF(TRIM('Cross-tab'!$B$7&amp;"")="","",IFERROR(TRIM(INDEX($A235:$Z235,MATCH('Cross-tab'!$B$7,$A$1:$Z$1,0))&amp;""),""))</f>
        <v/>
      </c>
      <c r="AG235" s="41">
        <f>IF(ISNUMBER(IFERROR(VALUE(IF(TRIM('Scale score'!$B$5&amp;"")="","",IFERROR(TRIM(INDEX($A235:$Z235,MATCH('Scale score'!$B$5,$A$1:$Z$1,0))&amp;""),""))),"")),IF(AND(IFERROR(VALUE(IF(TRIM('Scale score'!$B$5&amp;"")="","",IFERROR(TRIM(INDEX($A235:$Z235,MATCH('Scale score'!$B$5,$A$1:$Z$1,0))&amp;""),""))),"")&gt;='Scale score'!$B$6,IFERROR(VALUE(IF(TRIM('Scale score'!$B$5&amp;"")="","",IFERROR(TRIM(INDEX($A235:$Z235,MATCH('Scale score'!$B$5,$A$1:$Z$1,0))&amp;""),""))),"")&lt;='Scale score'!$B$7),IFERROR(VALUE(IF(TRIM('Scale score'!$B$5&amp;"")="","",IFERROR(TRIM(INDEX($A235:$Z235,MATCH('Scale score'!$B$5,$A$1:$Z$1,0))&amp;""),""))),""),""),"")</f>
        <v/>
      </c>
      <c r="AH235" s="41">
        <f>IF(TRIM('Open answers'!$B$5&amp;"")="","",IFERROR(TRIM(INDEX($A235:$Z235,MATCH('Open answers'!$B$5,$A$1:$Z$1,0))&amp;""),""))</f>
        <v/>
      </c>
      <c r="AI235" s="41">
        <f>IF(LEN(AH235)&gt;0,MAX($AI$1:AI234)+1,"")</f>
        <v/>
      </c>
    </row>
    <row r="236">
      <c r="AA236" s="40" t="n"/>
      <c r="AB236" s="41">
        <f>IF(TRIM('Counts'!$B$8&amp;"")="","",IFERROR(TRIM(INDEX($A236:$Z236,MATCH('Counts'!$B$8,$A$1:$Z$1,0))&amp;""),""))</f>
        <v/>
      </c>
      <c r="AC236" s="41">
        <f>IF(TRIM('Counts'!$B$26&amp;"")="","",IFERROR(TRIM(INDEX($A236:$Z236,MATCH('Counts'!$B$26,$A$1:$Z$1,0))&amp;""),""))</f>
        <v/>
      </c>
      <c r="AD236" s="41">
        <f>IF(TRIM('Counts'!$B$44&amp;"")="","",IFERROR(TRIM(INDEX($A236:$Z236,MATCH('Counts'!$B$44,$A$1:$Z$1,0))&amp;""),""))</f>
        <v/>
      </c>
      <c r="AE236" s="41">
        <f>IF(TRIM('Cross-tab'!$B$5&amp;"")="","",IFERROR(TRIM(INDEX($A236:$Z236,MATCH('Cross-tab'!$B$5,$A$1:$Z$1,0))&amp;""),""))</f>
        <v/>
      </c>
      <c r="AF236" s="41">
        <f>IF(TRIM('Cross-tab'!$B$7&amp;"")="","",IFERROR(TRIM(INDEX($A236:$Z236,MATCH('Cross-tab'!$B$7,$A$1:$Z$1,0))&amp;""),""))</f>
        <v/>
      </c>
      <c r="AG236" s="41">
        <f>IF(ISNUMBER(IFERROR(VALUE(IF(TRIM('Scale score'!$B$5&amp;"")="","",IFERROR(TRIM(INDEX($A236:$Z236,MATCH('Scale score'!$B$5,$A$1:$Z$1,0))&amp;""),""))),"")),IF(AND(IFERROR(VALUE(IF(TRIM('Scale score'!$B$5&amp;"")="","",IFERROR(TRIM(INDEX($A236:$Z236,MATCH('Scale score'!$B$5,$A$1:$Z$1,0))&amp;""),""))),"")&gt;='Scale score'!$B$6,IFERROR(VALUE(IF(TRIM('Scale score'!$B$5&amp;"")="","",IFERROR(TRIM(INDEX($A236:$Z236,MATCH('Scale score'!$B$5,$A$1:$Z$1,0))&amp;""),""))),"")&lt;='Scale score'!$B$7),IFERROR(VALUE(IF(TRIM('Scale score'!$B$5&amp;"")="","",IFERROR(TRIM(INDEX($A236:$Z236,MATCH('Scale score'!$B$5,$A$1:$Z$1,0))&amp;""),""))),""),""),"")</f>
        <v/>
      </c>
      <c r="AH236" s="41">
        <f>IF(TRIM('Open answers'!$B$5&amp;"")="","",IFERROR(TRIM(INDEX($A236:$Z236,MATCH('Open answers'!$B$5,$A$1:$Z$1,0))&amp;""),""))</f>
        <v/>
      </c>
      <c r="AI236" s="41">
        <f>IF(LEN(AH236)&gt;0,MAX($AI$1:AI235)+1,"")</f>
        <v/>
      </c>
    </row>
    <row r="237">
      <c r="AA237" s="40" t="n"/>
      <c r="AB237" s="41">
        <f>IF(TRIM('Counts'!$B$8&amp;"")="","",IFERROR(TRIM(INDEX($A237:$Z237,MATCH('Counts'!$B$8,$A$1:$Z$1,0))&amp;""),""))</f>
        <v/>
      </c>
      <c r="AC237" s="41">
        <f>IF(TRIM('Counts'!$B$26&amp;"")="","",IFERROR(TRIM(INDEX($A237:$Z237,MATCH('Counts'!$B$26,$A$1:$Z$1,0))&amp;""),""))</f>
        <v/>
      </c>
      <c r="AD237" s="41">
        <f>IF(TRIM('Counts'!$B$44&amp;"")="","",IFERROR(TRIM(INDEX($A237:$Z237,MATCH('Counts'!$B$44,$A$1:$Z$1,0))&amp;""),""))</f>
        <v/>
      </c>
      <c r="AE237" s="41">
        <f>IF(TRIM('Cross-tab'!$B$5&amp;"")="","",IFERROR(TRIM(INDEX($A237:$Z237,MATCH('Cross-tab'!$B$5,$A$1:$Z$1,0))&amp;""),""))</f>
        <v/>
      </c>
      <c r="AF237" s="41">
        <f>IF(TRIM('Cross-tab'!$B$7&amp;"")="","",IFERROR(TRIM(INDEX($A237:$Z237,MATCH('Cross-tab'!$B$7,$A$1:$Z$1,0))&amp;""),""))</f>
        <v/>
      </c>
      <c r="AG237" s="41">
        <f>IF(ISNUMBER(IFERROR(VALUE(IF(TRIM('Scale score'!$B$5&amp;"")="","",IFERROR(TRIM(INDEX($A237:$Z237,MATCH('Scale score'!$B$5,$A$1:$Z$1,0))&amp;""),""))),"")),IF(AND(IFERROR(VALUE(IF(TRIM('Scale score'!$B$5&amp;"")="","",IFERROR(TRIM(INDEX($A237:$Z237,MATCH('Scale score'!$B$5,$A$1:$Z$1,0))&amp;""),""))),"")&gt;='Scale score'!$B$6,IFERROR(VALUE(IF(TRIM('Scale score'!$B$5&amp;"")="","",IFERROR(TRIM(INDEX($A237:$Z237,MATCH('Scale score'!$B$5,$A$1:$Z$1,0))&amp;""),""))),"")&lt;='Scale score'!$B$7),IFERROR(VALUE(IF(TRIM('Scale score'!$B$5&amp;"")="","",IFERROR(TRIM(INDEX($A237:$Z237,MATCH('Scale score'!$B$5,$A$1:$Z$1,0))&amp;""),""))),""),""),"")</f>
        <v/>
      </c>
      <c r="AH237" s="41">
        <f>IF(TRIM('Open answers'!$B$5&amp;"")="","",IFERROR(TRIM(INDEX($A237:$Z237,MATCH('Open answers'!$B$5,$A$1:$Z$1,0))&amp;""),""))</f>
        <v/>
      </c>
      <c r="AI237" s="41">
        <f>IF(LEN(AH237)&gt;0,MAX($AI$1:AI236)+1,"")</f>
        <v/>
      </c>
    </row>
    <row r="238">
      <c r="AA238" s="40" t="n"/>
      <c r="AB238" s="41">
        <f>IF(TRIM('Counts'!$B$8&amp;"")="","",IFERROR(TRIM(INDEX($A238:$Z238,MATCH('Counts'!$B$8,$A$1:$Z$1,0))&amp;""),""))</f>
        <v/>
      </c>
      <c r="AC238" s="41">
        <f>IF(TRIM('Counts'!$B$26&amp;"")="","",IFERROR(TRIM(INDEX($A238:$Z238,MATCH('Counts'!$B$26,$A$1:$Z$1,0))&amp;""),""))</f>
        <v/>
      </c>
      <c r="AD238" s="41">
        <f>IF(TRIM('Counts'!$B$44&amp;"")="","",IFERROR(TRIM(INDEX($A238:$Z238,MATCH('Counts'!$B$44,$A$1:$Z$1,0))&amp;""),""))</f>
        <v/>
      </c>
      <c r="AE238" s="41">
        <f>IF(TRIM('Cross-tab'!$B$5&amp;"")="","",IFERROR(TRIM(INDEX($A238:$Z238,MATCH('Cross-tab'!$B$5,$A$1:$Z$1,0))&amp;""),""))</f>
        <v/>
      </c>
      <c r="AF238" s="41">
        <f>IF(TRIM('Cross-tab'!$B$7&amp;"")="","",IFERROR(TRIM(INDEX($A238:$Z238,MATCH('Cross-tab'!$B$7,$A$1:$Z$1,0))&amp;""),""))</f>
        <v/>
      </c>
      <c r="AG238" s="41">
        <f>IF(ISNUMBER(IFERROR(VALUE(IF(TRIM('Scale score'!$B$5&amp;"")="","",IFERROR(TRIM(INDEX($A238:$Z238,MATCH('Scale score'!$B$5,$A$1:$Z$1,0))&amp;""),""))),"")),IF(AND(IFERROR(VALUE(IF(TRIM('Scale score'!$B$5&amp;"")="","",IFERROR(TRIM(INDEX($A238:$Z238,MATCH('Scale score'!$B$5,$A$1:$Z$1,0))&amp;""),""))),"")&gt;='Scale score'!$B$6,IFERROR(VALUE(IF(TRIM('Scale score'!$B$5&amp;"")="","",IFERROR(TRIM(INDEX($A238:$Z238,MATCH('Scale score'!$B$5,$A$1:$Z$1,0))&amp;""),""))),"")&lt;='Scale score'!$B$7),IFERROR(VALUE(IF(TRIM('Scale score'!$B$5&amp;"")="","",IFERROR(TRIM(INDEX($A238:$Z238,MATCH('Scale score'!$B$5,$A$1:$Z$1,0))&amp;""),""))),""),""),"")</f>
        <v/>
      </c>
      <c r="AH238" s="41">
        <f>IF(TRIM('Open answers'!$B$5&amp;"")="","",IFERROR(TRIM(INDEX($A238:$Z238,MATCH('Open answers'!$B$5,$A$1:$Z$1,0))&amp;""),""))</f>
        <v/>
      </c>
      <c r="AI238" s="41">
        <f>IF(LEN(AH238)&gt;0,MAX($AI$1:AI237)+1,"")</f>
        <v/>
      </c>
    </row>
    <row r="239">
      <c r="AA239" s="40" t="n"/>
      <c r="AB239" s="41">
        <f>IF(TRIM('Counts'!$B$8&amp;"")="","",IFERROR(TRIM(INDEX($A239:$Z239,MATCH('Counts'!$B$8,$A$1:$Z$1,0))&amp;""),""))</f>
        <v/>
      </c>
      <c r="AC239" s="41">
        <f>IF(TRIM('Counts'!$B$26&amp;"")="","",IFERROR(TRIM(INDEX($A239:$Z239,MATCH('Counts'!$B$26,$A$1:$Z$1,0))&amp;""),""))</f>
        <v/>
      </c>
      <c r="AD239" s="41">
        <f>IF(TRIM('Counts'!$B$44&amp;"")="","",IFERROR(TRIM(INDEX($A239:$Z239,MATCH('Counts'!$B$44,$A$1:$Z$1,0))&amp;""),""))</f>
        <v/>
      </c>
      <c r="AE239" s="41">
        <f>IF(TRIM('Cross-tab'!$B$5&amp;"")="","",IFERROR(TRIM(INDEX($A239:$Z239,MATCH('Cross-tab'!$B$5,$A$1:$Z$1,0))&amp;""),""))</f>
        <v/>
      </c>
      <c r="AF239" s="41">
        <f>IF(TRIM('Cross-tab'!$B$7&amp;"")="","",IFERROR(TRIM(INDEX($A239:$Z239,MATCH('Cross-tab'!$B$7,$A$1:$Z$1,0))&amp;""),""))</f>
        <v/>
      </c>
      <c r="AG239" s="41">
        <f>IF(ISNUMBER(IFERROR(VALUE(IF(TRIM('Scale score'!$B$5&amp;"")="","",IFERROR(TRIM(INDEX($A239:$Z239,MATCH('Scale score'!$B$5,$A$1:$Z$1,0))&amp;""),""))),"")),IF(AND(IFERROR(VALUE(IF(TRIM('Scale score'!$B$5&amp;"")="","",IFERROR(TRIM(INDEX($A239:$Z239,MATCH('Scale score'!$B$5,$A$1:$Z$1,0))&amp;""),""))),"")&gt;='Scale score'!$B$6,IFERROR(VALUE(IF(TRIM('Scale score'!$B$5&amp;"")="","",IFERROR(TRIM(INDEX($A239:$Z239,MATCH('Scale score'!$B$5,$A$1:$Z$1,0))&amp;""),""))),"")&lt;='Scale score'!$B$7),IFERROR(VALUE(IF(TRIM('Scale score'!$B$5&amp;"")="","",IFERROR(TRIM(INDEX($A239:$Z239,MATCH('Scale score'!$B$5,$A$1:$Z$1,0))&amp;""),""))),""),""),"")</f>
        <v/>
      </c>
      <c r="AH239" s="41">
        <f>IF(TRIM('Open answers'!$B$5&amp;"")="","",IFERROR(TRIM(INDEX($A239:$Z239,MATCH('Open answers'!$B$5,$A$1:$Z$1,0))&amp;""),""))</f>
        <v/>
      </c>
      <c r="AI239" s="41">
        <f>IF(LEN(AH239)&gt;0,MAX($AI$1:AI238)+1,"")</f>
        <v/>
      </c>
    </row>
    <row r="240">
      <c r="AA240" s="40" t="n"/>
      <c r="AB240" s="41">
        <f>IF(TRIM('Counts'!$B$8&amp;"")="","",IFERROR(TRIM(INDEX($A240:$Z240,MATCH('Counts'!$B$8,$A$1:$Z$1,0))&amp;""),""))</f>
        <v/>
      </c>
      <c r="AC240" s="41">
        <f>IF(TRIM('Counts'!$B$26&amp;"")="","",IFERROR(TRIM(INDEX($A240:$Z240,MATCH('Counts'!$B$26,$A$1:$Z$1,0))&amp;""),""))</f>
        <v/>
      </c>
      <c r="AD240" s="41">
        <f>IF(TRIM('Counts'!$B$44&amp;"")="","",IFERROR(TRIM(INDEX($A240:$Z240,MATCH('Counts'!$B$44,$A$1:$Z$1,0))&amp;""),""))</f>
        <v/>
      </c>
      <c r="AE240" s="41">
        <f>IF(TRIM('Cross-tab'!$B$5&amp;"")="","",IFERROR(TRIM(INDEX($A240:$Z240,MATCH('Cross-tab'!$B$5,$A$1:$Z$1,0))&amp;""),""))</f>
        <v/>
      </c>
      <c r="AF240" s="41">
        <f>IF(TRIM('Cross-tab'!$B$7&amp;"")="","",IFERROR(TRIM(INDEX($A240:$Z240,MATCH('Cross-tab'!$B$7,$A$1:$Z$1,0))&amp;""),""))</f>
        <v/>
      </c>
      <c r="AG240" s="41">
        <f>IF(ISNUMBER(IFERROR(VALUE(IF(TRIM('Scale score'!$B$5&amp;"")="","",IFERROR(TRIM(INDEX($A240:$Z240,MATCH('Scale score'!$B$5,$A$1:$Z$1,0))&amp;""),""))),"")),IF(AND(IFERROR(VALUE(IF(TRIM('Scale score'!$B$5&amp;"")="","",IFERROR(TRIM(INDEX($A240:$Z240,MATCH('Scale score'!$B$5,$A$1:$Z$1,0))&amp;""),""))),"")&gt;='Scale score'!$B$6,IFERROR(VALUE(IF(TRIM('Scale score'!$B$5&amp;"")="","",IFERROR(TRIM(INDEX($A240:$Z240,MATCH('Scale score'!$B$5,$A$1:$Z$1,0))&amp;""),""))),"")&lt;='Scale score'!$B$7),IFERROR(VALUE(IF(TRIM('Scale score'!$B$5&amp;"")="","",IFERROR(TRIM(INDEX($A240:$Z240,MATCH('Scale score'!$B$5,$A$1:$Z$1,0))&amp;""),""))),""),""),"")</f>
        <v/>
      </c>
      <c r="AH240" s="41">
        <f>IF(TRIM('Open answers'!$B$5&amp;"")="","",IFERROR(TRIM(INDEX($A240:$Z240,MATCH('Open answers'!$B$5,$A$1:$Z$1,0))&amp;""),""))</f>
        <v/>
      </c>
      <c r="AI240" s="41">
        <f>IF(LEN(AH240)&gt;0,MAX($AI$1:AI239)+1,"")</f>
        <v/>
      </c>
    </row>
    <row r="241">
      <c r="AA241" s="40" t="n"/>
      <c r="AB241" s="41">
        <f>IF(TRIM('Counts'!$B$8&amp;"")="","",IFERROR(TRIM(INDEX($A241:$Z241,MATCH('Counts'!$B$8,$A$1:$Z$1,0))&amp;""),""))</f>
        <v/>
      </c>
      <c r="AC241" s="41">
        <f>IF(TRIM('Counts'!$B$26&amp;"")="","",IFERROR(TRIM(INDEX($A241:$Z241,MATCH('Counts'!$B$26,$A$1:$Z$1,0))&amp;""),""))</f>
        <v/>
      </c>
      <c r="AD241" s="41">
        <f>IF(TRIM('Counts'!$B$44&amp;"")="","",IFERROR(TRIM(INDEX($A241:$Z241,MATCH('Counts'!$B$44,$A$1:$Z$1,0))&amp;""),""))</f>
        <v/>
      </c>
      <c r="AE241" s="41">
        <f>IF(TRIM('Cross-tab'!$B$5&amp;"")="","",IFERROR(TRIM(INDEX($A241:$Z241,MATCH('Cross-tab'!$B$5,$A$1:$Z$1,0))&amp;""),""))</f>
        <v/>
      </c>
      <c r="AF241" s="41">
        <f>IF(TRIM('Cross-tab'!$B$7&amp;"")="","",IFERROR(TRIM(INDEX($A241:$Z241,MATCH('Cross-tab'!$B$7,$A$1:$Z$1,0))&amp;""),""))</f>
        <v/>
      </c>
      <c r="AG241" s="41">
        <f>IF(ISNUMBER(IFERROR(VALUE(IF(TRIM('Scale score'!$B$5&amp;"")="","",IFERROR(TRIM(INDEX($A241:$Z241,MATCH('Scale score'!$B$5,$A$1:$Z$1,0))&amp;""),""))),"")),IF(AND(IFERROR(VALUE(IF(TRIM('Scale score'!$B$5&amp;"")="","",IFERROR(TRIM(INDEX($A241:$Z241,MATCH('Scale score'!$B$5,$A$1:$Z$1,0))&amp;""),""))),"")&gt;='Scale score'!$B$6,IFERROR(VALUE(IF(TRIM('Scale score'!$B$5&amp;"")="","",IFERROR(TRIM(INDEX($A241:$Z241,MATCH('Scale score'!$B$5,$A$1:$Z$1,0))&amp;""),""))),"")&lt;='Scale score'!$B$7),IFERROR(VALUE(IF(TRIM('Scale score'!$B$5&amp;"")="","",IFERROR(TRIM(INDEX($A241:$Z241,MATCH('Scale score'!$B$5,$A$1:$Z$1,0))&amp;""),""))),""),""),"")</f>
        <v/>
      </c>
      <c r="AH241" s="41">
        <f>IF(TRIM('Open answers'!$B$5&amp;"")="","",IFERROR(TRIM(INDEX($A241:$Z241,MATCH('Open answers'!$B$5,$A$1:$Z$1,0))&amp;""),""))</f>
        <v/>
      </c>
      <c r="AI241" s="41">
        <f>IF(LEN(AH241)&gt;0,MAX($AI$1:AI240)+1,"")</f>
        <v/>
      </c>
    </row>
    <row r="242">
      <c r="AA242" s="40" t="n"/>
      <c r="AB242" s="41">
        <f>IF(TRIM('Counts'!$B$8&amp;"")="","",IFERROR(TRIM(INDEX($A242:$Z242,MATCH('Counts'!$B$8,$A$1:$Z$1,0))&amp;""),""))</f>
        <v/>
      </c>
      <c r="AC242" s="41">
        <f>IF(TRIM('Counts'!$B$26&amp;"")="","",IFERROR(TRIM(INDEX($A242:$Z242,MATCH('Counts'!$B$26,$A$1:$Z$1,0))&amp;""),""))</f>
        <v/>
      </c>
      <c r="AD242" s="41">
        <f>IF(TRIM('Counts'!$B$44&amp;"")="","",IFERROR(TRIM(INDEX($A242:$Z242,MATCH('Counts'!$B$44,$A$1:$Z$1,0))&amp;""),""))</f>
        <v/>
      </c>
      <c r="AE242" s="41">
        <f>IF(TRIM('Cross-tab'!$B$5&amp;"")="","",IFERROR(TRIM(INDEX($A242:$Z242,MATCH('Cross-tab'!$B$5,$A$1:$Z$1,0))&amp;""),""))</f>
        <v/>
      </c>
      <c r="AF242" s="41">
        <f>IF(TRIM('Cross-tab'!$B$7&amp;"")="","",IFERROR(TRIM(INDEX($A242:$Z242,MATCH('Cross-tab'!$B$7,$A$1:$Z$1,0))&amp;""),""))</f>
        <v/>
      </c>
      <c r="AG242" s="41">
        <f>IF(ISNUMBER(IFERROR(VALUE(IF(TRIM('Scale score'!$B$5&amp;"")="","",IFERROR(TRIM(INDEX($A242:$Z242,MATCH('Scale score'!$B$5,$A$1:$Z$1,0))&amp;""),""))),"")),IF(AND(IFERROR(VALUE(IF(TRIM('Scale score'!$B$5&amp;"")="","",IFERROR(TRIM(INDEX($A242:$Z242,MATCH('Scale score'!$B$5,$A$1:$Z$1,0))&amp;""),""))),"")&gt;='Scale score'!$B$6,IFERROR(VALUE(IF(TRIM('Scale score'!$B$5&amp;"")="","",IFERROR(TRIM(INDEX($A242:$Z242,MATCH('Scale score'!$B$5,$A$1:$Z$1,0))&amp;""),""))),"")&lt;='Scale score'!$B$7),IFERROR(VALUE(IF(TRIM('Scale score'!$B$5&amp;"")="","",IFERROR(TRIM(INDEX($A242:$Z242,MATCH('Scale score'!$B$5,$A$1:$Z$1,0))&amp;""),""))),""),""),"")</f>
        <v/>
      </c>
      <c r="AH242" s="41">
        <f>IF(TRIM('Open answers'!$B$5&amp;"")="","",IFERROR(TRIM(INDEX($A242:$Z242,MATCH('Open answers'!$B$5,$A$1:$Z$1,0))&amp;""),""))</f>
        <v/>
      </c>
      <c r="AI242" s="41">
        <f>IF(LEN(AH242)&gt;0,MAX($AI$1:AI241)+1,"")</f>
        <v/>
      </c>
    </row>
    <row r="243">
      <c r="AA243" s="40" t="n"/>
      <c r="AB243" s="41">
        <f>IF(TRIM('Counts'!$B$8&amp;"")="","",IFERROR(TRIM(INDEX($A243:$Z243,MATCH('Counts'!$B$8,$A$1:$Z$1,0))&amp;""),""))</f>
        <v/>
      </c>
      <c r="AC243" s="41">
        <f>IF(TRIM('Counts'!$B$26&amp;"")="","",IFERROR(TRIM(INDEX($A243:$Z243,MATCH('Counts'!$B$26,$A$1:$Z$1,0))&amp;""),""))</f>
        <v/>
      </c>
      <c r="AD243" s="41">
        <f>IF(TRIM('Counts'!$B$44&amp;"")="","",IFERROR(TRIM(INDEX($A243:$Z243,MATCH('Counts'!$B$44,$A$1:$Z$1,0))&amp;""),""))</f>
        <v/>
      </c>
      <c r="AE243" s="41">
        <f>IF(TRIM('Cross-tab'!$B$5&amp;"")="","",IFERROR(TRIM(INDEX($A243:$Z243,MATCH('Cross-tab'!$B$5,$A$1:$Z$1,0))&amp;""),""))</f>
        <v/>
      </c>
      <c r="AF243" s="41">
        <f>IF(TRIM('Cross-tab'!$B$7&amp;"")="","",IFERROR(TRIM(INDEX($A243:$Z243,MATCH('Cross-tab'!$B$7,$A$1:$Z$1,0))&amp;""),""))</f>
        <v/>
      </c>
      <c r="AG243" s="41">
        <f>IF(ISNUMBER(IFERROR(VALUE(IF(TRIM('Scale score'!$B$5&amp;"")="","",IFERROR(TRIM(INDEX($A243:$Z243,MATCH('Scale score'!$B$5,$A$1:$Z$1,0))&amp;""),""))),"")),IF(AND(IFERROR(VALUE(IF(TRIM('Scale score'!$B$5&amp;"")="","",IFERROR(TRIM(INDEX($A243:$Z243,MATCH('Scale score'!$B$5,$A$1:$Z$1,0))&amp;""),""))),"")&gt;='Scale score'!$B$6,IFERROR(VALUE(IF(TRIM('Scale score'!$B$5&amp;"")="","",IFERROR(TRIM(INDEX($A243:$Z243,MATCH('Scale score'!$B$5,$A$1:$Z$1,0))&amp;""),""))),"")&lt;='Scale score'!$B$7),IFERROR(VALUE(IF(TRIM('Scale score'!$B$5&amp;"")="","",IFERROR(TRIM(INDEX($A243:$Z243,MATCH('Scale score'!$B$5,$A$1:$Z$1,0))&amp;""),""))),""),""),"")</f>
        <v/>
      </c>
      <c r="AH243" s="41">
        <f>IF(TRIM('Open answers'!$B$5&amp;"")="","",IFERROR(TRIM(INDEX($A243:$Z243,MATCH('Open answers'!$B$5,$A$1:$Z$1,0))&amp;""),""))</f>
        <v/>
      </c>
      <c r="AI243" s="41">
        <f>IF(LEN(AH243)&gt;0,MAX($AI$1:AI242)+1,"")</f>
        <v/>
      </c>
    </row>
    <row r="244">
      <c r="AA244" s="40" t="n"/>
      <c r="AB244" s="41">
        <f>IF(TRIM('Counts'!$B$8&amp;"")="","",IFERROR(TRIM(INDEX($A244:$Z244,MATCH('Counts'!$B$8,$A$1:$Z$1,0))&amp;""),""))</f>
        <v/>
      </c>
      <c r="AC244" s="41">
        <f>IF(TRIM('Counts'!$B$26&amp;"")="","",IFERROR(TRIM(INDEX($A244:$Z244,MATCH('Counts'!$B$26,$A$1:$Z$1,0))&amp;""),""))</f>
        <v/>
      </c>
      <c r="AD244" s="41">
        <f>IF(TRIM('Counts'!$B$44&amp;"")="","",IFERROR(TRIM(INDEX($A244:$Z244,MATCH('Counts'!$B$44,$A$1:$Z$1,0))&amp;""),""))</f>
        <v/>
      </c>
      <c r="AE244" s="41">
        <f>IF(TRIM('Cross-tab'!$B$5&amp;"")="","",IFERROR(TRIM(INDEX($A244:$Z244,MATCH('Cross-tab'!$B$5,$A$1:$Z$1,0))&amp;""),""))</f>
        <v/>
      </c>
      <c r="AF244" s="41">
        <f>IF(TRIM('Cross-tab'!$B$7&amp;"")="","",IFERROR(TRIM(INDEX($A244:$Z244,MATCH('Cross-tab'!$B$7,$A$1:$Z$1,0))&amp;""),""))</f>
        <v/>
      </c>
      <c r="AG244" s="41">
        <f>IF(ISNUMBER(IFERROR(VALUE(IF(TRIM('Scale score'!$B$5&amp;"")="","",IFERROR(TRIM(INDEX($A244:$Z244,MATCH('Scale score'!$B$5,$A$1:$Z$1,0))&amp;""),""))),"")),IF(AND(IFERROR(VALUE(IF(TRIM('Scale score'!$B$5&amp;"")="","",IFERROR(TRIM(INDEX($A244:$Z244,MATCH('Scale score'!$B$5,$A$1:$Z$1,0))&amp;""),""))),"")&gt;='Scale score'!$B$6,IFERROR(VALUE(IF(TRIM('Scale score'!$B$5&amp;"")="","",IFERROR(TRIM(INDEX($A244:$Z244,MATCH('Scale score'!$B$5,$A$1:$Z$1,0))&amp;""),""))),"")&lt;='Scale score'!$B$7),IFERROR(VALUE(IF(TRIM('Scale score'!$B$5&amp;"")="","",IFERROR(TRIM(INDEX($A244:$Z244,MATCH('Scale score'!$B$5,$A$1:$Z$1,0))&amp;""),""))),""),""),"")</f>
        <v/>
      </c>
      <c r="AH244" s="41">
        <f>IF(TRIM('Open answers'!$B$5&amp;"")="","",IFERROR(TRIM(INDEX($A244:$Z244,MATCH('Open answers'!$B$5,$A$1:$Z$1,0))&amp;""),""))</f>
        <v/>
      </c>
      <c r="AI244" s="41">
        <f>IF(LEN(AH244)&gt;0,MAX($AI$1:AI243)+1,"")</f>
        <v/>
      </c>
    </row>
    <row r="245">
      <c r="AA245" s="40" t="n"/>
      <c r="AB245" s="41">
        <f>IF(TRIM('Counts'!$B$8&amp;"")="","",IFERROR(TRIM(INDEX($A245:$Z245,MATCH('Counts'!$B$8,$A$1:$Z$1,0))&amp;""),""))</f>
        <v/>
      </c>
      <c r="AC245" s="41">
        <f>IF(TRIM('Counts'!$B$26&amp;"")="","",IFERROR(TRIM(INDEX($A245:$Z245,MATCH('Counts'!$B$26,$A$1:$Z$1,0))&amp;""),""))</f>
        <v/>
      </c>
      <c r="AD245" s="41">
        <f>IF(TRIM('Counts'!$B$44&amp;"")="","",IFERROR(TRIM(INDEX($A245:$Z245,MATCH('Counts'!$B$44,$A$1:$Z$1,0))&amp;""),""))</f>
        <v/>
      </c>
      <c r="AE245" s="41">
        <f>IF(TRIM('Cross-tab'!$B$5&amp;"")="","",IFERROR(TRIM(INDEX($A245:$Z245,MATCH('Cross-tab'!$B$5,$A$1:$Z$1,0))&amp;""),""))</f>
        <v/>
      </c>
      <c r="AF245" s="41">
        <f>IF(TRIM('Cross-tab'!$B$7&amp;"")="","",IFERROR(TRIM(INDEX($A245:$Z245,MATCH('Cross-tab'!$B$7,$A$1:$Z$1,0))&amp;""),""))</f>
        <v/>
      </c>
      <c r="AG245" s="41">
        <f>IF(ISNUMBER(IFERROR(VALUE(IF(TRIM('Scale score'!$B$5&amp;"")="","",IFERROR(TRIM(INDEX($A245:$Z245,MATCH('Scale score'!$B$5,$A$1:$Z$1,0))&amp;""),""))),"")),IF(AND(IFERROR(VALUE(IF(TRIM('Scale score'!$B$5&amp;"")="","",IFERROR(TRIM(INDEX($A245:$Z245,MATCH('Scale score'!$B$5,$A$1:$Z$1,0))&amp;""),""))),"")&gt;='Scale score'!$B$6,IFERROR(VALUE(IF(TRIM('Scale score'!$B$5&amp;"")="","",IFERROR(TRIM(INDEX($A245:$Z245,MATCH('Scale score'!$B$5,$A$1:$Z$1,0))&amp;""),""))),"")&lt;='Scale score'!$B$7),IFERROR(VALUE(IF(TRIM('Scale score'!$B$5&amp;"")="","",IFERROR(TRIM(INDEX($A245:$Z245,MATCH('Scale score'!$B$5,$A$1:$Z$1,0))&amp;""),""))),""),""),"")</f>
        <v/>
      </c>
      <c r="AH245" s="41">
        <f>IF(TRIM('Open answers'!$B$5&amp;"")="","",IFERROR(TRIM(INDEX($A245:$Z245,MATCH('Open answers'!$B$5,$A$1:$Z$1,0))&amp;""),""))</f>
        <v/>
      </c>
      <c r="AI245" s="41">
        <f>IF(LEN(AH245)&gt;0,MAX($AI$1:AI244)+1,"")</f>
        <v/>
      </c>
    </row>
    <row r="246">
      <c r="AA246" s="40" t="n"/>
      <c r="AB246" s="41">
        <f>IF(TRIM('Counts'!$B$8&amp;"")="","",IFERROR(TRIM(INDEX($A246:$Z246,MATCH('Counts'!$B$8,$A$1:$Z$1,0))&amp;""),""))</f>
        <v/>
      </c>
      <c r="AC246" s="41">
        <f>IF(TRIM('Counts'!$B$26&amp;"")="","",IFERROR(TRIM(INDEX($A246:$Z246,MATCH('Counts'!$B$26,$A$1:$Z$1,0))&amp;""),""))</f>
        <v/>
      </c>
      <c r="AD246" s="41">
        <f>IF(TRIM('Counts'!$B$44&amp;"")="","",IFERROR(TRIM(INDEX($A246:$Z246,MATCH('Counts'!$B$44,$A$1:$Z$1,0))&amp;""),""))</f>
        <v/>
      </c>
      <c r="AE246" s="41">
        <f>IF(TRIM('Cross-tab'!$B$5&amp;"")="","",IFERROR(TRIM(INDEX($A246:$Z246,MATCH('Cross-tab'!$B$5,$A$1:$Z$1,0))&amp;""),""))</f>
        <v/>
      </c>
      <c r="AF246" s="41">
        <f>IF(TRIM('Cross-tab'!$B$7&amp;"")="","",IFERROR(TRIM(INDEX($A246:$Z246,MATCH('Cross-tab'!$B$7,$A$1:$Z$1,0))&amp;""),""))</f>
        <v/>
      </c>
      <c r="AG246" s="41">
        <f>IF(ISNUMBER(IFERROR(VALUE(IF(TRIM('Scale score'!$B$5&amp;"")="","",IFERROR(TRIM(INDEX($A246:$Z246,MATCH('Scale score'!$B$5,$A$1:$Z$1,0))&amp;""),""))),"")),IF(AND(IFERROR(VALUE(IF(TRIM('Scale score'!$B$5&amp;"")="","",IFERROR(TRIM(INDEX($A246:$Z246,MATCH('Scale score'!$B$5,$A$1:$Z$1,0))&amp;""),""))),"")&gt;='Scale score'!$B$6,IFERROR(VALUE(IF(TRIM('Scale score'!$B$5&amp;"")="","",IFERROR(TRIM(INDEX($A246:$Z246,MATCH('Scale score'!$B$5,$A$1:$Z$1,0))&amp;""),""))),"")&lt;='Scale score'!$B$7),IFERROR(VALUE(IF(TRIM('Scale score'!$B$5&amp;"")="","",IFERROR(TRIM(INDEX($A246:$Z246,MATCH('Scale score'!$B$5,$A$1:$Z$1,0))&amp;""),""))),""),""),"")</f>
        <v/>
      </c>
      <c r="AH246" s="41">
        <f>IF(TRIM('Open answers'!$B$5&amp;"")="","",IFERROR(TRIM(INDEX($A246:$Z246,MATCH('Open answers'!$B$5,$A$1:$Z$1,0))&amp;""),""))</f>
        <v/>
      </c>
      <c r="AI246" s="41">
        <f>IF(LEN(AH246)&gt;0,MAX($AI$1:AI245)+1,"")</f>
        <v/>
      </c>
    </row>
    <row r="247">
      <c r="AA247" s="40" t="n"/>
      <c r="AB247" s="41">
        <f>IF(TRIM('Counts'!$B$8&amp;"")="","",IFERROR(TRIM(INDEX($A247:$Z247,MATCH('Counts'!$B$8,$A$1:$Z$1,0))&amp;""),""))</f>
        <v/>
      </c>
      <c r="AC247" s="41">
        <f>IF(TRIM('Counts'!$B$26&amp;"")="","",IFERROR(TRIM(INDEX($A247:$Z247,MATCH('Counts'!$B$26,$A$1:$Z$1,0))&amp;""),""))</f>
        <v/>
      </c>
      <c r="AD247" s="41">
        <f>IF(TRIM('Counts'!$B$44&amp;"")="","",IFERROR(TRIM(INDEX($A247:$Z247,MATCH('Counts'!$B$44,$A$1:$Z$1,0))&amp;""),""))</f>
        <v/>
      </c>
      <c r="AE247" s="41">
        <f>IF(TRIM('Cross-tab'!$B$5&amp;"")="","",IFERROR(TRIM(INDEX($A247:$Z247,MATCH('Cross-tab'!$B$5,$A$1:$Z$1,0))&amp;""),""))</f>
        <v/>
      </c>
      <c r="AF247" s="41">
        <f>IF(TRIM('Cross-tab'!$B$7&amp;"")="","",IFERROR(TRIM(INDEX($A247:$Z247,MATCH('Cross-tab'!$B$7,$A$1:$Z$1,0))&amp;""),""))</f>
        <v/>
      </c>
      <c r="AG247" s="41">
        <f>IF(ISNUMBER(IFERROR(VALUE(IF(TRIM('Scale score'!$B$5&amp;"")="","",IFERROR(TRIM(INDEX($A247:$Z247,MATCH('Scale score'!$B$5,$A$1:$Z$1,0))&amp;""),""))),"")),IF(AND(IFERROR(VALUE(IF(TRIM('Scale score'!$B$5&amp;"")="","",IFERROR(TRIM(INDEX($A247:$Z247,MATCH('Scale score'!$B$5,$A$1:$Z$1,0))&amp;""),""))),"")&gt;='Scale score'!$B$6,IFERROR(VALUE(IF(TRIM('Scale score'!$B$5&amp;"")="","",IFERROR(TRIM(INDEX($A247:$Z247,MATCH('Scale score'!$B$5,$A$1:$Z$1,0))&amp;""),""))),"")&lt;='Scale score'!$B$7),IFERROR(VALUE(IF(TRIM('Scale score'!$B$5&amp;"")="","",IFERROR(TRIM(INDEX($A247:$Z247,MATCH('Scale score'!$B$5,$A$1:$Z$1,0))&amp;""),""))),""),""),"")</f>
        <v/>
      </c>
      <c r="AH247" s="41">
        <f>IF(TRIM('Open answers'!$B$5&amp;"")="","",IFERROR(TRIM(INDEX($A247:$Z247,MATCH('Open answers'!$B$5,$A$1:$Z$1,0))&amp;""),""))</f>
        <v/>
      </c>
      <c r="AI247" s="41">
        <f>IF(LEN(AH247)&gt;0,MAX($AI$1:AI246)+1,"")</f>
        <v/>
      </c>
    </row>
    <row r="248">
      <c r="AA248" s="40" t="n"/>
      <c r="AB248" s="41">
        <f>IF(TRIM('Counts'!$B$8&amp;"")="","",IFERROR(TRIM(INDEX($A248:$Z248,MATCH('Counts'!$B$8,$A$1:$Z$1,0))&amp;""),""))</f>
        <v/>
      </c>
      <c r="AC248" s="41">
        <f>IF(TRIM('Counts'!$B$26&amp;"")="","",IFERROR(TRIM(INDEX($A248:$Z248,MATCH('Counts'!$B$26,$A$1:$Z$1,0))&amp;""),""))</f>
        <v/>
      </c>
      <c r="AD248" s="41">
        <f>IF(TRIM('Counts'!$B$44&amp;"")="","",IFERROR(TRIM(INDEX($A248:$Z248,MATCH('Counts'!$B$44,$A$1:$Z$1,0))&amp;""),""))</f>
        <v/>
      </c>
      <c r="AE248" s="41">
        <f>IF(TRIM('Cross-tab'!$B$5&amp;"")="","",IFERROR(TRIM(INDEX($A248:$Z248,MATCH('Cross-tab'!$B$5,$A$1:$Z$1,0))&amp;""),""))</f>
        <v/>
      </c>
      <c r="AF248" s="41">
        <f>IF(TRIM('Cross-tab'!$B$7&amp;"")="","",IFERROR(TRIM(INDEX($A248:$Z248,MATCH('Cross-tab'!$B$7,$A$1:$Z$1,0))&amp;""),""))</f>
        <v/>
      </c>
      <c r="AG248" s="41">
        <f>IF(ISNUMBER(IFERROR(VALUE(IF(TRIM('Scale score'!$B$5&amp;"")="","",IFERROR(TRIM(INDEX($A248:$Z248,MATCH('Scale score'!$B$5,$A$1:$Z$1,0))&amp;""),""))),"")),IF(AND(IFERROR(VALUE(IF(TRIM('Scale score'!$B$5&amp;"")="","",IFERROR(TRIM(INDEX($A248:$Z248,MATCH('Scale score'!$B$5,$A$1:$Z$1,0))&amp;""),""))),"")&gt;='Scale score'!$B$6,IFERROR(VALUE(IF(TRIM('Scale score'!$B$5&amp;"")="","",IFERROR(TRIM(INDEX($A248:$Z248,MATCH('Scale score'!$B$5,$A$1:$Z$1,0))&amp;""),""))),"")&lt;='Scale score'!$B$7),IFERROR(VALUE(IF(TRIM('Scale score'!$B$5&amp;"")="","",IFERROR(TRIM(INDEX($A248:$Z248,MATCH('Scale score'!$B$5,$A$1:$Z$1,0))&amp;""),""))),""),""),"")</f>
        <v/>
      </c>
      <c r="AH248" s="41">
        <f>IF(TRIM('Open answers'!$B$5&amp;"")="","",IFERROR(TRIM(INDEX($A248:$Z248,MATCH('Open answers'!$B$5,$A$1:$Z$1,0))&amp;""),""))</f>
        <v/>
      </c>
      <c r="AI248" s="41">
        <f>IF(LEN(AH248)&gt;0,MAX($AI$1:AI247)+1,"")</f>
        <v/>
      </c>
    </row>
    <row r="249">
      <c r="AA249" s="40" t="n"/>
      <c r="AB249" s="41">
        <f>IF(TRIM('Counts'!$B$8&amp;"")="","",IFERROR(TRIM(INDEX($A249:$Z249,MATCH('Counts'!$B$8,$A$1:$Z$1,0))&amp;""),""))</f>
        <v/>
      </c>
      <c r="AC249" s="41">
        <f>IF(TRIM('Counts'!$B$26&amp;"")="","",IFERROR(TRIM(INDEX($A249:$Z249,MATCH('Counts'!$B$26,$A$1:$Z$1,0))&amp;""),""))</f>
        <v/>
      </c>
      <c r="AD249" s="41">
        <f>IF(TRIM('Counts'!$B$44&amp;"")="","",IFERROR(TRIM(INDEX($A249:$Z249,MATCH('Counts'!$B$44,$A$1:$Z$1,0))&amp;""),""))</f>
        <v/>
      </c>
      <c r="AE249" s="41">
        <f>IF(TRIM('Cross-tab'!$B$5&amp;"")="","",IFERROR(TRIM(INDEX($A249:$Z249,MATCH('Cross-tab'!$B$5,$A$1:$Z$1,0))&amp;""),""))</f>
        <v/>
      </c>
      <c r="AF249" s="41">
        <f>IF(TRIM('Cross-tab'!$B$7&amp;"")="","",IFERROR(TRIM(INDEX($A249:$Z249,MATCH('Cross-tab'!$B$7,$A$1:$Z$1,0))&amp;""),""))</f>
        <v/>
      </c>
      <c r="AG249" s="41">
        <f>IF(ISNUMBER(IFERROR(VALUE(IF(TRIM('Scale score'!$B$5&amp;"")="","",IFERROR(TRIM(INDEX($A249:$Z249,MATCH('Scale score'!$B$5,$A$1:$Z$1,0))&amp;""),""))),"")),IF(AND(IFERROR(VALUE(IF(TRIM('Scale score'!$B$5&amp;"")="","",IFERROR(TRIM(INDEX($A249:$Z249,MATCH('Scale score'!$B$5,$A$1:$Z$1,0))&amp;""),""))),"")&gt;='Scale score'!$B$6,IFERROR(VALUE(IF(TRIM('Scale score'!$B$5&amp;"")="","",IFERROR(TRIM(INDEX($A249:$Z249,MATCH('Scale score'!$B$5,$A$1:$Z$1,0))&amp;""),""))),"")&lt;='Scale score'!$B$7),IFERROR(VALUE(IF(TRIM('Scale score'!$B$5&amp;"")="","",IFERROR(TRIM(INDEX($A249:$Z249,MATCH('Scale score'!$B$5,$A$1:$Z$1,0))&amp;""),""))),""),""),"")</f>
        <v/>
      </c>
      <c r="AH249" s="41">
        <f>IF(TRIM('Open answers'!$B$5&amp;"")="","",IFERROR(TRIM(INDEX($A249:$Z249,MATCH('Open answers'!$B$5,$A$1:$Z$1,0))&amp;""),""))</f>
        <v/>
      </c>
      <c r="AI249" s="41">
        <f>IF(LEN(AH249)&gt;0,MAX($AI$1:AI248)+1,"")</f>
        <v/>
      </c>
    </row>
    <row r="250">
      <c r="AA250" s="40" t="n"/>
      <c r="AB250" s="41">
        <f>IF(TRIM('Counts'!$B$8&amp;"")="","",IFERROR(TRIM(INDEX($A250:$Z250,MATCH('Counts'!$B$8,$A$1:$Z$1,0))&amp;""),""))</f>
        <v/>
      </c>
      <c r="AC250" s="41">
        <f>IF(TRIM('Counts'!$B$26&amp;"")="","",IFERROR(TRIM(INDEX($A250:$Z250,MATCH('Counts'!$B$26,$A$1:$Z$1,0))&amp;""),""))</f>
        <v/>
      </c>
      <c r="AD250" s="41">
        <f>IF(TRIM('Counts'!$B$44&amp;"")="","",IFERROR(TRIM(INDEX($A250:$Z250,MATCH('Counts'!$B$44,$A$1:$Z$1,0))&amp;""),""))</f>
        <v/>
      </c>
      <c r="AE250" s="41">
        <f>IF(TRIM('Cross-tab'!$B$5&amp;"")="","",IFERROR(TRIM(INDEX($A250:$Z250,MATCH('Cross-tab'!$B$5,$A$1:$Z$1,0))&amp;""),""))</f>
        <v/>
      </c>
      <c r="AF250" s="41">
        <f>IF(TRIM('Cross-tab'!$B$7&amp;"")="","",IFERROR(TRIM(INDEX($A250:$Z250,MATCH('Cross-tab'!$B$7,$A$1:$Z$1,0))&amp;""),""))</f>
        <v/>
      </c>
      <c r="AG250" s="41">
        <f>IF(ISNUMBER(IFERROR(VALUE(IF(TRIM('Scale score'!$B$5&amp;"")="","",IFERROR(TRIM(INDEX($A250:$Z250,MATCH('Scale score'!$B$5,$A$1:$Z$1,0))&amp;""),""))),"")),IF(AND(IFERROR(VALUE(IF(TRIM('Scale score'!$B$5&amp;"")="","",IFERROR(TRIM(INDEX($A250:$Z250,MATCH('Scale score'!$B$5,$A$1:$Z$1,0))&amp;""),""))),"")&gt;='Scale score'!$B$6,IFERROR(VALUE(IF(TRIM('Scale score'!$B$5&amp;"")="","",IFERROR(TRIM(INDEX($A250:$Z250,MATCH('Scale score'!$B$5,$A$1:$Z$1,0))&amp;""),""))),"")&lt;='Scale score'!$B$7),IFERROR(VALUE(IF(TRIM('Scale score'!$B$5&amp;"")="","",IFERROR(TRIM(INDEX($A250:$Z250,MATCH('Scale score'!$B$5,$A$1:$Z$1,0))&amp;""),""))),""),""),"")</f>
        <v/>
      </c>
      <c r="AH250" s="41">
        <f>IF(TRIM('Open answers'!$B$5&amp;"")="","",IFERROR(TRIM(INDEX($A250:$Z250,MATCH('Open answers'!$B$5,$A$1:$Z$1,0))&amp;""),""))</f>
        <v/>
      </c>
      <c r="AI250" s="41">
        <f>IF(LEN(AH250)&gt;0,MAX($AI$1:AI249)+1,"")</f>
        <v/>
      </c>
    </row>
    <row r="251">
      <c r="AA251" s="40" t="n"/>
      <c r="AB251" s="41">
        <f>IF(TRIM('Counts'!$B$8&amp;"")="","",IFERROR(TRIM(INDEX($A251:$Z251,MATCH('Counts'!$B$8,$A$1:$Z$1,0))&amp;""),""))</f>
        <v/>
      </c>
      <c r="AC251" s="41">
        <f>IF(TRIM('Counts'!$B$26&amp;"")="","",IFERROR(TRIM(INDEX($A251:$Z251,MATCH('Counts'!$B$26,$A$1:$Z$1,0))&amp;""),""))</f>
        <v/>
      </c>
      <c r="AD251" s="41">
        <f>IF(TRIM('Counts'!$B$44&amp;"")="","",IFERROR(TRIM(INDEX($A251:$Z251,MATCH('Counts'!$B$44,$A$1:$Z$1,0))&amp;""),""))</f>
        <v/>
      </c>
      <c r="AE251" s="41">
        <f>IF(TRIM('Cross-tab'!$B$5&amp;"")="","",IFERROR(TRIM(INDEX($A251:$Z251,MATCH('Cross-tab'!$B$5,$A$1:$Z$1,0))&amp;""),""))</f>
        <v/>
      </c>
      <c r="AF251" s="41">
        <f>IF(TRIM('Cross-tab'!$B$7&amp;"")="","",IFERROR(TRIM(INDEX($A251:$Z251,MATCH('Cross-tab'!$B$7,$A$1:$Z$1,0))&amp;""),""))</f>
        <v/>
      </c>
      <c r="AG251" s="41">
        <f>IF(ISNUMBER(IFERROR(VALUE(IF(TRIM('Scale score'!$B$5&amp;"")="","",IFERROR(TRIM(INDEX($A251:$Z251,MATCH('Scale score'!$B$5,$A$1:$Z$1,0))&amp;""),""))),"")),IF(AND(IFERROR(VALUE(IF(TRIM('Scale score'!$B$5&amp;"")="","",IFERROR(TRIM(INDEX($A251:$Z251,MATCH('Scale score'!$B$5,$A$1:$Z$1,0))&amp;""),""))),"")&gt;='Scale score'!$B$6,IFERROR(VALUE(IF(TRIM('Scale score'!$B$5&amp;"")="","",IFERROR(TRIM(INDEX($A251:$Z251,MATCH('Scale score'!$B$5,$A$1:$Z$1,0))&amp;""),""))),"")&lt;='Scale score'!$B$7),IFERROR(VALUE(IF(TRIM('Scale score'!$B$5&amp;"")="","",IFERROR(TRIM(INDEX($A251:$Z251,MATCH('Scale score'!$B$5,$A$1:$Z$1,0))&amp;""),""))),""),""),"")</f>
        <v/>
      </c>
      <c r="AH251" s="41">
        <f>IF(TRIM('Open answers'!$B$5&amp;"")="","",IFERROR(TRIM(INDEX($A251:$Z251,MATCH('Open answers'!$B$5,$A$1:$Z$1,0))&amp;""),""))</f>
        <v/>
      </c>
      <c r="AI251" s="41">
        <f>IF(LEN(AH251)&gt;0,MAX($AI$1:AI250)+1,"")</f>
        <v/>
      </c>
    </row>
    <row r="252">
      <c r="AA252" s="40" t="n"/>
      <c r="AB252" s="41">
        <f>IF(TRIM('Counts'!$B$8&amp;"")="","",IFERROR(TRIM(INDEX($A252:$Z252,MATCH('Counts'!$B$8,$A$1:$Z$1,0))&amp;""),""))</f>
        <v/>
      </c>
      <c r="AC252" s="41">
        <f>IF(TRIM('Counts'!$B$26&amp;"")="","",IFERROR(TRIM(INDEX($A252:$Z252,MATCH('Counts'!$B$26,$A$1:$Z$1,0))&amp;""),""))</f>
        <v/>
      </c>
      <c r="AD252" s="41">
        <f>IF(TRIM('Counts'!$B$44&amp;"")="","",IFERROR(TRIM(INDEX($A252:$Z252,MATCH('Counts'!$B$44,$A$1:$Z$1,0))&amp;""),""))</f>
        <v/>
      </c>
      <c r="AE252" s="41">
        <f>IF(TRIM('Cross-tab'!$B$5&amp;"")="","",IFERROR(TRIM(INDEX($A252:$Z252,MATCH('Cross-tab'!$B$5,$A$1:$Z$1,0))&amp;""),""))</f>
        <v/>
      </c>
      <c r="AF252" s="41">
        <f>IF(TRIM('Cross-tab'!$B$7&amp;"")="","",IFERROR(TRIM(INDEX($A252:$Z252,MATCH('Cross-tab'!$B$7,$A$1:$Z$1,0))&amp;""),""))</f>
        <v/>
      </c>
      <c r="AG252" s="41">
        <f>IF(ISNUMBER(IFERROR(VALUE(IF(TRIM('Scale score'!$B$5&amp;"")="","",IFERROR(TRIM(INDEX($A252:$Z252,MATCH('Scale score'!$B$5,$A$1:$Z$1,0))&amp;""),""))),"")),IF(AND(IFERROR(VALUE(IF(TRIM('Scale score'!$B$5&amp;"")="","",IFERROR(TRIM(INDEX($A252:$Z252,MATCH('Scale score'!$B$5,$A$1:$Z$1,0))&amp;""),""))),"")&gt;='Scale score'!$B$6,IFERROR(VALUE(IF(TRIM('Scale score'!$B$5&amp;"")="","",IFERROR(TRIM(INDEX($A252:$Z252,MATCH('Scale score'!$B$5,$A$1:$Z$1,0))&amp;""),""))),"")&lt;='Scale score'!$B$7),IFERROR(VALUE(IF(TRIM('Scale score'!$B$5&amp;"")="","",IFERROR(TRIM(INDEX($A252:$Z252,MATCH('Scale score'!$B$5,$A$1:$Z$1,0))&amp;""),""))),""),""),"")</f>
        <v/>
      </c>
      <c r="AH252" s="41">
        <f>IF(TRIM('Open answers'!$B$5&amp;"")="","",IFERROR(TRIM(INDEX($A252:$Z252,MATCH('Open answers'!$B$5,$A$1:$Z$1,0))&amp;""),""))</f>
        <v/>
      </c>
      <c r="AI252" s="41">
        <f>IF(LEN(AH252)&gt;0,MAX($AI$1:AI251)+1,"")</f>
        <v/>
      </c>
    </row>
    <row r="253">
      <c r="AA253" s="40" t="n"/>
      <c r="AB253" s="41">
        <f>IF(TRIM('Counts'!$B$8&amp;"")="","",IFERROR(TRIM(INDEX($A253:$Z253,MATCH('Counts'!$B$8,$A$1:$Z$1,0))&amp;""),""))</f>
        <v/>
      </c>
      <c r="AC253" s="41">
        <f>IF(TRIM('Counts'!$B$26&amp;"")="","",IFERROR(TRIM(INDEX($A253:$Z253,MATCH('Counts'!$B$26,$A$1:$Z$1,0))&amp;""),""))</f>
        <v/>
      </c>
      <c r="AD253" s="41">
        <f>IF(TRIM('Counts'!$B$44&amp;"")="","",IFERROR(TRIM(INDEX($A253:$Z253,MATCH('Counts'!$B$44,$A$1:$Z$1,0))&amp;""),""))</f>
        <v/>
      </c>
      <c r="AE253" s="41">
        <f>IF(TRIM('Cross-tab'!$B$5&amp;"")="","",IFERROR(TRIM(INDEX($A253:$Z253,MATCH('Cross-tab'!$B$5,$A$1:$Z$1,0))&amp;""),""))</f>
        <v/>
      </c>
      <c r="AF253" s="41">
        <f>IF(TRIM('Cross-tab'!$B$7&amp;"")="","",IFERROR(TRIM(INDEX($A253:$Z253,MATCH('Cross-tab'!$B$7,$A$1:$Z$1,0))&amp;""),""))</f>
        <v/>
      </c>
      <c r="AG253" s="41">
        <f>IF(ISNUMBER(IFERROR(VALUE(IF(TRIM('Scale score'!$B$5&amp;"")="","",IFERROR(TRIM(INDEX($A253:$Z253,MATCH('Scale score'!$B$5,$A$1:$Z$1,0))&amp;""),""))),"")),IF(AND(IFERROR(VALUE(IF(TRIM('Scale score'!$B$5&amp;"")="","",IFERROR(TRIM(INDEX($A253:$Z253,MATCH('Scale score'!$B$5,$A$1:$Z$1,0))&amp;""),""))),"")&gt;='Scale score'!$B$6,IFERROR(VALUE(IF(TRIM('Scale score'!$B$5&amp;"")="","",IFERROR(TRIM(INDEX($A253:$Z253,MATCH('Scale score'!$B$5,$A$1:$Z$1,0))&amp;""),""))),"")&lt;='Scale score'!$B$7),IFERROR(VALUE(IF(TRIM('Scale score'!$B$5&amp;"")="","",IFERROR(TRIM(INDEX($A253:$Z253,MATCH('Scale score'!$B$5,$A$1:$Z$1,0))&amp;""),""))),""),""),"")</f>
        <v/>
      </c>
      <c r="AH253" s="41">
        <f>IF(TRIM('Open answers'!$B$5&amp;"")="","",IFERROR(TRIM(INDEX($A253:$Z253,MATCH('Open answers'!$B$5,$A$1:$Z$1,0))&amp;""),""))</f>
        <v/>
      </c>
      <c r="AI253" s="41">
        <f>IF(LEN(AH253)&gt;0,MAX($AI$1:AI252)+1,"")</f>
        <v/>
      </c>
    </row>
    <row r="254">
      <c r="AA254" s="40" t="n"/>
      <c r="AB254" s="41">
        <f>IF(TRIM('Counts'!$B$8&amp;"")="","",IFERROR(TRIM(INDEX($A254:$Z254,MATCH('Counts'!$B$8,$A$1:$Z$1,0))&amp;""),""))</f>
        <v/>
      </c>
      <c r="AC254" s="41">
        <f>IF(TRIM('Counts'!$B$26&amp;"")="","",IFERROR(TRIM(INDEX($A254:$Z254,MATCH('Counts'!$B$26,$A$1:$Z$1,0))&amp;""),""))</f>
        <v/>
      </c>
      <c r="AD254" s="41">
        <f>IF(TRIM('Counts'!$B$44&amp;"")="","",IFERROR(TRIM(INDEX($A254:$Z254,MATCH('Counts'!$B$44,$A$1:$Z$1,0))&amp;""),""))</f>
        <v/>
      </c>
      <c r="AE254" s="41">
        <f>IF(TRIM('Cross-tab'!$B$5&amp;"")="","",IFERROR(TRIM(INDEX($A254:$Z254,MATCH('Cross-tab'!$B$5,$A$1:$Z$1,0))&amp;""),""))</f>
        <v/>
      </c>
      <c r="AF254" s="41">
        <f>IF(TRIM('Cross-tab'!$B$7&amp;"")="","",IFERROR(TRIM(INDEX($A254:$Z254,MATCH('Cross-tab'!$B$7,$A$1:$Z$1,0))&amp;""),""))</f>
        <v/>
      </c>
      <c r="AG254" s="41">
        <f>IF(ISNUMBER(IFERROR(VALUE(IF(TRIM('Scale score'!$B$5&amp;"")="","",IFERROR(TRIM(INDEX($A254:$Z254,MATCH('Scale score'!$B$5,$A$1:$Z$1,0))&amp;""),""))),"")),IF(AND(IFERROR(VALUE(IF(TRIM('Scale score'!$B$5&amp;"")="","",IFERROR(TRIM(INDEX($A254:$Z254,MATCH('Scale score'!$B$5,$A$1:$Z$1,0))&amp;""),""))),"")&gt;='Scale score'!$B$6,IFERROR(VALUE(IF(TRIM('Scale score'!$B$5&amp;"")="","",IFERROR(TRIM(INDEX($A254:$Z254,MATCH('Scale score'!$B$5,$A$1:$Z$1,0))&amp;""),""))),"")&lt;='Scale score'!$B$7),IFERROR(VALUE(IF(TRIM('Scale score'!$B$5&amp;"")="","",IFERROR(TRIM(INDEX($A254:$Z254,MATCH('Scale score'!$B$5,$A$1:$Z$1,0))&amp;""),""))),""),""),"")</f>
        <v/>
      </c>
      <c r="AH254" s="41">
        <f>IF(TRIM('Open answers'!$B$5&amp;"")="","",IFERROR(TRIM(INDEX($A254:$Z254,MATCH('Open answers'!$B$5,$A$1:$Z$1,0))&amp;""),""))</f>
        <v/>
      </c>
      <c r="AI254" s="41">
        <f>IF(LEN(AH254)&gt;0,MAX($AI$1:AI253)+1,"")</f>
        <v/>
      </c>
    </row>
    <row r="255">
      <c r="AA255" s="40" t="n"/>
      <c r="AB255" s="41">
        <f>IF(TRIM('Counts'!$B$8&amp;"")="","",IFERROR(TRIM(INDEX($A255:$Z255,MATCH('Counts'!$B$8,$A$1:$Z$1,0))&amp;""),""))</f>
        <v/>
      </c>
      <c r="AC255" s="41">
        <f>IF(TRIM('Counts'!$B$26&amp;"")="","",IFERROR(TRIM(INDEX($A255:$Z255,MATCH('Counts'!$B$26,$A$1:$Z$1,0))&amp;""),""))</f>
        <v/>
      </c>
      <c r="AD255" s="41">
        <f>IF(TRIM('Counts'!$B$44&amp;"")="","",IFERROR(TRIM(INDEX($A255:$Z255,MATCH('Counts'!$B$44,$A$1:$Z$1,0))&amp;""),""))</f>
        <v/>
      </c>
      <c r="AE255" s="41">
        <f>IF(TRIM('Cross-tab'!$B$5&amp;"")="","",IFERROR(TRIM(INDEX($A255:$Z255,MATCH('Cross-tab'!$B$5,$A$1:$Z$1,0))&amp;""),""))</f>
        <v/>
      </c>
      <c r="AF255" s="41">
        <f>IF(TRIM('Cross-tab'!$B$7&amp;"")="","",IFERROR(TRIM(INDEX($A255:$Z255,MATCH('Cross-tab'!$B$7,$A$1:$Z$1,0))&amp;""),""))</f>
        <v/>
      </c>
      <c r="AG255" s="41">
        <f>IF(ISNUMBER(IFERROR(VALUE(IF(TRIM('Scale score'!$B$5&amp;"")="","",IFERROR(TRIM(INDEX($A255:$Z255,MATCH('Scale score'!$B$5,$A$1:$Z$1,0))&amp;""),""))),"")),IF(AND(IFERROR(VALUE(IF(TRIM('Scale score'!$B$5&amp;"")="","",IFERROR(TRIM(INDEX($A255:$Z255,MATCH('Scale score'!$B$5,$A$1:$Z$1,0))&amp;""),""))),"")&gt;='Scale score'!$B$6,IFERROR(VALUE(IF(TRIM('Scale score'!$B$5&amp;"")="","",IFERROR(TRIM(INDEX($A255:$Z255,MATCH('Scale score'!$B$5,$A$1:$Z$1,0))&amp;""),""))),"")&lt;='Scale score'!$B$7),IFERROR(VALUE(IF(TRIM('Scale score'!$B$5&amp;"")="","",IFERROR(TRIM(INDEX($A255:$Z255,MATCH('Scale score'!$B$5,$A$1:$Z$1,0))&amp;""),""))),""),""),"")</f>
        <v/>
      </c>
      <c r="AH255" s="41">
        <f>IF(TRIM('Open answers'!$B$5&amp;"")="","",IFERROR(TRIM(INDEX($A255:$Z255,MATCH('Open answers'!$B$5,$A$1:$Z$1,0))&amp;""),""))</f>
        <v/>
      </c>
      <c r="AI255" s="41">
        <f>IF(LEN(AH255)&gt;0,MAX($AI$1:AI254)+1,"")</f>
        <v/>
      </c>
    </row>
    <row r="256">
      <c r="AA256" s="40" t="n"/>
      <c r="AB256" s="41">
        <f>IF(TRIM('Counts'!$B$8&amp;"")="","",IFERROR(TRIM(INDEX($A256:$Z256,MATCH('Counts'!$B$8,$A$1:$Z$1,0))&amp;""),""))</f>
        <v/>
      </c>
      <c r="AC256" s="41">
        <f>IF(TRIM('Counts'!$B$26&amp;"")="","",IFERROR(TRIM(INDEX($A256:$Z256,MATCH('Counts'!$B$26,$A$1:$Z$1,0))&amp;""),""))</f>
        <v/>
      </c>
      <c r="AD256" s="41">
        <f>IF(TRIM('Counts'!$B$44&amp;"")="","",IFERROR(TRIM(INDEX($A256:$Z256,MATCH('Counts'!$B$44,$A$1:$Z$1,0))&amp;""),""))</f>
        <v/>
      </c>
      <c r="AE256" s="41">
        <f>IF(TRIM('Cross-tab'!$B$5&amp;"")="","",IFERROR(TRIM(INDEX($A256:$Z256,MATCH('Cross-tab'!$B$5,$A$1:$Z$1,0))&amp;""),""))</f>
        <v/>
      </c>
      <c r="AF256" s="41">
        <f>IF(TRIM('Cross-tab'!$B$7&amp;"")="","",IFERROR(TRIM(INDEX($A256:$Z256,MATCH('Cross-tab'!$B$7,$A$1:$Z$1,0))&amp;""),""))</f>
        <v/>
      </c>
      <c r="AG256" s="41">
        <f>IF(ISNUMBER(IFERROR(VALUE(IF(TRIM('Scale score'!$B$5&amp;"")="","",IFERROR(TRIM(INDEX($A256:$Z256,MATCH('Scale score'!$B$5,$A$1:$Z$1,0))&amp;""),""))),"")),IF(AND(IFERROR(VALUE(IF(TRIM('Scale score'!$B$5&amp;"")="","",IFERROR(TRIM(INDEX($A256:$Z256,MATCH('Scale score'!$B$5,$A$1:$Z$1,0))&amp;""),""))),"")&gt;='Scale score'!$B$6,IFERROR(VALUE(IF(TRIM('Scale score'!$B$5&amp;"")="","",IFERROR(TRIM(INDEX($A256:$Z256,MATCH('Scale score'!$B$5,$A$1:$Z$1,0))&amp;""),""))),"")&lt;='Scale score'!$B$7),IFERROR(VALUE(IF(TRIM('Scale score'!$B$5&amp;"")="","",IFERROR(TRIM(INDEX($A256:$Z256,MATCH('Scale score'!$B$5,$A$1:$Z$1,0))&amp;""),""))),""),""),"")</f>
        <v/>
      </c>
      <c r="AH256" s="41">
        <f>IF(TRIM('Open answers'!$B$5&amp;"")="","",IFERROR(TRIM(INDEX($A256:$Z256,MATCH('Open answers'!$B$5,$A$1:$Z$1,0))&amp;""),""))</f>
        <v/>
      </c>
      <c r="AI256" s="41">
        <f>IF(LEN(AH256)&gt;0,MAX($AI$1:AI255)+1,"")</f>
        <v/>
      </c>
    </row>
    <row r="257">
      <c r="AA257" s="40" t="n"/>
      <c r="AB257" s="41">
        <f>IF(TRIM('Counts'!$B$8&amp;"")="","",IFERROR(TRIM(INDEX($A257:$Z257,MATCH('Counts'!$B$8,$A$1:$Z$1,0))&amp;""),""))</f>
        <v/>
      </c>
      <c r="AC257" s="41">
        <f>IF(TRIM('Counts'!$B$26&amp;"")="","",IFERROR(TRIM(INDEX($A257:$Z257,MATCH('Counts'!$B$26,$A$1:$Z$1,0))&amp;""),""))</f>
        <v/>
      </c>
      <c r="AD257" s="41">
        <f>IF(TRIM('Counts'!$B$44&amp;"")="","",IFERROR(TRIM(INDEX($A257:$Z257,MATCH('Counts'!$B$44,$A$1:$Z$1,0))&amp;""),""))</f>
        <v/>
      </c>
      <c r="AE257" s="41">
        <f>IF(TRIM('Cross-tab'!$B$5&amp;"")="","",IFERROR(TRIM(INDEX($A257:$Z257,MATCH('Cross-tab'!$B$5,$A$1:$Z$1,0))&amp;""),""))</f>
        <v/>
      </c>
      <c r="AF257" s="41">
        <f>IF(TRIM('Cross-tab'!$B$7&amp;"")="","",IFERROR(TRIM(INDEX($A257:$Z257,MATCH('Cross-tab'!$B$7,$A$1:$Z$1,0))&amp;""),""))</f>
        <v/>
      </c>
      <c r="AG257" s="41">
        <f>IF(ISNUMBER(IFERROR(VALUE(IF(TRIM('Scale score'!$B$5&amp;"")="","",IFERROR(TRIM(INDEX($A257:$Z257,MATCH('Scale score'!$B$5,$A$1:$Z$1,0))&amp;""),""))),"")),IF(AND(IFERROR(VALUE(IF(TRIM('Scale score'!$B$5&amp;"")="","",IFERROR(TRIM(INDEX($A257:$Z257,MATCH('Scale score'!$B$5,$A$1:$Z$1,0))&amp;""),""))),"")&gt;='Scale score'!$B$6,IFERROR(VALUE(IF(TRIM('Scale score'!$B$5&amp;"")="","",IFERROR(TRIM(INDEX($A257:$Z257,MATCH('Scale score'!$B$5,$A$1:$Z$1,0))&amp;""),""))),"")&lt;='Scale score'!$B$7),IFERROR(VALUE(IF(TRIM('Scale score'!$B$5&amp;"")="","",IFERROR(TRIM(INDEX($A257:$Z257,MATCH('Scale score'!$B$5,$A$1:$Z$1,0))&amp;""),""))),""),""),"")</f>
        <v/>
      </c>
      <c r="AH257" s="41">
        <f>IF(TRIM('Open answers'!$B$5&amp;"")="","",IFERROR(TRIM(INDEX($A257:$Z257,MATCH('Open answers'!$B$5,$A$1:$Z$1,0))&amp;""),""))</f>
        <v/>
      </c>
      <c r="AI257" s="41">
        <f>IF(LEN(AH257)&gt;0,MAX($AI$1:AI256)+1,"")</f>
        <v/>
      </c>
    </row>
    <row r="258">
      <c r="AA258" s="40" t="n"/>
      <c r="AB258" s="41">
        <f>IF(TRIM('Counts'!$B$8&amp;"")="","",IFERROR(TRIM(INDEX($A258:$Z258,MATCH('Counts'!$B$8,$A$1:$Z$1,0))&amp;""),""))</f>
        <v/>
      </c>
      <c r="AC258" s="41">
        <f>IF(TRIM('Counts'!$B$26&amp;"")="","",IFERROR(TRIM(INDEX($A258:$Z258,MATCH('Counts'!$B$26,$A$1:$Z$1,0))&amp;""),""))</f>
        <v/>
      </c>
      <c r="AD258" s="41">
        <f>IF(TRIM('Counts'!$B$44&amp;"")="","",IFERROR(TRIM(INDEX($A258:$Z258,MATCH('Counts'!$B$44,$A$1:$Z$1,0))&amp;""),""))</f>
        <v/>
      </c>
      <c r="AE258" s="41">
        <f>IF(TRIM('Cross-tab'!$B$5&amp;"")="","",IFERROR(TRIM(INDEX($A258:$Z258,MATCH('Cross-tab'!$B$5,$A$1:$Z$1,0))&amp;""),""))</f>
        <v/>
      </c>
      <c r="AF258" s="41">
        <f>IF(TRIM('Cross-tab'!$B$7&amp;"")="","",IFERROR(TRIM(INDEX($A258:$Z258,MATCH('Cross-tab'!$B$7,$A$1:$Z$1,0))&amp;""),""))</f>
        <v/>
      </c>
      <c r="AG258" s="41">
        <f>IF(ISNUMBER(IFERROR(VALUE(IF(TRIM('Scale score'!$B$5&amp;"")="","",IFERROR(TRIM(INDEX($A258:$Z258,MATCH('Scale score'!$B$5,$A$1:$Z$1,0))&amp;""),""))),"")),IF(AND(IFERROR(VALUE(IF(TRIM('Scale score'!$B$5&amp;"")="","",IFERROR(TRIM(INDEX($A258:$Z258,MATCH('Scale score'!$B$5,$A$1:$Z$1,0))&amp;""),""))),"")&gt;='Scale score'!$B$6,IFERROR(VALUE(IF(TRIM('Scale score'!$B$5&amp;"")="","",IFERROR(TRIM(INDEX($A258:$Z258,MATCH('Scale score'!$B$5,$A$1:$Z$1,0))&amp;""),""))),"")&lt;='Scale score'!$B$7),IFERROR(VALUE(IF(TRIM('Scale score'!$B$5&amp;"")="","",IFERROR(TRIM(INDEX($A258:$Z258,MATCH('Scale score'!$B$5,$A$1:$Z$1,0))&amp;""),""))),""),""),"")</f>
        <v/>
      </c>
      <c r="AH258" s="41">
        <f>IF(TRIM('Open answers'!$B$5&amp;"")="","",IFERROR(TRIM(INDEX($A258:$Z258,MATCH('Open answers'!$B$5,$A$1:$Z$1,0))&amp;""),""))</f>
        <v/>
      </c>
      <c r="AI258" s="41">
        <f>IF(LEN(AH258)&gt;0,MAX($AI$1:AI257)+1,"")</f>
        <v/>
      </c>
    </row>
    <row r="259">
      <c r="AA259" s="40" t="n"/>
      <c r="AB259" s="41">
        <f>IF(TRIM('Counts'!$B$8&amp;"")="","",IFERROR(TRIM(INDEX($A259:$Z259,MATCH('Counts'!$B$8,$A$1:$Z$1,0))&amp;""),""))</f>
        <v/>
      </c>
      <c r="AC259" s="41">
        <f>IF(TRIM('Counts'!$B$26&amp;"")="","",IFERROR(TRIM(INDEX($A259:$Z259,MATCH('Counts'!$B$26,$A$1:$Z$1,0))&amp;""),""))</f>
        <v/>
      </c>
      <c r="AD259" s="41">
        <f>IF(TRIM('Counts'!$B$44&amp;"")="","",IFERROR(TRIM(INDEX($A259:$Z259,MATCH('Counts'!$B$44,$A$1:$Z$1,0))&amp;""),""))</f>
        <v/>
      </c>
      <c r="AE259" s="41">
        <f>IF(TRIM('Cross-tab'!$B$5&amp;"")="","",IFERROR(TRIM(INDEX($A259:$Z259,MATCH('Cross-tab'!$B$5,$A$1:$Z$1,0))&amp;""),""))</f>
        <v/>
      </c>
      <c r="AF259" s="41">
        <f>IF(TRIM('Cross-tab'!$B$7&amp;"")="","",IFERROR(TRIM(INDEX($A259:$Z259,MATCH('Cross-tab'!$B$7,$A$1:$Z$1,0))&amp;""),""))</f>
        <v/>
      </c>
      <c r="AG259" s="41">
        <f>IF(ISNUMBER(IFERROR(VALUE(IF(TRIM('Scale score'!$B$5&amp;"")="","",IFERROR(TRIM(INDEX($A259:$Z259,MATCH('Scale score'!$B$5,$A$1:$Z$1,0))&amp;""),""))),"")),IF(AND(IFERROR(VALUE(IF(TRIM('Scale score'!$B$5&amp;"")="","",IFERROR(TRIM(INDEX($A259:$Z259,MATCH('Scale score'!$B$5,$A$1:$Z$1,0))&amp;""),""))),"")&gt;='Scale score'!$B$6,IFERROR(VALUE(IF(TRIM('Scale score'!$B$5&amp;"")="","",IFERROR(TRIM(INDEX($A259:$Z259,MATCH('Scale score'!$B$5,$A$1:$Z$1,0))&amp;""),""))),"")&lt;='Scale score'!$B$7),IFERROR(VALUE(IF(TRIM('Scale score'!$B$5&amp;"")="","",IFERROR(TRIM(INDEX($A259:$Z259,MATCH('Scale score'!$B$5,$A$1:$Z$1,0))&amp;""),""))),""),""),"")</f>
        <v/>
      </c>
      <c r="AH259" s="41">
        <f>IF(TRIM('Open answers'!$B$5&amp;"")="","",IFERROR(TRIM(INDEX($A259:$Z259,MATCH('Open answers'!$B$5,$A$1:$Z$1,0))&amp;""),""))</f>
        <v/>
      </c>
      <c r="AI259" s="41">
        <f>IF(LEN(AH259)&gt;0,MAX($AI$1:AI258)+1,"")</f>
        <v/>
      </c>
    </row>
    <row r="260">
      <c r="AA260" s="40" t="n"/>
      <c r="AB260" s="41">
        <f>IF(TRIM('Counts'!$B$8&amp;"")="","",IFERROR(TRIM(INDEX($A260:$Z260,MATCH('Counts'!$B$8,$A$1:$Z$1,0))&amp;""),""))</f>
        <v/>
      </c>
      <c r="AC260" s="41">
        <f>IF(TRIM('Counts'!$B$26&amp;"")="","",IFERROR(TRIM(INDEX($A260:$Z260,MATCH('Counts'!$B$26,$A$1:$Z$1,0))&amp;""),""))</f>
        <v/>
      </c>
      <c r="AD260" s="41">
        <f>IF(TRIM('Counts'!$B$44&amp;"")="","",IFERROR(TRIM(INDEX($A260:$Z260,MATCH('Counts'!$B$44,$A$1:$Z$1,0))&amp;""),""))</f>
        <v/>
      </c>
      <c r="AE260" s="41">
        <f>IF(TRIM('Cross-tab'!$B$5&amp;"")="","",IFERROR(TRIM(INDEX($A260:$Z260,MATCH('Cross-tab'!$B$5,$A$1:$Z$1,0))&amp;""),""))</f>
        <v/>
      </c>
      <c r="AF260" s="41">
        <f>IF(TRIM('Cross-tab'!$B$7&amp;"")="","",IFERROR(TRIM(INDEX($A260:$Z260,MATCH('Cross-tab'!$B$7,$A$1:$Z$1,0))&amp;""),""))</f>
        <v/>
      </c>
      <c r="AG260" s="41">
        <f>IF(ISNUMBER(IFERROR(VALUE(IF(TRIM('Scale score'!$B$5&amp;"")="","",IFERROR(TRIM(INDEX($A260:$Z260,MATCH('Scale score'!$B$5,$A$1:$Z$1,0))&amp;""),""))),"")),IF(AND(IFERROR(VALUE(IF(TRIM('Scale score'!$B$5&amp;"")="","",IFERROR(TRIM(INDEX($A260:$Z260,MATCH('Scale score'!$B$5,$A$1:$Z$1,0))&amp;""),""))),"")&gt;='Scale score'!$B$6,IFERROR(VALUE(IF(TRIM('Scale score'!$B$5&amp;"")="","",IFERROR(TRIM(INDEX($A260:$Z260,MATCH('Scale score'!$B$5,$A$1:$Z$1,0))&amp;""),""))),"")&lt;='Scale score'!$B$7),IFERROR(VALUE(IF(TRIM('Scale score'!$B$5&amp;"")="","",IFERROR(TRIM(INDEX($A260:$Z260,MATCH('Scale score'!$B$5,$A$1:$Z$1,0))&amp;""),""))),""),""),"")</f>
        <v/>
      </c>
      <c r="AH260" s="41">
        <f>IF(TRIM('Open answers'!$B$5&amp;"")="","",IFERROR(TRIM(INDEX($A260:$Z260,MATCH('Open answers'!$B$5,$A$1:$Z$1,0))&amp;""),""))</f>
        <v/>
      </c>
      <c r="AI260" s="41">
        <f>IF(LEN(AH260)&gt;0,MAX($AI$1:AI259)+1,"")</f>
        <v/>
      </c>
    </row>
    <row r="261">
      <c r="AA261" s="40" t="n"/>
      <c r="AB261" s="41">
        <f>IF(TRIM('Counts'!$B$8&amp;"")="","",IFERROR(TRIM(INDEX($A261:$Z261,MATCH('Counts'!$B$8,$A$1:$Z$1,0))&amp;""),""))</f>
        <v/>
      </c>
      <c r="AC261" s="41">
        <f>IF(TRIM('Counts'!$B$26&amp;"")="","",IFERROR(TRIM(INDEX($A261:$Z261,MATCH('Counts'!$B$26,$A$1:$Z$1,0))&amp;""),""))</f>
        <v/>
      </c>
      <c r="AD261" s="41">
        <f>IF(TRIM('Counts'!$B$44&amp;"")="","",IFERROR(TRIM(INDEX($A261:$Z261,MATCH('Counts'!$B$44,$A$1:$Z$1,0))&amp;""),""))</f>
        <v/>
      </c>
      <c r="AE261" s="41">
        <f>IF(TRIM('Cross-tab'!$B$5&amp;"")="","",IFERROR(TRIM(INDEX($A261:$Z261,MATCH('Cross-tab'!$B$5,$A$1:$Z$1,0))&amp;""),""))</f>
        <v/>
      </c>
      <c r="AF261" s="41">
        <f>IF(TRIM('Cross-tab'!$B$7&amp;"")="","",IFERROR(TRIM(INDEX($A261:$Z261,MATCH('Cross-tab'!$B$7,$A$1:$Z$1,0))&amp;""),""))</f>
        <v/>
      </c>
      <c r="AG261" s="41">
        <f>IF(ISNUMBER(IFERROR(VALUE(IF(TRIM('Scale score'!$B$5&amp;"")="","",IFERROR(TRIM(INDEX($A261:$Z261,MATCH('Scale score'!$B$5,$A$1:$Z$1,0))&amp;""),""))),"")),IF(AND(IFERROR(VALUE(IF(TRIM('Scale score'!$B$5&amp;"")="","",IFERROR(TRIM(INDEX($A261:$Z261,MATCH('Scale score'!$B$5,$A$1:$Z$1,0))&amp;""),""))),"")&gt;='Scale score'!$B$6,IFERROR(VALUE(IF(TRIM('Scale score'!$B$5&amp;"")="","",IFERROR(TRIM(INDEX($A261:$Z261,MATCH('Scale score'!$B$5,$A$1:$Z$1,0))&amp;""),""))),"")&lt;='Scale score'!$B$7),IFERROR(VALUE(IF(TRIM('Scale score'!$B$5&amp;"")="","",IFERROR(TRIM(INDEX($A261:$Z261,MATCH('Scale score'!$B$5,$A$1:$Z$1,0))&amp;""),""))),""),""),"")</f>
        <v/>
      </c>
      <c r="AH261" s="41">
        <f>IF(TRIM('Open answers'!$B$5&amp;"")="","",IFERROR(TRIM(INDEX($A261:$Z261,MATCH('Open answers'!$B$5,$A$1:$Z$1,0))&amp;""),""))</f>
        <v/>
      </c>
      <c r="AI261" s="41">
        <f>IF(LEN(AH261)&gt;0,MAX($AI$1:AI260)+1,"")</f>
        <v/>
      </c>
    </row>
    <row r="262">
      <c r="AA262" s="40" t="n"/>
      <c r="AB262" s="41">
        <f>IF(TRIM('Counts'!$B$8&amp;"")="","",IFERROR(TRIM(INDEX($A262:$Z262,MATCH('Counts'!$B$8,$A$1:$Z$1,0))&amp;""),""))</f>
        <v/>
      </c>
      <c r="AC262" s="41">
        <f>IF(TRIM('Counts'!$B$26&amp;"")="","",IFERROR(TRIM(INDEX($A262:$Z262,MATCH('Counts'!$B$26,$A$1:$Z$1,0))&amp;""),""))</f>
        <v/>
      </c>
      <c r="AD262" s="41">
        <f>IF(TRIM('Counts'!$B$44&amp;"")="","",IFERROR(TRIM(INDEX($A262:$Z262,MATCH('Counts'!$B$44,$A$1:$Z$1,0))&amp;""),""))</f>
        <v/>
      </c>
      <c r="AE262" s="41">
        <f>IF(TRIM('Cross-tab'!$B$5&amp;"")="","",IFERROR(TRIM(INDEX($A262:$Z262,MATCH('Cross-tab'!$B$5,$A$1:$Z$1,0))&amp;""),""))</f>
        <v/>
      </c>
      <c r="AF262" s="41">
        <f>IF(TRIM('Cross-tab'!$B$7&amp;"")="","",IFERROR(TRIM(INDEX($A262:$Z262,MATCH('Cross-tab'!$B$7,$A$1:$Z$1,0))&amp;""),""))</f>
        <v/>
      </c>
      <c r="AG262" s="41">
        <f>IF(ISNUMBER(IFERROR(VALUE(IF(TRIM('Scale score'!$B$5&amp;"")="","",IFERROR(TRIM(INDEX($A262:$Z262,MATCH('Scale score'!$B$5,$A$1:$Z$1,0))&amp;""),""))),"")),IF(AND(IFERROR(VALUE(IF(TRIM('Scale score'!$B$5&amp;"")="","",IFERROR(TRIM(INDEX($A262:$Z262,MATCH('Scale score'!$B$5,$A$1:$Z$1,0))&amp;""),""))),"")&gt;='Scale score'!$B$6,IFERROR(VALUE(IF(TRIM('Scale score'!$B$5&amp;"")="","",IFERROR(TRIM(INDEX($A262:$Z262,MATCH('Scale score'!$B$5,$A$1:$Z$1,0))&amp;""),""))),"")&lt;='Scale score'!$B$7),IFERROR(VALUE(IF(TRIM('Scale score'!$B$5&amp;"")="","",IFERROR(TRIM(INDEX($A262:$Z262,MATCH('Scale score'!$B$5,$A$1:$Z$1,0))&amp;""),""))),""),""),"")</f>
        <v/>
      </c>
      <c r="AH262" s="41">
        <f>IF(TRIM('Open answers'!$B$5&amp;"")="","",IFERROR(TRIM(INDEX($A262:$Z262,MATCH('Open answers'!$B$5,$A$1:$Z$1,0))&amp;""),""))</f>
        <v/>
      </c>
      <c r="AI262" s="41">
        <f>IF(LEN(AH262)&gt;0,MAX($AI$1:AI261)+1,"")</f>
        <v/>
      </c>
    </row>
    <row r="263">
      <c r="AA263" s="40" t="n"/>
      <c r="AB263" s="41">
        <f>IF(TRIM('Counts'!$B$8&amp;"")="","",IFERROR(TRIM(INDEX($A263:$Z263,MATCH('Counts'!$B$8,$A$1:$Z$1,0))&amp;""),""))</f>
        <v/>
      </c>
      <c r="AC263" s="41">
        <f>IF(TRIM('Counts'!$B$26&amp;"")="","",IFERROR(TRIM(INDEX($A263:$Z263,MATCH('Counts'!$B$26,$A$1:$Z$1,0))&amp;""),""))</f>
        <v/>
      </c>
      <c r="AD263" s="41">
        <f>IF(TRIM('Counts'!$B$44&amp;"")="","",IFERROR(TRIM(INDEX($A263:$Z263,MATCH('Counts'!$B$44,$A$1:$Z$1,0))&amp;""),""))</f>
        <v/>
      </c>
      <c r="AE263" s="41">
        <f>IF(TRIM('Cross-tab'!$B$5&amp;"")="","",IFERROR(TRIM(INDEX($A263:$Z263,MATCH('Cross-tab'!$B$5,$A$1:$Z$1,0))&amp;""),""))</f>
        <v/>
      </c>
      <c r="AF263" s="41">
        <f>IF(TRIM('Cross-tab'!$B$7&amp;"")="","",IFERROR(TRIM(INDEX($A263:$Z263,MATCH('Cross-tab'!$B$7,$A$1:$Z$1,0))&amp;""),""))</f>
        <v/>
      </c>
      <c r="AG263" s="41">
        <f>IF(ISNUMBER(IFERROR(VALUE(IF(TRIM('Scale score'!$B$5&amp;"")="","",IFERROR(TRIM(INDEX($A263:$Z263,MATCH('Scale score'!$B$5,$A$1:$Z$1,0))&amp;""),""))),"")),IF(AND(IFERROR(VALUE(IF(TRIM('Scale score'!$B$5&amp;"")="","",IFERROR(TRIM(INDEX($A263:$Z263,MATCH('Scale score'!$B$5,$A$1:$Z$1,0))&amp;""),""))),"")&gt;='Scale score'!$B$6,IFERROR(VALUE(IF(TRIM('Scale score'!$B$5&amp;"")="","",IFERROR(TRIM(INDEX($A263:$Z263,MATCH('Scale score'!$B$5,$A$1:$Z$1,0))&amp;""),""))),"")&lt;='Scale score'!$B$7),IFERROR(VALUE(IF(TRIM('Scale score'!$B$5&amp;"")="","",IFERROR(TRIM(INDEX($A263:$Z263,MATCH('Scale score'!$B$5,$A$1:$Z$1,0))&amp;""),""))),""),""),"")</f>
        <v/>
      </c>
      <c r="AH263" s="41">
        <f>IF(TRIM('Open answers'!$B$5&amp;"")="","",IFERROR(TRIM(INDEX($A263:$Z263,MATCH('Open answers'!$B$5,$A$1:$Z$1,0))&amp;""),""))</f>
        <v/>
      </c>
      <c r="AI263" s="41">
        <f>IF(LEN(AH263)&gt;0,MAX($AI$1:AI262)+1,"")</f>
        <v/>
      </c>
    </row>
    <row r="264">
      <c r="AA264" s="40" t="n"/>
      <c r="AB264" s="41">
        <f>IF(TRIM('Counts'!$B$8&amp;"")="","",IFERROR(TRIM(INDEX($A264:$Z264,MATCH('Counts'!$B$8,$A$1:$Z$1,0))&amp;""),""))</f>
        <v/>
      </c>
      <c r="AC264" s="41">
        <f>IF(TRIM('Counts'!$B$26&amp;"")="","",IFERROR(TRIM(INDEX($A264:$Z264,MATCH('Counts'!$B$26,$A$1:$Z$1,0))&amp;""),""))</f>
        <v/>
      </c>
      <c r="AD264" s="41">
        <f>IF(TRIM('Counts'!$B$44&amp;"")="","",IFERROR(TRIM(INDEX($A264:$Z264,MATCH('Counts'!$B$44,$A$1:$Z$1,0))&amp;""),""))</f>
        <v/>
      </c>
      <c r="AE264" s="41">
        <f>IF(TRIM('Cross-tab'!$B$5&amp;"")="","",IFERROR(TRIM(INDEX($A264:$Z264,MATCH('Cross-tab'!$B$5,$A$1:$Z$1,0))&amp;""),""))</f>
        <v/>
      </c>
      <c r="AF264" s="41">
        <f>IF(TRIM('Cross-tab'!$B$7&amp;"")="","",IFERROR(TRIM(INDEX($A264:$Z264,MATCH('Cross-tab'!$B$7,$A$1:$Z$1,0))&amp;""),""))</f>
        <v/>
      </c>
      <c r="AG264" s="41">
        <f>IF(ISNUMBER(IFERROR(VALUE(IF(TRIM('Scale score'!$B$5&amp;"")="","",IFERROR(TRIM(INDEX($A264:$Z264,MATCH('Scale score'!$B$5,$A$1:$Z$1,0))&amp;""),""))),"")),IF(AND(IFERROR(VALUE(IF(TRIM('Scale score'!$B$5&amp;"")="","",IFERROR(TRIM(INDEX($A264:$Z264,MATCH('Scale score'!$B$5,$A$1:$Z$1,0))&amp;""),""))),"")&gt;='Scale score'!$B$6,IFERROR(VALUE(IF(TRIM('Scale score'!$B$5&amp;"")="","",IFERROR(TRIM(INDEX($A264:$Z264,MATCH('Scale score'!$B$5,$A$1:$Z$1,0))&amp;""),""))),"")&lt;='Scale score'!$B$7),IFERROR(VALUE(IF(TRIM('Scale score'!$B$5&amp;"")="","",IFERROR(TRIM(INDEX($A264:$Z264,MATCH('Scale score'!$B$5,$A$1:$Z$1,0))&amp;""),""))),""),""),"")</f>
        <v/>
      </c>
      <c r="AH264" s="41">
        <f>IF(TRIM('Open answers'!$B$5&amp;"")="","",IFERROR(TRIM(INDEX($A264:$Z264,MATCH('Open answers'!$B$5,$A$1:$Z$1,0))&amp;""),""))</f>
        <v/>
      </c>
      <c r="AI264" s="41">
        <f>IF(LEN(AH264)&gt;0,MAX($AI$1:AI263)+1,"")</f>
        <v/>
      </c>
    </row>
    <row r="265">
      <c r="AA265" s="40" t="n"/>
      <c r="AB265" s="41">
        <f>IF(TRIM('Counts'!$B$8&amp;"")="","",IFERROR(TRIM(INDEX($A265:$Z265,MATCH('Counts'!$B$8,$A$1:$Z$1,0))&amp;""),""))</f>
        <v/>
      </c>
      <c r="AC265" s="41">
        <f>IF(TRIM('Counts'!$B$26&amp;"")="","",IFERROR(TRIM(INDEX($A265:$Z265,MATCH('Counts'!$B$26,$A$1:$Z$1,0))&amp;""),""))</f>
        <v/>
      </c>
      <c r="AD265" s="41">
        <f>IF(TRIM('Counts'!$B$44&amp;"")="","",IFERROR(TRIM(INDEX($A265:$Z265,MATCH('Counts'!$B$44,$A$1:$Z$1,0))&amp;""),""))</f>
        <v/>
      </c>
      <c r="AE265" s="41">
        <f>IF(TRIM('Cross-tab'!$B$5&amp;"")="","",IFERROR(TRIM(INDEX($A265:$Z265,MATCH('Cross-tab'!$B$5,$A$1:$Z$1,0))&amp;""),""))</f>
        <v/>
      </c>
      <c r="AF265" s="41">
        <f>IF(TRIM('Cross-tab'!$B$7&amp;"")="","",IFERROR(TRIM(INDEX($A265:$Z265,MATCH('Cross-tab'!$B$7,$A$1:$Z$1,0))&amp;""),""))</f>
        <v/>
      </c>
      <c r="AG265" s="41">
        <f>IF(ISNUMBER(IFERROR(VALUE(IF(TRIM('Scale score'!$B$5&amp;"")="","",IFERROR(TRIM(INDEX($A265:$Z265,MATCH('Scale score'!$B$5,$A$1:$Z$1,0))&amp;""),""))),"")),IF(AND(IFERROR(VALUE(IF(TRIM('Scale score'!$B$5&amp;"")="","",IFERROR(TRIM(INDEX($A265:$Z265,MATCH('Scale score'!$B$5,$A$1:$Z$1,0))&amp;""),""))),"")&gt;='Scale score'!$B$6,IFERROR(VALUE(IF(TRIM('Scale score'!$B$5&amp;"")="","",IFERROR(TRIM(INDEX($A265:$Z265,MATCH('Scale score'!$B$5,$A$1:$Z$1,0))&amp;""),""))),"")&lt;='Scale score'!$B$7),IFERROR(VALUE(IF(TRIM('Scale score'!$B$5&amp;"")="","",IFERROR(TRIM(INDEX($A265:$Z265,MATCH('Scale score'!$B$5,$A$1:$Z$1,0))&amp;""),""))),""),""),"")</f>
        <v/>
      </c>
      <c r="AH265" s="41">
        <f>IF(TRIM('Open answers'!$B$5&amp;"")="","",IFERROR(TRIM(INDEX($A265:$Z265,MATCH('Open answers'!$B$5,$A$1:$Z$1,0))&amp;""),""))</f>
        <v/>
      </c>
      <c r="AI265" s="41">
        <f>IF(LEN(AH265)&gt;0,MAX($AI$1:AI264)+1,"")</f>
        <v/>
      </c>
    </row>
    <row r="266">
      <c r="AA266" s="40" t="n"/>
      <c r="AB266" s="41">
        <f>IF(TRIM('Counts'!$B$8&amp;"")="","",IFERROR(TRIM(INDEX($A266:$Z266,MATCH('Counts'!$B$8,$A$1:$Z$1,0))&amp;""),""))</f>
        <v/>
      </c>
      <c r="AC266" s="41">
        <f>IF(TRIM('Counts'!$B$26&amp;"")="","",IFERROR(TRIM(INDEX($A266:$Z266,MATCH('Counts'!$B$26,$A$1:$Z$1,0))&amp;""),""))</f>
        <v/>
      </c>
      <c r="AD266" s="41">
        <f>IF(TRIM('Counts'!$B$44&amp;"")="","",IFERROR(TRIM(INDEX($A266:$Z266,MATCH('Counts'!$B$44,$A$1:$Z$1,0))&amp;""),""))</f>
        <v/>
      </c>
      <c r="AE266" s="41">
        <f>IF(TRIM('Cross-tab'!$B$5&amp;"")="","",IFERROR(TRIM(INDEX($A266:$Z266,MATCH('Cross-tab'!$B$5,$A$1:$Z$1,0))&amp;""),""))</f>
        <v/>
      </c>
      <c r="AF266" s="41">
        <f>IF(TRIM('Cross-tab'!$B$7&amp;"")="","",IFERROR(TRIM(INDEX($A266:$Z266,MATCH('Cross-tab'!$B$7,$A$1:$Z$1,0))&amp;""),""))</f>
        <v/>
      </c>
      <c r="AG266" s="41">
        <f>IF(ISNUMBER(IFERROR(VALUE(IF(TRIM('Scale score'!$B$5&amp;"")="","",IFERROR(TRIM(INDEX($A266:$Z266,MATCH('Scale score'!$B$5,$A$1:$Z$1,0))&amp;""),""))),"")),IF(AND(IFERROR(VALUE(IF(TRIM('Scale score'!$B$5&amp;"")="","",IFERROR(TRIM(INDEX($A266:$Z266,MATCH('Scale score'!$B$5,$A$1:$Z$1,0))&amp;""),""))),"")&gt;='Scale score'!$B$6,IFERROR(VALUE(IF(TRIM('Scale score'!$B$5&amp;"")="","",IFERROR(TRIM(INDEX($A266:$Z266,MATCH('Scale score'!$B$5,$A$1:$Z$1,0))&amp;""),""))),"")&lt;='Scale score'!$B$7),IFERROR(VALUE(IF(TRIM('Scale score'!$B$5&amp;"")="","",IFERROR(TRIM(INDEX($A266:$Z266,MATCH('Scale score'!$B$5,$A$1:$Z$1,0))&amp;""),""))),""),""),"")</f>
        <v/>
      </c>
      <c r="AH266" s="41">
        <f>IF(TRIM('Open answers'!$B$5&amp;"")="","",IFERROR(TRIM(INDEX($A266:$Z266,MATCH('Open answers'!$B$5,$A$1:$Z$1,0))&amp;""),""))</f>
        <v/>
      </c>
      <c r="AI266" s="41">
        <f>IF(LEN(AH266)&gt;0,MAX($AI$1:AI265)+1,"")</f>
        <v/>
      </c>
    </row>
    <row r="267">
      <c r="AA267" s="40" t="n"/>
      <c r="AB267" s="41">
        <f>IF(TRIM('Counts'!$B$8&amp;"")="","",IFERROR(TRIM(INDEX($A267:$Z267,MATCH('Counts'!$B$8,$A$1:$Z$1,0))&amp;""),""))</f>
        <v/>
      </c>
      <c r="AC267" s="41">
        <f>IF(TRIM('Counts'!$B$26&amp;"")="","",IFERROR(TRIM(INDEX($A267:$Z267,MATCH('Counts'!$B$26,$A$1:$Z$1,0))&amp;""),""))</f>
        <v/>
      </c>
      <c r="AD267" s="41">
        <f>IF(TRIM('Counts'!$B$44&amp;"")="","",IFERROR(TRIM(INDEX($A267:$Z267,MATCH('Counts'!$B$44,$A$1:$Z$1,0))&amp;""),""))</f>
        <v/>
      </c>
      <c r="AE267" s="41">
        <f>IF(TRIM('Cross-tab'!$B$5&amp;"")="","",IFERROR(TRIM(INDEX($A267:$Z267,MATCH('Cross-tab'!$B$5,$A$1:$Z$1,0))&amp;""),""))</f>
        <v/>
      </c>
      <c r="AF267" s="41">
        <f>IF(TRIM('Cross-tab'!$B$7&amp;"")="","",IFERROR(TRIM(INDEX($A267:$Z267,MATCH('Cross-tab'!$B$7,$A$1:$Z$1,0))&amp;""),""))</f>
        <v/>
      </c>
      <c r="AG267" s="41">
        <f>IF(ISNUMBER(IFERROR(VALUE(IF(TRIM('Scale score'!$B$5&amp;"")="","",IFERROR(TRIM(INDEX($A267:$Z267,MATCH('Scale score'!$B$5,$A$1:$Z$1,0))&amp;""),""))),"")),IF(AND(IFERROR(VALUE(IF(TRIM('Scale score'!$B$5&amp;"")="","",IFERROR(TRIM(INDEX($A267:$Z267,MATCH('Scale score'!$B$5,$A$1:$Z$1,0))&amp;""),""))),"")&gt;='Scale score'!$B$6,IFERROR(VALUE(IF(TRIM('Scale score'!$B$5&amp;"")="","",IFERROR(TRIM(INDEX($A267:$Z267,MATCH('Scale score'!$B$5,$A$1:$Z$1,0))&amp;""),""))),"")&lt;='Scale score'!$B$7),IFERROR(VALUE(IF(TRIM('Scale score'!$B$5&amp;"")="","",IFERROR(TRIM(INDEX($A267:$Z267,MATCH('Scale score'!$B$5,$A$1:$Z$1,0))&amp;""),""))),""),""),"")</f>
        <v/>
      </c>
      <c r="AH267" s="41">
        <f>IF(TRIM('Open answers'!$B$5&amp;"")="","",IFERROR(TRIM(INDEX($A267:$Z267,MATCH('Open answers'!$B$5,$A$1:$Z$1,0))&amp;""),""))</f>
        <v/>
      </c>
      <c r="AI267" s="41">
        <f>IF(LEN(AH267)&gt;0,MAX($AI$1:AI266)+1,"")</f>
        <v/>
      </c>
    </row>
    <row r="268">
      <c r="AA268" s="40" t="n"/>
      <c r="AB268" s="41">
        <f>IF(TRIM('Counts'!$B$8&amp;"")="","",IFERROR(TRIM(INDEX($A268:$Z268,MATCH('Counts'!$B$8,$A$1:$Z$1,0))&amp;""),""))</f>
        <v/>
      </c>
      <c r="AC268" s="41">
        <f>IF(TRIM('Counts'!$B$26&amp;"")="","",IFERROR(TRIM(INDEX($A268:$Z268,MATCH('Counts'!$B$26,$A$1:$Z$1,0))&amp;""),""))</f>
        <v/>
      </c>
      <c r="AD268" s="41">
        <f>IF(TRIM('Counts'!$B$44&amp;"")="","",IFERROR(TRIM(INDEX($A268:$Z268,MATCH('Counts'!$B$44,$A$1:$Z$1,0))&amp;""),""))</f>
        <v/>
      </c>
      <c r="AE268" s="41">
        <f>IF(TRIM('Cross-tab'!$B$5&amp;"")="","",IFERROR(TRIM(INDEX($A268:$Z268,MATCH('Cross-tab'!$B$5,$A$1:$Z$1,0))&amp;""),""))</f>
        <v/>
      </c>
      <c r="AF268" s="41">
        <f>IF(TRIM('Cross-tab'!$B$7&amp;"")="","",IFERROR(TRIM(INDEX($A268:$Z268,MATCH('Cross-tab'!$B$7,$A$1:$Z$1,0))&amp;""),""))</f>
        <v/>
      </c>
      <c r="AG268" s="41">
        <f>IF(ISNUMBER(IFERROR(VALUE(IF(TRIM('Scale score'!$B$5&amp;"")="","",IFERROR(TRIM(INDEX($A268:$Z268,MATCH('Scale score'!$B$5,$A$1:$Z$1,0))&amp;""),""))),"")),IF(AND(IFERROR(VALUE(IF(TRIM('Scale score'!$B$5&amp;"")="","",IFERROR(TRIM(INDEX($A268:$Z268,MATCH('Scale score'!$B$5,$A$1:$Z$1,0))&amp;""),""))),"")&gt;='Scale score'!$B$6,IFERROR(VALUE(IF(TRIM('Scale score'!$B$5&amp;"")="","",IFERROR(TRIM(INDEX($A268:$Z268,MATCH('Scale score'!$B$5,$A$1:$Z$1,0))&amp;""),""))),"")&lt;='Scale score'!$B$7),IFERROR(VALUE(IF(TRIM('Scale score'!$B$5&amp;"")="","",IFERROR(TRIM(INDEX($A268:$Z268,MATCH('Scale score'!$B$5,$A$1:$Z$1,0))&amp;""),""))),""),""),"")</f>
        <v/>
      </c>
      <c r="AH268" s="41">
        <f>IF(TRIM('Open answers'!$B$5&amp;"")="","",IFERROR(TRIM(INDEX($A268:$Z268,MATCH('Open answers'!$B$5,$A$1:$Z$1,0))&amp;""),""))</f>
        <v/>
      </c>
      <c r="AI268" s="41">
        <f>IF(LEN(AH268)&gt;0,MAX($AI$1:AI267)+1,"")</f>
        <v/>
      </c>
    </row>
    <row r="269">
      <c r="AA269" s="40" t="n"/>
      <c r="AB269" s="41">
        <f>IF(TRIM('Counts'!$B$8&amp;"")="","",IFERROR(TRIM(INDEX($A269:$Z269,MATCH('Counts'!$B$8,$A$1:$Z$1,0))&amp;""),""))</f>
        <v/>
      </c>
      <c r="AC269" s="41">
        <f>IF(TRIM('Counts'!$B$26&amp;"")="","",IFERROR(TRIM(INDEX($A269:$Z269,MATCH('Counts'!$B$26,$A$1:$Z$1,0))&amp;""),""))</f>
        <v/>
      </c>
      <c r="AD269" s="41">
        <f>IF(TRIM('Counts'!$B$44&amp;"")="","",IFERROR(TRIM(INDEX($A269:$Z269,MATCH('Counts'!$B$44,$A$1:$Z$1,0))&amp;""),""))</f>
        <v/>
      </c>
      <c r="AE269" s="41">
        <f>IF(TRIM('Cross-tab'!$B$5&amp;"")="","",IFERROR(TRIM(INDEX($A269:$Z269,MATCH('Cross-tab'!$B$5,$A$1:$Z$1,0))&amp;""),""))</f>
        <v/>
      </c>
      <c r="AF269" s="41">
        <f>IF(TRIM('Cross-tab'!$B$7&amp;"")="","",IFERROR(TRIM(INDEX($A269:$Z269,MATCH('Cross-tab'!$B$7,$A$1:$Z$1,0))&amp;""),""))</f>
        <v/>
      </c>
      <c r="AG269" s="41">
        <f>IF(ISNUMBER(IFERROR(VALUE(IF(TRIM('Scale score'!$B$5&amp;"")="","",IFERROR(TRIM(INDEX($A269:$Z269,MATCH('Scale score'!$B$5,$A$1:$Z$1,0))&amp;""),""))),"")),IF(AND(IFERROR(VALUE(IF(TRIM('Scale score'!$B$5&amp;"")="","",IFERROR(TRIM(INDEX($A269:$Z269,MATCH('Scale score'!$B$5,$A$1:$Z$1,0))&amp;""),""))),"")&gt;='Scale score'!$B$6,IFERROR(VALUE(IF(TRIM('Scale score'!$B$5&amp;"")="","",IFERROR(TRIM(INDEX($A269:$Z269,MATCH('Scale score'!$B$5,$A$1:$Z$1,0))&amp;""),""))),"")&lt;='Scale score'!$B$7),IFERROR(VALUE(IF(TRIM('Scale score'!$B$5&amp;"")="","",IFERROR(TRIM(INDEX($A269:$Z269,MATCH('Scale score'!$B$5,$A$1:$Z$1,0))&amp;""),""))),""),""),"")</f>
        <v/>
      </c>
      <c r="AH269" s="41">
        <f>IF(TRIM('Open answers'!$B$5&amp;"")="","",IFERROR(TRIM(INDEX($A269:$Z269,MATCH('Open answers'!$B$5,$A$1:$Z$1,0))&amp;""),""))</f>
        <v/>
      </c>
      <c r="AI269" s="41">
        <f>IF(LEN(AH269)&gt;0,MAX($AI$1:AI268)+1,"")</f>
        <v/>
      </c>
    </row>
    <row r="270">
      <c r="AA270" s="40" t="n"/>
      <c r="AB270" s="41">
        <f>IF(TRIM('Counts'!$B$8&amp;"")="","",IFERROR(TRIM(INDEX($A270:$Z270,MATCH('Counts'!$B$8,$A$1:$Z$1,0))&amp;""),""))</f>
        <v/>
      </c>
      <c r="AC270" s="41">
        <f>IF(TRIM('Counts'!$B$26&amp;"")="","",IFERROR(TRIM(INDEX($A270:$Z270,MATCH('Counts'!$B$26,$A$1:$Z$1,0))&amp;""),""))</f>
        <v/>
      </c>
      <c r="AD270" s="41">
        <f>IF(TRIM('Counts'!$B$44&amp;"")="","",IFERROR(TRIM(INDEX($A270:$Z270,MATCH('Counts'!$B$44,$A$1:$Z$1,0))&amp;""),""))</f>
        <v/>
      </c>
      <c r="AE270" s="41">
        <f>IF(TRIM('Cross-tab'!$B$5&amp;"")="","",IFERROR(TRIM(INDEX($A270:$Z270,MATCH('Cross-tab'!$B$5,$A$1:$Z$1,0))&amp;""),""))</f>
        <v/>
      </c>
      <c r="AF270" s="41">
        <f>IF(TRIM('Cross-tab'!$B$7&amp;"")="","",IFERROR(TRIM(INDEX($A270:$Z270,MATCH('Cross-tab'!$B$7,$A$1:$Z$1,0))&amp;""),""))</f>
        <v/>
      </c>
      <c r="AG270" s="41">
        <f>IF(ISNUMBER(IFERROR(VALUE(IF(TRIM('Scale score'!$B$5&amp;"")="","",IFERROR(TRIM(INDEX($A270:$Z270,MATCH('Scale score'!$B$5,$A$1:$Z$1,0))&amp;""),""))),"")),IF(AND(IFERROR(VALUE(IF(TRIM('Scale score'!$B$5&amp;"")="","",IFERROR(TRIM(INDEX($A270:$Z270,MATCH('Scale score'!$B$5,$A$1:$Z$1,0))&amp;""),""))),"")&gt;='Scale score'!$B$6,IFERROR(VALUE(IF(TRIM('Scale score'!$B$5&amp;"")="","",IFERROR(TRIM(INDEX($A270:$Z270,MATCH('Scale score'!$B$5,$A$1:$Z$1,0))&amp;""),""))),"")&lt;='Scale score'!$B$7),IFERROR(VALUE(IF(TRIM('Scale score'!$B$5&amp;"")="","",IFERROR(TRIM(INDEX($A270:$Z270,MATCH('Scale score'!$B$5,$A$1:$Z$1,0))&amp;""),""))),""),""),"")</f>
        <v/>
      </c>
      <c r="AH270" s="41">
        <f>IF(TRIM('Open answers'!$B$5&amp;"")="","",IFERROR(TRIM(INDEX($A270:$Z270,MATCH('Open answers'!$B$5,$A$1:$Z$1,0))&amp;""),""))</f>
        <v/>
      </c>
      <c r="AI270" s="41">
        <f>IF(LEN(AH270)&gt;0,MAX($AI$1:AI269)+1,"")</f>
        <v/>
      </c>
    </row>
    <row r="271">
      <c r="AA271" s="40" t="n"/>
      <c r="AB271" s="41">
        <f>IF(TRIM('Counts'!$B$8&amp;"")="","",IFERROR(TRIM(INDEX($A271:$Z271,MATCH('Counts'!$B$8,$A$1:$Z$1,0))&amp;""),""))</f>
        <v/>
      </c>
      <c r="AC271" s="41">
        <f>IF(TRIM('Counts'!$B$26&amp;"")="","",IFERROR(TRIM(INDEX($A271:$Z271,MATCH('Counts'!$B$26,$A$1:$Z$1,0))&amp;""),""))</f>
        <v/>
      </c>
      <c r="AD271" s="41">
        <f>IF(TRIM('Counts'!$B$44&amp;"")="","",IFERROR(TRIM(INDEX($A271:$Z271,MATCH('Counts'!$B$44,$A$1:$Z$1,0))&amp;""),""))</f>
        <v/>
      </c>
      <c r="AE271" s="41">
        <f>IF(TRIM('Cross-tab'!$B$5&amp;"")="","",IFERROR(TRIM(INDEX($A271:$Z271,MATCH('Cross-tab'!$B$5,$A$1:$Z$1,0))&amp;""),""))</f>
        <v/>
      </c>
      <c r="AF271" s="41">
        <f>IF(TRIM('Cross-tab'!$B$7&amp;"")="","",IFERROR(TRIM(INDEX($A271:$Z271,MATCH('Cross-tab'!$B$7,$A$1:$Z$1,0))&amp;""),""))</f>
        <v/>
      </c>
      <c r="AG271" s="41">
        <f>IF(ISNUMBER(IFERROR(VALUE(IF(TRIM('Scale score'!$B$5&amp;"")="","",IFERROR(TRIM(INDEX($A271:$Z271,MATCH('Scale score'!$B$5,$A$1:$Z$1,0))&amp;""),""))),"")),IF(AND(IFERROR(VALUE(IF(TRIM('Scale score'!$B$5&amp;"")="","",IFERROR(TRIM(INDEX($A271:$Z271,MATCH('Scale score'!$B$5,$A$1:$Z$1,0))&amp;""),""))),"")&gt;='Scale score'!$B$6,IFERROR(VALUE(IF(TRIM('Scale score'!$B$5&amp;"")="","",IFERROR(TRIM(INDEX($A271:$Z271,MATCH('Scale score'!$B$5,$A$1:$Z$1,0))&amp;""),""))),"")&lt;='Scale score'!$B$7),IFERROR(VALUE(IF(TRIM('Scale score'!$B$5&amp;"")="","",IFERROR(TRIM(INDEX($A271:$Z271,MATCH('Scale score'!$B$5,$A$1:$Z$1,0))&amp;""),""))),""),""),"")</f>
        <v/>
      </c>
      <c r="AH271" s="41">
        <f>IF(TRIM('Open answers'!$B$5&amp;"")="","",IFERROR(TRIM(INDEX($A271:$Z271,MATCH('Open answers'!$B$5,$A$1:$Z$1,0))&amp;""),""))</f>
        <v/>
      </c>
      <c r="AI271" s="41">
        <f>IF(LEN(AH271)&gt;0,MAX($AI$1:AI270)+1,"")</f>
        <v/>
      </c>
    </row>
    <row r="272">
      <c r="AA272" s="40" t="n"/>
      <c r="AB272" s="41">
        <f>IF(TRIM('Counts'!$B$8&amp;"")="","",IFERROR(TRIM(INDEX($A272:$Z272,MATCH('Counts'!$B$8,$A$1:$Z$1,0))&amp;""),""))</f>
        <v/>
      </c>
      <c r="AC272" s="41">
        <f>IF(TRIM('Counts'!$B$26&amp;"")="","",IFERROR(TRIM(INDEX($A272:$Z272,MATCH('Counts'!$B$26,$A$1:$Z$1,0))&amp;""),""))</f>
        <v/>
      </c>
      <c r="AD272" s="41">
        <f>IF(TRIM('Counts'!$B$44&amp;"")="","",IFERROR(TRIM(INDEX($A272:$Z272,MATCH('Counts'!$B$44,$A$1:$Z$1,0))&amp;""),""))</f>
        <v/>
      </c>
      <c r="AE272" s="41">
        <f>IF(TRIM('Cross-tab'!$B$5&amp;"")="","",IFERROR(TRIM(INDEX($A272:$Z272,MATCH('Cross-tab'!$B$5,$A$1:$Z$1,0))&amp;""),""))</f>
        <v/>
      </c>
      <c r="AF272" s="41">
        <f>IF(TRIM('Cross-tab'!$B$7&amp;"")="","",IFERROR(TRIM(INDEX($A272:$Z272,MATCH('Cross-tab'!$B$7,$A$1:$Z$1,0))&amp;""),""))</f>
        <v/>
      </c>
      <c r="AG272" s="41">
        <f>IF(ISNUMBER(IFERROR(VALUE(IF(TRIM('Scale score'!$B$5&amp;"")="","",IFERROR(TRIM(INDEX($A272:$Z272,MATCH('Scale score'!$B$5,$A$1:$Z$1,0))&amp;""),""))),"")),IF(AND(IFERROR(VALUE(IF(TRIM('Scale score'!$B$5&amp;"")="","",IFERROR(TRIM(INDEX($A272:$Z272,MATCH('Scale score'!$B$5,$A$1:$Z$1,0))&amp;""),""))),"")&gt;='Scale score'!$B$6,IFERROR(VALUE(IF(TRIM('Scale score'!$B$5&amp;"")="","",IFERROR(TRIM(INDEX($A272:$Z272,MATCH('Scale score'!$B$5,$A$1:$Z$1,0))&amp;""),""))),"")&lt;='Scale score'!$B$7),IFERROR(VALUE(IF(TRIM('Scale score'!$B$5&amp;"")="","",IFERROR(TRIM(INDEX($A272:$Z272,MATCH('Scale score'!$B$5,$A$1:$Z$1,0))&amp;""),""))),""),""),"")</f>
        <v/>
      </c>
      <c r="AH272" s="41">
        <f>IF(TRIM('Open answers'!$B$5&amp;"")="","",IFERROR(TRIM(INDEX($A272:$Z272,MATCH('Open answers'!$B$5,$A$1:$Z$1,0))&amp;""),""))</f>
        <v/>
      </c>
      <c r="AI272" s="41">
        <f>IF(LEN(AH272)&gt;0,MAX($AI$1:AI271)+1,"")</f>
        <v/>
      </c>
    </row>
    <row r="273">
      <c r="AA273" s="40" t="n"/>
      <c r="AB273" s="41">
        <f>IF(TRIM('Counts'!$B$8&amp;"")="","",IFERROR(TRIM(INDEX($A273:$Z273,MATCH('Counts'!$B$8,$A$1:$Z$1,0))&amp;""),""))</f>
        <v/>
      </c>
      <c r="AC273" s="41">
        <f>IF(TRIM('Counts'!$B$26&amp;"")="","",IFERROR(TRIM(INDEX($A273:$Z273,MATCH('Counts'!$B$26,$A$1:$Z$1,0))&amp;""),""))</f>
        <v/>
      </c>
      <c r="AD273" s="41">
        <f>IF(TRIM('Counts'!$B$44&amp;"")="","",IFERROR(TRIM(INDEX($A273:$Z273,MATCH('Counts'!$B$44,$A$1:$Z$1,0))&amp;""),""))</f>
        <v/>
      </c>
      <c r="AE273" s="41">
        <f>IF(TRIM('Cross-tab'!$B$5&amp;"")="","",IFERROR(TRIM(INDEX($A273:$Z273,MATCH('Cross-tab'!$B$5,$A$1:$Z$1,0))&amp;""),""))</f>
        <v/>
      </c>
      <c r="AF273" s="41">
        <f>IF(TRIM('Cross-tab'!$B$7&amp;"")="","",IFERROR(TRIM(INDEX($A273:$Z273,MATCH('Cross-tab'!$B$7,$A$1:$Z$1,0))&amp;""),""))</f>
        <v/>
      </c>
      <c r="AG273" s="41">
        <f>IF(ISNUMBER(IFERROR(VALUE(IF(TRIM('Scale score'!$B$5&amp;"")="","",IFERROR(TRIM(INDEX($A273:$Z273,MATCH('Scale score'!$B$5,$A$1:$Z$1,0))&amp;""),""))),"")),IF(AND(IFERROR(VALUE(IF(TRIM('Scale score'!$B$5&amp;"")="","",IFERROR(TRIM(INDEX($A273:$Z273,MATCH('Scale score'!$B$5,$A$1:$Z$1,0))&amp;""),""))),"")&gt;='Scale score'!$B$6,IFERROR(VALUE(IF(TRIM('Scale score'!$B$5&amp;"")="","",IFERROR(TRIM(INDEX($A273:$Z273,MATCH('Scale score'!$B$5,$A$1:$Z$1,0))&amp;""),""))),"")&lt;='Scale score'!$B$7),IFERROR(VALUE(IF(TRIM('Scale score'!$B$5&amp;"")="","",IFERROR(TRIM(INDEX($A273:$Z273,MATCH('Scale score'!$B$5,$A$1:$Z$1,0))&amp;""),""))),""),""),"")</f>
        <v/>
      </c>
      <c r="AH273" s="41">
        <f>IF(TRIM('Open answers'!$B$5&amp;"")="","",IFERROR(TRIM(INDEX($A273:$Z273,MATCH('Open answers'!$B$5,$A$1:$Z$1,0))&amp;""),""))</f>
        <v/>
      </c>
      <c r="AI273" s="41">
        <f>IF(LEN(AH273)&gt;0,MAX($AI$1:AI272)+1,"")</f>
        <v/>
      </c>
    </row>
    <row r="274">
      <c r="AA274" s="40" t="n"/>
      <c r="AB274" s="41">
        <f>IF(TRIM('Counts'!$B$8&amp;"")="","",IFERROR(TRIM(INDEX($A274:$Z274,MATCH('Counts'!$B$8,$A$1:$Z$1,0))&amp;""),""))</f>
        <v/>
      </c>
      <c r="AC274" s="41">
        <f>IF(TRIM('Counts'!$B$26&amp;"")="","",IFERROR(TRIM(INDEX($A274:$Z274,MATCH('Counts'!$B$26,$A$1:$Z$1,0))&amp;""),""))</f>
        <v/>
      </c>
      <c r="AD274" s="41">
        <f>IF(TRIM('Counts'!$B$44&amp;"")="","",IFERROR(TRIM(INDEX($A274:$Z274,MATCH('Counts'!$B$44,$A$1:$Z$1,0))&amp;""),""))</f>
        <v/>
      </c>
      <c r="AE274" s="41">
        <f>IF(TRIM('Cross-tab'!$B$5&amp;"")="","",IFERROR(TRIM(INDEX($A274:$Z274,MATCH('Cross-tab'!$B$5,$A$1:$Z$1,0))&amp;""),""))</f>
        <v/>
      </c>
      <c r="AF274" s="41">
        <f>IF(TRIM('Cross-tab'!$B$7&amp;"")="","",IFERROR(TRIM(INDEX($A274:$Z274,MATCH('Cross-tab'!$B$7,$A$1:$Z$1,0))&amp;""),""))</f>
        <v/>
      </c>
      <c r="AG274" s="41">
        <f>IF(ISNUMBER(IFERROR(VALUE(IF(TRIM('Scale score'!$B$5&amp;"")="","",IFERROR(TRIM(INDEX($A274:$Z274,MATCH('Scale score'!$B$5,$A$1:$Z$1,0))&amp;""),""))),"")),IF(AND(IFERROR(VALUE(IF(TRIM('Scale score'!$B$5&amp;"")="","",IFERROR(TRIM(INDEX($A274:$Z274,MATCH('Scale score'!$B$5,$A$1:$Z$1,0))&amp;""),""))),"")&gt;='Scale score'!$B$6,IFERROR(VALUE(IF(TRIM('Scale score'!$B$5&amp;"")="","",IFERROR(TRIM(INDEX($A274:$Z274,MATCH('Scale score'!$B$5,$A$1:$Z$1,0))&amp;""),""))),"")&lt;='Scale score'!$B$7),IFERROR(VALUE(IF(TRIM('Scale score'!$B$5&amp;"")="","",IFERROR(TRIM(INDEX($A274:$Z274,MATCH('Scale score'!$B$5,$A$1:$Z$1,0))&amp;""),""))),""),""),"")</f>
        <v/>
      </c>
      <c r="AH274" s="41">
        <f>IF(TRIM('Open answers'!$B$5&amp;"")="","",IFERROR(TRIM(INDEX($A274:$Z274,MATCH('Open answers'!$B$5,$A$1:$Z$1,0))&amp;""),""))</f>
        <v/>
      </c>
      <c r="AI274" s="41">
        <f>IF(LEN(AH274)&gt;0,MAX($AI$1:AI273)+1,"")</f>
        <v/>
      </c>
    </row>
    <row r="275">
      <c r="AA275" s="40" t="n"/>
      <c r="AB275" s="41">
        <f>IF(TRIM('Counts'!$B$8&amp;"")="","",IFERROR(TRIM(INDEX($A275:$Z275,MATCH('Counts'!$B$8,$A$1:$Z$1,0))&amp;""),""))</f>
        <v/>
      </c>
      <c r="AC275" s="41">
        <f>IF(TRIM('Counts'!$B$26&amp;"")="","",IFERROR(TRIM(INDEX($A275:$Z275,MATCH('Counts'!$B$26,$A$1:$Z$1,0))&amp;""),""))</f>
        <v/>
      </c>
      <c r="AD275" s="41">
        <f>IF(TRIM('Counts'!$B$44&amp;"")="","",IFERROR(TRIM(INDEX($A275:$Z275,MATCH('Counts'!$B$44,$A$1:$Z$1,0))&amp;""),""))</f>
        <v/>
      </c>
      <c r="AE275" s="41">
        <f>IF(TRIM('Cross-tab'!$B$5&amp;"")="","",IFERROR(TRIM(INDEX($A275:$Z275,MATCH('Cross-tab'!$B$5,$A$1:$Z$1,0))&amp;""),""))</f>
        <v/>
      </c>
      <c r="AF275" s="41">
        <f>IF(TRIM('Cross-tab'!$B$7&amp;"")="","",IFERROR(TRIM(INDEX($A275:$Z275,MATCH('Cross-tab'!$B$7,$A$1:$Z$1,0))&amp;""),""))</f>
        <v/>
      </c>
      <c r="AG275" s="41">
        <f>IF(ISNUMBER(IFERROR(VALUE(IF(TRIM('Scale score'!$B$5&amp;"")="","",IFERROR(TRIM(INDEX($A275:$Z275,MATCH('Scale score'!$B$5,$A$1:$Z$1,0))&amp;""),""))),"")),IF(AND(IFERROR(VALUE(IF(TRIM('Scale score'!$B$5&amp;"")="","",IFERROR(TRIM(INDEX($A275:$Z275,MATCH('Scale score'!$B$5,$A$1:$Z$1,0))&amp;""),""))),"")&gt;='Scale score'!$B$6,IFERROR(VALUE(IF(TRIM('Scale score'!$B$5&amp;"")="","",IFERROR(TRIM(INDEX($A275:$Z275,MATCH('Scale score'!$B$5,$A$1:$Z$1,0))&amp;""),""))),"")&lt;='Scale score'!$B$7),IFERROR(VALUE(IF(TRIM('Scale score'!$B$5&amp;"")="","",IFERROR(TRIM(INDEX($A275:$Z275,MATCH('Scale score'!$B$5,$A$1:$Z$1,0))&amp;""),""))),""),""),"")</f>
        <v/>
      </c>
      <c r="AH275" s="41">
        <f>IF(TRIM('Open answers'!$B$5&amp;"")="","",IFERROR(TRIM(INDEX($A275:$Z275,MATCH('Open answers'!$B$5,$A$1:$Z$1,0))&amp;""),""))</f>
        <v/>
      </c>
      <c r="AI275" s="41">
        <f>IF(LEN(AH275)&gt;0,MAX($AI$1:AI274)+1,"")</f>
        <v/>
      </c>
    </row>
    <row r="276">
      <c r="AA276" s="40" t="n"/>
      <c r="AB276" s="41">
        <f>IF(TRIM('Counts'!$B$8&amp;"")="","",IFERROR(TRIM(INDEX($A276:$Z276,MATCH('Counts'!$B$8,$A$1:$Z$1,0))&amp;""),""))</f>
        <v/>
      </c>
      <c r="AC276" s="41">
        <f>IF(TRIM('Counts'!$B$26&amp;"")="","",IFERROR(TRIM(INDEX($A276:$Z276,MATCH('Counts'!$B$26,$A$1:$Z$1,0))&amp;""),""))</f>
        <v/>
      </c>
      <c r="AD276" s="41">
        <f>IF(TRIM('Counts'!$B$44&amp;"")="","",IFERROR(TRIM(INDEX($A276:$Z276,MATCH('Counts'!$B$44,$A$1:$Z$1,0))&amp;""),""))</f>
        <v/>
      </c>
      <c r="AE276" s="41">
        <f>IF(TRIM('Cross-tab'!$B$5&amp;"")="","",IFERROR(TRIM(INDEX($A276:$Z276,MATCH('Cross-tab'!$B$5,$A$1:$Z$1,0))&amp;""),""))</f>
        <v/>
      </c>
      <c r="AF276" s="41">
        <f>IF(TRIM('Cross-tab'!$B$7&amp;"")="","",IFERROR(TRIM(INDEX($A276:$Z276,MATCH('Cross-tab'!$B$7,$A$1:$Z$1,0))&amp;""),""))</f>
        <v/>
      </c>
      <c r="AG276" s="41">
        <f>IF(ISNUMBER(IFERROR(VALUE(IF(TRIM('Scale score'!$B$5&amp;"")="","",IFERROR(TRIM(INDEX($A276:$Z276,MATCH('Scale score'!$B$5,$A$1:$Z$1,0))&amp;""),""))),"")),IF(AND(IFERROR(VALUE(IF(TRIM('Scale score'!$B$5&amp;"")="","",IFERROR(TRIM(INDEX($A276:$Z276,MATCH('Scale score'!$B$5,$A$1:$Z$1,0))&amp;""),""))),"")&gt;='Scale score'!$B$6,IFERROR(VALUE(IF(TRIM('Scale score'!$B$5&amp;"")="","",IFERROR(TRIM(INDEX($A276:$Z276,MATCH('Scale score'!$B$5,$A$1:$Z$1,0))&amp;""),""))),"")&lt;='Scale score'!$B$7),IFERROR(VALUE(IF(TRIM('Scale score'!$B$5&amp;"")="","",IFERROR(TRIM(INDEX($A276:$Z276,MATCH('Scale score'!$B$5,$A$1:$Z$1,0))&amp;""),""))),""),""),"")</f>
        <v/>
      </c>
      <c r="AH276" s="41">
        <f>IF(TRIM('Open answers'!$B$5&amp;"")="","",IFERROR(TRIM(INDEX($A276:$Z276,MATCH('Open answers'!$B$5,$A$1:$Z$1,0))&amp;""),""))</f>
        <v/>
      </c>
      <c r="AI276" s="41">
        <f>IF(LEN(AH276)&gt;0,MAX($AI$1:AI275)+1,"")</f>
        <v/>
      </c>
    </row>
    <row r="277">
      <c r="AA277" s="40" t="n"/>
      <c r="AB277" s="41">
        <f>IF(TRIM('Counts'!$B$8&amp;"")="","",IFERROR(TRIM(INDEX($A277:$Z277,MATCH('Counts'!$B$8,$A$1:$Z$1,0))&amp;""),""))</f>
        <v/>
      </c>
      <c r="AC277" s="41">
        <f>IF(TRIM('Counts'!$B$26&amp;"")="","",IFERROR(TRIM(INDEX($A277:$Z277,MATCH('Counts'!$B$26,$A$1:$Z$1,0))&amp;""),""))</f>
        <v/>
      </c>
      <c r="AD277" s="41">
        <f>IF(TRIM('Counts'!$B$44&amp;"")="","",IFERROR(TRIM(INDEX($A277:$Z277,MATCH('Counts'!$B$44,$A$1:$Z$1,0))&amp;""),""))</f>
        <v/>
      </c>
      <c r="AE277" s="41">
        <f>IF(TRIM('Cross-tab'!$B$5&amp;"")="","",IFERROR(TRIM(INDEX($A277:$Z277,MATCH('Cross-tab'!$B$5,$A$1:$Z$1,0))&amp;""),""))</f>
        <v/>
      </c>
      <c r="AF277" s="41">
        <f>IF(TRIM('Cross-tab'!$B$7&amp;"")="","",IFERROR(TRIM(INDEX($A277:$Z277,MATCH('Cross-tab'!$B$7,$A$1:$Z$1,0))&amp;""),""))</f>
        <v/>
      </c>
      <c r="AG277" s="41">
        <f>IF(ISNUMBER(IFERROR(VALUE(IF(TRIM('Scale score'!$B$5&amp;"")="","",IFERROR(TRIM(INDEX($A277:$Z277,MATCH('Scale score'!$B$5,$A$1:$Z$1,0))&amp;""),""))),"")),IF(AND(IFERROR(VALUE(IF(TRIM('Scale score'!$B$5&amp;"")="","",IFERROR(TRIM(INDEX($A277:$Z277,MATCH('Scale score'!$B$5,$A$1:$Z$1,0))&amp;""),""))),"")&gt;='Scale score'!$B$6,IFERROR(VALUE(IF(TRIM('Scale score'!$B$5&amp;"")="","",IFERROR(TRIM(INDEX($A277:$Z277,MATCH('Scale score'!$B$5,$A$1:$Z$1,0))&amp;""),""))),"")&lt;='Scale score'!$B$7),IFERROR(VALUE(IF(TRIM('Scale score'!$B$5&amp;"")="","",IFERROR(TRIM(INDEX($A277:$Z277,MATCH('Scale score'!$B$5,$A$1:$Z$1,0))&amp;""),""))),""),""),"")</f>
        <v/>
      </c>
      <c r="AH277" s="41">
        <f>IF(TRIM('Open answers'!$B$5&amp;"")="","",IFERROR(TRIM(INDEX($A277:$Z277,MATCH('Open answers'!$B$5,$A$1:$Z$1,0))&amp;""),""))</f>
        <v/>
      </c>
      <c r="AI277" s="41">
        <f>IF(LEN(AH277)&gt;0,MAX($AI$1:AI276)+1,"")</f>
        <v/>
      </c>
    </row>
    <row r="278">
      <c r="AA278" s="40" t="n"/>
      <c r="AB278" s="41">
        <f>IF(TRIM('Counts'!$B$8&amp;"")="","",IFERROR(TRIM(INDEX($A278:$Z278,MATCH('Counts'!$B$8,$A$1:$Z$1,0))&amp;""),""))</f>
        <v/>
      </c>
      <c r="AC278" s="41">
        <f>IF(TRIM('Counts'!$B$26&amp;"")="","",IFERROR(TRIM(INDEX($A278:$Z278,MATCH('Counts'!$B$26,$A$1:$Z$1,0))&amp;""),""))</f>
        <v/>
      </c>
      <c r="AD278" s="41">
        <f>IF(TRIM('Counts'!$B$44&amp;"")="","",IFERROR(TRIM(INDEX($A278:$Z278,MATCH('Counts'!$B$44,$A$1:$Z$1,0))&amp;""),""))</f>
        <v/>
      </c>
      <c r="AE278" s="41">
        <f>IF(TRIM('Cross-tab'!$B$5&amp;"")="","",IFERROR(TRIM(INDEX($A278:$Z278,MATCH('Cross-tab'!$B$5,$A$1:$Z$1,0))&amp;""),""))</f>
        <v/>
      </c>
      <c r="AF278" s="41">
        <f>IF(TRIM('Cross-tab'!$B$7&amp;"")="","",IFERROR(TRIM(INDEX($A278:$Z278,MATCH('Cross-tab'!$B$7,$A$1:$Z$1,0))&amp;""),""))</f>
        <v/>
      </c>
      <c r="AG278" s="41">
        <f>IF(ISNUMBER(IFERROR(VALUE(IF(TRIM('Scale score'!$B$5&amp;"")="","",IFERROR(TRIM(INDEX($A278:$Z278,MATCH('Scale score'!$B$5,$A$1:$Z$1,0))&amp;""),""))),"")),IF(AND(IFERROR(VALUE(IF(TRIM('Scale score'!$B$5&amp;"")="","",IFERROR(TRIM(INDEX($A278:$Z278,MATCH('Scale score'!$B$5,$A$1:$Z$1,0))&amp;""),""))),"")&gt;='Scale score'!$B$6,IFERROR(VALUE(IF(TRIM('Scale score'!$B$5&amp;"")="","",IFERROR(TRIM(INDEX($A278:$Z278,MATCH('Scale score'!$B$5,$A$1:$Z$1,0))&amp;""),""))),"")&lt;='Scale score'!$B$7),IFERROR(VALUE(IF(TRIM('Scale score'!$B$5&amp;"")="","",IFERROR(TRIM(INDEX($A278:$Z278,MATCH('Scale score'!$B$5,$A$1:$Z$1,0))&amp;""),""))),""),""),"")</f>
        <v/>
      </c>
      <c r="AH278" s="41">
        <f>IF(TRIM('Open answers'!$B$5&amp;"")="","",IFERROR(TRIM(INDEX($A278:$Z278,MATCH('Open answers'!$B$5,$A$1:$Z$1,0))&amp;""),""))</f>
        <v/>
      </c>
      <c r="AI278" s="41">
        <f>IF(LEN(AH278)&gt;0,MAX($AI$1:AI277)+1,"")</f>
        <v/>
      </c>
    </row>
    <row r="279">
      <c r="AA279" s="40" t="n"/>
      <c r="AB279" s="41">
        <f>IF(TRIM('Counts'!$B$8&amp;"")="","",IFERROR(TRIM(INDEX($A279:$Z279,MATCH('Counts'!$B$8,$A$1:$Z$1,0))&amp;""),""))</f>
        <v/>
      </c>
      <c r="AC279" s="41">
        <f>IF(TRIM('Counts'!$B$26&amp;"")="","",IFERROR(TRIM(INDEX($A279:$Z279,MATCH('Counts'!$B$26,$A$1:$Z$1,0))&amp;""),""))</f>
        <v/>
      </c>
      <c r="AD279" s="41">
        <f>IF(TRIM('Counts'!$B$44&amp;"")="","",IFERROR(TRIM(INDEX($A279:$Z279,MATCH('Counts'!$B$44,$A$1:$Z$1,0))&amp;""),""))</f>
        <v/>
      </c>
      <c r="AE279" s="41">
        <f>IF(TRIM('Cross-tab'!$B$5&amp;"")="","",IFERROR(TRIM(INDEX($A279:$Z279,MATCH('Cross-tab'!$B$5,$A$1:$Z$1,0))&amp;""),""))</f>
        <v/>
      </c>
      <c r="AF279" s="41">
        <f>IF(TRIM('Cross-tab'!$B$7&amp;"")="","",IFERROR(TRIM(INDEX($A279:$Z279,MATCH('Cross-tab'!$B$7,$A$1:$Z$1,0))&amp;""),""))</f>
        <v/>
      </c>
      <c r="AG279" s="41">
        <f>IF(ISNUMBER(IFERROR(VALUE(IF(TRIM('Scale score'!$B$5&amp;"")="","",IFERROR(TRIM(INDEX($A279:$Z279,MATCH('Scale score'!$B$5,$A$1:$Z$1,0))&amp;""),""))),"")),IF(AND(IFERROR(VALUE(IF(TRIM('Scale score'!$B$5&amp;"")="","",IFERROR(TRIM(INDEX($A279:$Z279,MATCH('Scale score'!$B$5,$A$1:$Z$1,0))&amp;""),""))),"")&gt;='Scale score'!$B$6,IFERROR(VALUE(IF(TRIM('Scale score'!$B$5&amp;"")="","",IFERROR(TRIM(INDEX($A279:$Z279,MATCH('Scale score'!$B$5,$A$1:$Z$1,0))&amp;""),""))),"")&lt;='Scale score'!$B$7),IFERROR(VALUE(IF(TRIM('Scale score'!$B$5&amp;"")="","",IFERROR(TRIM(INDEX($A279:$Z279,MATCH('Scale score'!$B$5,$A$1:$Z$1,0))&amp;""),""))),""),""),"")</f>
        <v/>
      </c>
      <c r="AH279" s="41">
        <f>IF(TRIM('Open answers'!$B$5&amp;"")="","",IFERROR(TRIM(INDEX($A279:$Z279,MATCH('Open answers'!$B$5,$A$1:$Z$1,0))&amp;""),""))</f>
        <v/>
      </c>
      <c r="AI279" s="41">
        <f>IF(LEN(AH279)&gt;0,MAX($AI$1:AI278)+1,"")</f>
        <v/>
      </c>
    </row>
    <row r="280">
      <c r="AA280" s="40" t="n"/>
      <c r="AB280" s="41">
        <f>IF(TRIM('Counts'!$B$8&amp;"")="","",IFERROR(TRIM(INDEX($A280:$Z280,MATCH('Counts'!$B$8,$A$1:$Z$1,0))&amp;""),""))</f>
        <v/>
      </c>
      <c r="AC280" s="41">
        <f>IF(TRIM('Counts'!$B$26&amp;"")="","",IFERROR(TRIM(INDEX($A280:$Z280,MATCH('Counts'!$B$26,$A$1:$Z$1,0))&amp;""),""))</f>
        <v/>
      </c>
      <c r="AD280" s="41">
        <f>IF(TRIM('Counts'!$B$44&amp;"")="","",IFERROR(TRIM(INDEX($A280:$Z280,MATCH('Counts'!$B$44,$A$1:$Z$1,0))&amp;""),""))</f>
        <v/>
      </c>
      <c r="AE280" s="41">
        <f>IF(TRIM('Cross-tab'!$B$5&amp;"")="","",IFERROR(TRIM(INDEX($A280:$Z280,MATCH('Cross-tab'!$B$5,$A$1:$Z$1,0))&amp;""),""))</f>
        <v/>
      </c>
      <c r="AF280" s="41">
        <f>IF(TRIM('Cross-tab'!$B$7&amp;"")="","",IFERROR(TRIM(INDEX($A280:$Z280,MATCH('Cross-tab'!$B$7,$A$1:$Z$1,0))&amp;""),""))</f>
        <v/>
      </c>
      <c r="AG280" s="41">
        <f>IF(ISNUMBER(IFERROR(VALUE(IF(TRIM('Scale score'!$B$5&amp;"")="","",IFERROR(TRIM(INDEX($A280:$Z280,MATCH('Scale score'!$B$5,$A$1:$Z$1,0))&amp;""),""))),"")),IF(AND(IFERROR(VALUE(IF(TRIM('Scale score'!$B$5&amp;"")="","",IFERROR(TRIM(INDEX($A280:$Z280,MATCH('Scale score'!$B$5,$A$1:$Z$1,0))&amp;""),""))),"")&gt;='Scale score'!$B$6,IFERROR(VALUE(IF(TRIM('Scale score'!$B$5&amp;"")="","",IFERROR(TRIM(INDEX($A280:$Z280,MATCH('Scale score'!$B$5,$A$1:$Z$1,0))&amp;""),""))),"")&lt;='Scale score'!$B$7),IFERROR(VALUE(IF(TRIM('Scale score'!$B$5&amp;"")="","",IFERROR(TRIM(INDEX($A280:$Z280,MATCH('Scale score'!$B$5,$A$1:$Z$1,0))&amp;""),""))),""),""),"")</f>
        <v/>
      </c>
      <c r="AH280" s="41">
        <f>IF(TRIM('Open answers'!$B$5&amp;"")="","",IFERROR(TRIM(INDEX($A280:$Z280,MATCH('Open answers'!$B$5,$A$1:$Z$1,0))&amp;""),""))</f>
        <v/>
      </c>
      <c r="AI280" s="41">
        <f>IF(LEN(AH280)&gt;0,MAX($AI$1:AI279)+1,"")</f>
        <v/>
      </c>
    </row>
    <row r="281">
      <c r="AA281" s="40" t="n"/>
      <c r="AB281" s="41">
        <f>IF(TRIM('Counts'!$B$8&amp;"")="","",IFERROR(TRIM(INDEX($A281:$Z281,MATCH('Counts'!$B$8,$A$1:$Z$1,0))&amp;""),""))</f>
        <v/>
      </c>
      <c r="AC281" s="41">
        <f>IF(TRIM('Counts'!$B$26&amp;"")="","",IFERROR(TRIM(INDEX($A281:$Z281,MATCH('Counts'!$B$26,$A$1:$Z$1,0))&amp;""),""))</f>
        <v/>
      </c>
      <c r="AD281" s="41">
        <f>IF(TRIM('Counts'!$B$44&amp;"")="","",IFERROR(TRIM(INDEX($A281:$Z281,MATCH('Counts'!$B$44,$A$1:$Z$1,0))&amp;""),""))</f>
        <v/>
      </c>
      <c r="AE281" s="41">
        <f>IF(TRIM('Cross-tab'!$B$5&amp;"")="","",IFERROR(TRIM(INDEX($A281:$Z281,MATCH('Cross-tab'!$B$5,$A$1:$Z$1,0))&amp;""),""))</f>
        <v/>
      </c>
      <c r="AF281" s="41">
        <f>IF(TRIM('Cross-tab'!$B$7&amp;"")="","",IFERROR(TRIM(INDEX($A281:$Z281,MATCH('Cross-tab'!$B$7,$A$1:$Z$1,0))&amp;""),""))</f>
        <v/>
      </c>
      <c r="AG281" s="41">
        <f>IF(ISNUMBER(IFERROR(VALUE(IF(TRIM('Scale score'!$B$5&amp;"")="","",IFERROR(TRIM(INDEX($A281:$Z281,MATCH('Scale score'!$B$5,$A$1:$Z$1,0))&amp;""),""))),"")),IF(AND(IFERROR(VALUE(IF(TRIM('Scale score'!$B$5&amp;"")="","",IFERROR(TRIM(INDEX($A281:$Z281,MATCH('Scale score'!$B$5,$A$1:$Z$1,0))&amp;""),""))),"")&gt;='Scale score'!$B$6,IFERROR(VALUE(IF(TRIM('Scale score'!$B$5&amp;"")="","",IFERROR(TRIM(INDEX($A281:$Z281,MATCH('Scale score'!$B$5,$A$1:$Z$1,0))&amp;""),""))),"")&lt;='Scale score'!$B$7),IFERROR(VALUE(IF(TRIM('Scale score'!$B$5&amp;"")="","",IFERROR(TRIM(INDEX($A281:$Z281,MATCH('Scale score'!$B$5,$A$1:$Z$1,0))&amp;""),""))),""),""),"")</f>
        <v/>
      </c>
      <c r="AH281" s="41">
        <f>IF(TRIM('Open answers'!$B$5&amp;"")="","",IFERROR(TRIM(INDEX($A281:$Z281,MATCH('Open answers'!$B$5,$A$1:$Z$1,0))&amp;""),""))</f>
        <v/>
      </c>
      <c r="AI281" s="41">
        <f>IF(LEN(AH281)&gt;0,MAX($AI$1:AI280)+1,"")</f>
        <v/>
      </c>
    </row>
    <row r="282">
      <c r="AA282" s="40" t="n"/>
      <c r="AB282" s="41">
        <f>IF(TRIM('Counts'!$B$8&amp;"")="","",IFERROR(TRIM(INDEX($A282:$Z282,MATCH('Counts'!$B$8,$A$1:$Z$1,0))&amp;""),""))</f>
        <v/>
      </c>
      <c r="AC282" s="41">
        <f>IF(TRIM('Counts'!$B$26&amp;"")="","",IFERROR(TRIM(INDEX($A282:$Z282,MATCH('Counts'!$B$26,$A$1:$Z$1,0))&amp;""),""))</f>
        <v/>
      </c>
      <c r="AD282" s="41">
        <f>IF(TRIM('Counts'!$B$44&amp;"")="","",IFERROR(TRIM(INDEX($A282:$Z282,MATCH('Counts'!$B$44,$A$1:$Z$1,0))&amp;""),""))</f>
        <v/>
      </c>
      <c r="AE282" s="41">
        <f>IF(TRIM('Cross-tab'!$B$5&amp;"")="","",IFERROR(TRIM(INDEX($A282:$Z282,MATCH('Cross-tab'!$B$5,$A$1:$Z$1,0))&amp;""),""))</f>
        <v/>
      </c>
      <c r="AF282" s="41">
        <f>IF(TRIM('Cross-tab'!$B$7&amp;"")="","",IFERROR(TRIM(INDEX($A282:$Z282,MATCH('Cross-tab'!$B$7,$A$1:$Z$1,0))&amp;""),""))</f>
        <v/>
      </c>
      <c r="AG282" s="41">
        <f>IF(ISNUMBER(IFERROR(VALUE(IF(TRIM('Scale score'!$B$5&amp;"")="","",IFERROR(TRIM(INDEX($A282:$Z282,MATCH('Scale score'!$B$5,$A$1:$Z$1,0))&amp;""),""))),"")),IF(AND(IFERROR(VALUE(IF(TRIM('Scale score'!$B$5&amp;"")="","",IFERROR(TRIM(INDEX($A282:$Z282,MATCH('Scale score'!$B$5,$A$1:$Z$1,0))&amp;""),""))),"")&gt;='Scale score'!$B$6,IFERROR(VALUE(IF(TRIM('Scale score'!$B$5&amp;"")="","",IFERROR(TRIM(INDEX($A282:$Z282,MATCH('Scale score'!$B$5,$A$1:$Z$1,0))&amp;""),""))),"")&lt;='Scale score'!$B$7),IFERROR(VALUE(IF(TRIM('Scale score'!$B$5&amp;"")="","",IFERROR(TRIM(INDEX($A282:$Z282,MATCH('Scale score'!$B$5,$A$1:$Z$1,0))&amp;""),""))),""),""),"")</f>
        <v/>
      </c>
      <c r="AH282" s="41">
        <f>IF(TRIM('Open answers'!$B$5&amp;"")="","",IFERROR(TRIM(INDEX($A282:$Z282,MATCH('Open answers'!$B$5,$A$1:$Z$1,0))&amp;""),""))</f>
        <v/>
      </c>
      <c r="AI282" s="41">
        <f>IF(LEN(AH282)&gt;0,MAX($AI$1:AI281)+1,"")</f>
        <v/>
      </c>
    </row>
    <row r="283">
      <c r="AA283" s="40" t="n"/>
      <c r="AB283" s="41">
        <f>IF(TRIM('Counts'!$B$8&amp;"")="","",IFERROR(TRIM(INDEX($A283:$Z283,MATCH('Counts'!$B$8,$A$1:$Z$1,0))&amp;""),""))</f>
        <v/>
      </c>
      <c r="AC283" s="41">
        <f>IF(TRIM('Counts'!$B$26&amp;"")="","",IFERROR(TRIM(INDEX($A283:$Z283,MATCH('Counts'!$B$26,$A$1:$Z$1,0))&amp;""),""))</f>
        <v/>
      </c>
      <c r="AD283" s="41">
        <f>IF(TRIM('Counts'!$B$44&amp;"")="","",IFERROR(TRIM(INDEX($A283:$Z283,MATCH('Counts'!$B$44,$A$1:$Z$1,0))&amp;""),""))</f>
        <v/>
      </c>
      <c r="AE283" s="41">
        <f>IF(TRIM('Cross-tab'!$B$5&amp;"")="","",IFERROR(TRIM(INDEX($A283:$Z283,MATCH('Cross-tab'!$B$5,$A$1:$Z$1,0))&amp;""),""))</f>
        <v/>
      </c>
      <c r="AF283" s="41">
        <f>IF(TRIM('Cross-tab'!$B$7&amp;"")="","",IFERROR(TRIM(INDEX($A283:$Z283,MATCH('Cross-tab'!$B$7,$A$1:$Z$1,0))&amp;""),""))</f>
        <v/>
      </c>
      <c r="AG283" s="41">
        <f>IF(ISNUMBER(IFERROR(VALUE(IF(TRIM('Scale score'!$B$5&amp;"")="","",IFERROR(TRIM(INDEX($A283:$Z283,MATCH('Scale score'!$B$5,$A$1:$Z$1,0))&amp;""),""))),"")),IF(AND(IFERROR(VALUE(IF(TRIM('Scale score'!$B$5&amp;"")="","",IFERROR(TRIM(INDEX($A283:$Z283,MATCH('Scale score'!$B$5,$A$1:$Z$1,0))&amp;""),""))),"")&gt;='Scale score'!$B$6,IFERROR(VALUE(IF(TRIM('Scale score'!$B$5&amp;"")="","",IFERROR(TRIM(INDEX($A283:$Z283,MATCH('Scale score'!$B$5,$A$1:$Z$1,0))&amp;""),""))),"")&lt;='Scale score'!$B$7),IFERROR(VALUE(IF(TRIM('Scale score'!$B$5&amp;"")="","",IFERROR(TRIM(INDEX($A283:$Z283,MATCH('Scale score'!$B$5,$A$1:$Z$1,0))&amp;""),""))),""),""),"")</f>
        <v/>
      </c>
      <c r="AH283" s="41">
        <f>IF(TRIM('Open answers'!$B$5&amp;"")="","",IFERROR(TRIM(INDEX($A283:$Z283,MATCH('Open answers'!$B$5,$A$1:$Z$1,0))&amp;""),""))</f>
        <v/>
      </c>
      <c r="AI283" s="41">
        <f>IF(LEN(AH283)&gt;0,MAX($AI$1:AI282)+1,"")</f>
        <v/>
      </c>
    </row>
    <row r="284">
      <c r="AA284" s="40" t="n"/>
      <c r="AB284" s="41">
        <f>IF(TRIM('Counts'!$B$8&amp;"")="","",IFERROR(TRIM(INDEX($A284:$Z284,MATCH('Counts'!$B$8,$A$1:$Z$1,0))&amp;""),""))</f>
        <v/>
      </c>
      <c r="AC284" s="41">
        <f>IF(TRIM('Counts'!$B$26&amp;"")="","",IFERROR(TRIM(INDEX($A284:$Z284,MATCH('Counts'!$B$26,$A$1:$Z$1,0))&amp;""),""))</f>
        <v/>
      </c>
      <c r="AD284" s="41">
        <f>IF(TRIM('Counts'!$B$44&amp;"")="","",IFERROR(TRIM(INDEX($A284:$Z284,MATCH('Counts'!$B$44,$A$1:$Z$1,0))&amp;""),""))</f>
        <v/>
      </c>
      <c r="AE284" s="41">
        <f>IF(TRIM('Cross-tab'!$B$5&amp;"")="","",IFERROR(TRIM(INDEX($A284:$Z284,MATCH('Cross-tab'!$B$5,$A$1:$Z$1,0))&amp;""),""))</f>
        <v/>
      </c>
      <c r="AF284" s="41">
        <f>IF(TRIM('Cross-tab'!$B$7&amp;"")="","",IFERROR(TRIM(INDEX($A284:$Z284,MATCH('Cross-tab'!$B$7,$A$1:$Z$1,0))&amp;""),""))</f>
        <v/>
      </c>
      <c r="AG284" s="41">
        <f>IF(ISNUMBER(IFERROR(VALUE(IF(TRIM('Scale score'!$B$5&amp;"")="","",IFERROR(TRIM(INDEX($A284:$Z284,MATCH('Scale score'!$B$5,$A$1:$Z$1,0))&amp;""),""))),"")),IF(AND(IFERROR(VALUE(IF(TRIM('Scale score'!$B$5&amp;"")="","",IFERROR(TRIM(INDEX($A284:$Z284,MATCH('Scale score'!$B$5,$A$1:$Z$1,0))&amp;""),""))),"")&gt;='Scale score'!$B$6,IFERROR(VALUE(IF(TRIM('Scale score'!$B$5&amp;"")="","",IFERROR(TRIM(INDEX($A284:$Z284,MATCH('Scale score'!$B$5,$A$1:$Z$1,0))&amp;""),""))),"")&lt;='Scale score'!$B$7),IFERROR(VALUE(IF(TRIM('Scale score'!$B$5&amp;"")="","",IFERROR(TRIM(INDEX($A284:$Z284,MATCH('Scale score'!$B$5,$A$1:$Z$1,0))&amp;""),""))),""),""),"")</f>
        <v/>
      </c>
      <c r="AH284" s="41">
        <f>IF(TRIM('Open answers'!$B$5&amp;"")="","",IFERROR(TRIM(INDEX($A284:$Z284,MATCH('Open answers'!$B$5,$A$1:$Z$1,0))&amp;""),""))</f>
        <v/>
      </c>
      <c r="AI284" s="41">
        <f>IF(LEN(AH284)&gt;0,MAX($AI$1:AI283)+1,"")</f>
        <v/>
      </c>
    </row>
    <row r="285">
      <c r="AA285" s="40" t="n"/>
      <c r="AB285" s="41">
        <f>IF(TRIM('Counts'!$B$8&amp;"")="","",IFERROR(TRIM(INDEX($A285:$Z285,MATCH('Counts'!$B$8,$A$1:$Z$1,0))&amp;""),""))</f>
        <v/>
      </c>
      <c r="AC285" s="41">
        <f>IF(TRIM('Counts'!$B$26&amp;"")="","",IFERROR(TRIM(INDEX($A285:$Z285,MATCH('Counts'!$B$26,$A$1:$Z$1,0))&amp;""),""))</f>
        <v/>
      </c>
      <c r="AD285" s="41">
        <f>IF(TRIM('Counts'!$B$44&amp;"")="","",IFERROR(TRIM(INDEX($A285:$Z285,MATCH('Counts'!$B$44,$A$1:$Z$1,0))&amp;""),""))</f>
        <v/>
      </c>
      <c r="AE285" s="41">
        <f>IF(TRIM('Cross-tab'!$B$5&amp;"")="","",IFERROR(TRIM(INDEX($A285:$Z285,MATCH('Cross-tab'!$B$5,$A$1:$Z$1,0))&amp;""),""))</f>
        <v/>
      </c>
      <c r="AF285" s="41">
        <f>IF(TRIM('Cross-tab'!$B$7&amp;"")="","",IFERROR(TRIM(INDEX($A285:$Z285,MATCH('Cross-tab'!$B$7,$A$1:$Z$1,0))&amp;""),""))</f>
        <v/>
      </c>
      <c r="AG285" s="41">
        <f>IF(ISNUMBER(IFERROR(VALUE(IF(TRIM('Scale score'!$B$5&amp;"")="","",IFERROR(TRIM(INDEX($A285:$Z285,MATCH('Scale score'!$B$5,$A$1:$Z$1,0))&amp;""),""))),"")),IF(AND(IFERROR(VALUE(IF(TRIM('Scale score'!$B$5&amp;"")="","",IFERROR(TRIM(INDEX($A285:$Z285,MATCH('Scale score'!$B$5,$A$1:$Z$1,0))&amp;""),""))),"")&gt;='Scale score'!$B$6,IFERROR(VALUE(IF(TRIM('Scale score'!$B$5&amp;"")="","",IFERROR(TRIM(INDEX($A285:$Z285,MATCH('Scale score'!$B$5,$A$1:$Z$1,0))&amp;""),""))),"")&lt;='Scale score'!$B$7),IFERROR(VALUE(IF(TRIM('Scale score'!$B$5&amp;"")="","",IFERROR(TRIM(INDEX($A285:$Z285,MATCH('Scale score'!$B$5,$A$1:$Z$1,0))&amp;""),""))),""),""),"")</f>
        <v/>
      </c>
      <c r="AH285" s="41">
        <f>IF(TRIM('Open answers'!$B$5&amp;"")="","",IFERROR(TRIM(INDEX($A285:$Z285,MATCH('Open answers'!$B$5,$A$1:$Z$1,0))&amp;""),""))</f>
        <v/>
      </c>
      <c r="AI285" s="41">
        <f>IF(LEN(AH285)&gt;0,MAX($AI$1:AI284)+1,"")</f>
        <v/>
      </c>
    </row>
    <row r="286">
      <c r="AA286" s="40" t="n"/>
      <c r="AB286" s="41">
        <f>IF(TRIM('Counts'!$B$8&amp;"")="","",IFERROR(TRIM(INDEX($A286:$Z286,MATCH('Counts'!$B$8,$A$1:$Z$1,0))&amp;""),""))</f>
        <v/>
      </c>
      <c r="AC286" s="41">
        <f>IF(TRIM('Counts'!$B$26&amp;"")="","",IFERROR(TRIM(INDEX($A286:$Z286,MATCH('Counts'!$B$26,$A$1:$Z$1,0))&amp;""),""))</f>
        <v/>
      </c>
      <c r="AD286" s="41">
        <f>IF(TRIM('Counts'!$B$44&amp;"")="","",IFERROR(TRIM(INDEX($A286:$Z286,MATCH('Counts'!$B$44,$A$1:$Z$1,0))&amp;""),""))</f>
        <v/>
      </c>
      <c r="AE286" s="41">
        <f>IF(TRIM('Cross-tab'!$B$5&amp;"")="","",IFERROR(TRIM(INDEX($A286:$Z286,MATCH('Cross-tab'!$B$5,$A$1:$Z$1,0))&amp;""),""))</f>
        <v/>
      </c>
      <c r="AF286" s="41">
        <f>IF(TRIM('Cross-tab'!$B$7&amp;"")="","",IFERROR(TRIM(INDEX($A286:$Z286,MATCH('Cross-tab'!$B$7,$A$1:$Z$1,0))&amp;""),""))</f>
        <v/>
      </c>
      <c r="AG286" s="41">
        <f>IF(ISNUMBER(IFERROR(VALUE(IF(TRIM('Scale score'!$B$5&amp;"")="","",IFERROR(TRIM(INDEX($A286:$Z286,MATCH('Scale score'!$B$5,$A$1:$Z$1,0))&amp;""),""))),"")),IF(AND(IFERROR(VALUE(IF(TRIM('Scale score'!$B$5&amp;"")="","",IFERROR(TRIM(INDEX($A286:$Z286,MATCH('Scale score'!$B$5,$A$1:$Z$1,0))&amp;""),""))),"")&gt;='Scale score'!$B$6,IFERROR(VALUE(IF(TRIM('Scale score'!$B$5&amp;"")="","",IFERROR(TRIM(INDEX($A286:$Z286,MATCH('Scale score'!$B$5,$A$1:$Z$1,0))&amp;""),""))),"")&lt;='Scale score'!$B$7),IFERROR(VALUE(IF(TRIM('Scale score'!$B$5&amp;"")="","",IFERROR(TRIM(INDEX($A286:$Z286,MATCH('Scale score'!$B$5,$A$1:$Z$1,0))&amp;""),""))),""),""),"")</f>
        <v/>
      </c>
      <c r="AH286" s="41">
        <f>IF(TRIM('Open answers'!$B$5&amp;"")="","",IFERROR(TRIM(INDEX($A286:$Z286,MATCH('Open answers'!$B$5,$A$1:$Z$1,0))&amp;""),""))</f>
        <v/>
      </c>
      <c r="AI286" s="41">
        <f>IF(LEN(AH286)&gt;0,MAX($AI$1:AI285)+1,"")</f>
        <v/>
      </c>
    </row>
    <row r="287">
      <c r="AA287" s="40" t="n"/>
      <c r="AB287" s="41">
        <f>IF(TRIM('Counts'!$B$8&amp;"")="","",IFERROR(TRIM(INDEX($A287:$Z287,MATCH('Counts'!$B$8,$A$1:$Z$1,0))&amp;""),""))</f>
        <v/>
      </c>
      <c r="AC287" s="41">
        <f>IF(TRIM('Counts'!$B$26&amp;"")="","",IFERROR(TRIM(INDEX($A287:$Z287,MATCH('Counts'!$B$26,$A$1:$Z$1,0))&amp;""),""))</f>
        <v/>
      </c>
      <c r="AD287" s="41">
        <f>IF(TRIM('Counts'!$B$44&amp;"")="","",IFERROR(TRIM(INDEX($A287:$Z287,MATCH('Counts'!$B$44,$A$1:$Z$1,0))&amp;""),""))</f>
        <v/>
      </c>
      <c r="AE287" s="41">
        <f>IF(TRIM('Cross-tab'!$B$5&amp;"")="","",IFERROR(TRIM(INDEX($A287:$Z287,MATCH('Cross-tab'!$B$5,$A$1:$Z$1,0))&amp;""),""))</f>
        <v/>
      </c>
      <c r="AF287" s="41">
        <f>IF(TRIM('Cross-tab'!$B$7&amp;"")="","",IFERROR(TRIM(INDEX($A287:$Z287,MATCH('Cross-tab'!$B$7,$A$1:$Z$1,0))&amp;""),""))</f>
        <v/>
      </c>
      <c r="AG287" s="41">
        <f>IF(ISNUMBER(IFERROR(VALUE(IF(TRIM('Scale score'!$B$5&amp;"")="","",IFERROR(TRIM(INDEX($A287:$Z287,MATCH('Scale score'!$B$5,$A$1:$Z$1,0))&amp;""),""))),"")),IF(AND(IFERROR(VALUE(IF(TRIM('Scale score'!$B$5&amp;"")="","",IFERROR(TRIM(INDEX($A287:$Z287,MATCH('Scale score'!$B$5,$A$1:$Z$1,0))&amp;""),""))),"")&gt;='Scale score'!$B$6,IFERROR(VALUE(IF(TRIM('Scale score'!$B$5&amp;"")="","",IFERROR(TRIM(INDEX($A287:$Z287,MATCH('Scale score'!$B$5,$A$1:$Z$1,0))&amp;""),""))),"")&lt;='Scale score'!$B$7),IFERROR(VALUE(IF(TRIM('Scale score'!$B$5&amp;"")="","",IFERROR(TRIM(INDEX($A287:$Z287,MATCH('Scale score'!$B$5,$A$1:$Z$1,0))&amp;""),""))),""),""),"")</f>
        <v/>
      </c>
      <c r="AH287" s="41">
        <f>IF(TRIM('Open answers'!$B$5&amp;"")="","",IFERROR(TRIM(INDEX($A287:$Z287,MATCH('Open answers'!$B$5,$A$1:$Z$1,0))&amp;""),""))</f>
        <v/>
      </c>
      <c r="AI287" s="41">
        <f>IF(LEN(AH287)&gt;0,MAX($AI$1:AI286)+1,"")</f>
        <v/>
      </c>
    </row>
    <row r="288">
      <c r="AA288" s="40" t="n"/>
      <c r="AB288" s="41">
        <f>IF(TRIM('Counts'!$B$8&amp;"")="","",IFERROR(TRIM(INDEX($A288:$Z288,MATCH('Counts'!$B$8,$A$1:$Z$1,0))&amp;""),""))</f>
        <v/>
      </c>
      <c r="AC288" s="41">
        <f>IF(TRIM('Counts'!$B$26&amp;"")="","",IFERROR(TRIM(INDEX($A288:$Z288,MATCH('Counts'!$B$26,$A$1:$Z$1,0))&amp;""),""))</f>
        <v/>
      </c>
      <c r="AD288" s="41">
        <f>IF(TRIM('Counts'!$B$44&amp;"")="","",IFERROR(TRIM(INDEX($A288:$Z288,MATCH('Counts'!$B$44,$A$1:$Z$1,0))&amp;""),""))</f>
        <v/>
      </c>
      <c r="AE288" s="41">
        <f>IF(TRIM('Cross-tab'!$B$5&amp;"")="","",IFERROR(TRIM(INDEX($A288:$Z288,MATCH('Cross-tab'!$B$5,$A$1:$Z$1,0))&amp;""),""))</f>
        <v/>
      </c>
      <c r="AF288" s="41">
        <f>IF(TRIM('Cross-tab'!$B$7&amp;"")="","",IFERROR(TRIM(INDEX($A288:$Z288,MATCH('Cross-tab'!$B$7,$A$1:$Z$1,0))&amp;""),""))</f>
        <v/>
      </c>
      <c r="AG288" s="41">
        <f>IF(ISNUMBER(IFERROR(VALUE(IF(TRIM('Scale score'!$B$5&amp;"")="","",IFERROR(TRIM(INDEX($A288:$Z288,MATCH('Scale score'!$B$5,$A$1:$Z$1,0))&amp;""),""))),"")),IF(AND(IFERROR(VALUE(IF(TRIM('Scale score'!$B$5&amp;"")="","",IFERROR(TRIM(INDEX($A288:$Z288,MATCH('Scale score'!$B$5,$A$1:$Z$1,0))&amp;""),""))),"")&gt;='Scale score'!$B$6,IFERROR(VALUE(IF(TRIM('Scale score'!$B$5&amp;"")="","",IFERROR(TRIM(INDEX($A288:$Z288,MATCH('Scale score'!$B$5,$A$1:$Z$1,0))&amp;""),""))),"")&lt;='Scale score'!$B$7),IFERROR(VALUE(IF(TRIM('Scale score'!$B$5&amp;"")="","",IFERROR(TRIM(INDEX($A288:$Z288,MATCH('Scale score'!$B$5,$A$1:$Z$1,0))&amp;""),""))),""),""),"")</f>
        <v/>
      </c>
      <c r="AH288" s="41">
        <f>IF(TRIM('Open answers'!$B$5&amp;"")="","",IFERROR(TRIM(INDEX($A288:$Z288,MATCH('Open answers'!$B$5,$A$1:$Z$1,0))&amp;""),""))</f>
        <v/>
      </c>
      <c r="AI288" s="41">
        <f>IF(LEN(AH288)&gt;0,MAX($AI$1:AI287)+1,"")</f>
        <v/>
      </c>
    </row>
    <row r="289">
      <c r="AA289" s="40" t="n"/>
      <c r="AB289" s="41">
        <f>IF(TRIM('Counts'!$B$8&amp;"")="","",IFERROR(TRIM(INDEX($A289:$Z289,MATCH('Counts'!$B$8,$A$1:$Z$1,0))&amp;""),""))</f>
        <v/>
      </c>
      <c r="AC289" s="41">
        <f>IF(TRIM('Counts'!$B$26&amp;"")="","",IFERROR(TRIM(INDEX($A289:$Z289,MATCH('Counts'!$B$26,$A$1:$Z$1,0))&amp;""),""))</f>
        <v/>
      </c>
      <c r="AD289" s="41">
        <f>IF(TRIM('Counts'!$B$44&amp;"")="","",IFERROR(TRIM(INDEX($A289:$Z289,MATCH('Counts'!$B$44,$A$1:$Z$1,0))&amp;""),""))</f>
        <v/>
      </c>
      <c r="AE289" s="41">
        <f>IF(TRIM('Cross-tab'!$B$5&amp;"")="","",IFERROR(TRIM(INDEX($A289:$Z289,MATCH('Cross-tab'!$B$5,$A$1:$Z$1,0))&amp;""),""))</f>
        <v/>
      </c>
      <c r="AF289" s="41">
        <f>IF(TRIM('Cross-tab'!$B$7&amp;"")="","",IFERROR(TRIM(INDEX($A289:$Z289,MATCH('Cross-tab'!$B$7,$A$1:$Z$1,0))&amp;""),""))</f>
        <v/>
      </c>
      <c r="AG289" s="41">
        <f>IF(ISNUMBER(IFERROR(VALUE(IF(TRIM('Scale score'!$B$5&amp;"")="","",IFERROR(TRIM(INDEX($A289:$Z289,MATCH('Scale score'!$B$5,$A$1:$Z$1,0))&amp;""),""))),"")),IF(AND(IFERROR(VALUE(IF(TRIM('Scale score'!$B$5&amp;"")="","",IFERROR(TRIM(INDEX($A289:$Z289,MATCH('Scale score'!$B$5,$A$1:$Z$1,0))&amp;""),""))),"")&gt;='Scale score'!$B$6,IFERROR(VALUE(IF(TRIM('Scale score'!$B$5&amp;"")="","",IFERROR(TRIM(INDEX($A289:$Z289,MATCH('Scale score'!$B$5,$A$1:$Z$1,0))&amp;""),""))),"")&lt;='Scale score'!$B$7),IFERROR(VALUE(IF(TRIM('Scale score'!$B$5&amp;"")="","",IFERROR(TRIM(INDEX($A289:$Z289,MATCH('Scale score'!$B$5,$A$1:$Z$1,0))&amp;""),""))),""),""),"")</f>
        <v/>
      </c>
      <c r="AH289" s="41">
        <f>IF(TRIM('Open answers'!$B$5&amp;"")="","",IFERROR(TRIM(INDEX($A289:$Z289,MATCH('Open answers'!$B$5,$A$1:$Z$1,0))&amp;""),""))</f>
        <v/>
      </c>
      <c r="AI289" s="41">
        <f>IF(LEN(AH289)&gt;0,MAX($AI$1:AI288)+1,"")</f>
        <v/>
      </c>
    </row>
    <row r="290">
      <c r="AA290" s="40" t="n"/>
      <c r="AB290" s="41">
        <f>IF(TRIM('Counts'!$B$8&amp;"")="","",IFERROR(TRIM(INDEX($A290:$Z290,MATCH('Counts'!$B$8,$A$1:$Z$1,0))&amp;""),""))</f>
        <v/>
      </c>
      <c r="AC290" s="41">
        <f>IF(TRIM('Counts'!$B$26&amp;"")="","",IFERROR(TRIM(INDEX($A290:$Z290,MATCH('Counts'!$B$26,$A$1:$Z$1,0))&amp;""),""))</f>
        <v/>
      </c>
      <c r="AD290" s="41">
        <f>IF(TRIM('Counts'!$B$44&amp;"")="","",IFERROR(TRIM(INDEX($A290:$Z290,MATCH('Counts'!$B$44,$A$1:$Z$1,0))&amp;""),""))</f>
        <v/>
      </c>
      <c r="AE290" s="41">
        <f>IF(TRIM('Cross-tab'!$B$5&amp;"")="","",IFERROR(TRIM(INDEX($A290:$Z290,MATCH('Cross-tab'!$B$5,$A$1:$Z$1,0))&amp;""),""))</f>
        <v/>
      </c>
      <c r="AF290" s="41">
        <f>IF(TRIM('Cross-tab'!$B$7&amp;"")="","",IFERROR(TRIM(INDEX($A290:$Z290,MATCH('Cross-tab'!$B$7,$A$1:$Z$1,0))&amp;""),""))</f>
        <v/>
      </c>
      <c r="AG290" s="41">
        <f>IF(ISNUMBER(IFERROR(VALUE(IF(TRIM('Scale score'!$B$5&amp;"")="","",IFERROR(TRIM(INDEX($A290:$Z290,MATCH('Scale score'!$B$5,$A$1:$Z$1,0))&amp;""),""))),"")),IF(AND(IFERROR(VALUE(IF(TRIM('Scale score'!$B$5&amp;"")="","",IFERROR(TRIM(INDEX($A290:$Z290,MATCH('Scale score'!$B$5,$A$1:$Z$1,0))&amp;""),""))),"")&gt;='Scale score'!$B$6,IFERROR(VALUE(IF(TRIM('Scale score'!$B$5&amp;"")="","",IFERROR(TRIM(INDEX($A290:$Z290,MATCH('Scale score'!$B$5,$A$1:$Z$1,0))&amp;""),""))),"")&lt;='Scale score'!$B$7),IFERROR(VALUE(IF(TRIM('Scale score'!$B$5&amp;"")="","",IFERROR(TRIM(INDEX($A290:$Z290,MATCH('Scale score'!$B$5,$A$1:$Z$1,0))&amp;""),""))),""),""),"")</f>
        <v/>
      </c>
      <c r="AH290" s="41">
        <f>IF(TRIM('Open answers'!$B$5&amp;"")="","",IFERROR(TRIM(INDEX($A290:$Z290,MATCH('Open answers'!$B$5,$A$1:$Z$1,0))&amp;""),""))</f>
        <v/>
      </c>
      <c r="AI290" s="41">
        <f>IF(LEN(AH290)&gt;0,MAX($AI$1:AI289)+1,"")</f>
        <v/>
      </c>
    </row>
    <row r="291">
      <c r="AA291" s="40" t="n"/>
      <c r="AB291" s="41">
        <f>IF(TRIM('Counts'!$B$8&amp;"")="","",IFERROR(TRIM(INDEX($A291:$Z291,MATCH('Counts'!$B$8,$A$1:$Z$1,0))&amp;""),""))</f>
        <v/>
      </c>
      <c r="AC291" s="41">
        <f>IF(TRIM('Counts'!$B$26&amp;"")="","",IFERROR(TRIM(INDEX($A291:$Z291,MATCH('Counts'!$B$26,$A$1:$Z$1,0))&amp;""),""))</f>
        <v/>
      </c>
      <c r="AD291" s="41">
        <f>IF(TRIM('Counts'!$B$44&amp;"")="","",IFERROR(TRIM(INDEX($A291:$Z291,MATCH('Counts'!$B$44,$A$1:$Z$1,0))&amp;""),""))</f>
        <v/>
      </c>
      <c r="AE291" s="41">
        <f>IF(TRIM('Cross-tab'!$B$5&amp;"")="","",IFERROR(TRIM(INDEX($A291:$Z291,MATCH('Cross-tab'!$B$5,$A$1:$Z$1,0))&amp;""),""))</f>
        <v/>
      </c>
      <c r="AF291" s="41">
        <f>IF(TRIM('Cross-tab'!$B$7&amp;"")="","",IFERROR(TRIM(INDEX($A291:$Z291,MATCH('Cross-tab'!$B$7,$A$1:$Z$1,0))&amp;""),""))</f>
        <v/>
      </c>
      <c r="AG291" s="41">
        <f>IF(ISNUMBER(IFERROR(VALUE(IF(TRIM('Scale score'!$B$5&amp;"")="","",IFERROR(TRIM(INDEX($A291:$Z291,MATCH('Scale score'!$B$5,$A$1:$Z$1,0))&amp;""),""))),"")),IF(AND(IFERROR(VALUE(IF(TRIM('Scale score'!$B$5&amp;"")="","",IFERROR(TRIM(INDEX($A291:$Z291,MATCH('Scale score'!$B$5,$A$1:$Z$1,0))&amp;""),""))),"")&gt;='Scale score'!$B$6,IFERROR(VALUE(IF(TRIM('Scale score'!$B$5&amp;"")="","",IFERROR(TRIM(INDEX($A291:$Z291,MATCH('Scale score'!$B$5,$A$1:$Z$1,0))&amp;""),""))),"")&lt;='Scale score'!$B$7),IFERROR(VALUE(IF(TRIM('Scale score'!$B$5&amp;"")="","",IFERROR(TRIM(INDEX($A291:$Z291,MATCH('Scale score'!$B$5,$A$1:$Z$1,0))&amp;""),""))),""),""),"")</f>
        <v/>
      </c>
      <c r="AH291" s="41">
        <f>IF(TRIM('Open answers'!$B$5&amp;"")="","",IFERROR(TRIM(INDEX($A291:$Z291,MATCH('Open answers'!$B$5,$A$1:$Z$1,0))&amp;""),""))</f>
        <v/>
      </c>
      <c r="AI291" s="41">
        <f>IF(LEN(AH291)&gt;0,MAX($AI$1:AI290)+1,"")</f>
        <v/>
      </c>
    </row>
    <row r="292">
      <c r="AA292" s="40" t="n"/>
      <c r="AB292" s="41">
        <f>IF(TRIM('Counts'!$B$8&amp;"")="","",IFERROR(TRIM(INDEX($A292:$Z292,MATCH('Counts'!$B$8,$A$1:$Z$1,0))&amp;""),""))</f>
        <v/>
      </c>
      <c r="AC292" s="41">
        <f>IF(TRIM('Counts'!$B$26&amp;"")="","",IFERROR(TRIM(INDEX($A292:$Z292,MATCH('Counts'!$B$26,$A$1:$Z$1,0))&amp;""),""))</f>
        <v/>
      </c>
      <c r="AD292" s="41">
        <f>IF(TRIM('Counts'!$B$44&amp;"")="","",IFERROR(TRIM(INDEX($A292:$Z292,MATCH('Counts'!$B$44,$A$1:$Z$1,0))&amp;""),""))</f>
        <v/>
      </c>
      <c r="AE292" s="41">
        <f>IF(TRIM('Cross-tab'!$B$5&amp;"")="","",IFERROR(TRIM(INDEX($A292:$Z292,MATCH('Cross-tab'!$B$5,$A$1:$Z$1,0))&amp;""),""))</f>
        <v/>
      </c>
      <c r="AF292" s="41">
        <f>IF(TRIM('Cross-tab'!$B$7&amp;"")="","",IFERROR(TRIM(INDEX($A292:$Z292,MATCH('Cross-tab'!$B$7,$A$1:$Z$1,0))&amp;""),""))</f>
        <v/>
      </c>
      <c r="AG292" s="41">
        <f>IF(ISNUMBER(IFERROR(VALUE(IF(TRIM('Scale score'!$B$5&amp;"")="","",IFERROR(TRIM(INDEX($A292:$Z292,MATCH('Scale score'!$B$5,$A$1:$Z$1,0))&amp;""),""))),"")),IF(AND(IFERROR(VALUE(IF(TRIM('Scale score'!$B$5&amp;"")="","",IFERROR(TRIM(INDEX($A292:$Z292,MATCH('Scale score'!$B$5,$A$1:$Z$1,0))&amp;""),""))),"")&gt;='Scale score'!$B$6,IFERROR(VALUE(IF(TRIM('Scale score'!$B$5&amp;"")="","",IFERROR(TRIM(INDEX($A292:$Z292,MATCH('Scale score'!$B$5,$A$1:$Z$1,0))&amp;""),""))),"")&lt;='Scale score'!$B$7),IFERROR(VALUE(IF(TRIM('Scale score'!$B$5&amp;"")="","",IFERROR(TRIM(INDEX($A292:$Z292,MATCH('Scale score'!$B$5,$A$1:$Z$1,0))&amp;""),""))),""),""),"")</f>
        <v/>
      </c>
      <c r="AH292" s="41">
        <f>IF(TRIM('Open answers'!$B$5&amp;"")="","",IFERROR(TRIM(INDEX($A292:$Z292,MATCH('Open answers'!$B$5,$A$1:$Z$1,0))&amp;""),""))</f>
        <v/>
      </c>
      <c r="AI292" s="41">
        <f>IF(LEN(AH292)&gt;0,MAX($AI$1:AI291)+1,"")</f>
        <v/>
      </c>
    </row>
    <row r="293">
      <c r="AA293" s="40" t="n"/>
      <c r="AB293" s="41">
        <f>IF(TRIM('Counts'!$B$8&amp;"")="","",IFERROR(TRIM(INDEX($A293:$Z293,MATCH('Counts'!$B$8,$A$1:$Z$1,0))&amp;""),""))</f>
        <v/>
      </c>
      <c r="AC293" s="41">
        <f>IF(TRIM('Counts'!$B$26&amp;"")="","",IFERROR(TRIM(INDEX($A293:$Z293,MATCH('Counts'!$B$26,$A$1:$Z$1,0))&amp;""),""))</f>
        <v/>
      </c>
      <c r="AD293" s="41">
        <f>IF(TRIM('Counts'!$B$44&amp;"")="","",IFERROR(TRIM(INDEX($A293:$Z293,MATCH('Counts'!$B$44,$A$1:$Z$1,0))&amp;""),""))</f>
        <v/>
      </c>
      <c r="AE293" s="41">
        <f>IF(TRIM('Cross-tab'!$B$5&amp;"")="","",IFERROR(TRIM(INDEX($A293:$Z293,MATCH('Cross-tab'!$B$5,$A$1:$Z$1,0))&amp;""),""))</f>
        <v/>
      </c>
      <c r="AF293" s="41">
        <f>IF(TRIM('Cross-tab'!$B$7&amp;"")="","",IFERROR(TRIM(INDEX($A293:$Z293,MATCH('Cross-tab'!$B$7,$A$1:$Z$1,0))&amp;""),""))</f>
        <v/>
      </c>
      <c r="AG293" s="41">
        <f>IF(ISNUMBER(IFERROR(VALUE(IF(TRIM('Scale score'!$B$5&amp;"")="","",IFERROR(TRIM(INDEX($A293:$Z293,MATCH('Scale score'!$B$5,$A$1:$Z$1,0))&amp;""),""))),"")),IF(AND(IFERROR(VALUE(IF(TRIM('Scale score'!$B$5&amp;"")="","",IFERROR(TRIM(INDEX($A293:$Z293,MATCH('Scale score'!$B$5,$A$1:$Z$1,0))&amp;""),""))),"")&gt;='Scale score'!$B$6,IFERROR(VALUE(IF(TRIM('Scale score'!$B$5&amp;"")="","",IFERROR(TRIM(INDEX($A293:$Z293,MATCH('Scale score'!$B$5,$A$1:$Z$1,0))&amp;""),""))),"")&lt;='Scale score'!$B$7),IFERROR(VALUE(IF(TRIM('Scale score'!$B$5&amp;"")="","",IFERROR(TRIM(INDEX($A293:$Z293,MATCH('Scale score'!$B$5,$A$1:$Z$1,0))&amp;""),""))),""),""),"")</f>
        <v/>
      </c>
      <c r="AH293" s="41">
        <f>IF(TRIM('Open answers'!$B$5&amp;"")="","",IFERROR(TRIM(INDEX($A293:$Z293,MATCH('Open answers'!$B$5,$A$1:$Z$1,0))&amp;""),""))</f>
        <v/>
      </c>
      <c r="AI293" s="41">
        <f>IF(LEN(AH293)&gt;0,MAX($AI$1:AI292)+1,"")</f>
        <v/>
      </c>
    </row>
    <row r="294">
      <c r="AA294" s="40" t="n"/>
      <c r="AB294" s="41">
        <f>IF(TRIM('Counts'!$B$8&amp;"")="","",IFERROR(TRIM(INDEX($A294:$Z294,MATCH('Counts'!$B$8,$A$1:$Z$1,0))&amp;""),""))</f>
        <v/>
      </c>
      <c r="AC294" s="41">
        <f>IF(TRIM('Counts'!$B$26&amp;"")="","",IFERROR(TRIM(INDEX($A294:$Z294,MATCH('Counts'!$B$26,$A$1:$Z$1,0))&amp;""),""))</f>
        <v/>
      </c>
      <c r="AD294" s="41">
        <f>IF(TRIM('Counts'!$B$44&amp;"")="","",IFERROR(TRIM(INDEX($A294:$Z294,MATCH('Counts'!$B$44,$A$1:$Z$1,0))&amp;""),""))</f>
        <v/>
      </c>
      <c r="AE294" s="41">
        <f>IF(TRIM('Cross-tab'!$B$5&amp;"")="","",IFERROR(TRIM(INDEX($A294:$Z294,MATCH('Cross-tab'!$B$5,$A$1:$Z$1,0))&amp;""),""))</f>
        <v/>
      </c>
      <c r="AF294" s="41">
        <f>IF(TRIM('Cross-tab'!$B$7&amp;"")="","",IFERROR(TRIM(INDEX($A294:$Z294,MATCH('Cross-tab'!$B$7,$A$1:$Z$1,0))&amp;""),""))</f>
        <v/>
      </c>
      <c r="AG294" s="41">
        <f>IF(ISNUMBER(IFERROR(VALUE(IF(TRIM('Scale score'!$B$5&amp;"")="","",IFERROR(TRIM(INDEX($A294:$Z294,MATCH('Scale score'!$B$5,$A$1:$Z$1,0))&amp;""),""))),"")),IF(AND(IFERROR(VALUE(IF(TRIM('Scale score'!$B$5&amp;"")="","",IFERROR(TRIM(INDEX($A294:$Z294,MATCH('Scale score'!$B$5,$A$1:$Z$1,0))&amp;""),""))),"")&gt;='Scale score'!$B$6,IFERROR(VALUE(IF(TRIM('Scale score'!$B$5&amp;"")="","",IFERROR(TRIM(INDEX($A294:$Z294,MATCH('Scale score'!$B$5,$A$1:$Z$1,0))&amp;""),""))),"")&lt;='Scale score'!$B$7),IFERROR(VALUE(IF(TRIM('Scale score'!$B$5&amp;"")="","",IFERROR(TRIM(INDEX($A294:$Z294,MATCH('Scale score'!$B$5,$A$1:$Z$1,0))&amp;""),""))),""),""),"")</f>
        <v/>
      </c>
      <c r="AH294" s="41">
        <f>IF(TRIM('Open answers'!$B$5&amp;"")="","",IFERROR(TRIM(INDEX($A294:$Z294,MATCH('Open answers'!$B$5,$A$1:$Z$1,0))&amp;""),""))</f>
        <v/>
      </c>
      <c r="AI294" s="41">
        <f>IF(LEN(AH294)&gt;0,MAX($AI$1:AI293)+1,"")</f>
        <v/>
      </c>
    </row>
    <row r="295">
      <c r="AA295" s="40" t="n"/>
      <c r="AB295" s="41">
        <f>IF(TRIM('Counts'!$B$8&amp;"")="","",IFERROR(TRIM(INDEX($A295:$Z295,MATCH('Counts'!$B$8,$A$1:$Z$1,0))&amp;""),""))</f>
        <v/>
      </c>
      <c r="AC295" s="41">
        <f>IF(TRIM('Counts'!$B$26&amp;"")="","",IFERROR(TRIM(INDEX($A295:$Z295,MATCH('Counts'!$B$26,$A$1:$Z$1,0))&amp;""),""))</f>
        <v/>
      </c>
      <c r="AD295" s="41">
        <f>IF(TRIM('Counts'!$B$44&amp;"")="","",IFERROR(TRIM(INDEX($A295:$Z295,MATCH('Counts'!$B$44,$A$1:$Z$1,0))&amp;""),""))</f>
        <v/>
      </c>
      <c r="AE295" s="41">
        <f>IF(TRIM('Cross-tab'!$B$5&amp;"")="","",IFERROR(TRIM(INDEX($A295:$Z295,MATCH('Cross-tab'!$B$5,$A$1:$Z$1,0))&amp;""),""))</f>
        <v/>
      </c>
      <c r="AF295" s="41">
        <f>IF(TRIM('Cross-tab'!$B$7&amp;"")="","",IFERROR(TRIM(INDEX($A295:$Z295,MATCH('Cross-tab'!$B$7,$A$1:$Z$1,0))&amp;""),""))</f>
        <v/>
      </c>
      <c r="AG295" s="41">
        <f>IF(ISNUMBER(IFERROR(VALUE(IF(TRIM('Scale score'!$B$5&amp;"")="","",IFERROR(TRIM(INDEX($A295:$Z295,MATCH('Scale score'!$B$5,$A$1:$Z$1,0))&amp;""),""))),"")),IF(AND(IFERROR(VALUE(IF(TRIM('Scale score'!$B$5&amp;"")="","",IFERROR(TRIM(INDEX($A295:$Z295,MATCH('Scale score'!$B$5,$A$1:$Z$1,0))&amp;""),""))),"")&gt;='Scale score'!$B$6,IFERROR(VALUE(IF(TRIM('Scale score'!$B$5&amp;"")="","",IFERROR(TRIM(INDEX($A295:$Z295,MATCH('Scale score'!$B$5,$A$1:$Z$1,0))&amp;""),""))),"")&lt;='Scale score'!$B$7),IFERROR(VALUE(IF(TRIM('Scale score'!$B$5&amp;"")="","",IFERROR(TRIM(INDEX($A295:$Z295,MATCH('Scale score'!$B$5,$A$1:$Z$1,0))&amp;""),""))),""),""),"")</f>
        <v/>
      </c>
      <c r="AH295" s="41">
        <f>IF(TRIM('Open answers'!$B$5&amp;"")="","",IFERROR(TRIM(INDEX($A295:$Z295,MATCH('Open answers'!$B$5,$A$1:$Z$1,0))&amp;""),""))</f>
        <v/>
      </c>
      <c r="AI295" s="41">
        <f>IF(LEN(AH295)&gt;0,MAX($AI$1:AI294)+1,"")</f>
        <v/>
      </c>
    </row>
    <row r="296">
      <c r="AA296" s="40" t="n"/>
      <c r="AB296" s="41">
        <f>IF(TRIM('Counts'!$B$8&amp;"")="","",IFERROR(TRIM(INDEX($A296:$Z296,MATCH('Counts'!$B$8,$A$1:$Z$1,0))&amp;""),""))</f>
        <v/>
      </c>
      <c r="AC296" s="41">
        <f>IF(TRIM('Counts'!$B$26&amp;"")="","",IFERROR(TRIM(INDEX($A296:$Z296,MATCH('Counts'!$B$26,$A$1:$Z$1,0))&amp;""),""))</f>
        <v/>
      </c>
      <c r="AD296" s="41">
        <f>IF(TRIM('Counts'!$B$44&amp;"")="","",IFERROR(TRIM(INDEX($A296:$Z296,MATCH('Counts'!$B$44,$A$1:$Z$1,0))&amp;""),""))</f>
        <v/>
      </c>
      <c r="AE296" s="41">
        <f>IF(TRIM('Cross-tab'!$B$5&amp;"")="","",IFERROR(TRIM(INDEX($A296:$Z296,MATCH('Cross-tab'!$B$5,$A$1:$Z$1,0))&amp;""),""))</f>
        <v/>
      </c>
      <c r="AF296" s="41">
        <f>IF(TRIM('Cross-tab'!$B$7&amp;"")="","",IFERROR(TRIM(INDEX($A296:$Z296,MATCH('Cross-tab'!$B$7,$A$1:$Z$1,0))&amp;""),""))</f>
        <v/>
      </c>
      <c r="AG296" s="41">
        <f>IF(ISNUMBER(IFERROR(VALUE(IF(TRIM('Scale score'!$B$5&amp;"")="","",IFERROR(TRIM(INDEX($A296:$Z296,MATCH('Scale score'!$B$5,$A$1:$Z$1,0))&amp;""),""))),"")),IF(AND(IFERROR(VALUE(IF(TRIM('Scale score'!$B$5&amp;"")="","",IFERROR(TRIM(INDEX($A296:$Z296,MATCH('Scale score'!$B$5,$A$1:$Z$1,0))&amp;""),""))),"")&gt;='Scale score'!$B$6,IFERROR(VALUE(IF(TRIM('Scale score'!$B$5&amp;"")="","",IFERROR(TRIM(INDEX($A296:$Z296,MATCH('Scale score'!$B$5,$A$1:$Z$1,0))&amp;""),""))),"")&lt;='Scale score'!$B$7),IFERROR(VALUE(IF(TRIM('Scale score'!$B$5&amp;"")="","",IFERROR(TRIM(INDEX($A296:$Z296,MATCH('Scale score'!$B$5,$A$1:$Z$1,0))&amp;""),""))),""),""),"")</f>
        <v/>
      </c>
      <c r="AH296" s="41">
        <f>IF(TRIM('Open answers'!$B$5&amp;"")="","",IFERROR(TRIM(INDEX($A296:$Z296,MATCH('Open answers'!$B$5,$A$1:$Z$1,0))&amp;""),""))</f>
        <v/>
      </c>
      <c r="AI296" s="41">
        <f>IF(LEN(AH296)&gt;0,MAX($AI$1:AI295)+1,"")</f>
        <v/>
      </c>
    </row>
    <row r="297">
      <c r="AA297" s="40" t="n"/>
      <c r="AB297" s="41">
        <f>IF(TRIM('Counts'!$B$8&amp;"")="","",IFERROR(TRIM(INDEX($A297:$Z297,MATCH('Counts'!$B$8,$A$1:$Z$1,0))&amp;""),""))</f>
        <v/>
      </c>
      <c r="AC297" s="41">
        <f>IF(TRIM('Counts'!$B$26&amp;"")="","",IFERROR(TRIM(INDEX($A297:$Z297,MATCH('Counts'!$B$26,$A$1:$Z$1,0))&amp;""),""))</f>
        <v/>
      </c>
      <c r="AD297" s="41">
        <f>IF(TRIM('Counts'!$B$44&amp;"")="","",IFERROR(TRIM(INDEX($A297:$Z297,MATCH('Counts'!$B$44,$A$1:$Z$1,0))&amp;""),""))</f>
        <v/>
      </c>
      <c r="AE297" s="41">
        <f>IF(TRIM('Cross-tab'!$B$5&amp;"")="","",IFERROR(TRIM(INDEX($A297:$Z297,MATCH('Cross-tab'!$B$5,$A$1:$Z$1,0))&amp;""),""))</f>
        <v/>
      </c>
      <c r="AF297" s="41">
        <f>IF(TRIM('Cross-tab'!$B$7&amp;"")="","",IFERROR(TRIM(INDEX($A297:$Z297,MATCH('Cross-tab'!$B$7,$A$1:$Z$1,0))&amp;""),""))</f>
        <v/>
      </c>
      <c r="AG297" s="41">
        <f>IF(ISNUMBER(IFERROR(VALUE(IF(TRIM('Scale score'!$B$5&amp;"")="","",IFERROR(TRIM(INDEX($A297:$Z297,MATCH('Scale score'!$B$5,$A$1:$Z$1,0))&amp;""),""))),"")),IF(AND(IFERROR(VALUE(IF(TRIM('Scale score'!$B$5&amp;"")="","",IFERROR(TRIM(INDEX($A297:$Z297,MATCH('Scale score'!$B$5,$A$1:$Z$1,0))&amp;""),""))),"")&gt;='Scale score'!$B$6,IFERROR(VALUE(IF(TRIM('Scale score'!$B$5&amp;"")="","",IFERROR(TRIM(INDEX($A297:$Z297,MATCH('Scale score'!$B$5,$A$1:$Z$1,0))&amp;""),""))),"")&lt;='Scale score'!$B$7),IFERROR(VALUE(IF(TRIM('Scale score'!$B$5&amp;"")="","",IFERROR(TRIM(INDEX($A297:$Z297,MATCH('Scale score'!$B$5,$A$1:$Z$1,0))&amp;""),""))),""),""),"")</f>
        <v/>
      </c>
      <c r="AH297" s="41">
        <f>IF(TRIM('Open answers'!$B$5&amp;"")="","",IFERROR(TRIM(INDEX($A297:$Z297,MATCH('Open answers'!$B$5,$A$1:$Z$1,0))&amp;""),""))</f>
        <v/>
      </c>
      <c r="AI297" s="41">
        <f>IF(LEN(AH297)&gt;0,MAX($AI$1:AI296)+1,"")</f>
        <v/>
      </c>
    </row>
    <row r="298">
      <c r="AA298" s="40" t="n"/>
      <c r="AB298" s="41">
        <f>IF(TRIM('Counts'!$B$8&amp;"")="","",IFERROR(TRIM(INDEX($A298:$Z298,MATCH('Counts'!$B$8,$A$1:$Z$1,0))&amp;""),""))</f>
        <v/>
      </c>
      <c r="AC298" s="41">
        <f>IF(TRIM('Counts'!$B$26&amp;"")="","",IFERROR(TRIM(INDEX($A298:$Z298,MATCH('Counts'!$B$26,$A$1:$Z$1,0))&amp;""),""))</f>
        <v/>
      </c>
      <c r="AD298" s="41">
        <f>IF(TRIM('Counts'!$B$44&amp;"")="","",IFERROR(TRIM(INDEX($A298:$Z298,MATCH('Counts'!$B$44,$A$1:$Z$1,0))&amp;""),""))</f>
        <v/>
      </c>
      <c r="AE298" s="41">
        <f>IF(TRIM('Cross-tab'!$B$5&amp;"")="","",IFERROR(TRIM(INDEX($A298:$Z298,MATCH('Cross-tab'!$B$5,$A$1:$Z$1,0))&amp;""),""))</f>
        <v/>
      </c>
      <c r="AF298" s="41">
        <f>IF(TRIM('Cross-tab'!$B$7&amp;"")="","",IFERROR(TRIM(INDEX($A298:$Z298,MATCH('Cross-tab'!$B$7,$A$1:$Z$1,0))&amp;""),""))</f>
        <v/>
      </c>
      <c r="AG298" s="41">
        <f>IF(ISNUMBER(IFERROR(VALUE(IF(TRIM('Scale score'!$B$5&amp;"")="","",IFERROR(TRIM(INDEX($A298:$Z298,MATCH('Scale score'!$B$5,$A$1:$Z$1,0))&amp;""),""))),"")),IF(AND(IFERROR(VALUE(IF(TRIM('Scale score'!$B$5&amp;"")="","",IFERROR(TRIM(INDEX($A298:$Z298,MATCH('Scale score'!$B$5,$A$1:$Z$1,0))&amp;""),""))),"")&gt;='Scale score'!$B$6,IFERROR(VALUE(IF(TRIM('Scale score'!$B$5&amp;"")="","",IFERROR(TRIM(INDEX($A298:$Z298,MATCH('Scale score'!$B$5,$A$1:$Z$1,0))&amp;""),""))),"")&lt;='Scale score'!$B$7),IFERROR(VALUE(IF(TRIM('Scale score'!$B$5&amp;"")="","",IFERROR(TRIM(INDEX($A298:$Z298,MATCH('Scale score'!$B$5,$A$1:$Z$1,0))&amp;""),""))),""),""),"")</f>
        <v/>
      </c>
      <c r="AH298" s="41">
        <f>IF(TRIM('Open answers'!$B$5&amp;"")="","",IFERROR(TRIM(INDEX($A298:$Z298,MATCH('Open answers'!$B$5,$A$1:$Z$1,0))&amp;""),""))</f>
        <v/>
      </c>
      <c r="AI298" s="41">
        <f>IF(LEN(AH298)&gt;0,MAX($AI$1:AI297)+1,"")</f>
        <v/>
      </c>
    </row>
    <row r="299">
      <c r="AA299" s="40" t="n"/>
      <c r="AB299" s="41">
        <f>IF(TRIM('Counts'!$B$8&amp;"")="","",IFERROR(TRIM(INDEX($A299:$Z299,MATCH('Counts'!$B$8,$A$1:$Z$1,0))&amp;""),""))</f>
        <v/>
      </c>
      <c r="AC299" s="41">
        <f>IF(TRIM('Counts'!$B$26&amp;"")="","",IFERROR(TRIM(INDEX($A299:$Z299,MATCH('Counts'!$B$26,$A$1:$Z$1,0))&amp;""),""))</f>
        <v/>
      </c>
      <c r="AD299" s="41">
        <f>IF(TRIM('Counts'!$B$44&amp;"")="","",IFERROR(TRIM(INDEX($A299:$Z299,MATCH('Counts'!$B$44,$A$1:$Z$1,0))&amp;""),""))</f>
        <v/>
      </c>
      <c r="AE299" s="41">
        <f>IF(TRIM('Cross-tab'!$B$5&amp;"")="","",IFERROR(TRIM(INDEX($A299:$Z299,MATCH('Cross-tab'!$B$5,$A$1:$Z$1,0))&amp;""),""))</f>
        <v/>
      </c>
      <c r="AF299" s="41">
        <f>IF(TRIM('Cross-tab'!$B$7&amp;"")="","",IFERROR(TRIM(INDEX($A299:$Z299,MATCH('Cross-tab'!$B$7,$A$1:$Z$1,0))&amp;""),""))</f>
        <v/>
      </c>
      <c r="AG299" s="41">
        <f>IF(ISNUMBER(IFERROR(VALUE(IF(TRIM('Scale score'!$B$5&amp;"")="","",IFERROR(TRIM(INDEX($A299:$Z299,MATCH('Scale score'!$B$5,$A$1:$Z$1,0))&amp;""),""))),"")),IF(AND(IFERROR(VALUE(IF(TRIM('Scale score'!$B$5&amp;"")="","",IFERROR(TRIM(INDEX($A299:$Z299,MATCH('Scale score'!$B$5,$A$1:$Z$1,0))&amp;""),""))),"")&gt;='Scale score'!$B$6,IFERROR(VALUE(IF(TRIM('Scale score'!$B$5&amp;"")="","",IFERROR(TRIM(INDEX($A299:$Z299,MATCH('Scale score'!$B$5,$A$1:$Z$1,0))&amp;""),""))),"")&lt;='Scale score'!$B$7),IFERROR(VALUE(IF(TRIM('Scale score'!$B$5&amp;"")="","",IFERROR(TRIM(INDEX($A299:$Z299,MATCH('Scale score'!$B$5,$A$1:$Z$1,0))&amp;""),""))),""),""),"")</f>
        <v/>
      </c>
      <c r="AH299" s="41">
        <f>IF(TRIM('Open answers'!$B$5&amp;"")="","",IFERROR(TRIM(INDEX($A299:$Z299,MATCH('Open answers'!$B$5,$A$1:$Z$1,0))&amp;""),""))</f>
        <v/>
      </c>
      <c r="AI299" s="41">
        <f>IF(LEN(AH299)&gt;0,MAX($AI$1:AI298)+1,"")</f>
        <v/>
      </c>
    </row>
    <row r="300">
      <c r="AA300" s="40" t="n"/>
      <c r="AB300" s="41">
        <f>IF(TRIM('Counts'!$B$8&amp;"")="","",IFERROR(TRIM(INDEX($A300:$Z300,MATCH('Counts'!$B$8,$A$1:$Z$1,0))&amp;""),""))</f>
        <v/>
      </c>
      <c r="AC300" s="41">
        <f>IF(TRIM('Counts'!$B$26&amp;"")="","",IFERROR(TRIM(INDEX($A300:$Z300,MATCH('Counts'!$B$26,$A$1:$Z$1,0))&amp;""),""))</f>
        <v/>
      </c>
      <c r="AD300" s="41">
        <f>IF(TRIM('Counts'!$B$44&amp;"")="","",IFERROR(TRIM(INDEX($A300:$Z300,MATCH('Counts'!$B$44,$A$1:$Z$1,0))&amp;""),""))</f>
        <v/>
      </c>
      <c r="AE300" s="41">
        <f>IF(TRIM('Cross-tab'!$B$5&amp;"")="","",IFERROR(TRIM(INDEX($A300:$Z300,MATCH('Cross-tab'!$B$5,$A$1:$Z$1,0))&amp;""),""))</f>
        <v/>
      </c>
      <c r="AF300" s="41">
        <f>IF(TRIM('Cross-tab'!$B$7&amp;"")="","",IFERROR(TRIM(INDEX($A300:$Z300,MATCH('Cross-tab'!$B$7,$A$1:$Z$1,0))&amp;""),""))</f>
        <v/>
      </c>
      <c r="AG300" s="41">
        <f>IF(ISNUMBER(IFERROR(VALUE(IF(TRIM('Scale score'!$B$5&amp;"")="","",IFERROR(TRIM(INDEX($A300:$Z300,MATCH('Scale score'!$B$5,$A$1:$Z$1,0))&amp;""),""))),"")),IF(AND(IFERROR(VALUE(IF(TRIM('Scale score'!$B$5&amp;"")="","",IFERROR(TRIM(INDEX($A300:$Z300,MATCH('Scale score'!$B$5,$A$1:$Z$1,0))&amp;""),""))),"")&gt;='Scale score'!$B$6,IFERROR(VALUE(IF(TRIM('Scale score'!$B$5&amp;"")="","",IFERROR(TRIM(INDEX($A300:$Z300,MATCH('Scale score'!$B$5,$A$1:$Z$1,0))&amp;""),""))),"")&lt;='Scale score'!$B$7),IFERROR(VALUE(IF(TRIM('Scale score'!$B$5&amp;"")="","",IFERROR(TRIM(INDEX($A300:$Z300,MATCH('Scale score'!$B$5,$A$1:$Z$1,0))&amp;""),""))),""),""),"")</f>
        <v/>
      </c>
      <c r="AH300" s="41">
        <f>IF(TRIM('Open answers'!$B$5&amp;"")="","",IFERROR(TRIM(INDEX($A300:$Z300,MATCH('Open answers'!$B$5,$A$1:$Z$1,0))&amp;""),""))</f>
        <v/>
      </c>
      <c r="AI300" s="41">
        <f>IF(LEN(AH300)&gt;0,MAX($AI$1:AI299)+1,"")</f>
        <v/>
      </c>
    </row>
    <row r="301">
      <c r="AA301" s="40" t="n"/>
      <c r="AB301" s="41">
        <f>IF(TRIM('Counts'!$B$8&amp;"")="","",IFERROR(TRIM(INDEX($A301:$Z301,MATCH('Counts'!$B$8,$A$1:$Z$1,0))&amp;""),""))</f>
        <v/>
      </c>
      <c r="AC301" s="41">
        <f>IF(TRIM('Counts'!$B$26&amp;"")="","",IFERROR(TRIM(INDEX($A301:$Z301,MATCH('Counts'!$B$26,$A$1:$Z$1,0))&amp;""),""))</f>
        <v/>
      </c>
      <c r="AD301" s="41">
        <f>IF(TRIM('Counts'!$B$44&amp;"")="","",IFERROR(TRIM(INDEX($A301:$Z301,MATCH('Counts'!$B$44,$A$1:$Z$1,0))&amp;""),""))</f>
        <v/>
      </c>
      <c r="AE301" s="41">
        <f>IF(TRIM('Cross-tab'!$B$5&amp;"")="","",IFERROR(TRIM(INDEX($A301:$Z301,MATCH('Cross-tab'!$B$5,$A$1:$Z$1,0))&amp;""),""))</f>
        <v/>
      </c>
      <c r="AF301" s="41">
        <f>IF(TRIM('Cross-tab'!$B$7&amp;"")="","",IFERROR(TRIM(INDEX($A301:$Z301,MATCH('Cross-tab'!$B$7,$A$1:$Z$1,0))&amp;""),""))</f>
        <v/>
      </c>
      <c r="AG301" s="41">
        <f>IF(ISNUMBER(IFERROR(VALUE(IF(TRIM('Scale score'!$B$5&amp;"")="","",IFERROR(TRIM(INDEX($A301:$Z301,MATCH('Scale score'!$B$5,$A$1:$Z$1,0))&amp;""),""))),"")),IF(AND(IFERROR(VALUE(IF(TRIM('Scale score'!$B$5&amp;"")="","",IFERROR(TRIM(INDEX($A301:$Z301,MATCH('Scale score'!$B$5,$A$1:$Z$1,0))&amp;""),""))),"")&gt;='Scale score'!$B$6,IFERROR(VALUE(IF(TRIM('Scale score'!$B$5&amp;"")="","",IFERROR(TRIM(INDEX($A301:$Z301,MATCH('Scale score'!$B$5,$A$1:$Z$1,0))&amp;""),""))),"")&lt;='Scale score'!$B$7),IFERROR(VALUE(IF(TRIM('Scale score'!$B$5&amp;"")="","",IFERROR(TRIM(INDEX($A301:$Z301,MATCH('Scale score'!$B$5,$A$1:$Z$1,0))&amp;""),""))),""),""),"")</f>
        <v/>
      </c>
      <c r="AH301" s="41">
        <f>IF(TRIM('Open answers'!$B$5&amp;"")="","",IFERROR(TRIM(INDEX($A301:$Z301,MATCH('Open answers'!$B$5,$A$1:$Z$1,0))&amp;""),""))</f>
        <v/>
      </c>
      <c r="AI301" s="41">
        <f>IF(LEN(AH301)&gt;0,MAX($AI$1:AI300)+1,"")</f>
        <v/>
      </c>
    </row>
    <row r="302">
      <c r="AA302" s="40" t="n"/>
      <c r="AB302" s="41">
        <f>IF(TRIM('Counts'!$B$8&amp;"")="","",IFERROR(TRIM(INDEX($A302:$Z302,MATCH('Counts'!$B$8,$A$1:$Z$1,0))&amp;""),""))</f>
        <v/>
      </c>
      <c r="AC302" s="41">
        <f>IF(TRIM('Counts'!$B$26&amp;"")="","",IFERROR(TRIM(INDEX($A302:$Z302,MATCH('Counts'!$B$26,$A$1:$Z$1,0))&amp;""),""))</f>
        <v/>
      </c>
      <c r="AD302" s="41">
        <f>IF(TRIM('Counts'!$B$44&amp;"")="","",IFERROR(TRIM(INDEX($A302:$Z302,MATCH('Counts'!$B$44,$A$1:$Z$1,0))&amp;""),""))</f>
        <v/>
      </c>
      <c r="AE302" s="41">
        <f>IF(TRIM('Cross-tab'!$B$5&amp;"")="","",IFERROR(TRIM(INDEX($A302:$Z302,MATCH('Cross-tab'!$B$5,$A$1:$Z$1,0))&amp;""),""))</f>
        <v/>
      </c>
      <c r="AF302" s="41">
        <f>IF(TRIM('Cross-tab'!$B$7&amp;"")="","",IFERROR(TRIM(INDEX($A302:$Z302,MATCH('Cross-tab'!$B$7,$A$1:$Z$1,0))&amp;""),""))</f>
        <v/>
      </c>
      <c r="AG302" s="41">
        <f>IF(ISNUMBER(IFERROR(VALUE(IF(TRIM('Scale score'!$B$5&amp;"")="","",IFERROR(TRIM(INDEX($A302:$Z302,MATCH('Scale score'!$B$5,$A$1:$Z$1,0))&amp;""),""))),"")),IF(AND(IFERROR(VALUE(IF(TRIM('Scale score'!$B$5&amp;"")="","",IFERROR(TRIM(INDEX($A302:$Z302,MATCH('Scale score'!$B$5,$A$1:$Z$1,0))&amp;""),""))),"")&gt;='Scale score'!$B$6,IFERROR(VALUE(IF(TRIM('Scale score'!$B$5&amp;"")="","",IFERROR(TRIM(INDEX($A302:$Z302,MATCH('Scale score'!$B$5,$A$1:$Z$1,0))&amp;""),""))),"")&lt;='Scale score'!$B$7),IFERROR(VALUE(IF(TRIM('Scale score'!$B$5&amp;"")="","",IFERROR(TRIM(INDEX($A302:$Z302,MATCH('Scale score'!$B$5,$A$1:$Z$1,0))&amp;""),""))),""),""),"")</f>
        <v/>
      </c>
      <c r="AH302" s="41">
        <f>IF(TRIM('Open answers'!$B$5&amp;"")="","",IFERROR(TRIM(INDEX($A302:$Z302,MATCH('Open answers'!$B$5,$A$1:$Z$1,0))&amp;""),""))</f>
        <v/>
      </c>
      <c r="AI302" s="41">
        <f>IF(LEN(AH302)&gt;0,MAX($AI$1:AI301)+1,"")</f>
        <v/>
      </c>
    </row>
    <row r="303">
      <c r="AA303" s="40" t="n"/>
      <c r="AB303" s="41">
        <f>IF(TRIM('Counts'!$B$8&amp;"")="","",IFERROR(TRIM(INDEX($A303:$Z303,MATCH('Counts'!$B$8,$A$1:$Z$1,0))&amp;""),""))</f>
        <v/>
      </c>
      <c r="AC303" s="41">
        <f>IF(TRIM('Counts'!$B$26&amp;"")="","",IFERROR(TRIM(INDEX($A303:$Z303,MATCH('Counts'!$B$26,$A$1:$Z$1,0))&amp;""),""))</f>
        <v/>
      </c>
      <c r="AD303" s="41">
        <f>IF(TRIM('Counts'!$B$44&amp;"")="","",IFERROR(TRIM(INDEX($A303:$Z303,MATCH('Counts'!$B$44,$A$1:$Z$1,0))&amp;""),""))</f>
        <v/>
      </c>
      <c r="AE303" s="41">
        <f>IF(TRIM('Cross-tab'!$B$5&amp;"")="","",IFERROR(TRIM(INDEX($A303:$Z303,MATCH('Cross-tab'!$B$5,$A$1:$Z$1,0))&amp;""),""))</f>
        <v/>
      </c>
      <c r="AF303" s="41">
        <f>IF(TRIM('Cross-tab'!$B$7&amp;"")="","",IFERROR(TRIM(INDEX($A303:$Z303,MATCH('Cross-tab'!$B$7,$A$1:$Z$1,0))&amp;""),""))</f>
        <v/>
      </c>
      <c r="AG303" s="41">
        <f>IF(ISNUMBER(IFERROR(VALUE(IF(TRIM('Scale score'!$B$5&amp;"")="","",IFERROR(TRIM(INDEX($A303:$Z303,MATCH('Scale score'!$B$5,$A$1:$Z$1,0))&amp;""),""))),"")),IF(AND(IFERROR(VALUE(IF(TRIM('Scale score'!$B$5&amp;"")="","",IFERROR(TRIM(INDEX($A303:$Z303,MATCH('Scale score'!$B$5,$A$1:$Z$1,0))&amp;""),""))),"")&gt;='Scale score'!$B$6,IFERROR(VALUE(IF(TRIM('Scale score'!$B$5&amp;"")="","",IFERROR(TRIM(INDEX($A303:$Z303,MATCH('Scale score'!$B$5,$A$1:$Z$1,0))&amp;""),""))),"")&lt;='Scale score'!$B$7),IFERROR(VALUE(IF(TRIM('Scale score'!$B$5&amp;"")="","",IFERROR(TRIM(INDEX($A303:$Z303,MATCH('Scale score'!$B$5,$A$1:$Z$1,0))&amp;""),""))),""),""),"")</f>
        <v/>
      </c>
      <c r="AH303" s="41">
        <f>IF(TRIM('Open answers'!$B$5&amp;"")="","",IFERROR(TRIM(INDEX($A303:$Z303,MATCH('Open answers'!$B$5,$A$1:$Z$1,0))&amp;""),""))</f>
        <v/>
      </c>
      <c r="AI303" s="41">
        <f>IF(LEN(AH303)&gt;0,MAX($AI$1:AI302)+1,"")</f>
        <v/>
      </c>
    </row>
    <row r="304">
      <c r="AA304" s="40" t="n"/>
      <c r="AB304" s="41">
        <f>IF(TRIM('Counts'!$B$8&amp;"")="","",IFERROR(TRIM(INDEX($A304:$Z304,MATCH('Counts'!$B$8,$A$1:$Z$1,0))&amp;""),""))</f>
        <v/>
      </c>
      <c r="AC304" s="41">
        <f>IF(TRIM('Counts'!$B$26&amp;"")="","",IFERROR(TRIM(INDEX($A304:$Z304,MATCH('Counts'!$B$26,$A$1:$Z$1,0))&amp;""),""))</f>
        <v/>
      </c>
      <c r="AD304" s="41">
        <f>IF(TRIM('Counts'!$B$44&amp;"")="","",IFERROR(TRIM(INDEX($A304:$Z304,MATCH('Counts'!$B$44,$A$1:$Z$1,0))&amp;""),""))</f>
        <v/>
      </c>
      <c r="AE304" s="41">
        <f>IF(TRIM('Cross-tab'!$B$5&amp;"")="","",IFERROR(TRIM(INDEX($A304:$Z304,MATCH('Cross-tab'!$B$5,$A$1:$Z$1,0))&amp;""),""))</f>
        <v/>
      </c>
      <c r="AF304" s="41">
        <f>IF(TRIM('Cross-tab'!$B$7&amp;"")="","",IFERROR(TRIM(INDEX($A304:$Z304,MATCH('Cross-tab'!$B$7,$A$1:$Z$1,0))&amp;""),""))</f>
        <v/>
      </c>
      <c r="AG304" s="41">
        <f>IF(ISNUMBER(IFERROR(VALUE(IF(TRIM('Scale score'!$B$5&amp;"")="","",IFERROR(TRIM(INDEX($A304:$Z304,MATCH('Scale score'!$B$5,$A$1:$Z$1,0))&amp;""),""))),"")),IF(AND(IFERROR(VALUE(IF(TRIM('Scale score'!$B$5&amp;"")="","",IFERROR(TRIM(INDEX($A304:$Z304,MATCH('Scale score'!$B$5,$A$1:$Z$1,0))&amp;""),""))),"")&gt;='Scale score'!$B$6,IFERROR(VALUE(IF(TRIM('Scale score'!$B$5&amp;"")="","",IFERROR(TRIM(INDEX($A304:$Z304,MATCH('Scale score'!$B$5,$A$1:$Z$1,0))&amp;""),""))),"")&lt;='Scale score'!$B$7),IFERROR(VALUE(IF(TRIM('Scale score'!$B$5&amp;"")="","",IFERROR(TRIM(INDEX($A304:$Z304,MATCH('Scale score'!$B$5,$A$1:$Z$1,0))&amp;""),""))),""),""),"")</f>
        <v/>
      </c>
      <c r="AH304" s="41">
        <f>IF(TRIM('Open answers'!$B$5&amp;"")="","",IFERROR(TRIM(INDEX($A304:$Z304,MATCH('Open answers'!$B$5,$A$1:$Z$1,0))&amp;""),""))</f>
        <v/>
      </c>
      <c r="AI304" s="41">
        <f>IF(LEN(AH304)&gt;0,MAX($AI$1:AI303)+1,"")</f>
        <v/>
      </c>
    </row>
    <row r="305">
      <c r="AA305" s="40" t="n"/>
      <c r="AB305" s="41">
        <f>IF(TRIM('Counts'!$B$8&amp;"")="","",IFERROR(TRIM(INDEX($A305:$Z305,MATCH('Counts'!$B$8,$A$1:$Z$1,0))&amp;""),""))</f>
        <v/>
      </c>
      <c r="AC305" s="41">
        <f>IF(TRIM('Counts'!$B$26&amp;"")="","",IFERROR(TRIM(INDEX($A305:$Z305,MATCH('Counts'!$B$26,$A$1:$Z$1,0))&amp;""),""))</f>
        <v/>
      </c>
      <c r="AD305" s="41">
        <f>IF(TRIM('Counts'!$B$44&amp;"")="","",IFERROR(TRIM(INDEX($A305:$Z305,MATCH('Counts'!$B$44,$A$1:$Z$1,0))&amp;""),""))</f>
        <v/>
      </c>
      <c r="AE305" s="41">
        <f>IF(TRIM('Cross-tab'!$B$5&amp;"")="","",IFERROR(TRIM(INDEX($A305:$Z305,MATCH('Cross-tab'!$B$5,$A$1:$Z$1,0))&amp;""),""))</f>
        <v/>
      </c>
      <c r="AF305" s="41">
        <f>IF(TRIM('Cross-tab'!$B$7&amp;"")="","",IFERROR(TRIM(INDEX($A305:$Z305,MATCH('Cross-tab'!$B$7,$A$1:$Z$1,0))&amp;""),""))</f>
        <v/>
      </c>
      <c r="AG305" s="41">
        <f>IF(ISNUMBER(IFERROR(VALUE(IF(TRIM('Scale score'!$B$5&amp;"")="","",IFERROR(TRIM(INDEX($A305:$Z305,MATCH('Scale score'!$B$5,$A$1:$Z$1,0))&amp;""),""))),"")),IF(AND(IFERROR(VALUE(IF(TRIM('Scale score'!$B$5&amp;"")="","",IFERROR(TRIM(INDEX($A305:$Z305,MATCH('Scale score'!$B$5,$A$1:$Z$1,0))&amp;""),""))),"")&gt;='Scale score'!$B$6,IFERROR(VALUE(IF(TRIM('Scale score'!$B$5&amp;"")="","",IFERROR(TRIM(INDEX($A305:$Z305,MATCH('Scale score'!$B$5,$A$1:$Z$1,0))&amp;""),""))),"")&lt;='Scale score'!$B$7),IFERROR(VALUE(IF(TRIM('Scale score'!$B$5&amp;"")="","",IFERROR(TRIM(INDEX($A305:$Z305,MATCH('Scale score'!$B$5,$A$1:$Z$1,0))&amp;""),""))),""),""),"")</f>
        <v/>
      </c>
      <c r="AH305" s="41">
        <f>IF(TRIM('Open answers'!$B$5&amp;"")="","",IFERROR(TRIM(INDEX($A305:$Z305,MATCH('Open answers'!$B$5,$A$1:$Z$1,0))&amp;""),""))</f>
        <v/>
      </c>
      <c r="AI305" s="41">
        <f>IF(LEN(AH305)&gt;0,MAX($AI$1:AI304)+1,"")</f>
        <v/>
      </c>
    </row>
    <row r="306">
      <c r="AA306" s="40" t="n"/>
      <c r="AB306" s="41">
        <f>IF(TRIM('Counts'!$B$8&amp;"")="","",IFERROR(TRIM(INDEX($A306:$Z306,MATCH('Counts'!$B$8,$A$1:$Z$1,0))&amp;""),""))</f>
        <v/>
      </c>
      <c r="AC306" s="41">
        <f>IF(TRIM('Counts'!$B$26&amp;"")="","",IFERROR(TRIM(INDEX($A306:$Z306,MATCH('Counts'!$B$26,$A$1:$Z$1,0))&amp;""),""))</f>
        <v/>
      </c>
      <c r="AD306" s="41">
        <f>IF(TRIM('Counts'!$B$44&amp;"")="","",IFERROR(TRIM(INDEX($A306:$Z306,MATCH('Counts'!$B$44,$A$1:$Z$1,0))&amp;""),""))</f>
        <v/>
      </c>
      <c r="AE306" s="41">
        <f>IF(TRIM('Cross-tab'!$B$5&amp;"")="","",IFERROR(TRIM(INDEX($A306:$Z306,MATCH('Cross-tab'!$B$5,$A$1:$Z$1,0))&amp;""),""))</f>
        <v/>
      </c>
      <c r="AF306" s="41">
        <f>IF(TRIM('Cross-tab'!$B$7&amp;"")="","",IFERROR(TRIM(INDEX($A306:$Z306,MATCH('Cross-tab'!$B$7,$A$1:$Z$1,0))&amp;""),""))</f>
        <v/>
      </c>
      <c r="AG306" s="41">
        <f>IF(ISNUMBER(IFERROR(VALUE(IF(TRIM('Scale score'!$B$5&amp;"")="","",IFERROR(TRIM(INDEX($A306:$Z306,MATCH('Scale score'!$B$5,$A$1:$Z$1,0))&amp;""),""))),"")),IF(AND(IFERROR(VALUE(IF(TRIM('Scale score'!$B$5&amp;"")="","",IFERROR(TRIM(INDEX($A306:$Z306,MATCH('Scale score'!$B$5,$A$1:$Z$1,0))&amp;""),""))),"")&gt;='Scale score'!$B$6,IFERROR(VALUE(IF(TRIM('Scale score'!$B$5&amp;"")="","",IFERROR(TRIM(INDEX($A306:$Z306,MATCH('Scale score'!$B$5,$A$1:$Z$1,0))&amp;""),""))),"")&lt;='Scale score'!$B$7),IFERROR(VALUE(IF(TRIM('Scale score'!$B$5&amp;"")="","",IFERROR(TRIM(INDEX($A306:$Z306,MATCH('Scale score'!$B$5,$A$1:$Z$1,0))&amp;""),""))),""),""),"")</f>
        <v/>
      </c>
      <c r="AH306" s="41">
        <f>IF(TRIM('Open answers'!$B$5&amp;"")="","",IFERROR(TRIM(INDEX($A306:$Z306,MATCH('Open answers'!$B$5,$A$1:$Z$1,0))&amp;""),""))</f>
        <v/>
      </c>
      <c r="AI306" s="41">
        <f>IF(LEN(AH306)&gt;0,MAX($AI$1:AI305)+1,"")</f>
        <v/>
      </c>
    </row>
    <row r="307">
      <c r="AA307" s="40" t="n"/>
      <c r="AB307" s="41">
        <f>IF(TRIM('Counts'!$B$8&amp;"")="","",IFERROR(TRIM(INDEX($A307:$Z307,MATCH('Counts'!$B$8,$A$1:$Z$1,0))&amp;""),""))</f>
        <v/>
      </c>
      <c r="AC307" s="41">
        <f>IF(TRIM('Counts'!$B$26&amp;"")="","",IFERROR(TRIM(INDEX($A307:$Z307,MATCH('Counts'!$B$26,$A$1:$Z$1,0))&amp;""),""))</f>
        <v/>
      </c>
      <c r="AD307" s="41">
        <f>IF(TRIM('Counts'!$B$44&amp;"")="","",IFERROR(TRIM(INDEX($A307:$Z307,MATCH('Counts'!$B$44,$A$1:$Z$1,0))&amp;""),""))</f>
        <v/>
      </c>
      <c r="AE307" s="41">
        <f>IF(TRIM('Cross-tab'!$B$5&amp;"")="","",IFERROR(TRIM(INDEX($A307:$Z307,MATCH('Cross-tab'!$B$5,$A$1:$Z$1,0))&amp;""),""))</f>
        <v/>
      </c>
      <c r="AF307" s="41">
        <f>IF(TRIM('Cross-tab'!$B$7&amp;"")="","",IFERROR(TRIM(INDEX($A307:$Z307,MATCH('Cross-tab'!$B$7,$A$1:$Z$1,0))&amp;""),""))</f>
        <v/>
      </c>
      <c r="AG307" s="41">
        <f>IF(ISNUMBER(IFERROR(VALUE(IF(TRIM('Scale score'!$B$5&amp;"")="","",IFERROR(TRIM(INDEX($A307:$Z307,MATCH('Scale score'!$B$5,$A$1:$Z$1,0))&amp;""),""))),"")),IF(AND(IFERROR(VALUE(IF(TRIM('Scale score'!$B$5&amp;"")="","",IFERROR(TRIM(INDEX($A307:$Z307,MATCH('Scale score'!$B$5,$A$1:$Z$1,0))&amp;""),""))),"")&gt;='Scale score'!$B$6,IFERROR(VALUE(IF(TRIM('Scale score'!$B$5&amp;"")="","",IFERROR(TRIM(INDEX($A307:$Z307,MATCH('Scale score'!$B$5,$A$1:$Z$1,0))&amp;""),""))),"")&lt;='Scale score'!$B$7),IFERROR(VALUE(IF(TRIM('Scale score'!$B$5&amp;"")="","",IFERROR(TRIM(INDEX($A307:$Z307,MATCH('Scale score'!$B$5,$A$1:$Z$1,0))&amp;""),""))),""),""),"")</f>
        <v/>
      </c>
      <c r="AH307" s="41">
        <f>IF(TRIM('Open answers'!$B$5&amp;"")="","",IFERROR(TRIM(INDEX($A307:$Z307,MATCH('Open answers'!$B$5,$A$1:$Z$1,0))&amp;""),""))</f>
        <v/>
      </c>
      <c r="AI307" s="41">
        <f>IF(LEN(AH307)&gt;0,MAX($AI$1:AI306)+1,"")</f>
        <v/>
      </c>
    </row>
    <row r="308">
      <c r="AA308" s="40" t="n"/>
      <c r="AB308" s="41">
        <f>IF(TRIM('Counts'!$B$8&amp;"")="","",IFERROR(TRIM(INDEX($A308:$Z308,MATCH('Counts'!$B$8,$A$1:$Z$1,0))&amp;""),""))</f>
        <v/>
      </c>
      <c r="AC308" s="41">
        <f>IF(TRIM('Counts'!$B$26&amp;"")="","",IFERROR(TRIM(INDEX($A308:$Z308,MATCH('Counts'!$B$26,$A$1:$Z$1,0))&amp;""),""))</f>
        <v/>
      </c>
      <c r="AD308" s="41">
        <f>IF(TRIM('Counts'!$B$44&amp;"")="","",IFERROR(TRIM(INDEX($A308:$Z308,MATCH('Counts'!$B$44,$A$1:$Z$1,0))&amp;""),""))</f>
        <v/>
      </c>
      <c r="AE308" s="41">
        <f>IF(TRIM('Cross-tab'!$B$5&amp;"")="","",IFERROR(TRIM(INDEX($A308:$Z308,MATCH('Cross-tab'!$B$5,$A$1:$Z$1,0))&amp;""),""))</f>
        <v/>
      </c>
      <c r="AF308" s="41">
        <f>IF(TRIM('Cross-tab'!$B$7&amp;"")="","",IFERROR(TRIM(INDEX($A308:$Z308,MATCH('Cross-tab'!$B$7,$A$1:$Z$1,0))&amp;""),""))</f>
        <v/>
      </c>
      <c r="AG308" s="41">
        <f>IF(ISNUMBER(IFERROR(VALUE(IF(TRIM('Scale score'!$B$5&amp;"")="","",IFERROR(TRIM(INDEX($A308:$Z308,MATCH('Scale score'!$B$5,$A$1:$Z$1,0))&amp;""),""))),"")),IF(AND(IFERROR(VALUE(IF(TRIM('Scale score'!$B$5&amp;"")="","",IFERROR(TRIM(INDEX($A308:$Z308,MATCH('Scale score'!$B$5,$A$1:$Z$1,0))&amp;""),""))),"")&gt;='Scale score'!$B$6,IFERROR(VALUE(IF(TRIM('Scale score'!$B$5&amp;"")="","",IFERROR(TRIM(INDEX($A308:$Z308,MATCH('Scale score'!$B$5,$A$1:$Z$1,0))&amp;""),""))),"")&lt;='Scale score'!$B$7),IFERROR(VALUE(IF(TRIM('Scale score'!$B$5&amp;"")="","",IFERROR(TRIM(INDEX($A308:$Z308,MATCH('Scale score'!$B$5,$A$1:$Z$1,0))&amp;""),""))),""),""),"")</f>
        <v/>
      </c>
      <c r="AH308" s="41">
        <f>IF(TRIM('Open answers'!$B$5&amp;"")="","",IFERROR(TRIM(INDEX($A308:$Z308,MATCH('Open answers'!$B$5,$A$1:$Z$1,0))&amp;""),""))</f>
        <v/>
      </c>
      <c r="AI308" s="41">
        <f>IF(LEN(AH308)&gt;0,MAX($AI$1:AI307)+1,"")</f>
        <v/>
      </c>
    </row>
    <row r="309">
      <c r="AA309" s="40" t="n"/>
      <c r="AB309" s="41">
        <f>IF(TRIM('Counts'!$B$8&amp;"")="","",IFERROR(TRIM(INDEX($A309:$Z309,MATCH('Counts'!$B$8,$A$1:$Z$1,0))&amp;""),""))</f>
        <v/>
      </c>
      <c r="AC309" s="41">
        <f>IF(TRIM('Counts'!$B$26&amp;"")="","",IFERROR(TRIM(INDEX($A309:$Z309,MATCH('Counts'!$B$26,$A$1:$Z$1,0))&amp;""),""))</f>
        <v/>
      </c>
      <c r="AD309" s="41">
        <f>IF(TRIM('Counts'!$B$44&amp;"")="","",IFERROR(TRIM(INDEX($A309:$Z309,MATCH('Counts'!$B$44,$A$1:$Z$1,0))&amp;""),""))</f>
        <v/>
      </c>
      <c r="AE309" s="41">
        <f>IF(TRIM('Cross-tab'!$B$5&amp;"")="","",IFERROR(TRIM(INDEX($A309:$Z309,MATCH('Cross-tab'!$B$5,$A$1:$Z$1,0))&amp;""),""))</f>
        <v/>
      </c>
      <c r="AF309" s="41">
        <f>IF(TRIM('Cross-tab'!$B$7&amp;"")="","",IFERROR(TRIM(INDEX($A309:$Z309,MATCH('Cross-tab'!$B$7,$A$1:$Z$1,0))&amp;""),""))</f>
        <v/>
      </c>
      <c r="AG309" s="41">
        <f>IF(ISNUMBER(IFERROR(VALUE(IF(TRIM('Scale score'!$B$5&amp;"")="","",IFERROR(TRIM(INDEX($A309:$Z309,MATCH('Scale score'!$B$5,$A$1:$Z$1,0))&amp;""),""))),"")),IF(AND(IFERROR(VALUE(IF(TRIM('Scale score'!$B$5&amp;"")="","",IFERROR(TRIM(INDEX($A309:$Z309,MATCH('Scale score'!$B$5,$A$1:$Z$1,0))&amp;""),""))),"")&gt;='Scale score'!$B$6,IFERROR(VALUE(IF(TRIM('Scale score'!$B$5&amp;"")="","",IFERROR(TRIM(INDEX($A309:$Z309,MATCH('Scale score'!$B$5,$A$1:$Z$1,0))&amp;""),""))),"")&lt;='Scale score'!$B$7),IFERROR(VALUE(IF(TRIM('Scale score'!$B$5&amp;"")="","",IFERROR(TRIM(INDEX($A309:$Z309,MATCH('Scale score'!$B$5,$A$1:$Z$1,0))&amp;""),""))),""),""),"")</f>
        <v/>
      </c>
      <c r="AH309" s="41">
        <f>IF(TRIM('Open answers'!$B$5&amp;"")="","",IFERROR(TRIM(INDEX($A309:$Z309,MATCH('Open answers'!$B$5,$A$1:$Z$1,0))&amp;""),""))</f>
        <v/>
      </c>
      <c r="AI309" s="41">
        <f>IF(LEN(AH309)&gt;0,MAX($AI$1:AI308)+1,"")</f>
        <v/>
      </c>
    </row>
    <row r="310">
      <c r="AA310" s="40" t="n"/>
      <c r="AB310" s="41">
        <f>IF(TRIM('Counts'!$B$8&amp;"")="","",IFERROR(TRIM(INDEX($A310:$Z310,MATCH('Counts'!$B$8,$A$1:$Z$1,0))&amp;""),""))</f>
        <v/>
      </c>
      <c r="AC310" s="41">
        <f>IF(TRIM('Counts'!$B$26&amp;"")="","",IFERROR(TRIM(INDEX($A310:$Z310,MATCH('Counts'!$B$26,$A$1:$Z$1,0))&amp;""),""))</f>
        <v/>
      </c>
      <c r="AD310" s="41">
        <f>IF(TRIM('Counts'!$B$44&amp;"")="","",IFERROR(TRIM(INDEX($A310:$Z310,MATCH('Counts'!$B$44,$A$1:$Z$1,0))&amp;""),""))</f>
        <v/>
      </c>
      <c r="AE310" s="41">
        <f>IF(TRIM('Cross-tab'!$B$5&amp;"")="","",IFERROR(TRIM(INDEX($A310:$Z310,MATCH('Cross-tab'!$B$5,$A$1:$Z$1,0))&amp;""),""))</f>
        <v/>
      </c>
      <c r="AF310" s="41">
        <f>IF(TRIM('Cross-tab'!$B$7&amp;"")="","",IFERROR(TRIM(INDEX($A310:$Z310,MATCH('Cross-tab'!$B$7,$A$1:$Z$1,0))&amp;""),""))</f>
        <v/>
      </c>
      <c r="AG310" s="41">
        <f>IF(ISNUMBER(IFERROR(VALUE(IF(TRIM('Scale score'!$B$5&amp;"")="","",IFERROR(TRIM(INDEX($A310:$Z310,MATCH('Scale score'!$B$5,$A$1:$Z$1,0))&amp;""),""))),"")),IF(AND(IFERROR(VALUE(IF(TRIM('Scale score'!$B$5&amp;"")="","",IFERROR(TRIM(INDEX($A310:$Z310,MATCH('Scale score'!$B$5,$A$1:$Z$1,0))&amp;""),""))),"")&gt;='Scale score'!$B$6,IFERROR(VALUE(IF(TRIM('Scale score'!$B$5&amp;"")="","",IFERROR(TRIM(INDEX($A310:$Z310,MATCH('Scale score'!$B$5,$A$1:$Z$1,0))&amp;""),""))),"")&lt;='Scale score'!$B$7),IFERROR(VALUE(IF(TRIM('Scale score'!$B$5&amp;"")="","",IFERROR(TRIM(INDEX($A310:$Z310,MATCH('Scale score'!$B$5,$A$1:$Z$1,0))&amp;""),""))),""),""),"")</f>
        <v/>
      </c>
      <c r="AH310" s="41">
        <f>IF(TRIM('Open answers'!$B$5&amp;"")="","",IFERROR(TRIM(INDEX($A310:$Z310,MATCH('Open answers'!$B$5,$A$1:$Z$1,0))&amp;""),""))</f>
        <v/>
      </c>
      <c r="AI310" s="41">
        <f>IF(LEN(AH310)&gt;0,MAX($AI$1:AI309)+1,"")</f>
        <v/>
      </c>
    </row>
    <row r="311">
      <c r="AA311" s="40" t="n"/>
      <c r="AB311" s="41">
        <f>IF(TRIM('Counts'!$B$8&amp;"")="","",IFERROR(TRIM(INDEX($A311:$Z311,MATCH('Counts'!$B$8,$A$1:$Z$1,0))&amp;""),""))</f>
        <v/>
      </c>
      <c r="AC311" s="41">
        <f>IF(TRIM('Counts'!$B$26&amp;"")="","",IFERROR(TRIM(INDEX($A311:$Z311,MATCH('Counts'!$B$26,$A$1:$Z$1,0))&amp;""),""))</f>
        <v/>
      </c>
      <c r="AD311" s="41">
        <f>IF(TRIM('Counts'!$B$44&amp;"")="","",IFERROR(TRIM(INDEX($A311:$Z311,MATCH('Counts'!$B$44,$A$1:$Z$1,0))&amp;""),""))</f>
        <v/>
      </c>
      <c r="AE311" s="41">
        <f>IF(TRIM('Cross-tab'!$B$5&amp;"")="","",IFERROR(TRIM(INDEX($A311:$Z311,MATCH('Cross-tab'!$B$5,$A$1:$Z$1,0))&amp;""),""))</f>
        <v/>
      </c>
      <c r="AF311" s="41">
        <f>IF(TRIM('Cross-tab'!$B$7&amp;"")="","",IFERROR(TRIM(INDEX($A311:$Z311,MATCH('Cross-tab'!$B$7,$A$1:$Z$1,0))&amp;""),""))</f>
        <v/>
      </c>
      <c r="AG311" s="41">
        <f>IF(ISNUMBER(IFERROR(VALUE(IF(TRIM('Scale score'!$B$5&amp;"")="","",IFERROR(TRIM(INDEX($A311:$Z311,MATCH('Scale score'!$B$5,$A$1:$Z$1,0))&amp;""),""))),"")),IF(AND(IFERROR(VALUE(IF(TRIM('Scale score'!$B$5&amp;"")="","",IFERROR(TRIM(INDEX($A311:$Z311,MATCH('Scale score'!$B$5,$A$1:$Z$1,0))&amp;""),""))),"")&gt;='Scale score'!$B$6,IFERROR(VALUE(IF(TRIM('Scale score'!$B$5&amp;"")="","",IFERROR(TRIM(INDEX($A311:$Z311,MATCH('Scale score'!$B$5,$A$1:$Z$1,0))&amp;""),""))),"")&lt;='Scale score'!$B$7),IFERROR(VALUE(IF(TRIM('Scale score'!$B$5&amp;"")="","",IFERROR(TRIM(INDEX($A311:$Z311,MATCH('Scale score'!$B$5,$A$1:$Z$1,0))&amp;""),""))),""),""),"")</f>
        <v/>
      </c>
      <c r="AH311" s="41">
        <f>IF(TRIM('Open answers'!$B$5&amp;"")="","",IFERROR(TRIM(INDEX($A311:$Z311,MATCH('Open answers'!$B$5,$A$1:$Z$1,0))&amp;""),""))</f>
        <v/>
      </c>
      <c r="AI311" s="41">
        <f>IF(LEN(AH311)&gt;0,MAX($AI$1:AI310)+1,"")</f>
        <v/>
      </c>
    </row>
    <row r="312">
      <c r="AA312" s="40" t="n"/>
      <c r="AB312" s="41">
        <f>IF(TRIM('Counts'!$B$8&amp;"")="","",IFERROR(TRIM(INDEX($A312:$Z312,MATCH('Counts'!$B$8,$A$1:$Z$1,0))&amp;""),""))</f>
        <v/>
      </c>
      <c r="AC312" s="41">
        <f>IF(TRIM('Counts'!$B$26&amp;"")="","",IFERROR(TRIM(INDEX($A312:$Z312,MATCH('Counts'!$B$26,$A$1:$Z$1,0))&amp;""),""))</f>
        <v/>
      </c>
      <c r="AD312" s="41">
        <f>IF(TRIM('Counts'!$B$44&amp;"")="","",IFERROR(TRIM(INDEX($A312:$Z312,MATCH('Counts'!$B$44,$A$1:$Z$1,0))&amp;""),""))</f>
        <v/>
      </c>
      <c r="AE312" s="41">
        <f>IF(TRIM('Cross-tab'!$B$5&amp;"")="","",IFERROR(TRIM(INDEX($A312:$Z312,MATCH('Cross-tab'!$B$5,$A$1:$Z$1,0))&amp;""),""))</f>
        <v/>
      </c>
      <c r="AF312" s="41">
        <f>IF(TRIM('Cross-tab'!$B$7&amp;"")="","",IFERROR(TRIM(INDEX($A312:$Z312,MATCH('Cross-tab'!$B$7,$A$1:$Z$1,0))&amp;""),""))</f>
        <v/>
      </c>
      <c r="AG312" s="41">
        <f>IF(ISNUMBER(IFERROR(VALUE(IF(TRIM('Scale score'!$B$5&amp;"")="","",IFERROR(TRIM(INDEX($A312:$Z312,MATCH('Scale score'!$B$5,$A$1:$Z$1,0))&amp;""),""))),"")),IF(AND(IFERROR(VALUE(IF(TRIM('Scale score'!$B$5&amp;"")="","",IFERROR(TRIM(INDEX($A312:$Z312,MATCH('Scale score'!$B$5,$A$1:$Z$1,0))&amp;""),""))),"")&gt;='Scale score'!$B$6,IFERROR(VALUE(IF(TRIM('Scale score'!$B$5&amp;"")="","",IFERROR(TRIM(INDEX($A312:$Z312,MATCH('Scale score'!$B$5,$A$1:$Z$1,0))&amp;""),""))),"")&lt;='Scale score'!$B$7),IFERROR(VALUE(IF(TRIM('Scale score'!$B$5&amp;"")="","",IFERROR(TRIM(INDEX($A312:$Z312,MATCH('Scale score'!$B$5,$A$1:$Z$1,0))&amp;""),""))),""),""),"")</f>
        <v/>
      </c>
      <c r="AH312" s="41">
        <f>IF(TRIM('Open answers'!$B$5&amp;"")="","",IFERROR(TRIM(INDEX($A312:$Z312,MATCH('Open answers'!$B$5,$A$1:$Z$1,0))&amp;""),""))</f>
        <v/>
      </c>
      <c r="AI312" s="41">
        <f>IF(LEN(AH312)&gt;0,MAX($AI$1:AI311)+1,"")</f>
        <v/>
      </c>
    </row>
    <row r="313">
      <c r="AA313" s="40" t="n"/>
      <c r="AB313" s="41">
        <f>IF(TRIM('Counts'!$B$8&amp;"")="","",IFERROR(TRIM(INDEX($A313:$Z313,MATCH('Counts'!$B$8,$A$1:$Z$1,0))&amp;""),""))</f>
        <v/>
      </c>
      <c r="AC313" s="41">
        <f>IF(TRIM('Counts'!$B$26&amp;"")="","",IFERROR(TRIM(INDEX($A313:$Z313,MATCH('Counts'!$B$26,$A$1:$Z$1,0))&amp;""),""))</f>
        <v/>
      </c>
      <c r="AD313" s="41">
        <f>IF(TRIM('Counts'!$B$44&amp;"")="","",IFERROR(TRIM(INDEX($A313:$Z313,MATCH('Counts'!$B$44,$A$1:$Z$1,0))&amp;""),""))</f>
        <v/>
      </c>
      <c r="AE313" s="41">
        <f>IF(TRIM('Cross-tab'!$B$5&amp;"")="","",IFERROR(TRIM(INDEX($A313:$Z313,MATCH('Cross-tab'!$B$5,$A$1:$Z$1,0))&amp;""),""))</f>
        <v/>
      </c>
      <c r="AF313" s="41">
        <f>IF(TRIM('Cross-tab'!$B$7&amp;"")="","",IFERROR(TRIM(INDEX($A313:$Z313,MATCH('Cross-tab'!$B$7,$A$1:$Z$1,0))&amp;""),""))</f>
        <v/>
      </c>
      <c r="AG313" s="41">
        <f>IF(ISNUMBER(IFERROR(VALUE(IF(TRIM('Scale score'!$B$5&amp;"")="","",IFERROR(TRIM(INDEX($A313:$Z313,MATCH('Scale score'!$B$5,$A$1:$Z$1,0))&amp;""),""))),"")),IF(AND(IFERROR(VALUE(IF(TRIM('Scale score'!$B$5&amp;"")="","",IFERROR(TRIM(INDEX($A313:$Z313,MATCH('Scale score'!$B$5,$A$1:$Z$1,0))&amp;""),""))),"")&gt;='Scale score'!$B$6,IFERROR(VALUE(IF(TRIM('Scale score'!$B$5&amp;"")="","",IFERROR(TRIM(INDEX($A313:$Z313,MATCH('Scale score'!$B$5,$A$1:$Z$1,0))&amp;""),""))),"")&lt;='Scale score'!$B$7),IFERROR(VALUE(IF(TRIM('Scale score'!$B$5&amp;"")="","",IFERROR(TRIM(INDEX($A313:$Z313,MATCH('Scale score'!$B$5,$A$1:$Z$1,0))&amp;""),""))),""),""),"")</f>
        <v/>
      </c>
      <c r="AH313" s="41">
        <f>IF(TRIM('Open answers'!$B$5&amp;"")="","",IFERROR(TRIM(INDEX($A313:$Z313,MATCH('Open answers'!$B$5,$A$1:$Z$1,0))&amp;""),""))</f>
        <v/>
      </c>
      <c r="AI313" s="41">
        <f>IF(LEN(AH313)&gt;0,MAX($AI$1:AI312)+1,"")</f>
        <v/>
      </c>
    </row>
    <row r="314">
      <c r="AA314" s="40" t="n"/>
      <c r="AB314" s="41">
        <f>IF(TRIM('Counts'!$B$8&amp;"")="","",IFERROR(TRIM(INDEX($A314:$Z314,MATCH('Counts'!$B$8,$A$1:$Z$1,0))&amp;""),""))</f>
        <v/>
      </c>
      <c r="AC314" s="41">
        <f>IF(TRIM('Counts'!$B$26&amp;"")="","",IFERROR(TRIM(INDEX($A314:$Z314,MATCH('Counts'!$B$26,$A$1:$Z$1,0))&amp;""),""))</f>
        <v/>
      </c>
      <c r="AD314" s="41">
        <f>IF(TRIM('Counts'!$B$44&amp;"")="","",IFERROR(TRIM(INDEX($A314:$Z314,MATCH('Counts'!$B$44,$A$1:$Z$1,0))&amp;""),""))</f>
        <v/>
      </c>
      <c r="AE314" s="41">
        <f>IF(TRIM('Cross-tab'!$B$5&amp;"")="","",IFERROR(TRIM(INDEX($A314:$Z314,MATCH('Cross-tab'!$B$5,$A$1:$Z$1,0))&amp;""),""))</f>
        <v/>
      </c>
      <c r="AF314" s="41">
        <f>IF(TRIM('Cross-tab'!$B$7&amp;"")="","",IFERROR(TRIM(INDEX($A314:$Z314,MATCH('Cross-tab'!$B$7,$A$1:$Z$1,0))&amp;""),""))</f>
        <v/>
      </c>
      <c r="AG314" s="41">
        <f>IF(ISNUMBER(IFERROR(VALUE(IF(TRIM('Scale score'!$B$5&amp;"")="","",IFERROR(TRIM(INDEX($A314:$Z314,MATCH('Scale score'!$B$5,$A$1:$Z$1,0))&amp;""),""))),"")),IF(AND(IFERROR(VALUE(IF(TRIM('Scale score'!$B$5&amp;"")="","",IFERROR(TRIM(INDEX($A314:$Z314,MATCH('Scale score'!$B$5,$A$1:$Z$1,0))&amp;""),""))),"")&gt;='Scale score'!$B$6,IFERROR(VALUE(IF(TRIM('Scale score'!$B$5&amp;"")="","",IFERROR(TRIM(INDEX($A314:$Z314,MATCH('Scale score'!$B$5,$A$1:$Z$1,0))&amp;""),""))),"")&lt;='Scale score'!$B$7),IFERROR(VALUE(IF(TRIM('Scale score'!$B$5&amp;"")="","",IFERROR(TRIM(INDEX($A314:$Z314,MATCH('Scale score'!$B$5,$A$1:$Z$1,0))&amp;""),""))),""),""),"")</f>
        <v/>
      </c>
      <c r="AH314" s="41">
        <f>IF(TRIM('Open answers'!$B$5&amp;"")="","",IFERROR(TRIM(INDEX($A314:$Z314,MATCH('Open answers'!$B$5,$A$1:$Z$1,0))&amp;""),""))</f>
        <v/>
      </c>
      <c r="AI314" s="41">
        <f>IF(LEN(AH314)&gt;0,MAX($AI$1:AI313)+1,"")</f>
        <v/>
      </c>
    </row>
    <row r="315">
      <c r="AA315" s="40" t="n"/>
      <c r="AB315" s="41">
        <f>IF(TRIM('Counts'!$B$8&amp;"")="","",IFERROR(TRIM(INDEX($A315:$Z315,MATCH('Counts'!$B$8,$A$1:$Z$1,0))&amp;""),""))</f>
        <v/>
      </c>
      <c r="AC315" s="41">
        <f>IF(TRIM('Counts'!$B$26&amp;"")="","",IFERROR(TRIM(INDEX($A315:$Z315,MATCH('Counts'!$B$26,$A$1:$Z$1,0))&amp;""),""))</f>
        <v/>
      </c>
      <c r="AD315" s="41">
        <f>IF(TRIM('Counts'!$B$44&amp;"")="","",IFERROR(TRIM(INDEX($A315:$Z315,MATCH('Counts'!$B$44,$A$1:$Z$1,0))&amp;""),""))</f>
        <v/>
      </c>
      <c r="AE315" s="41">
        <f>IF(TRIM('Cross-tab'!$B$5&amp;"")="","",IFERROR(TRIM(INDEX($A315:$Z315,MATCH('Cross-tab'!$B$5,$A$1:$Z$1,0))&amp;""),""))</f>
        <v/>
      </c>
      <c r="AF315" s="41">
        <f>IF(TRIM('Cross-tab'!$B$7&amp;"")="","",IFERROR(TRIM(INDEX($A315:$Z315,MATCH('Cross-tab'!$B$7,$A$1:$Z$1,0))&amp;""),""))</f>
        <v/>
      </c>
      <c r="AG315" s="41">
        <f>IF(ISNUMBER(IFERROR(VALUE(IF(TRIM('Scale score'!$B$5&amp;"")="","",IFERROR(TRIM(INDEX($A315:$Z315,MATCH('Scale score'!$B$5,$A$1:$Z$1,0))&amp;""),""))),"")),IF(AND(IFERROR(VALUE(IF(TRIM('Scale score'!$B$5&amp;"")="","",IFERROR(TRIM(INDEX($A315:$Z315,MATCH('Scale score'!$B$5,$A$1:$Z$1,0))&amp;""),""))),"")&gt;='Scale score'!$B$6,IFERROR(VALUE(IF(TRIM('Scale score'!$B$5&amp;"")="","",IFERROR(TRIM(INDEX($A315:$Z315,MATCH('Scale score'!$B$5,$A$1:$Z$1,0))&amp;""),""))),"")&lt;='Scale score'!$B$7),IFERROR(VALUE(IF(TRIM('Scale score'!$B$5&amp;"")="","",IFERROR(TRIM(INDEX($A315:$Z315,MATCH('Scale score'!$B$5,$A$1:$Z$1,0))&amp;""),""))),""),""),"")</f>
        <v/>
      </c>
      <c r="AH315" s="41">
        <f>IF(TRIM('Open answers'!$B$5&amp;"")="","",IFERROR(TRIM(INDEX($A315:$Z315,MATCH('Open answers'!$B$5,$A$1:$Z$1,0))&amp;""),""))</f>
        <v/>
      </c>
      <c r="AI315" s="41">
        <f>IF(LEN(AH315)&gt;0,MAX($AI$1:AI314)+1,"")</f>
        <v/>
      </c>
    </row>
    <row r="316">
      <c r="AA316" s="40" t="n"/>
      <c r="AB316" s="41">
        <f>IF(TRIM('Counts'!$B$8&amp;"")="","",IFERROR(TRIM(INDEX($A316:$Z316,MATCH('Counts'!$B$8,$A$1:$Z$1,0))&amp;""),""))</f>
        <v/>
      </c>
      <c r="AC316" s="41">
        <f>IF(TRIM('Counts'!$B$26&amp;"")="","",IFERROR(TRIM(INDEX($A316:$Z316,MATCH('Counts'!$B$26,$A$1:$Z$1,0))&amp;""),""))</f>
        <v/>
      </c>
      <c r="AD316" s="41">
        <f>IF(TRIM('Counts'!$B$44&amp;"")="","",IFERROR(TRIM(INDEX($A316:$Z316,MATCH('Counts'!$B$44,$A$1:$Z$1,0))&amp;""),""))</f>
        <v/>
      </c>
      <c r="AE316" s="41">
        <f>IF(TRIM('Cross-tab'!$B$5&amp;"")="","",IFERROR(TRIM(INDEX($A316:$Z316,MATCH('Cross-tab'!$B$5,$A$1:$Z$1,0))&amp;""),""))</f>
        <v/>
      </c>
      <c r="AF316" s="41">
        <f>IF(TRIM('Cross-tab'!$B$7&amp;"")="","",IFERROR(TRIM(INDEX($A316:$Z316,MATCH('Cross-tab'!$B$7,$A$1:$Z$1,0))&amp;""),""))</f>
        <v/>
      </c>
      <c r="AG316" s="41">
        <f>IF(ISNUMBER(IFERROR(VALUE(IF(TRIM('Scale score'!$B$5&amp;"")="","",IFERROR(TRIM(INDEX($A316:$Z316,MATCH('Scale score'!$B$5,$A$1:$Z$1,0))&amp;""),""))),"")),IF(AND(IFERROR(VALUE(IF(TRIM('Scale score'!$B$5&amp;"")="","",IFERROR(TRIM(INDEX($A316:$Z316,MATCH('Scale score'!$B$5,$A$1:$Z$1,0))&amp;""),""))),"")&gt;='Scale score'!$B$6,IFERROR(VALUE(IF(TRIM('Scale score'!$B$5&amp;"")="","",IFERROR(TRIM(INDEX($A316:$Z316,MATCH('Scale score'!$B$5,$A$1:$Z$1,0))&amp;""),""))),"")&lt;='Scale score'!$B$7),IFERROR(VALUE(IF(TRIM('Scale score'!$B$5&amp;"")="","",IFERROR(TRIM(INDEX($A316:$Z316,MATCH('Scale score'!$B$5,$A$1:$Z$1,0))&amp;""),""))),""),""),"")</f>
        <v/>
      </c>
      <c r="AH316" s="41">
        <f>IF(TRIM('Open answers'!$B$5&amp;"")="","",IFERROR(TRIM(INDEX($A316:$Z316,MATCH('Open answers'!$B$5,$A$1:$Z$1,0))&amp;""),""))</f>
        <v/>
      </c>
      <c r="AI316" s="41">
        <f>IF(LEN(AH316)&gt;0,MAX($AI$1:AI315)+1,"")</f>
        <v/>
      </c>
    </row>
    <row r="317">
      <c r="AA317" s="40" t="n"/>
      <c r="AB317" s="41">
        <f>IF(TRIM('Counts'!$B$8&amp;"")="","",IFERROR(TRIM(INDEX($A317:$Z317,MATCH('Counts'!$B$8,$A$1:$Z$1,0))&amp;""),""))</f>
        <v/>
      </c>
      <c r="AC317" s="41">
        <f>IF(TRIM('Counts'!$B$26&amp;"")="","",IFERROR(TRIM(INDEX($A317:$Z317,MATCH('Counts'!$B$26,$A$1:$Z$1,0))&amp;""),""))</f>
        <v/>
      </c>
      <c r="AD317" s="41">
        <f>IF(TRIM('Counts'!$B$44&amp;"")="","",IFERROR(TRIM(INDEX($A317:$Z317,MATCH('Counts'!$B$44,$A$1:$Z$1,0))&amp;""),""))</f>
        <v/>
      </c>
      <c r="AE317" s="41">
        <f>IF(TRIM('Cross-tab'!$B$5&amp;"")="","",IFERROR(TRIM(INDEX($A317:$Z317,MATCH('Cross-tab'!$B$5,$A$1:$Z$1,0))&amp;""),""))</f>
        <v/>
      </c>
      <c r="AF317" s="41">
        <f>IF(TRIM('Cross-tab'!$B$7&amp;"")="","",IFERROR(TRIM(INDEX($A317:$Z317,MATCH('Cross-tab'!$B$7,$A$1:$Z$1,0))&amp;""),""))</f>
        <v/>
      </c>
      <c r="AG317" s="41">
        <f>IF(ISNUMBER(IFERROR(VALUE(IF(TRIM('Scale score'!$B$5&amp;"")="","",IFERROR(TRIM(INDEX($A317:$Z317,MATCH('Scale score'!$B$5,$A$1:$Z$1,0))&amp;""),""))),"")),IF(AND(IFERROR(VALUE(IF(TRIM('Scale score'!$B$5&amp;"")="","",IFERROR(TRIM(INDEX($A317:$Z317,MATCH('Scale score'!$B$5,$A$1:$Z$1,0))&amp;""),""))),"")&gt;='Scale score'!$B$6,IFERROR(VALUE(IF(TRIM('Scale score'!$B$5&amp;"")="","",IFERROR(TRIM(INDEX($A317:$Z317,MATCH('Scale score'!$B$5,$A$1:$Z$1,0))&amp;""),""))),"")&lt;='Scale score'!$B$7),IFERROR(VALUE(IF(TRIM('Scale score'!$B$5&amp;"")="","",IFERROR(TRIM(INDEX($A317:$Z317,MATCH('Scale score'!$B$5,$A$1:$Z$1,0))&amp;""),""))),""),""),"")</f>
        <v/>
      </c>
      <c r="AH317" s="41">
        <f>IF(TRIM('Open answers'!$B$5&amp;"")="","",IFERROR(TRIM(INDEX($A317:$Z317,MATCH('Open answers'!$B$5,$A$1:$Z$1,0))&amp;""),""))</f>
        <v/>
      </c>
      <c r="AI317" s="41">
        <f>IF(LEN(AH317)&gt;0,MAX($AI$1:AI316)+1,"")</f>
        <v/>
      </c>
    </row>
    <row r="318">
      <c r="AA318" s="40" t="n"/>
      <c r="AB318" s="41">
        <f>IF(TRIM('Counts'!$B$8&amp;"")="","",IFERROR(TRIM(INDEX($A318:$Z318,MATCH('Counts'!$B$8,$A$1:$Z$1,0))&amp;""),""))</f>
        <v/>
      </c>
      <c r="AC318" s="41">
        <f>IF(TRIM('Counts'!$B$26&amp;"")="","",IFERROR(TRIM(INDEX($A318:$Z318,MATCH('Counts'!$B$26,$A$1:$Z$1,0))&amp;""),""))</f>
        <v/>
      </c>
      <c r="AD318" s="41">
        <f>IF(TRIM('Counts'!$B$44&amp;"")="","",IFERROR(TRIM(INDEX($A318:$Z318,MATCH('Counts'!$B$44,$A$1:$Z$1,0))&amp;""),""))</f>
        <v/>
      </c>
      <c r="AE318" s="41">
        <f>IF(TRIM('Cross-tab'!$B$5&amp;"")="","",IFERROR(TRIM(INDEX($A318:$Z318,MATCH('Cross-tab'!$B$5,$A$1:$Z$1,0))&amp;""),""))</f>
        <v/>
      </c>
      <c r="AF318" s="41">
        <f>IF(TRIM('Cross-tab'!$B$7&amp;"")="","",IFERROR(TRIM(INDEX($A318:$Z318,MATCH('Cross-tab'!$B$7,$A$1:$Z$1,0))&amp;""),""))</f>
        <v/>
      </c>
      <c r="AG318" s="41">
        <f>IF(ISNUMBER(IFERROR(VALUE(IF(TRIM('Scale score'!$B$5&amp;"")="","",IFERROR(TRIM(INDEX($A318:$Z318,MATCH('Scale score'!$B$5,$A$1:$Z$1,0))&amp;""),""))),"")),IF(AND(IFERROR(VALUE(IF(TRIM('Scale score'!$B$5&amp;"")="","",IFERROR(TRIM(INDEX($A318:$Z318,MATCH('Scale score'!$B$5,$A$1:$Z$1,0))&amp;""),""))),"")&gt;='Scale score'!$B$6,IFERROR(VALUE(IF(TRIM('Scale score'!$B$5&amp;"")="","",IFERROR(TRIM(INDEX($A318:$Z318,MATCH('Scale score'!$B$5,$A$1:$Z$1,0))&amp;""),""))),"")&lt;='Scale score'!$B$7),IFERROR(VALUE(IF(TRIM('Scale score'!$B$5&amp;"")="","",IFERROR(TRIM(INDEX($A318:$Z318,MATCH('Scale score'!$B$5,$A$1:$Z$1,0))&amp;""),""))),""),""),"")</f>
        <v/>
      </c>
      <c r="AH318" s="41">
        <f>IF(TRIM('Open answers'!$B$5&amp;"")="","",IFERROR(TRIM(INDEX($A318:$Z318,MATCH('Open answers'!$B$5,$A$1:$Z$1,0))&amp;""),""))</f>
        <v/>
      </c>
      <c r="AI318" s="41">
        <f>IF(LEN(AH318)&gt;0,MAX($AI$1:AI317)+1,"")</f>
        <v/>
      </c>
    </row>
    <row r="319">
      <c r="AA319" s="40" t="n"/>
      <c r="AB319" s="41">
        <f>IF(TRIM('Counts'!$B$8&amp;"")="","",IFERROR(TRIM(INDEX($A319:$Z319,MATCH('Counts'!$B$8,$A$1:$Z$1,0))&amp;""),""))</f>
        <v/>
      </c>
      <c r="AC319" s="41">
        <f>IF(TRIM('Counts'!$B$26&amp;"")="","",IFERROR(TRIM(INDEX($A319:$Z319,MATCH('Counts'!$B$26,$A$1:$Z$1,0))&amp;""),""))</f>
        <v/>
      </c>
      <c r="AD319" s="41">
        <f>IF(TRIM('Counts'!$B$44&amp;"")="","",IFERROR(TRIM(INDEX($A319:$Z319,MATCH('Counts'!$B$44,$A$1:$Z$1,0))&amp;""),""))</f>
        <v/>
      </c>
      <c r="AE319" s="41">
        <f>IF(TRIM('Cross-tab'!$B$5&amp;"")="","",IFERROR(TRIM(INDEX($A319:$Z319,MATCH('Cross-tab'!$B$5,$A$1:$Z$1,0))&amp;""),""))</f>
        <v/>
      </c>
      <c r="AF319" s="41">
        <f>IF(TRIM('Cross-tab'!$B$7&amp;"")="","",IFERROR(TRIM(INDEX($A319:$Z319,MATCH('Cross-tab'!$B$7,$A$1:$Z$1,0))&amp;""),""))</f>
        <v/>
      </c>
      <c r="AG319" s="41">
        <f>IF(ISNUMBER(IFERROR(VALUE(IF(TRIM('Scale score'!$B$5&amp;"")="","",IFERROR(TRIM(INDEX($A319:$Z319,MATCH('Scale score'!$B$5,$A$1:$Z$1,0))&amp;""),""))),"")),IF(AND(IFERROR(VALUE(IF(TRIM('Scale score'!$B$5&amp;"")="","",IFERROR(TRIM(INDEX($A319:$Z319,MATCH('Scale score'!$B$5,$A$1:$Z$1,0))&amp;""),""))),"")&gt;='Scale score'!$B$6,IFERROR(VALUE(IF(TRIM('Scale score'!$B$5&amp;"")="","",IFERROR(TRIM(INDEX($A319:$Z319,MATCH('Scale score'!$B$5,$A$1:$Z$1,0))&amp;""),""))),"")&lt;='Scale score'!$B$7),IFERROR(VALUE(IF(TRIM('Scale score'!$B$5&amp;"")="","",IFERROR(TRIM(INDEX($A319:$Z319,MATCH('Scale score'!$B$5,$A$1:$Z$1,0))&amp;""),""))),""),""),"")</f>
        <v/>
      </c>
      <c r="AH319" s="41">
        <f>IF(TRIM('Open answers'!$B$5&amp;"")="","",IFERROR(TRIM(INDEX($A319:$Z319,MATCH('Open answers'!$B$5,$A$1:$Z$1,0))&amp;""),""))</f>
        <v/>
      </c>
      <c r="AI319" s="41">
        <f>IF(LEN(AH319)&gt;0,MAX($AI$1:AI318)+1,"")</f>
        <v/>
      </c>
    </row>
    <row r="320">
      <c r="AA320" s="40" t="n"/>
      <c r="AB320" s="41">
        <f>IF(TRIM('Counts'!$B$8&amp;"")="","",IFERROR(TRIM(INDEX($A320:$Z320,MATCH('Counts'!$B$8,$A$1:$Z$1,0))&amp;""),""))</f>
        <v/>
      </c>
      <c r="AC320" s="41">
        <f>IF(TRIM('Counts'!$B$26&amp;"")="","",IFERROR(TRIM(INDEX($A320:$Z320,MATCH('Counts'!$B$26,$A$1:$Z$1,0))&amp;""),""))</f>
        <v/>
      </c>
      <c r="AD320" s="41">
        <f>IF(TRIM('Counts'!$B$44&amp;"")="","",IFERROR(TRIM(INDEX($A320:$Z320,MATCH('Counts'!$B$44,$A$1:$Z$1,0))&amp;""),""))</f>
        <v/>
      </c>
      <c r="AE320" s="41">
        <f>IF(TRIM('Cross-tab'!$B$5&amp;"")="","",IFERROR(TRIM(INDEX($A320:$Z320,MATCH('Cross-tab'!$B$5,$A$1:$Z$1,0))&amp;""),""))</f>
        <v/>
      </c>
      <c r="AF320" s="41">
        <f>IF(TRIM('Cross-tab'!$B$7&amp;"")="","",IFERROR(TRIM(INDEX($A320:$Z320,MATCH('Cross-tab'!$B$7,$A$1:$Z$1,0))&amp;""),""))</f>
        <v/>
      </c>
      <c r="AG320" s="41">
        <f>IF(ISNUMBER(IFERROR(VALUE(IF(TRIM('Scale score'!$B$5&amp;"")="","",IFERROR(TRIM(INDEX($A320:$Z320,MATCH('Scale score'!$B$5,$A$1:$Z$1,0))&amp;""),""))),"")),IF(AND(IFERROR(VALUE(IF(TRIM('Scale score'!$B$5&amp;"")="","",IFERROR(TRIM(INDEX($A320:$Z320,MATCH('Scale score'!$B$5,$A$1:$Z$1,0))&amp;""),""))),"")&gt;='Scale score'!$B$6,IFERROR(VALUE(IF(TRIM('Scale score'!$B$5&amp;"")="","",IFERROR(TRIM(INDEX($A320:$Z320,MATCH('Scale score'!$B$5,$A$1:$Z$1,0))&amp;""),""))),"")&lt;='Scale score'!$B$7),IFERROR(VALUE(IF(TRIM('Scale score'!$B$5&amp;"")="","",IFERROR(TRIM(INDEX($A320:$Z320,MATCH('Scale score'!$B$5,$A$1:$Z$1,0))&amp;""),""))),""),""),"")</f>
        <v/>
      </c>
      <c r="AH320" s="41">
        <f>IF(TRIM('Open answers'!$B$5&amp;"")="","",IFERROR(TRIM(INDEX($A320:$Z320,MATCH('Open answers'!$B$5,$A$1:$Z$1,0))&amp;""),""))</f>
        <v/>
      </c>
      <c r="AI320" s="41">
        <f>IF(LEN(AH320)&gt;0,MAX($AI$1:AI319)+1,"")</f>
        <v/>
      </c>
    </row>
    <row r="321">
      <c r="AA321" s="40" t="n"/>
      <c r="AB321" s="41">
        <f>IF(TRIM('Counts'!$B$8&amp;"")="","",IFERROR(TRIM(INDEX($A321:$Z321,MATCH('Counts'!$B$8,$A$1:$Z$1,0))&amp;""),""))</f>
        <v/>
      </c>
      <c r="AC321" s="41">
        <f>IF(TRIM('Counts'!$B$26&amp;"")="","",IFERROR(TRIM(INDEX($A321:$Z321,MATCH('Counts'!$B$26,$A$1:$Z$1,0))&amp;""),""))</f>
        <v/>
      </c>
      <c r="AD321" s="41">
        <f>IF(TRIM('Counts'!$B$44&amp;"")="","",IFERROR(TRIM(INDEX($A321:$Z321,MATCH('Counts'!$B$44,$A$1:$Z$1,0))&amp;""),""))</f>
        <v/>
      </c>
      <c r="AE321" s="41">
        <f>IF(TRIM('Cross-tab'!$B$5&amp;"")="","",IFERROR(TRIM(INDEX($A321:$Z321,MATCH('Cross-tab'!$B$5,$A$1:$Z$1,0))&amp;""),""))</f>
        <v/>
      </c>
      <c r="AF321" s="41">
        <f>IF(TRIM('Cross-tab'!$B$7&amp;"")="","",IFERROR(TRIM(INDEX($A321:$Z321,MATCH('Cross-tab'!$B$7,$A$1:$Z$1,0))&amp;""),""))</f>
        <v/>
      </c>
      <c r="AG321" s="41">
        <f>IF(ISNUMBER(IFERROR(VALUE(IF(TRIM('Scale score'!$B$5&amp;"")="","",IFERROR(TRIM(INDEX($A321:$Z321,MATCH('Scale score'!$B$5,$A$1:$Z$1,0))&amp;""),""))),"")),IF(AND(IFERROR(VALUE(IF(TRIM('Scale score'!$B$5&amp;"")="","",IFERROR(TRIM(INDEX($A321:$Z321,MATCH('Scale score'!$B$5,$A$1:$Z$1,0))&amp;""),""))),"")&gt;='Scale score'!$B$6,IFERROR(VALUE(IF(TRIM('Scale score'!$B$5&amp;"")="","",IFERROR(TRIM(INDEX($A321:$Z321,MATCH('Scale score'!$B$5,$A$1:$Z$1,0))&amp;""),""))),"")&lt;='Scale score'!$B$7),IFERROR(VALUE(IF(TRIM('Scale score'!$B$5&amp;"")="","",IFERROR(TRIM(INDEX($A321:$Z321,MATCH('Scale score'!$B$5,$A$1:$Z$1,0))&amp;""),""))),""),""),"")</f>
        <v/>
      </c>
      <c r="AH321" s="41">
        <f>IF(TRIM('Open answers'!$B$5&amp;"")="","",IFERROR(TRIM(INDEX($A321:$Z321,MATCH('Open answers'!$B$5,$A$1:$Z$1,0))&amp;""),""))</f>
        <v/>
      </c>
      <c r="AI321" s="41">
        <f>IF(LEN(AH321)&gt;0,MAX($AI$1:AI320)+1,"")</f>
        <v/>
      </c>
    </row>
    <row r="322">
      <c r="AA322" s="40" t="n"/>
      <c r="AB322" s="41">
        <f>IF(TRIM('Counts'!$B$8&amp;"")="","",IFERROR(TRIM(INDEX($A322:$Z322,MATCH('Counts'!$B$8,$A$1:$Z$1,0))&amp;""),""))</f>
        <v/>
      </c>
      <c r="AC322" s="41">
        <f>IF(TRIM('Counts'!$B$26&amp;"")="","",IFERROR(TRIM(INDEX($A322:$Z322,MATCH('Counts'!$B$26,$A$1:$Z$1,0))&amp;""),""))</f>
        <v/>
      </c>
      <c r="AD322" s="41">
        <f>IF(TRIM('Counts'!$B$44&amp;"")="","",IFERROR(TRIM(INDEX($A322:$Z322,MATCH('Counts'!$B$44,$A$1:$Z$1,0))&amp;""),""))</f>
        <v/>
      </c>
      <c r="AE322" s="41">
        <f>IF(TRIM('Cross-tab'!$B$5&amp;"")="","",IFERROR(TRIM(INDEX($A322:$Z322,MATCH('Cross-tab'!$B$5,$A$1:$Z$1,0))&amp;""),""))</f>
        <v/>
      </c>
      <c r="AF322" s="41">
        <f>IF(TRIM('Cross-tab'!$B$7&amp;"")="","",IFERROR(TRIM(INDEX($A322:$Z322,MATCH('Cross-tab'!$B$7,$A$1:$Z$1,0))&amp;""),""))</f>
        <v/>
      </c>
      <c r="AG322" s="41">
        <f>IF(ISNUMBER(IFERROR(VALUE(IF(TRIM('Scale score'!$B$5&amp;"")="","",IFERROR(TRIM(INDEX($A322:$Z322,MATCH('Scale score'!$B$5,$A$1:$Z$1,0))&amp;""),""))),"")),IF(AND(IFERROR(VALUE(IF(TRIM('Scale score'!$B$5&amp;"")="","",IFERROR(TRIM(INDEX($A322:$Z322,MATCH('Scale score'!$B$5,$A$1:$Z$1,0))&amp;""),""))),"")&gt;='Scale score'!$B$6,IFERROR(VALUE(IF(TRIM('Scale score'!$B$5&amp;"")="","",IFERROR(TRIM(INDEX($A322:$Z322,MATCH('Scale score'!$B$5,$A$1:$Z$1,0))&amp;""),""))),"")&lt;='Scale score'!$B$7),IFERROR(VALUE(IF(TRIM('Scale score'!$B$5&amp;"")="","",IFERROR(TRIM(INDEX($A322:$Z322,MATCH('Scale score'!$B$5,$A$1:$Z$1,0))&amp;""),""))),""),""),"")</f>
        <v/>
      </c>
      <c r="AH322" s="41">
        <f>IF(TRIM('Open answers'!$B$5&amp;"")="","",IFERROR(TRIM(INDEX($A322:$Z322,MATCH('Open answers'!$B$5,$A$1:$Z$1,0))&amp;""),""))</f>
        <v/>
      </c>
      <c r="AI322" s="41">
        <f>IF(LEN(AH322)&gt;0,MAX($AI$1:AI321)+1,"")</f>
        <v/>
      </c>
    </row>
    <row r="323">
      <c r="AA323" s="40" t="n"/>
      <c r="AB323" s="41">
        <f>IF(TRIM('Counts'!$B$8&amp;"")="","",IFERROR(TRIM(INDEX($A323:$Z323,MATCH('Counts'!$B$8,$A$1:$Z$1,0))&amp;""),""))</f>
        <v/>
      </c>
      <c r="AC323" s="41">
        <f>IF(TRIM('Counts'!$B$26&amp;"")="","",IFERROR(TRIM(INDEX($A323:$Z323,MATCH('Counts'!$B$26,$A$1:$Z$1,0))&amp;""),""))</f>
        <v/>
      </c>
      <c r="AD323" s="41">
        <f>IF(TRIM('Counts'!$B$44&amp;"")="","",IFERROR(TRIM(INDEX($A323:$Z323,MATCH('Counts'!$B$44,$A$1:$Z$1,0))&amp;""),""))</f>
        <v/>
      </c>
      <c r="AE323" s="41">
        <f>IF(TRIM('Cross-tab'!$B$5&amp;"")="","",IFERROR(TRIM(INDEX($A323:$Z323,MATCH('Cross-tab'!$B$5,$A$1:$Z$1,0))&amp;""),""))</f>
        <v/>
      </c>
      <c r="AF323" s="41">
        <f>IF(TRIM('Cross-tab'!$B$7&amp;"")="","",IFERROR(TRIM(INDEX($A323:$Z323,MATCH('Cross-tab'!$B$7,$A$1:$Z$1,0))&amp;""),""))</f>
        <v/>
      </c>
      <c r="AG323" s="41">
        <f>IF(ISNUMBER(IFERROR(VALUE(IF(TRIM('Scale score'!$B$5&amp;"")="","",IFERROR(TRIM(INDEX($A323:$Z323,MATCH('Scale score'!$B$5,$A$1:$Z$1,0))&amp;""),""))),"")),IF(AND(IFERROR(VALUE(IF(TRIM('Scale score'!$B$5&amp;"")="","",IFERROR(TRIM(INDEX($A323:$Z323,MATCH('Scale score'!$B$5,$A$1:$Z$1,0))&amp;""),""))),"")&gt;='Scale score'!$B$6,IFERROR(VALUE(IF(TRIM('Scale score'!$B$5&amp;"")="","",IFERROR(TRIM(INDEX($A323:$Z323,MATCH('Scale score'!$B$5,$A$1:$Z$1,0))&amp;""),""))),"")&lt;='Scale score'!$B$7),IFERROR(VALUE(IF(TRIM('Scale score'!$B$5&amp;"")="","",IFERROR(TRIM(INDEX($A323:$Z323,MATCH('Scale score'!$B$5,$A$1:$Z$1,0))&amp;""),""))),""),""),"")</f>
        <v/>
      </c>
      <c r="AH323" s="41">
        <f>IF(TRIM('Open answers'!$B$5&amp;"")="","",IFERROR(TRIM(INDEX($A323:$Z323,MATCH('Open answers'!$B$5,$A$1:$Z$1,0))&amp;""),""))</f>
        <v/>
      </c>
      <c r="AI323" s="41">
        <f>IF(LEN(AH323)&gt;0,MAX($AI$1:AI322)+1,"")</f>
        <v/>
      </c>
    </row>
    <row r="324">
      <c r="AA324" s="40" t="n"/>
      <c r="AB324" s="41">
        <f>IF(TRIM('Counts'!$B$8&amp;"")="","",IFERROR(TRIM(INDEX($A324:$Z324,MATCH('Counts'!$B$8,$A$1:$Z$1,0))&amp;""),""))</f>
        <v/>
      </c>
      <c r="AC324" s="41">
        <f>IF(TRIM('Counts'!$B$26&amp;"")="","",IFERROR(TRIM(INDEX($A324:$Z324,MATCH('Counts'!$B$26,$A$1:$Z$1,0))&amp;""),""))</f>
        <v/>
      </c>
      <c r="AD324" s="41">
        <f>IF(TRIM('Counts'!$B$44&amp;"")="","",IFERROR(TRIM(INDEX($A324:$Z324,MATCH('Counts'!$B$44,$A$1:$Z$1,0))&amp;""),""))</f>
        <v/>
      </c>
      <c r="AE324" s="41">
        <f>IF(TRIM('Cross-tab'!$B$5&amp;"")="","",IFERROR(TRIM(INDEX($A324:$Z324,MATCH('Cross-tab'!$B$5,$A$1:$Z$1,0))&amp;""),""))</f>
        <v/>
      </c>
      <c r="AF324" s="41">
        <f>IF(TRIM('Cross-tab'!$B$7&amp;"")="","",IFERROR(TRIM(INDEX($A324:$Z324,MATCH('Cross-tab'!$B$7,$A$1:$Z$1,0))&amp;""),""))</f>
        <v/>
      </c>
      <c r="AG324" s="41">
        <f>IF(ISNUMBER(IFERROR(VALUE(IF(TRIM('Scale score'!$B$5&amp;"")="","",IFERROR(TRIM(INDEX($A324:$Z324,MATCH('Scale score'!$B$5,$A$1:$Z$1,0))&amp;""),""))),"")),IF(AND(IFERROR(VALUE(IF(TRIM('Scale score'!$B$5&amp;"")="","",IFERROR(TRIM(INDEX($A324:$Z324,MATCH('Scale score'!$B$5,$A$1:$Z$1,0))&amp;""),""))),"")&gt;='Scale score'!$B$6,IFERROR(VALUE(IF(TRIM('Scale score'!$B$5&amp;"")="","",IFERROR(TRIM(INDEX($A324:$Z324,MATCH('Scale score'!$B$5,$A$1:$Z$1,0))&amp;""),""))),"")&lt;='Scale score'!$B$7),IFERROR(VALUE(IF(TRIM('Scale score'!$B$5&amp;"")="","",IFERROR(TRIM(INDEX($A324:$Z324,MATCH('Scale score'!$B$5,$A$1:$Z$1,0))&amp;""),""))),""),""),"")</f>
        <v/>
      </c>
      <c r="AH324" s="41">
        <f>IF(TRIM('Open answers'!$B$5&amp;"")="","",IFERROR(TRIM(INDEX($A324:$Z324,MATCH('Open answers'!$B$5,$A$1:$Z$1,0))&amp;""),""))</f>
        <v/>
      </c>
      <c r="AI324" s="41">
        <f>IF(LEN(AH324)&gt;0,MAX($AI$1:AI323)+1,"")</f>
        <v/>
      </c>
    </row>
    <row r="325">
      <c r="AA325" s="40" t="n"/>
      <c r="AB325" s="41">
        <f>IF(TRIM('Counts'!$B$8&amp;"")="","",IFERROR(TRIM(INDEX($A325:$Z325,MATCH('Counts'!$B$8,$A$1:$Z$1,0))&amp;""),""))</f>
        <v/>
      </c>
      <c r="AC325" s="41">
        <f>IF(TRIM('Counts'!$B$26&amp;"")="","",IFERROR(TRIM(INDEX($A325:$Z325,MATCH('Counts'!$B$26,$A$1:$Z$1,0))&amp;""),""))</f>
        <v/>
      </c>
      <c r="AD325" s="41">
        <f>IF(TRIM('Counts'!$B$44&amp;"")="","",IFERROR(TRIM(INDEX($A325:$Z325,MATCH('Counts'!$B$44,$A$1:$Z$1,0))&amp;""),""))</f>
        <v/>
      </c>
      <c r="AE325" s="41">
        <f>IF(TRIM('Cross-tab'!$B$5&amp;"")="","",IFERROR(TRIM(INDEX($A325:$Z325,MATCH('Cross-tab'!$B$5,$A$1:$Z$1,0))&amp;""),""))</f>
        <v/>
      </c>
      <c r="AF325" s="41">
        <f>IF(TRIM('Cross-tab'!$B$7&amp;"")="","",IFERROR(TRIM(INDEX($A325:$Z325,MATCH('Cross-tab'!$B$7,$A$1:$Z$1,0))&amp;""),""))</f>
        <v/>
      </c>
      <c r="AG325" s="41">
        <f>IF(ISNUMBER(IFERROR(VALUE(IF(TRIM('Scale score'!$B$5&amp;"")="","",IFERROR(TRIM(INDEX($A325:$Z325,MATCH('Scale score'!$B$5,$A$1:$Z$1,0))&amp;""),""))),"")),IF(AND(IFERROR(VALUE(IF(TRIM('Scale score'!$B$5&amp;"")="","",IFERROR(TRIM(INDEX($A325:$Z325,MATCH('Scale score'!$B$5,$A$1:$Z$1,0))&amp;""),""))),"")&gt;='Scale score'!$B$6,IFERROR(VALUE(IF(TRIM('Scale score'!$B$5&amp;"")="","",IFERROR(TRIM(INDEX($A325:$Z325,MATCH('Scale score'!$B$5,$A$1:$Z$1,0))&amp;""),""))),"")&lt;='Scale score'!$B$7),IFERROR(VALUE(IF(TRIM('Scale score'!$B$5&amp;"")="","",IFERROR(TRIM(INDEX($A325:$Z325,MATCH('Scale score'!$B$5,$A$1:$Z$1,0))&amp;""),""))),""),""),"")</f>
        <v/>
      </c>
      <c r="AH325" s="41">
        <f>IF(TRIM('Open answers'!$B$5&amp;"")="","",IFERROR(TRIM(INDEX($A325:$Z325,MATCH('Open answers'!$B$5,$A$1:$Z$1,0))&amp;""),""))</f>
        <v/>
      </c>
      <c r="AI325" s="41">
        <f>IF(LEN(AH325)&gt;0,MAX($AI$1:AI324)+1,"")</f>
        <v/>
      </c>
    </row>
    <row r="326">
      <c r="AA326" s="40" t="n"/>
      <c r="AB326" s="41">
        <f>IF(TRIM('Counts'!$B$8&amp;"")="","",IFERROR(TRIM(INDEX($A326:$Z326,MATCH('Counts'!$B$8,$A$1:$Z$1,0))&amp;""),""))</f>
        <v/>
      </c>
      <c r="AC326" s="41">
        <f>IF(TRIM('Counts'!$B$26&amp;"")="","",IFERROR(TRIM(INDEX($A326:$Z326,MATCH('Counts'!$B$26,$A$1:$Z$1,0))&amp;""),""))</f>
        <v/>
      </c>
      <c r="AD326" s="41">
        <f>IF(TRIM('Counts'!$B$44&amp;"")="","",IFERROR(TRIM(INDEX($A326:$Z326,MATCH('Counts'!$B$44,$A$1:$Z$1,0))&amp;""),""))</f>
        <v/>
      </c>
      <c r="AE326" s="41">
        <f>IF(TRIM('Cross-tab'!$B$5&amp;"")="","",IFERROR(TRIM(INDEX($A326:$Z326,MATCH('Cross-tab'!$B$5,$A$1:$Z$1,0))&amp;""),""))</f>
        <v/>
      </c>
      <c r="AF326" s="41">
        <f>IF(TRIM('Cross-tab'!$B$7&amp;"")="","",IFERROR(TRIM(INDEX($A326:$Z326,MATCH('Cross-tab'!$B$7,$A$1:$Z$1,0))&amp;""),""))</f>
        <v/>
      </c>
      <c r="AG326" s="41">
        <f>IF(ISNUMBER(IFERROR(VALUE(IF(TRIM('Scale score'!$B$5&amp;"")="","",IFERROR(TRIM(INDEX($A326:$Z326,MATCH('Scale score'!$B$5,$A$1:$Z$1,0))&amp;""),""))),"")),IF(AND(IFERROR(VALUE(IF(TRIM('Scale score'!$B$5&amp;"")="","",IFERROR(TRIM(INDEX($A326:$Z326,MATCH('Scale score'!$B$5,$A$1:$Z$1,0))&amp;""),""))),"")&gt;='Scale score'!$B$6,IFERROR(VALUE(IF(TRIM('Scale score'!$B$5&amp;"")="","",IFERROR(TRIM(INDEX($A326:$Z326,MATCH('Scale score'!$B$5,$A$1:$Z$1,0))&amp;""),""))),"")&lt;='Scale score'!$B$7),IFERROR(VALUE(IF(TRIM('Scale score'!$B$5&amp;"")="","",IFERROR(TRIM(INDEX($A326:$Z326,MATCH('Scale score'!$B$5,$A$1:$Z$1,0))&amp;""),""))),""),""),"")</f>
        <v/>
      </c>
      <c r="AH326" s="41">
        <f>IF(TRIM('Open answers'!$B$5&amp;"")="","",IFERROR(TRIM(INDEX($A326:$Z326,MATCH('Open answers'!$B$5,$A$1:$Z$1,0))&amp;""),""))</f>
        <v/>
      </c>
      <c r="AI326" s="41">
        <f>IF(LEN(AH326)&gt;0,MAX($AI$1:AI325)+1,"")</f>
        <v/>
      </c>
    </row>
    <row r="327">
      <c r="AA327" s="40" t="n"/>
      <c r="AB327" s="41">
        <f>IF(TRIM('Counts'!$B$8&amp;"")="","",IFERROR(TRIM(INDEX($A327:$Z327,MATCH('Counts'!$B$8,$A$1:$Z$1,0))&amp;""),""))</f>
        <v/>
      </c>
      <c r="AC327" s="41">
        <f>IF(TRIM('Counts'!$B$26&amp;"")="","",IFERROR(TRIM(INDEX($A327:$Z327,MATCH('Counts'!$B$26,$A$1:$Z$1,0))&amp;""),""))</f>
        <v/>
      </c>
      <c r="AD327" s="41">
        <f>IF(TRIM('Counts'!$B$44&amp;"")="","",IFERROR(TRIM(INDEX($A327:$Z327,MATCH('Counts'!$B$44,$A$1:$Z$1,0))&amp;""),""))</f>
        <v/>
      </c>
      <c r="AE327" s="41">
        <f>IF(TRIM('Cross-tab'!$B$5&amp;"")="","",IFERROR(TRIM(INDEX($A327:$Z327,MATCH('Cross-tab'!$B$5,$A$1:$Z$1,0))&amp;""),""))</f>
        <v/>
      </c>
      <c r="AF327" s="41">
        <f>IF(TRIM('Cross-tab'!$B$7&amp;"")="","",IFERROR(TRIM(INDEX($A327:$Z327,MATCH('Cross-tab'!$B$7,$A$1:$Z$1,0))&amp;""),""))</f>
        <v/>
      </c>
      <c r="AG327" s="41">
        <f>IF(ISNUMBER(IFERROR(VALUE(IF(TRIM('Scale score'!$B$5&amp;"")="","",IFERROR(TRIM(INDEX($A327:$Z327,MATCH('Scale score'!$B$5,$A$1:$Z$1,0))&amp;""),""))),"")),IF(AND(IFERROR(VALUE(IF(TRIM('Scale score'!$B$5&amp;"")="","",IFERROR(TRIM(INDEX($A327:$Z327,MATCH('Scale score'!$B$5,$A$1:$Z$1,0))&amp;""),""))),"")&gt;='Scale score'!$B$6,IFERROR(VALUE(IF(TRIM('Scale score'!$B$5&amp;"")="","",IFERROR(TRIM(INDEX($A327:$Z327,MATCH('Scale score'!$B$5,$A$1:$Z$1,0))&amp;""),""))),"")&lt;='Scale score'!$B$7),IFERROR(VALUE(IF(TRIM('Scale score'!$B$5&amp;"")="","",IFERROR(TRIM(INDEX($A327:$Z327,MATCH('Scale score'!$B$5,$A$1:$Z$1,0))&amp;""),""))),""),""),"")</f>
        <v/>
      </c>
      <c r="AH327" s="41">
        <f>IF(TRIM('Open answers'!$B$5&amp;"")="","",IFERROR(TRIM(INDEX($A327:$Z327,MATCH('Open answers'!$B$5,$A$1:$Z$1,0))&amp;""),""))</f>
        <v/>
      </c>
      <c r="AI327" s="41">
        <f>IF(LEN(AH327)&gt;0,MAX($AI$1:AI326)+1,"")</f>
        <v/>
      </c>
    </row>
    <row r="328">
      <c r="AA328" s="40" t="n"/>
      <c r="AB328" s="41">
        <f>IF(TRIM('Counts'!$B$8&amp;"")="","",IFERROR(TRIM(INDEX($A328:$Z328,MATCH('Counts'!$B$8,$A$1:$Z$1,0))&amp;""),""))</f>
        <v/>
      </c>
      <c r="AC328" s="41">
        <f>IF(TRIM('Counts'!$B$26&amp;"")="","",IFERROR(TRIM(INDEX($A328:$Z328,MATCH('Counts'!$B$26,$A$1:$Z$1,0))&amp;""),""))</f>
        <v/>
      </c>
      <c r="AD328" s="41">
        <f>IF(TRIM('Counts'!$B$44&amp;"")="","",IFERROR(TRIM(INDEX($A328:$Z328,MATCH('Counts'!$B$44,$A$1:$Z$1,0))&amp;""),""))</f>
        <v/>
      </c>
      <c r="AE328" s="41">
        <f>IF(TRIM('Cross-tab'!$B$5&amp;"")="","",IFERROR(TRIM(INDEX($A328:$Z328,MATCH('Cross-tab'!$B$5,$A$1:$Z$1,0))&amp;""),""))</f>
        <v/>
      </c>
      <c r="AF328" s="41">
        <f>IF(TRIM('Cross-tab'!$B$7&amp;"")="","",IFERROR(TRIM(INDEX($A328:$Z328,MATCH('Cross-tab'!$B$7,$A$1:$Z$1,0))&amp;""),""))</f>
        <v/>
      </c>
      <c r="AG328" s="41">
        <f>IF(ISNUMBER(IFERROR(VALUE(IF(TRIM('Scale score'!$B$5&amp;"")="","",IFERROR(TRIM(INDEX($A328:$Z328,MATCH('Scale score'!$B$5,$A$1:$Z$1,0))&amp;""),""))),"")),IF(AND(IFERROR(VALUE(IF(TRIM('Scale score'!$B$5&amp;"")="","",IFERROR(TRIM(INDEX($A328:$Z328,MATCH('Scale score'!$B$5,$A$1:$Z$1,0))&amp;""),""))),"")&gt;='Scale score'!$B$6,IFERROR(VALUE(IF(TRIM('Scale score'!$B$5&amp;"")="","",IFERROR(TRIM(INDEX($A328:$Z328,MATCH('Scale score'!$B$5,$A$1:$Z$1,0))&amp;""),""))),"")&lt;='Scale score'!$B$7),IFERROR(VALUE(IF(TRIM('Scale score'!$B$5&amp;"")="","",IFERROR(TRIM(INDEX($A328:$Z328,MATCH('Scale score'!$B$5,$A$1:$Z$1,0))&amp;""),""))),""),""),"")</f>
        <v/>
      </c>
      <c r="AH328" s="41">
        <f>IF(TRIM('Open answers'!$B$5&amp;"")="","",IFERROR(TRIM(INDEX($A328:$Z328,MATCH('Open answers'!$B$5,$A$1:$Z$1,0))&amp;""),""))</f>
        <v/>
      </c>
      <c r="AI328" s="41">
        <f>IF(LEN(AH328)&gt;0,MAX($AI$1:AI327)+1,"")</f>
        <v/>
      </c>
    </row>
    <row r="329">
      <c r="AA329" s="40" t="n"/>
      <c r="AB329" s="41">
        <f>IF(TRIM('Counts'!$B$8&amp;"")="","",IFERROR(TRIM(INDEX($A329:$Z329,MATCH('Counts'!$B$8,$A$1:$Z$1,0))&amp;""),""))</f>
        <v/>
      </c>
      <c r="AC329" s="41">
        <f>IF(TRIM('Counts'!$B$26&amp;"")="","",IFERROR(TRIM(INDEX($A329:$Z329,MATCH('Counts'!$B$26,$A$1:$Z$1,0))&amp;""),""))</f>
        <v/>
      </c>
      <c r="AD329" s="41">
        <f>IF(TRIM('Counts'!$B$44&amp;"")="","",IFERROR(TRIM(INDEX($A329:$Z329,MATCH('Counts'!$B$44,$A$1:$Z$1,0))&amp;""),""))</f>
        <v/>
      </c>
      <c r="AE329" s="41">
        <f>IF(TRIM('Cross-tab'!$B$5&amp;"")="","",IFERROR(TRIM(INDEX($A329:$Z329,MATCH('Cross-tab'!$B$5,$A$1:$Z$1,0))&amp;""),""))</f>
        <v/>
      </c>
      <c r="AF329" s="41">
        <f>IF(TRIM('Cross-tab'!$B$7&amp;"")="","",IFERROR(TRIM(INDEX($A329:$Z329,MATCH('Cross-tab'!$B$7,$A$1:$Z$1,0))&amp;""),""))</f>
        <v/>
      </c>
      <c r="AG329" s="41">
        <f>IF(ISNUMBER(IFERROR(VALUE(IF(TRIM('Scale score'!$B$5&amp;"")="","",IFERROR(TRIM(INDEX($A329:$Z329,MATCH('Scale score'!$B$5,$A$1:$Z$1,0))&amp;""),""))),"")),IF(AND(IFERROR(VALUE(IF(TRIM('Scale score'!$B$5&amp;"")="","",IFERROR(TRIM(INDEX($A329:$Z329,MATCH('Scale score'!$B$5,$A$1:$Z$1,0))&amp;""),""))),"")&gt;='Scale score'!$B$6,IFERROR(VALUE(IF(TRIM('Scale score'!$B$5&amp;"")="","",IFERROR(TRIM(INDEX($A329:$Z329,MATCH('Scale score'!$B$5,$A$1:$Z$1,0))&amp;""),""))),"")&lt;='Scale score'!$B$7),IFERROR(VALUE(IF(TRIM('Scale score'!$B$5&amp;"")="","",IFERROR(TRIM(INDEX($A329:$Z329,MATCH('Scale score'!$B$5,$A$1:$Z$1,0))&amp;""),""))),""),""),"")</f>
        <v/>
      </c>
      <c r="AH329" s="41">
        <f>IF(TRIM('Open answers'!$B$5&amp;"")="","",IFERROR(TRIM(INDEX($A329:$Z329,MATCH('Open answers'!$B$5,$A$1:$Z$1,0))&amp;""),""))</f>
        <v/>
      </c>
      <c r="AI329" s="41">
        <f>IF(LEN(AH329)&gt;0,MAX($AI$1:AI328)+1,"")</f>
        <v/>
      </c>
    </row>
    <row r="330">
      <c r="AA330" s="40" t="n"/>
      <c r="AB330" s="41">
        <f>IF(TRIM('Counts'!$B$8&amp;"")="","",IFERROR(TRIM(INDEX($A330:$Z330,MATCH('Counts'!$B$8,$A$1:$Z$1,0))&amp;""),""))</f>
        <v/>
      </c>
      <c r="AC330" s="41">
        <f>IF(TRIM('Counts'!$B$26&amp;"")="","",IFERROR(TRIM(INDEX($A330:$Z330,MATCH('Counts'!$B$26,$A$1:$Z$1,0))&amp;""),""))</f>
        <v/>
      </c>
      <c r="AD330" s="41">
        <f>IF(TRIM('Counts'!$B$44&amp;"")="","",IFERROR(TRIM(INDEX($A330:$Z330,MATCH('Counts'!$B$44,$A$1:$Z$1,0))&amp;""),""))</f>
        <v/>
      </c>
      <c r="AE330" s="41">
        <f>IF(TRIM('Cross-tab'!$B$5&amp;"")="","",IFERROR(TRIM(INDEX($A330:$Z330,MATCH('Cross-tab'!$B$5,$A$1:$Z$1,0))&amp;""),""))</f>
        <v/>
      </c>
      <c r="AF330" s="41">
        <f>IF(TRIM('Cross-tab'!$B$7&amp;"")="","",IFERROR(TRIM(INDEX($A330:$Z330,MATCH('Cross-tab'!$B$7,$A$1:$Z$1,0))&amp;""),""))</f>
        <v/>
      </c>
      <c r="AG330" s="41">
        <f>IF(ISNUMBER(IFERROR(VALUE(IF(TRIM('Scale score'!$B$5&amp;"")="","",IFERROR(TRIM(INDEX($A330:$Z330,MATCH('Scale score'!$B$5,$A$1:$Z$1,0))&amp;""),""))),"")),IF(AND(IFERROR(VALUE(IF(TRIM('Scale score'!$B$5&amp;"")="","",IFERROR(TRIM(INDEX($A330:$Z330,MATCH('Scale score'!$B$5,$A$1:$Z$1,0))&amp;""),""))),"")&gt;='Scale score'!$B$6,IFERROR(VALUE(IF(TRIM('Scale score'!$B$5&amp;"")="","",IFERROR(TRIM(INDEX($A330:$Z330,MATCH('Scale score'!$B$5,$A$1:$Z$1,0))&amp;""),""))),"")&lt;='Scale score'!$B$7),IFERROR(VALUE(IF(TRIM('Scale score'!$B$5&amp;"")="","",IFERROR(TRIM(INDEX($A330:$Z330,MATCH('Scale score'!$B$5,$A$1:$Z$1,0))&amp;""),""))),""),""),"")</f>
        <v/>
      </c>
      <c r="AH330" s="41">
        <f>IF(TRIM('Open answers'!$B$5&amp;"")="","",IFERROR(TRIM(INDEX($A330:$Z330,MATCH('Open answers'!$B$5,$A$1:$Z$1,0))&amp;""),""))</f>
        <v/>
      </c>
      <c r="AI330" s="41">
        <f>IF(LEN(AH330)&gt;0,MAX($AI$1:AI329)+1,"")</f>
        <v/>
      </c>
    </row>
    <row r="331">
      <c r="AA331" s="40" t="n"/>
      <c r="AB331" s="41">
        <f>IF(TRIM('Counts'!$B$8&amp;"")="","",IFERROR(TRIM(INDEX($A331:$Z331,MATCH('Counts'!$B$8,$A$1:$Z$1,0))&amp;""),""))</f>
        <v/>
      </c>
      <c r="AC331" s="41">
        <f>IF(TRIM('Counts'!$B$26&amp;"")="","",IFERROR(TRIM(INDEX($A331:$Z331,MATCH('Counts'!$B$26,$A$1:$Z$1,0))&amp;""),""))</f>
        <v/>
      </c>
      <c r="AD331" s="41">
        <f>IF(TRIM('Counts'!$B$44&amp;"")="","",IFERROR(TRIM(INDEX($A331:$Z331,MATCH('Counts'!$B$44,$A$1:$Z$1,0))&amp;""),""))</f>
        <v/>
      </c>
      <c r="AE331" s="41">
        <f>IF(TRIM('Cross-tab'!$B$5&amp;"")="","",IFERROR(TRIM(INDEX($A331:$Z331,MATCH('Cross-tab'!$B$5,$A$1:$Z$1,0))&amp;""),""))</f>
        <v/>
      </c>
      <c r="AF331" s="41">
        <f>IF(TRIM('Cross-tab'!$B$7&amp;"")="","",IFERROR(TRIM(INDEX($A331:$Z331,MATCH('Cross-tab'!$B$7,$A$1:$Z$1,0))&amp;""),""))</f>
        <v/>
      </c>
      <c r="AG331" s="41">
        <f>IF(ISNUMBER(IFERROR(VALUE(IF(TRIM('Scale score'!$B$5&amp;"")="","",IFERROR(TRIM(INDEX($A331:$Z331,MATCH('Scale score'!$B$5,$A$1:$Z$1,0))&amp;""),""))),"")),IF(AND(IFERROR(VALUE(IF(TRIM('Scale score'!$B$5&amp;"")="","",IFERROR(TRIM(INDEX($A331:$Z331,MATCH('Scale score'!$B$5,$A$1:$Z$1,0))&amp;""),""))),"")&gt;='Scale score'!$B$6,IFERROR(VALUE(IF(TRIM('Scale score'!$B$5&amp;"")="","",IFERROR(TRIM(INDEX($A331:$Z331,MATCH('Scale score'!$B$5,$A$1:$Z$1,0))&amp;""),""))),"")&lt;='Scale score'!$B$7),IFERROR(VALUE(IF(TRIM('Scale score'!$B$5&amp;"")="","",IFERROR(TRIM(INDEX($A331:$Z331,MATCH('Scale score'!$B$5,$A$1:$Z$1,0))&amp;""),""))),""),""),"")</f>
        <v/>
      </c>
      <c r="AH331" s="41">
        <f>IF(TRIM('Open answers'!$B$5&amp;"")="","",IFERROR(TRIM(INDEX($A331:$Z331,MATCH('Open answers'!$B$5,$A$1:$Z$1,0))&amp;""),""))</f>
        <v/>
      </c>
      <c r="AI331" s="41">
        <f>IF(LEN(AH331)&gt;0,MAX($AI$1:AI330)+1,"")</f>
        <v/>
      </c>
    </row>
    <row r="332">
      <c r="AA332" s="40" t="n"/>
      <c r="AB332" s="41">
        <f>IF(TRIM('Counts'!$B$8&amp;"")="","",IFERROR(TRIM(INDEX($A332:$Z332,MATCH('Counts'!$B$8,$A$1:$Z$1,0))&amp;""),""))</f>
        <v/>
      </c>
      <c r="AC332" s="41">
        <f>IF(TRIM('Counts'!$B$26&amp;"")="","",IFERROR(TRIM(INDEX($A332:$Z332,MATCH('Counts'!$B$26,$A$1:$Z$1,0))&amp;""),""))</f>
        <v/>
      </c>
      <c r="AD332" s="41">
        <f>IF(TRIM('Counts'!$B$44&amp;"")="","",IFERROR(TRIM(INDEX($A332:$Z332,MATCH('Counts'!$B$44,$A$1:$Z$1,0))&amp;""),""))</f>
        <v/>
      </c>
      <c r="AE332" s="41">
        <f>IF(TRIM('Cross-tab'!$B$5&amp;"")="","",IFERROR(TRIM(INDEX($A332:$Z332,MATCH('Cross-tab'!$B$5,$A$1:$Z$1,0))&amp;""),""))</f>
        <v/>
      </c>
      <c r="AF332" s="41">
        <f>IF(TRIM('Cross-tab'!$B$7&amp;"")="","",IFERROR(TRIM(INDEX($A332:$Z332,MATCH('Cross-tab'!$B$7,$A$1:$Z$1,0))&amp;""),""))</f>
        <v/>
      </c>
      <c r="AG332" s="41">
        <f>IF(ISNUMBER(IFERROR(VALUE(IF(TRIM('Scale score'!$B$5&amp;"")="","",IFERROR(TRIM(INDEX($A332:$Z332,MATCH('Scale score'!$B$5,$A$1:$Z$1,0))&amp;""),""))),"")),IF(AND(IFERROR(VALUE(IF(TRIM('Scale score'!$B$5&amp;"")="","",IFERROR(TRIM(INDEX($A332:$Z332,MATCH('Scale score'!$B$5,$A$1:$Z$1,0))&amp;""),""))),"")&gt;='Scale score'!$B$6,IFERROR(VALUE(IF(TRIM('Scale score'!$B$5&amp;"")="","",IFERROR(TRIM(INDEX($A332:$Z332,MATCH('Scale score'!$B$5,$A$1:$Z$1,0))&amp;""),""))),"")&lt;='Scale score'!$B$7),IFERROR(VALUE(IF(TRIM('Scale score'!$B$5&amp;"")="","",IFERROR(TRIM(INDEX($A332:$Z332,MATCH('Scale score'!$B$5,$A$1:$Z$1,0))&amp;""),""))),""),""),"")</f>
        <v/>
      </c>
      <c r="AH332" s="41">
        <f>IF(TRIM('Open answers'!$B$5&amp;"")="","",IFERROR(TRIM(INDEX($A332:$Z332,MATCH('Open answers'!$B$5,$A$1:$Z$1,0))&amp;""),""))</f>
        <v/>
      </c>
      <c r="AI332" s="41">
        <f>IF(LEN(AH332)&gt;0,MAX($AI$1:AI331)+1,"")</f>
        <v/>
      </c>
    </row>
    <row r="333">
      <c r="AA333" s="40" t="n"/>
      <c r="AB333" s="41">
        <f>IF(TRIM('Counts'!$B$8&amp;"")="","",IFERROR(TRIM(INDEX($A333:$Z333,MATCH('Counts'!$B$8,$A$1:$Z$1,0))&amp;""),""))</f>
        <v/>
      </c>
      <c r="AC333" s="41">
        <f>IF(TRIM('Counts'!$B$26&amp;"")="","",IFERROR(TRIM(INDEX($A333:$Z333,MATCH('Counts'!$B$26,$A$1:$Z$1,0))&amp;""),""))</f>
        <v/>
      </c>
      <c r="AD333" s="41">
        <f>IF(TRIM('Counts'!$B$44&amp;"")="","",IFERROR(TRIM(INDEX($A333:$Z333,MATCH('Counts'!$B$44,$A$1:$Z$1,0))&amp;""),""))</f>
        <v/>
      </c>
      <c r="AE333" s="41">
        <f>IF(TRIM('Cross-tab'!$B$5&amp;"")="","",IFERROR(TRIM(INDEX($A333:$Z333,MATCH('Cross-tab'!$B$5,$A$1:$Z$1,0))&amp;""),""))</f>
        <v/>
      </c>
      <c r="AF333" s="41">
        <f>IF(TRIM('Cross-tab'!$B$7&amp;"")="","",IFERROR(TRIM(INDEX($A333:$Z333,MATCH('Cross-tab'!$B$7,$A$1:$Z$1,0))&amp;""),""))</f>
        <v/>
      </c>
      <c r="AG333" s="41">
        <f>IF(ISNUMBER(IFERROR(VALUE(IF(TRIM('Scale score'!$B$5&amp;"")="","",IFERROR(TRIM(INDEX($A333:$Z333,MATCH('Scale score'!$B$5,$A$1:$Z$1,0))&amp;""),""))),"")),IF(AND(IFERROR(VALUE(IF(TRIM('Scale score'!$B$5&amp;"")="","",IFERROR(TRIM(INDEX($A333:$Z333,MATCH('Scale score'!$B$5,$A$1:$Z$1,0))&amp;""),""))),"")&gt;='Scale score'!$B$6,IFERROR(VALUE(IF(TRIM('Scale score'!$B$5&amp;"")="","",IFERROR(TRIM(INDEX($A333:$Z333,MATCH('Scale score'!$B$5,$A$1:$Z$1,0))&amp;""),""))),"")&lt;='Scale score'!$B$7),IFERROR(VALUE(IF(TRIM('Scale score'!$B$5&amp;"")="","",IFERROR(TRIM(INDEX($A333:$Z333,MATCH('Scale score'!$B$5,$A$1:$Z$1,0))&amp;""),""))),""),""),"")</f>
        <v/>
      </c>
      <c r="AH333" s="41">
        <f>IF(TRIM('Open answers'!$B$5&amp;"")="","",IFERROR(TRIM(INDEX($A333:$Z333,MATCH('Open answers'!$B$5,$A$1:$Z$1,0))&amp;""),""))</f>
        <v/>
      </c>
      <c r="AI333" s="41">
        <f>IF(LEN(AH333)&gt;0,MAX($AI$1:AI332)+1,"")</f>
        <v/>
      </c>
    </row>
    <row r="334">
      <c r="AA334" s="40" t="n"/>
      <c r="AB334" s="41">
        <f>IF(TRIM('Counts'!$B$8&amp;"")="","",IFERROR(TRIM(INDEX($A334:$Z334,MATCH('Counts'!$B$8,$A$1:$Z$1,0))&amp;""),""))</f>
        <v/>
      </c>
      <c r="AC334" s="41">
        <f>IF(TRIM('Counts'!$B$26&amp;"")="","",IFERROR(TRIM(INDEX($A334:$Z334,MATCH('Counts'!$B$26,$A$1:$Z$1,0))&amp;""),""))</f>
        <v/>
      </c>
      <c r="AD334" s="41">
        <f>IF(TRIM('Counts'!$B$44&amp;"")="","",IFERROR(TRIM(INDEX($A334:$Z334,MATCH('Counts'!$B$44,$A$1:$Z$1,0))&amp;""),""))</f>
        <v/>
      </c>
      <c r="AE334" s="41">
        <f>IF(TRIM('Cross-tab'!$B$5&amp;"")="","",IFERROR(TRIM(INDEX($A334:$Z334,MATCH('Cross-tab'!$B$5,$A$1:$Z$1,0))&amp;""),""))</f>
        <v/>
      </c>
      <c r="AF334" s="41">
        <f>IF(TRIM('Cross-tab'!$B$7&amp;"")="","",IFERROR(TRIM(INDEX($A334:$Z334,MATCH('Cross-tab'!$B$7,$A$1:$Z$1,0))&amp;""),""))</f>
        <v/>
      </c>
      <c r="AG334" s="41">
        <f>IF(ISNUMBER(IFERROR(VALUE(IF(TRIM('Scale score'!$B$5&amp;"")="","",IFERROR(TRIM(INDEX($A334:$Z334,MATCH('Scale score'!$B$5,$A$1:$Z$1,0))&amp;""),""))),"")),IF(AND(IFERROR(VALUE(IF(TRIM('Scale score'!$B$5&amp;"")="","",IFERROR(TRIM(INDEX($A334:$Z334,MATCH('Scale score'!$B$5,$A$1:$Z$1,0))&amp;""),""))),"")&gt;='Scale score'!$B$6,IFERROR(VALUE(IF(TRIM('Scale score'!$B$5&amp;"")="","",IFERROR(TRIM(INDEX($A334:$Z334,MATCH('Scale score'!$B$5,$A$1:$Z$1,0))&amp;""),""))),"")&lt;='Scale score'!$B$7),IFERROR(VALUE(IF(TRIM('Scale score'!$B$5&amp;"")="","",IFERROR(TRIM(INDEX($A334:$Z334,MATCH('Scale score'!$B$5,$A$1:$Z$1,0))&amp;""),""))),""),""),"")</f>
        <v/>
      </c>
      <c r="AH334" s="41">
        <f>IF(TRIM('Open answers'!$B$5&amp;"")="","",IFERROR(TRIM(INDEX($A334:$Z334,MATCH('Open answers'!$B$5,$A$1:$Z$1,0))&amp;""),""))</f>
        <v/>
      </c>
      <c r="AI334" s="41">
        <f>IF(LEN(AH334)&gt;0,MAX($AI$1:AI333)+1,"")</f>
        <v/>
      </c>
    </row>
    <row r="335">
      <c r="AA335" s="40" t="n"/>
      <c r="AB335" s="41">
        <f>IF(TRIM('Counts'!$B$8&amp;"")="","",IFERROR(TRIM(INDEX($A335:$Z335,MATCH('Counts'!$B$8,$A$1:$Z$1,0))&amp;""),""))</f>
        <v/>
      </c>
      <c r="AC335" s="41">
        <f>IF(TRIM('Counts'!$B$26&amp;"")="","",IFERROR(TRIM(INDEX($A335:$Z335,MATCH('Counts'!$B$26,$A$1:$Z$1,0))&amp;""),""))</f>
        <v/>
      </c>
      <c r="AD335" s="41">
        <f>IF(TRIM('Counts'!$B$44&amp;"")="","",IFERROR(TRIM(INDEX($A335:$Z335,MATCH('Counts'!$B$44,$A$1:$Z$1,0))&amp;""),""))</f>
        <v/>
      </c>
      <c r="AE335" s="41">
        <f>IF(TRIM('Cross-tab'!$B$5&amp;"")="","",IFERROR(TRIM(INDEX($A335:$Z335,MATCH('Cross-tab'!$B$5,$A$1:$Z$1,0))&amp;""),""))</f>
        <v/>
      </c>
      <c r="AF335" s="41">
        <f>IF(TRIM('Cross-tab'!$B$7&amp;"")="","",IFERROR(TRIM(INDEX($A335:$Z335,MATCH('Cross-tab'!$B$7,$A$1:$Z$1,0))&amp;""),""))</f>
        <v/>
      </c>
      <c r="AG335" s="41">
        <f>IF(ISNUMBER(IFERROR(VALUE(IF(TRIM('Scale score'!$B$5&amp;"")="","",IFERROR(TRIM(INDEX($A335:$Z335,MATCH('Scale score'!$B$5,$A$1:$Z$1,0))&amp;""),""))),"")),IF(AND(IFERROR(VALUE(IF(TRIM('Scale score'!$B$5&amp;"")="","",IFERROR(TRIM(INDEX($A335:$Z335,MATCH('Scale score'!$B$5,$A$1:$Z$1,0))&amp;""),""))),"")&gt;='Scale score'!$B$6,IFERROR(VALUE(IF(TRIM('Scale score'!$B$5&amp;"")="","",IFERROR(TRIM(INDEX($A335:$Z335,MATCH('Scale score'!$B$5,$A$1:$Z$1,0))&amp;""),""))),"")&lt;='Scale score'!$B$7),IFERROR(VALUE(IF(TRIM('Scale score'!$B$5&amp;"")="","",IFERROR(TRIM(INDEX($A335:$Z335,MATCH('Scale score'!$B$5,$A$1:$Z$1,0))&amp;""),""))),""),""),"")</f>
        <v/>
      </c>
      <c r="AH335" s="41">
        <f>IF(TRIM('Open answers'!$B$5&amp;"")="","",IFERROR(TRIM(INDEX($A335:$Z335,MATCH('Open answers'!$B$5,$A$1:$Z$1,0))&amp;""),""))</f>
        <v/>
      </c>
      <c r="AI335" s="41">
        <f>IF(LEN(AH335)&gt;0,MAX($AI$1:AI334)+1,"")</f>
        <v/>
      </c>
    </row>
    <row r="336">
      <c r="AA336" s="40" t="n"/>
      <c r="AB336" s="41">
        <f>IF(TRIM('Counts'!$B$8&amp;"")="","",IFERROR(TRIM(INDEX($A336:$Z336,MATCH('Counts'!$B$8,$A$1:$Z$1,0))&amp;""),""))</f>
        <v/>
      </c>
      <c r="AC336" s="41">
        <f>IF(TRIM('Counts'!$B$26&amp;"")="","",IFERROR(TRIM(INDEX($A336:$Z336,MATCH('Counts'!$B$26,$A$1:$Z$1,0))&amp;""),""))</f>
        <v/>
      </c>
      <c r="AD336" s="41">
        <f>IF(TRIM('Counts'!$B$44&amp;"")="","",IFERROR(TRIM(INDEX($A336:$Z336,MATCH('Counts'!$B$44,$A$1:$Z$1,0))&amp;""),""))</f>
        <v/>
      </c>
      <c r="AE336" s="41">
        <f>IF(TRIM('Cross-tab'!$B$5&amp;"")="","",IFERROR(TRIM(INDEX($A336:$Z336,MATCH('Cross-tab'!$B$5,$A$1:$Z$1,0))&amp;""),""))</f>
        <v/>
      </c>
      <c r="AF336" s="41">
        <f>IF(TRIM('Cross-tab'!$B$7&amp;"")="","",IFERROR(TRIM(INDEX($A336:$Z336,MATCH('Cross-tab'!$B$7,$A$1:$Z$1,0))&amp;""),""))</f>
        <v/>
      </c>
      <c r="AG336" s="41">
        <f>IF(ISNUMBER(IFERROR(VALUE(IF(TRIM('Scale score'!$B$5&amp;"")="","",IFERROR(TRIM(INDEX($A336:$Z336,MATCH('Scale score'!$B$5,$A$1:$Z$1,0))&amp;""),""))),"")),IF(AND(IFERROR(VALUE(IF(TRIM('Scale score'!$B$5&amp;"")="","",IFERROR(TRIM(INDEX($A336:$Z336,MATCH('Scale score'!$B$5,$A$1:$Z$1,0))&amp;""),""))),"")&gt;='Scale score'!$B$6,IFERROR(VALUE(IF(TRIM('Scale score'!$B$5&amp;"")="","",IFERROR(TRIM(INDEX($A336:$Z336,MATCH('Scale score'!$B$5,$A$1:$Z$1,0))&amp;""),""))),"")&lt;='Scale score'!$B$7),IFERROR(VALUE(IF(TRIM('Scale score'!$B$5&amp;"")="","",IFERROR(TRIM(INDEX($A336:$Z336,MATCH('Scale score'!$B$5,$A$1:$Z$1,0))&amp;""),""))),""),""),"")</f>
        <v/>
      </c>
      <c r="AH336" s="41">
        <f>IF(TRIM('Open answers'!$B$5&amp;"")="","",IFERROR(TRIM(INDEX($A336:$Z336,MATCH('Open answers'!$B$5,$A$1:$Z$1,0))&amp;""),""))</f>
        <v/>
      </c>
      <c r="AI336" s="41">
        <f>IF(LEN(AH336)&gt;0,MAX($AI$1:AI335)+1,"")</f>
        <v/>
      </c>
    </row>
    <row r="337">
      <c r="AA337" s="40" t="n"/>
      <c r="AB337" s="41">
        <f>IF(TRIM('Counts'!$B$8&amp;"")="","",IFERROR(TRIM(INDEX($A337:$Z337,MATCH('Counts'!$B$8,$A$1:$Z$1,0))&amp;""),""))</f>
        <v/>
      </c>
      <c r="AC337" s="41">
        <f>IF(TRIM('Counts'!$B$26&amp;"")="","",IFERROR(TRIM(INDEX($A337:$Z337,MATCH('Counts'!$B$26,$A$1:$Z$1,0))&amp;""),""))</f>
        <v/>
      </c>
      <c r="AD337" s="41">
        <f>IF(TRIM('Counts'!$B$44&amp;"")="","",IFERROR(TRIM(INDEX($A337:$Z337,MATCH('Counts'!$B$44,$A$1:$Z$1,0))&amp;""),""))</f>
        <v/>
      </c>
      <c r="AE337" s="41">
        <f>IF(TRIM('Cross-tab'!$B$5&amp;"")="","",IFERROR(TRIM(INDEX($A337:$Z337,MATCH('Cross-tab'!$B$5,$A$1:$Z$1,0))&amp;""),""))</f>
        <v/>
      </c>
      <c r="AF337" s="41">
        <f>IF(TRIM('Cross-tab'!$B$7&amp;"")="","",IFERROR(TRIM(INDEX($A337:$Z337,MATCH('Cross-tab'!$B$7,$A$1:$Z$1,0))&amp;""),""))</f>
        <v/>
      </c>
      <c r="AG337" s="41">
        <f>IF(ISNUMBER(IFERROR(VALUE(IF(TRIM('Scale score'!$B$5&amp;"")="","",IFERROR(TRIM(INDEX($A337:$Z337,MATCH('Scale score'!$B$5,$A$1:$Z$1,0))&amp;""),""))),"")),IF(AND(IFERROR(VALUE(IF(TRIM('Scale score'!$B$5&amp;"")="","",IFERROR(TRIM(INDEX($A337:$Z337,MATCH('Scale score'!$B$5,$A$1:$Z$1,0))&amp;""),""))),"")&gt;='Scale score'!$B$6,IFERROR(VALUE(IF(TRIM('Scale score'!$B$5&amp;"")="","",IFERROR(TRIM(INDEX($A337:$Z337,MATCH('Scale score'!$B$5,$A$1:$Z$1,0))&amp;""),""))),"")&lt;='Scale score'!$B$7),IFERROR(VALUE(IF(TRIM('Scale score'!$B$5&amp;"")="","",IFERROR(TRIM(INDEX($A337:$Z337,MATCH('Scale score'!$B$5,$A$1:$Z$1,0))&amp;""),""))),""),""),"")</f>
        <v/>
      </c>
      <c r="AH337" s="41">
        <f>IF(TRIM('Open answers'!$B$5&amp;"")="","",IFERROR(TRIM(INDEX($A337:$Z337,MATCH('Open answers'!$B$5,$A$1:$Z$1,0))&amp;""),""))</f>
        <v/>
      </c>
      <c r="AI337" s="41">
        <f>IF(LEN(AH337)&gt;0,MAX($AI$1:AI336)+1,"")</f>
        <v/>
      </c>
    </row>
    <row r="338">
      <c r="AA338" s="40" t="n"/>
      <c r="AB338" s="41">
        <f>IF(TRIM('Counts'!$B$8&amp;"")="","",IFERROR(TRIM(INDEX($A338:$Z338,MATCH('Counts'!$B$8,$A$1:$Z$1,0))&amp;""),""))</f>
        <v/>
      </c>
      <c r="AC338" s="41">
        <f>IF(TRIM('Counts'!$B$26&amp;"")="","",IFERROR(TRIM(INDEX($A338:$Z338,MATCH('Counts'!$B$26,$A$1:$Z$1,0))&amp;""),""))</f>
        <v/>
      </c>
      <c r="AD338" s="41">
        <f>IF(TRIM('Counts'!$B$44&amp;"")="","",IFERROR(TRIM(INDEX($A338:$Z338,MATCH('Counts'!$B$44,$A$1:$Z$1,0))&amp;""),""))</f>
        <v/>
      </c>
      <c r="AE338" s="41">
        <f>IF(TRIM('Cross-tab'!$B$5&amp;"")="","",IFERROR(TRIM(INDEX($A338:$Z338,MATCH('Cross-tab'!$B$5,$A$1:$Z$1,0))&amp;""),""))</f>
        <v/>
      </c>
      <c r="AF338" s="41">
        <f>IF(TRIM('Cross-tab'!$B$7&amp;"")="","",IFERROR(TRIM(INDEX($A338:$Z338,MATCH('Cross-tab'!$B$7,$A$1:$Z$1,0))&amp;""),""))</f>
        <v/>
      </c>
      <c r="AG338" s="41">
        <f>IF(ISNUMBER(IFERROR(VALUE(IF(TRIM('Scale score'!$B$5&amp;"")="","",IFERROR(TRIM(INDEX($A338:$Z338,MATCH('Scale score'!$B$5,$A$1:$Z$1,0))&amp;""),""))),"")),IF(AND(IFERROR(VALUE(IF(TRIM('Scale score'!$B$5&amp;"")="","",IFERROR(TRIM(INDEX($A338:$Z338,MATCH('Scale score'!$B$5,$A$1:$Z$1,0))&amp;""),""))),"")&gt;='Scale score'!$B$6,IFERROR(VALUE(IF(TRIM('Scale score'!$B$5&amp;"")="","",IFERROR(TRIM(INDEX($A338:$Z338,MATCH('Scale score'!$B$5,$A$1:$Z$1,0))&amp;""),""))),"")&lt;='Scale score'!$B$7),IFERROR(VALUE(IF(TRIM('Scale score'!$B$5&amp;"")="","",IFERROR(TRIM(INDEX($A338:$Z338,MATCH('Scale score'!$B$5,$A$1:$Z$1,0))&amp;""),""))),""),""),"")</f>
        <v/>
      </c>
      <c r="AH338" s="41">
        <f>IF(TRIM('Open answers'!$B$5&amp;"")="","",IFERROR(TRIM(INDEX($A338:$Z338,MATCH('Open answers'!$B$5,$A$1:$Z$1,0))&amp;""),""))</f>
        <v/>
      </c>
      <c r="AI338" s="41">
        <f>IF(LEN(AH338)&gt;0,MAX($AI$1:AI337)+1,"")</f>
        <v/>
      </c>
    </row>
    <row r="339">
      <c r="AA339" s="40" t="n"/>
      <c r="AB339" s="41">
        <f>IF(TRIM('Counts'!$B$8&amp;"")="","",IFERROR(TRIM(INDEX($A339:$Z339,MATCH('Counts'!$B$8,$A$1:$Z$1,0))&amp;""),""))</f>
        <v/>
      </c>
      <c r="AC339" s="41">
        <f>IF(TRIM('Counts'!$B$26&amp;"")="","",IFERROR(TRIM(INDEX($A339:$Z339,MATCH('Counts'!$B$26,$A$1:$Z$1,0))&amp;""),""))</f>
        <v/>
      </c>
      <c r="AD339" s="41">
        <f>IF(TRIM('Counts'!$B$44&amp;"")="","",IFERROR(TRIM(INDEX($A339:$Z339,MATCH('Counts'!$B$44,$A$1:$Z$1,0))&amp;""),""))</f>
        <v/>
      </c>
      <c r="AE339" s="41">
        <f>IF(TRIM('Cross-tab'!$B$5&amp;"")="","",IFERROR(TRIM(INDEX($A339:$Z339,MATCH('Cross-tab'!$B$5,$A$1:$Z$1,0))&amp;""),""))</f>
        <v/>
      </c>
      <c r="AF339" s="41">
        <f>IF(TRIM('Cross-tab'!$B$7&amp;"")="","",IFERROR(TRIM(INDEX($A339:$Z339,MATCH('Cross-tab'!$B$7,$A$1:$Z$1,0))&amp;""),""))</f>
        <v/>
      </c>
      <c r="AG339" s="41">
        <f>IF(ISNUMBER(IFERROR(VALUE(IF(TRIM('Scale score'!$B$5&amp;"")="","",IFERROR(TRIM(INDEX($A339:$Z339,MATCH('Scale score'!$B$5,$A$1:$Z$1,0))&amp;""),""))),"")),IF(AND(IFERROR(VALUE(IF(TRIM('Scale score'!$B$5&amp;"")="","",IFERROR(TRIM(INDEX($A339:$Z339,MATCH('Scale score'!$B$5,$A$1:$Z$1,0))&amp;""),""))),"")&gt;='Scale score'!$B$6,IFERROR(VALUE(IF(TRIM('Scale score'!$B$5&amp;"")="","",IFERROR(TRIM(INDEX($A339:$Z339,MATCH('Scale score'!$B$5,$A$1:$Z$1,0))&amp;""),""))),"")&lt;='Scale score'!$B$7),IFERROR(VALUE(IF(TRIM('Scale score'!$B$5&amp;"")="","",IFERROR(TRIM(INDEX($A339:$Z339,MATCH('Scale score'!$B$5,$A$1:$Z$1,0))&amp;""),""))),""),""),"")</f>
        <v/>
      </c>
      <c r="AH339" s="41">
        <f>IF(TRIM('Open answers'!$B$5&amp;"")="","",IFERROR(TRIM(INDEX($A339:$Z339,MATCH('Open answers'!$B$5,$A$1:$Z$1,0))&amp;""),""))</f>
        <v/>
      </c>
      <c r="AI339" s="41">
        <f>IF(LEN(AH339)&gt;0,MAX($AI$1:AI338)+1,"")</f>
        <v/>
      </c>
    </row>
    <row r="340">
      <c r="AA340" s="40" t="n"/>
      <c r="AB340" s="41">
        <f>IF(TRIM('Counts'!$B$8&amp;"")="","",IFERROR(TRIM(INDEX($A340:$Z340,MATCH('Counts'!$B$8,$A$1:$Z$1,0))&amp;""),""))</f>
        <v/>
      </c>
      <c r="AC340" s="41">
        <f>IF(TRIM('Counts'!$B$26&amp;"")="","",IFERROR(TRIM(INDEX($A340:$Z340,MATCH('Counts'!$B$26,$A$1:$Z$1,0))&amp;""),""))</f>
        <v/>
      </c>
      <c r="AD340" s="41">
        <f>IF(TRIM('Counts'!$B$44&amp;"")="","",IFERROR(TRIM(INDEX($A340:$Z340,MATCH('Counts'!$B$44,$A$1:$Z$1,0))&amp;""),""))</f>
        <v/>
      </c>
      <c r="AE340" s="41">
        <f>IF(TRIM('Cross-tab'!$B$5&amp;"")="","",IFERROR(TRIM(INDEX($A340:$Z340,MATCH('Cross-tab'!$B$5,$A$1:$Z$1,0))&amp;""),""))</f>
        <v/>
      </c>
      <c r="AF340" s="41">
        <f>IF(TRIM('Cross-tab'!$B$7&amp;"")="","",IFERROR(TRIM(INDEX($A340:$Z340,MATCH('Cross-tab'!$B$7,$A$1:$Z$1,0))&amp;""),""))</f>
        <v/>
      </c>
      <c r="AG340" s="41">
        <f>IF(ISNUMBER(IFERROR(VALUE(IF(TRIM('Scale score'!$B$5&amp;"")="","",IFERROR(TRIM(INDEX($A340:$Z340,MATCH('Scale score'!$B$5,$A$1:$Z$1,0))&amp;""),""))),"")),IF(AND(IFERROR(VALUE(IF(TRIM('Scale score'!$B$5&amp;"")="","",IFERROR(TRIM(INDEX($A340:$Z340,MATCH('Scale score'!$B$5,$A$1:$Z$1,0))&amp;""),""))),"")&gt;='Scale score'!$B$6,IFERROR(VALUE(IF(TRIM('Scale score'!$B$5&amp;"")="","",IFERROR(TRIM(INDEX($A340:$Z340,MATCH('Scale score'!$B$5,$A$1:$Z$1,0))&amp;""),""))),"")&lt;='Scale score'!$B$7),IFERROR(VALUE(IF(TRIM('Scale score'!$B$5&amp;"")="","",IFERROR(TRIM(INDEX($A340:$Z340,MATCH('Scale score'!$B$5,$A$1:$Z$1,0))&amp;""),""))),""),""),"")</f>
        <v/>
      </c>
      <c r="AH340" s="41">
        <f>IF(TRIM('Open answers'!$B$5&amp;"")="","",IFERROR(TRIM(INDEX($A340:$Z340,MATCH('Open answers'!$B$5,$A$1:$Z$1,0))&amp;""),""))</f>
        <v/>
      </c>
      <c r="AI340" s="41">
        <f>IF(LEN(AH340)&gt;0,MAX($AI$1:AI339)+1,"")</f>
        <v/>
      </c>
    </row>
    <row r="341">
      <c r="AA341" s="40" t="n"/>
      <c r="AB341" s="41">
        <f>IF(TRIM('Counts'!$B$8&amp;"")="","",IFERROR(TRIM(INDEX($A341:$Z341,MATCH('Counts'!$B$8,$A$1:$Z$1,0))&amp;""),""))</f>
        <v/>
      </c>
      <c r="AC341" s="41">
        <f>IF(TRIM('Counts'!$B$26&amp;"")="","",IFERROR(TRIM(INDEX($A341:$Z341,MATCH('Counts'!$B$26,$A$1:$Z$1,0))&amp;""),""))</f>
        <v/>
      </c>
      <c r="AD341" s="41">
        <f>IF(TRIM('Counts'!$B$44&amp;"")="","",IFERROR(TRIM(INDEX($A341:$Z341,MATCH('Counts'!$B$44,$A$1:$Z$1,0))&amp;""),""))</f>
        <v/>
      </c>
      <c r="AE341" s="41">
        <f>IF(TRIM('Cross-tab'!$B$5&amp;"")="","",IFERROR(TRIM(INDEX($A341:$Z341,MATCH('Cross-tab'!$B$5,$A$1:$Z$1,0))&amp;""),""))</f>
        <v/>
      </c>
      <c r="AF341" s="41">
        <f>IF(TRIM('Cross-tab'!$B$7&amp;"")="","",IFERROR(TRIM(INDEX($A341:$Z341,MATCH('Cross-tab'!$B$7,$A$1:$Z$1,0))&amp;""),""))</f>
        <v/>
      </c>
      <c r="AG341" s="41">
        <f>IF(ISNUMBER(IFERROR(VALUE(IF(TRIM('Scale score'!$B$5&amp;"")="","",IFERROR(TRIM(INDEX($A341:$Z341,MATCH('Scale score'!$B$5,$A$1:$Z$1,0))&amp;""),""))),"")),IF(AND(IFERROR(VALUE(IF(TRIM('Scale score'!$B$5&amp;"")="","",IFERROR(TRIM(INDEX($A341:$Z341,MATCH('Scale score'!$B$5,$A$1:$Z$1,0))&amp;""),""))),"")&gt;='Scale score'!$B$6,IFERROR(VALUE(IF(TRIM('Scale score'!$B$5&amp;"")="","",IFERROR(TRIM(INDEX($A341:$Z341,MATCH('Scale score'!$B$5,$A$1:$Z$1,0))&amp;""),""))),"")&lt;='Scale score'!$B$7),IFERROR(VALUE(IF(TRIM('Scale score'!$B$5&amp;"")="","",IFERROR(TRIM(INDEX($A341:$Z341,MATCH('Scale score'!$B$5,$A$1:$Z$1,0))&amp;""),""))),""),""),"")</f>
        <v/>
      </c>
      <c r="AH341" s="41">
        <f>IF(TRIM('Open answers'!$B$5&amp;"")="","",IFERROR(TRIM(INDEX($A341:$Z341,MATCH('Open answers'!$B$5,$A$1:$Z$1,0))&amp;""),""))</f>
        <v/>
      </c>
      <c r="AI341" s="41">
        <f>IF(LEN(AH341)&gt;0,MAX($AI$1:AI340)+1,"")</f>
        <v/>
      </c>
    </row>
    <row r="342">
      <c r="AA342" s="40" t="n"/>
      <c r="AB342" s="41">
        <f>IF(TRIM('Counts'!$B$8&amp;"")="","",IFERROR(TRIM(INDEX($A342:$Z342,MATCH('Counts'!$B$8,$A$1:$Z$1,0))&amp;""),""))</f>
        <v/>
      </c>
      <c r="AC342" s="41">
        <f>IF(TRIM('Counts'!$B$26&amp;"")="","",IFERROR(TRIM(INDEX($A342:$Z342,MATCH('Counts'!$B$26,$A$1:$Z$1,0))&amp;""),""))</f>
        <v/>
      </c>
      <c r="AD342" s="41">
        <f>IF(TRIM('Counts'!$B$44&amp;"")="","",IFERROR(TRIM(INDEX($A342:$Z342,MATCH('Counts'!$B$44,$A$1:$Z$1,0))&amp;""),""))</f>
        <v/>
      </c>
      <c r="AE342" s="41">
        <f>IF(TRIM('Cross-tab'!$B$5&amp;"")="","",IFERROR(TRIM(INDEX($A342:$Z342,MATCH('Cross-tab'!$B$5,$A$1:$Z$1,0))&amp;""),""))</f>
        <v/>
      </c>
      <c r="AF342" s="41">
        <f>IF(TRIM('Cross-tab'!$B$7&amp;"")="","",IFERROR(TRIM(INDEX($A342:$Z342,MATCH('Cross-tab'!$B$7,$A$1:$Z$1,0))&amp;""),""))</f>
        <v/>
      </c>
      <c r="AG342" s="41">
        <f>IF(ISNUMBER(IFERROR(VALUE(IF(TRIM('Scale score'!$B$5&amp;"")="","",IFERROR(TRIM(INDEX($A342:$Z342,MATCH('Scale score'!$B$5,$A$1:$Z$1,0))&amp;""),""))),"")),IF(AND(IFERROR(VALUE(IF(TRIM('Scale score'!$B$5&amp;"")="","",IFERROR(TRIM(INDEX($A342:$Z342,MATCH('Scale score'!$B$5,$A$1:$Z$1,0))&amp;""),""))),"")&gt;='Scale score'!$B$6,IFERROR(VALUE(IF(TRIM('Scale score'!$B$5&amp;"")="","",IFERROR(TRIM(INDEX($A342:$Z342,MATCH('Scale score'!$B$5,$A$1:$Z$1,0))&amp;""),""))),"")&lt;='Scale score'!$B$7),IFERROR(VALUE(IF(TRIM('Scale score'!$B$5&amp;"")="","",IFERROR(TRIM(INDEX($A342:$Z342,MATCH('Scale score'!$B$5,$A$1:$Z$1,0))&amp;""),""))),""),""),"")</f>
        <v/>
      </c>
      <c r="AH342" s="41">
        <f>IF(TRIM('Open answers'!$B$5&amp;"")="","",IFERROR(TRIM(INDEX($A342:$Z342,MATCH('Open answers'!$B$5,$A$1:$Z$1,0))&amp;""),""))</f>
        <v/>
      </c>
      <c r="AI342" s="41">
        <f>IF(LEN(AH342)&gt;0,MAX($AI$1:AI341)+1,"")</f>
        <v/>
      </c>
    </row>
    <row r="343">
      <c r="AA343" s="40" t="n"/>
      <c r="AB343" s="41">
        <f>IF(TRIM('Counts'!$B$8&amp;"")="","",IFERROR(TRIM(INDEX($A343:$Z343,MATCH('Counts'!$B$8,$A$1:$Z$1,0))&amp;""),""))</f>
        <v/>
      </c>
      <c r="AC343" s="41">
        <f>IF(TRIM('Counts'!$B$26&amp;"")="","",IFERROR(TRIM(INDEX($A343:$Z343,MATCH('Counts'!$B$26,$A$1:$Z$1,0))&amp;""),""))</f>
        <v/>
      </c>
      <c r="AD343" s="41">
        <f>IF(TRIM('Counts'!$B$44&amp;"")="","",IFERROR(TRIM(INDEX($A343:$Z343,MATCH('Counts'!$B$44,$A$1:$Z$1,0))&amp;""),""))</f>
        <v/>
      </c>
      <c r="AE343" s="41">
        <f>IF(TRIM('Cross-tab'!$B$5&amp;"")="","",IFERROR(TRIM(INDEX($A343:$Z343,MATCH('Cross-tab'!$B$5,$A$1:$Z$1,0))&amp;""),""))</f>
        <v/>
      </c>
      <c r="AF343" s="41">
        <f>IF(TRIM('Cross-tab'!$B$7&amp;"")="","",IFERROR(TRIM(INDEX($A343:$Z343,MATCH('Cross-tab'!$B$7,$A$1:$Z$1,0))&amp;""),""))</f>
        <v/>
      </c>
      <c r="AG343" s="41">
        <f>IF(ISNUMBER(IFERROR(VALUE(IF(TRIM('Scale score'!$B$5&amp;"")="","",IFERROR(TRIM(INDEX($A343:$Z343,MATCH('Scale score'!$B$5,$A$1:$Z$1,0))&amp;""),""))),"")),IF(AND(IFERROR(VALUE(IF(TRIM('Scale score'!$B$5&amp;"")="","",IFERROR(TRIM(INDEX($A343:$Z343,MATCH('Scale score'!$B$5,$A$1:$Z$1,0))&amp;""),""))),"")&gt;='Scale score'!$B$6,IFERROR(VALUE(IF(TRIM('Scale score'!$B$5&amp;"")="","",IFERROR(TRIM(INDEX($A343:$Z343,MATCH('Scale score'!$B$5,$A$1:$Z$1,0))&amp;""),""))),"")&lt;='Scale score'!$B$7),IFERROR(VALUE(IF(TRIM('Scale score'!$B$5&amp;"")="","",IFERROR(TRIM(INDEX($A343:$Z343,MATCH('Scale score'!$B$5,$A$1:$Z$1,0))&amp;""),""))),""),""),"")</f>
        <v/>
      </c>
      <c r="AH343" s="41">
        <f>IF(TRIM('Open answers'!$B$5&amp;"")="","",IFERROR(TRIM(INDEX($A343:$Z343,MATCH('Open answers'!$B$5,$A$1:$Z$1,0))&amp;""),""))</f>
        <v/>
      </c>
      <c r="AI343" s="41">
        <f>IF(LEN(AH343)&gt;0,MAX($AI$1:AI342)+1,"")</f>
        <v/>
      </c>
    </row>
    <row r="344">
      <c r="AA344" s="40" t="n"/>
      <c r="AB344" s="41">
        <f>IF(TRIM('Counts'!$B$8&amp;"")="","",IFERROR(TRIM(INDEX($A344:$Z344,MATCH('Counts'!$B$8,$A$1:$Z$1,0))&amp;""),""))</f>
        <v/>
      </c>
      <c r="AC344" s="41">
        <f>IF(TRIM('Counts'!$B$26&amp;"")="","",IFERROR(TRIM(INDEX($A344:$Z344,MATCH('Counts'!$B$26,$A$1:$Z$1,0))&amp;""),""))</f>
        <v/>
      </c>
      <c r="AD344" s="41">
        <f>IF(TRIM('Counts'!$B$44&amp;"")="","",IFERROR(TRIM(INDEX($A344:$Z344,MATCH('Counts'!$B$44,$A$1:$Z$1,0))&amp;""),""))</f>
        <v/>
      </c>
      <c r="AE344" s="41">
        <f>IF(TRIM('Cross-tab'!$B$5&amp;"")="","",IFERROR(TRIM(INDEX($A344:$Z344,MATCH('Cross-tab'!$B$5,$A$1:$Z$1,0))&amp;""),""))</f>
        <v/>
      </c>
      <c r="AF344" s="41">
        <f>IF(TRIM('Cross-tab'!$B$7&amp;"")="","",IFERROR(TRIM(INDEX($A344:$Z344,MATCH('Cross-tab'!$B$7,$A$1:$Z$1,0))&amp;""),""))</f>
        <v/>
      </c>
      <c r="AG344" s="41">
        <f>IF(ISNUMBER(IFERROR(VALUE(IF(TRIM('Scale score'!$B$5&amp;"")="","",IFERROR(TRIM(INDEX($A344:$Z344,MATCH('Scale score'!$B$5,$A$1:$Z$1,0))&amp;""),""))),"")),IF(AND(IFERROR(VALUE(IF(TRIM('Scale score'!$B$5&amp;"")="","",IFERROR(TRIM(INDEX($A344:$Z344,MATCH('Scale score'!$B$5,$A$1:$Z$1,0))&amp;""),""))),"")&gt;='Scale score'!$B$6,IFERROR(VALUE(IF(TRIM('Scale score'!$B$5&amp;"")="","",IFERROR(TRIM(INDEX($A344:$Z344,MATCH('Scale score'!$B$5,$A$1:$Z$1,0))&amp;""),""))),"")&lt;='Scale score'!$B$7),IFERROR(VALUE(IF(TRIM('Scale score'!$B$5&amp;"")="","",IFERROR(TRIM(INDEX($A344:$Z344,MATCH('Scale score'!$B$5,$A$1:$Z$1,0))&amp;""),""))),""),""),"")</f>
        <v/>
      </c>
      <c r="AH344" s="41">
        <f>IF(TRIM('Open answers'!$B$5&amp;"")="","",IFERROR(TRIM(INDEX($A344:$Z344,MATCH('Open answers'!$B$5,$A$1:$Z$1,0))&amp;""),""))</f>
        <v/>
      </c>
      <c r="AI344" s="41">
        <f>IF(LEN(AH344)&gt;0,MAX($AI$1:AI343)+1,"")</f>
        <v/>
      </c>
    </row>
    <row r="345">
      <c r="AA345" s="40" t="n"/>
      <c r="AB345" s="41">
        <f>IF(TRIM('Counts'!$B$8&amp;"")="","",IFERROR(TRIM(INDEX($A345:$Z345,MATCH('Counts'!$B$8,$A$1:$Z$1,0))&amp;""),""))</f>
        <v/>
      </c>
      <c r="AC345" s="41">
        <f>IF(TRIM('Counts'!$B$26&amp;"")="","",IFERROR(TRIM(INDEX($A345:$Z345,MATCH('Counts'!$B$26,$A$1:$Z$1,0))&amp;""),""))</f>
        <v/>
      </c>
      <c r="AD345" s="41">
        <f>IF(TRIM('Counts'!$B$44&amp;"")="","",IFERROR(TRIM(INDEX($A345:$Z345,MATCH('Counts'!$B$44,$A$1:$Z$1,0))&amp;""),""))</f>
        <v/>
      </c>
      <c r="AE345" s="41">
        <f>IF(TRIM('Cross-tab'!$B$5&amp;"")="","",IFERROR(TRIM(INDEX($A345:$Z345,MATCH('Cross-tab'!$B$5,$A$1:$Z$1,0))&amp;""),""))</f>
        <v/>
      </c>
      <c r="AF345" s="41">
        <f>IF(TRIM('Cross-tab'!$B$7&amp;"")="","",IFERROR(TRIM(INDEX($A345:$Z345,MATCH('Cross-tab'!$B$7,$A$1:$Z$1,0))&amp;""),""))</f>
        <v/>
      </c>
      <c r="AG345" s="41">
        <f>IF(ISNUMBER(IFERROR(VALUE(IF(TRIM('Scale score'!$B$5&amp;"")="","",IFERROR(TRIM(INDEX($A345:$Z345,MATCH('Scale score'!$B$5,$A$1:$Z$1,0))&amp;""),""))),"")),IF(AND(IFERROR(VALUE(IF(TRIM('Scale score'!$B$5&amp;"")="","",IFERROR(TRIM(INDEX($A345:$Z345,MATCH('Scale score'!$B$5,$A$1:$Z$1,0))&amp;""),""))),"")&gt;='Scale score'!$B$6,IFERROR(VALUE(IF(TRIM('Scale score'!$B$5&amp;"")="","",IFERROR(TRIM(INDEX($A345:$Z345,MATCH('Scale score'!$B$5,$A$1:$Z$1,0))&amp;""),""))),"")&lt;='Scale score'!$B$7),IFERROR(VALUE(IF(TRIM('Scale score'!$B$5&amp;"")="","",IFERROR(TRIM(INDEX($A345:$Z345,MATCH('Scale score'!$B$5,$A$1:$Z$1,0))&amp;""),""))),""),""),"")</f>
        <v/>
      </c>
      <c r="AH345" s="41">
        <f>IF(TRIM('Open answers'!$B$5&amp;"")="","",IFERROR(TRIM(INDEX($A345:$Z345,MATCH('Open answers'!$B$5,$A$1:$Z$1,0))&amp;""),""))</f>
        <v/>
      </c>
      <c r="AI345" s="41">
        <f>IF(LEN(AH345)&gt;0,MAX($AI$1:AI344)+1,"")</f>
        <v/>
      </c>
    </row>
    <row r="346">
      <c r="AA346" s="40" t="n"/>
      <c r="AB346" s="41">
        <f>IF(TRIM('Counts'!$B$8&amp;"")="","",IFERROR(TRIM(INDEX($A346:$Z346,MATCH('Counts'!$B$8,$A$1:$Z$1,0))&amp;""),""))</f>
        <v/>
      </c>
      <c r="AC346" s="41">
        <f>IF(TRIM('Counts'!$B$26&amp;"")="","",IFERROR(TRIM(INDEX($A346:$Z346,MATCH('Counts'!$B$26,$A$1:$Z$1,0))&amp;""),""))</f>
        <v/>
      </c>
      <c r="AD346" s="41">
        <f>IF(TRIM('Counts'!$B$44&amp;"")="","",IFERROR(TRIM(INDEX($A346:$Z346,MATCH('Counts'!$B$44,$A$1:$Z$1,0))&amp;""),""))</f>
        <v/>
      </c>
      <c r="AE346" s="41">
        <f>IF(TRIM('Cross-tab'!$B$5&amp;"")="","",IFERROR(TRIM(INDEX($A346:$Z346,MATCH('Cross-tab'!$B$5,$A$1:$Z$1,0))&amp;""),""))</f>
        <v/>
      </c>
      <c r="AF346" s="41">
        <f>IF(TRIM('Cross-tab'!$B$7&amp;"")="","",IFERROR(TRIM(INDEX($A346:$Z346,MATCH('Cross-tab'!$B$7,$A$1:$Z$1,0))&amp;""),""))</f>
        <v/>
      </c>
      <c r="AG346" s="41">
        <f>IF(ISNUMBER(IFERROR(VALUE(IF(TRIM('Scale score'!$B$5&amp;"")="","",IFERROR(TRIM(INDEX($A346:$Z346,MATCH('Scale score'!$B$5,$A$1:$Z$1,0))&amp;""),""))),"")),IF(AND(IFERROR(VALUE(IF(TRIM('Scale score'!$B$5&amp;"")="","",IFERROR(TRIM(INDEX($A346:$Z346,MATCH('Scale score'!$B$5,$A$1:$Z$1,0))&amp;""),""))),"")&gt;='Scale score'!$B$6,IFERROR(VALUE(IF(TRIM('Scale score'!$B$5&amp;"")="","",IFERROR(TRIM(INDEX($A346:$Z346,MATCH('Scale score'!$B$5,$A$1:$Z$1,0))&amp;""),""))),"")&lt;='Scale score'!$B$7),IFERROR(VALUE(IF(TRIM('Scale score'!$B$5&amp;"")="","",IFERROR(TRIM(INDEX($A346:$Z346,MATCH('Scale score'!$B$5,$A$1:$Z$1,0))&amp;""),""))),""),""),"")</f>
        <v/>
      </c>
      <c r="AH346" s="41">
        <f>IF(TRIM('Open answers'!$B$5&amp;"")="","",IFERROR(TRIM(INDEX($A346:$Z346,MATCH('Open answers'!$B$5,$A$1:$Z$1,0))&amp;""),""))</f>
        <v/>
      </c>
      <c r="AI346" s="41">
        <f>IF(LEN(AH346)&gt;0,MAX($AI$1:AI345)+1,"")</f>
        <v/>
      </c>
    </row>
    <row r="347">
      <c r="AA347" s="40" t="n"/>
      <c r="AB347" s="41">
        <f>IF(TRIM('Counts'!$B$8&amp;"")="","",IFERROR(TRIM(INDEX($A347:$Z347,MATCH('Counts'!$B$8,$A$1:$Z$1,0))&amp;""),""))</f>
        <v/>
      </c>
      <c r="AC347" s="41">
        <f>IF(TRIM('Counts'!$B$26&amp;"")="","",IFERROR(TRIM(INDEX($A347:$Z347,MATCH('Counts'!$B$26,$A$1:$Z$1,0))&amp;""),""))</f>
        <v/>
      </c>
      <c r="AD347" s="41">
        <f>IF(TRIM('Counts'!$B$44&amp;"")="","",IFERROR(TRIM(INDEX($A347:$Z347,MATCH('Counts'!$B$44,$A$1:$Z$1,0))&amp;""),""))</f>
        <v/>
      </c>
      <c r="AE347" s="41">
        <f>IF(TRIM('Cross-tab'!$B$5&amp;"")="","",IFERROR(TRIM(INDEX($A347:$Z347,MATCH('Cross-tab'!$B$5,$A$1:$Z$1,0))&amp;""),""))</f>
        <v/>
      </c>
      <c r="AF347" s="41">
        <f>IF(TRIM('Cross-tab'!$B$7&amp;"")="","",IFERROR(TRIM(INDEX($A347:$Z347,MATCH('Cross-tab'!$B$7,$A$1:$Z$1,0))&amp;""),""))</f>
        <v/>
      </c>
      <c r="AG347" s="41">
        <f>IF(ISNUMBER(IFERROR(VALUE(IF(TRIM('Scale score'!$B$5&amp;"")="","",IFERROR(TRIM(INDEX($A347:$Z347,MATCH('Scale score'!$B$5,$A$1:$Z$1,0))&amp;""),""))),"")),IF(AND(IFERROR(VALUE(IF(TRIM('Scale score'!$B$5&amp;"")="","",IFERROR(TRIM(INDEX($A347:$Z347,MATCH('Scale score'!$B$5,$A$1:$Z$1,0))&amp;""),""))),"")&gt;='Scale score'!$B$6,IFERROR(VALUE(IF(TRIM('Scale score'!$B$5&amp;"")="","",IFERROR(TRIM(INDEX($A347:$Z347,MATCH('Scale score'!$B$5,$A$1:$Z$1,0))&amp;""),""))),"")&lt;='Scale score'!$B$7),IFERROR(VALUE(IF(TRIM('Scale score'!$B$5&amp;"")="","",IFERROR(TRIM(INDEX($A347:$Z347,MATCH('Scale score'!$B$5,$A$1:$Z$1,0))&amp;""),""))),""),""),"")</f>
        <v/>
      </c>
      <c r="AH347" s="41">
        <f>IF(TRIM('Open answers'!$B$5&amp;"")="","",IFERROR(TRIM(INDEX($A347:$Z347,MATCH('Open answers'!$B$5,$A$1:$Z$1,0))&amp;""),""))</f>
        <v/>
      </c>
      <c r="AI347" s="41">
        <f>IF(LEN(AH347)&gt;0,MAX($AI$1:AI346)+1,"")</f>
        <v/>
      </c>
    </row>
    <row r="348">
      <c r="AA348" s="40" t="n"/>
      <c r="AB348" s="41">
        <f>IF(TRIM('Counts'!$B$8&amp;"")="","",IFERROR(TRIM(INDEX($A348:$Z348,MATCH('Counts'!$B$8,$A$1:$Z$1,0))&amp;""),""))</f>
        <v/>
      </c>
      <c r="AC348" s="41">
        <f>IF(TRIM('Counts'!$B$26&amp;"")="","",IFERROR(TRIM(INDEX($A348:$Z348,MATCH('Counts'!$B$26,$A$1:$Z$1,0))&amp;""),""))</f>
        <v/>
      </c>
      <c r="AD348" s="41">
        <f>IF(TRIM('Counts'!$B$44&amp;"")="","",IFERROR(TRIM(INDEX($A348:$Z348,MATCH('Counts'!$B$44,$A$1:$Z$1,0))&amp;""),""))</f>
        <v/>
      </c>
      <c r="AE348" s="41">
        <f>IF(TRIM('Cross-tab'!$B$5&amp;"")="","",IFERROR(TRIM(INDEX($A348:$Z348,MATCH('Cross-tab'!$B$5,$A$1:$Z$1,0))&amp;""),""))</f>
        <v/>
      </c>
      <c r="AF348" s="41">
        <f>IF(TRIM('Cross-tab'!$B$7&amp;"")="","",IFERROR(TRIM(INDEX($A348:$Z348,MATCH('Cross-tab'!$B$7,$A$1:$Z$1,0))&amp;""),""))</f>
        <v/>
      </c>
      <c r="AG348" s="41">
        <f>IF(ISNUMBER(IFERROR(VALUE(IF(TRIM('Scale score'!$B$5&amp;"")="","",IFERROR(TRIM(INDEX($A348:$Z348,MATCH('Scale score'!$B$5,$A$1:$Z$1,0))&amp;""),""))),"")),IF(AND(IFERROR(VALUE(IF(TRIM('Scale score'!$B$5&amp;"")="","",IFERROR(TRIM(INDEX($A348:$Z348,MATCH('Scale score'!$B$5,$A$1:$Z$1,0))&amp;""),""))),"")&gt;='Scale score'!$B$6,IFERROR(VALUE(IF(TRIM('Scale score'!$B$5&amp;"")="","",IFERROR(TRIM(INDEX($A348:$Z348,MATCH('Scale score'!$B$5,$A$1:$Z$1,0))&amp;""),""))),"")&lt;='Scale score'!$B$7),IFERROR(VALUE(IF(TRIM('Scale score'!$B$5&amp;"")="","",IFERROR(TRIM(INDEX($A348:$Z348,MATCH('Scale score'!$B$5,$A$1:$Z$1,0))&amp;""),""))),""),""),"")</f>
        <v/>
      </c>
      <c r="AH348" s="41">
        <f>IF(TRIM('Open answers'!$B$5&amp;"")="","",IFERROR(TRIM(INDEX($A348:$Z348,MATCH('Open answers'!$B$5,$A$1:$Z$1,0))&amp;""),""))</f>
        <v/>
      </c>
      <c r="AI348" s="41">
        <f>IF(LEN(AH348)&gt;0,MAX($AI$1:AI347)+1,"")</f>
        <v/>
      </c>
    </row>
    <row r="349">
      <c r="AA349" s="40" t="n"/>
      <c r="AB349" s="41">
        <f>IF(TRIM('Counts'!$B$8&amp;"")="","",IFERROR(TRIM(INDEX($A349:$Z349,MATCH('Counts'!$B$8,$A$1:$Z$1,0))&amp;""),""))</f>
        <v/>
      </c>
      <c r="AC349" s="41">
        <f>IF(TRIM('Counts'!$B$26&amp;"")="","",IFERROR(TRIM(INDEX($A349:$Z349,MATCH('Counts'!$B$26,$A$1:$Z$1,0))&amp;""),""))</f>
        <v/>
      </c>
      <c r="AD349" s="41">
        <f>IF(TRIM('Counts'!$B$44&amp;"")="","",IFERROR(TRIM(INDEX($A349:$Z349,MATCH('Counts'!$B$44,$A$1:$Z$1,0))&amp;""),""))</f>
        <v/>
      </c>
      <c r="AE349" s="41">
        <f>IF(TRIM('Cross-tab'!$B$5&amp;"")="","",IFERROR(TRIM(INDEX($A349:$Z349,MATCH('Cross-tab'!$B$5,$A$1:$Z$1,0))&amp;""),""))</f>
        <v/>
      </c>
      <c r="AF349" s="41">
        <f>IF(TRIM('Cross-tab'!$B$7&amp;"")="","",IFERROR(TRIM(INDEX($A349:$Z349,MATCH('Cross-tab'!$B$7,$A$1:$Z$1,0))&amp;""),""))</f>
        <v/>
      </c>
      <c r="AG349" s="41">
        <f>IF(ISNUMBER(IFERROR(VALUE(IF(TRIM('Scale score'!$B$5&amp;"")="","",IFERROR(TRIM(INDEX($A349:$Z349,MATCH('Scale score'!$B$5,$A$1:$Z$1,0))&amp;""),""))),"")),IF(AND(IFERROR(VALUE(IF(TRIM('Scale score'!$B$5&amp;"")="","",IFERROR(TRIM(INDEX($A349:$Z349,MATCH('Scale score'!$B$5,$A$1:$Z$1,0))&amp;""),""))),"")&gt;='Scale score'!$B$6,IFERROR(VALUE(IF(TRIM('Scale score'!$B$5&amp;"")="","",IFERROR(TRIM(INDEX($A349:$Z349,MATCH('Scale score'!$B$5,$A$1:$Z$1,0))&amp;""),""))),"")&lt;='Scale score'!$B$7),IFERROR(VALUE(IF(TRIM('Scale score'!$B$5&amp;"")="","",IFERROR(TRIM(INDEX($A349:$Z349,MATCH('Scale score'!$B$5,$A$1:$Z$1,0))&amp;""),""))),""),""),"")</f>
        <v/>
      </c>
      <c r="AH349" s="41">
        <f>IF(TRIM('Open answers'!$B$5&amp;"")="","",IFERROR(TRIM(INDEX($A349:$Z349,MATCH('Open answers'!$B$5,$A$1:$Z$1,0))&amp;""),""))</f>
        <v/>
      </c>
      <c r="AI349" s="41">
        <f>IF(LEN(AH349)&gt;0,MAX($AI$1:AI348)+1,"")</f>
        <v/>
      </c>
    </row>
    <row r="350">
      <c r="AA350" s="40" t="n"/>
      <c r="AB350" s="41">
        <f>IF(TRIM('Counts'!$B$8&amp;"")="","",IFERROR(TRIM(INDEX($A350:$Z350,MATCH('Counts'!$B$8,$A$1:$Z$1,0))&amp;""),""))</f>
        <v/>
      </c>
      <c r="AC350" s="41">
        <f>IF(TRIM('Counts'!$B$26&amp;"")="","",IFERROR(TRIM(INDEX($A350:$Z350,MATCH('Counts'!$B$26,$A$1:$Z$1,0))&amp;""),""))</f>
        <v/>
      </c>
      <c r="AD350" s="41">
        <f>IF(TRIM('Counts'!$B$44&amp;"")="","",IFERROR(TRIM(INDEX($A350:$Z350,MATCH('Counts'!$B$44,$A$1:$Z$1,0))&amp;""),""))</f>
        <v/>
      </c>
      <c r="AE350" s="41">
        <f>IF(TRIM('Cross-tab'!$B$5&amp;"")="","",IFERROR(TRIM(INDEX($A350:$Z350,MATCH('Cross-tab'!$B$5,$A$1:$Z$1,0))&amp;""),""))</f>
        <v/>
      </c>
      <c r="AF350" s="41">
        <f>IF(TRIM('Cross-tab'!$B$7&amp;"")="","",IFERROR(TRIM(INDEX($A350:$Z350,MATCH('Cross-tab'!$B$7,$A$1:$Z$1,0))&amp;""),""))</f>
        <v/>
      </c>
      <c r="AG350" s="41">
        <f>IF(ISNUMBER(IFERROR(VALUE(IF(TRIM('Scale score'!$B$5&amp;"")="","",IFERROR(TRIM(INDEX($A350:$Z350,MATCH('Scale score'!$B$5,$A$1:$Z$1,0))&amp;""),""))),"")),IF(AND(IFERROR(VALUE(IF(TRIM('Scale score'!$B$5&amp;"")="","",IFERROR(TRIM(INDEX($A350:$Z350,MATCH('Scale score'!$B$5,$A$1:$Z$1,0))&amp;""),""))),"")&gt;='Scale score'!$B$6,IFERROR(VALUE(IF(TRIM('Scale score'!$B$5&amp;"")="","",IFERROR(TRIM(INDEX($A350:$Z350,MATCH('Scale score'!$B$5,$A$1:$Z$1,0))&amp;""),""))),"")&lt;='Scale score'!$B$7),IFERROR(VALUE(IF(TRIM('Scale score'!$B$5&amp;"")="","",IFERROR(TRIM(INDEX($A350:$Z350,MATCH('Scale score'!$B$5,$A$1:$Z$1,0))&amp;""),""))),""),""),"")</f>
        <v/>
      </c>
      <c r="AH350" s="41">
        <f>IF(TRIM('Open answers'!$B$5&amp;"")="","",IFERROR(TRIM(INDEX($A350:$Z350,MATCH('Open answers'!$B$5,$A$1:$Z$1,0))&amp;""),""))</f>
        <v/>
      </c>
      <c r="AI350" s="41">
        <f>IF(LEN(AH350)&gt;0,MAX($AI$1:AI349)+1,"")</f>
        <v/>
      </c>
    </row>
    <row r="351">
      <c r="AA351" s="40" t="n"/>
      <c r="AB351" s="41">
        <f>IF(TRIM('Counts'!$B$8&amp;"")="","",IFERROR(TRIM(INDEX($A351:$Z351,MATCH('Counts'!$B$8,$A$1:$Z$1,0))&amp;""),""))</f>
        <v/>
      </c>
      <c r="AC351" s="41">
        <f>IF(TRIM('Counts'!$B$26&amp;"")="","",IFERROR(TRIM(INDEX($A351:$Z351,MATCH('Counts'!$B$26,$A$1:$Z$1,0))&amp;""),""))</f>
        <v/>
      </c>
      <c r="AD351" s="41">
        <f>IF(TRIM('Counts'!$B$44&amp;"")="","",IFERROR(TRIM(INDEX($A351:$Z351,MATCH('Counts'!$B$44,$A$1:$Z$1,0))&amp;""),""))</f>
        <v/>
      </c>
      <c r="AE351" s="41">
        <f>IF(TRIM('Cross-tab'!$B$5&amp;"")="","",IFERROR(TRIM(INDEX($A351:$Z351,MATCH('Cross-tab'!$B$5,$A$1:$Z$1,0))&amp;""),""))</f>
        <v/>
      </c>
      <c r="AF351" s="41">
        <f>IF(TRIM('Cross-tab'!$B$7&amp;"")="","",IFERROR(TRIM(INDEX($A351:$Z351,MATCH('Cross-tab'!$B$7,$A$1:$Z$1,0))&amp;""),""))</f>
        <v/>
      </c>
      <c r="AG351" s="41">
        <f>IF(ISNUMBER(IFERROR(VALUE(IF(TRIM('Scale score'!$B$5&amp;"")="","",IFERROR(TRIM(INDEX($A351:$Z351,MATCH('Scale score'!$B$5,$A$1:$Z$1,0))&amp;""),""))),"")),IF(AND(IFERROR(VALUE(IF(TRIM('Scale score'!$B$5&amp;"")="","",IFERROR(TRIM(INDEX($A351:$Z351,MATCH('Scale score'!$B$5,$A$1:$Z$1,0))&amp;""),""))),"")&gt;='Scale score'!$B$6,IFERROR(VALUE(IF(TRIM('Scale score'!$B$5&amp;"")="","",IFERROR(TRIM(INDEX($A351:$Z351,MATCH('Scale score'!$B$5,$A$1:$Z$1,0))&amp;""),""))),"")&lt;='Scale score'!$B$7),IFERROR(VALUE(IF(TRIM('Scale score'!$B$5&amp;"")="","",IFERROR(TRIM(INDEX($A351:$Z351,MATCH('Scale score'!$B$5,$A$1:$Z$1,0))&amp;""),""))),""),""),"")</f>
        <v/>
      </c>
      <c r="AH351" s="41">
        <f>IF(TRIM('Open answers'!$B$5&amp;"")="","",IFERROR(TRIM(INDEX($A351:$Z351,MATCH('Open answers'!$B$5,$A$1:$Z$1,0))&amp;""),""))</f>
        <v/>
      </c>
      <c r="AI351" s="41">
        <f>IF(LEN(AH351)&gt;0,MAX($AI$1:AI350)+1,"")</f>
        <v/>
      </c>
    </row>
    <row r="352">
      <c r="AA352" s="40" t="n"/>
      <c r="AB352" s="41">
        <f>IF(TRIM('Counts'!$B$8&amp;"")="","",IFERROR(TRIM(INDEX($A352:$Z352,MATCH('Counts'!$B$8,$A$1:$Z$1,0))&amp;""),""))</f>
        <v/>
      </c>
      <c r="AC352" s="41">
        <f>IF(TRIM('Counts'!$B$26&amp;"")="","",IFERROR(TRIM(INDEX($A352:$Z352,MATCH('Counts'!$B$26,$A$1:$Z$1,0))&amp;""),""))</f>
        <v/>
      </c>
      <c r="AD352" s="41">
        <f>IF(TRIM('Counts'!$B$44&amp;"")="","",IFERROR(TRIM(INDEX($A352:$Z352,MATCH('Counts'!$B$44,$A$1:$Z$1,0))&amp;""),""))</f>
        <v/>
      </c>
      <c r="AE352" s="41">
        <f>IF(TRIM('Cross-tab'!$B$5&amp;"")="","",IFERROR(TRIM(INDEX($A352:$Z352,MATCH('Cross-tab'!$B$5,$A$1:$Z$1,0))&amp;""),""))</f>
        <v/>
      </c>
      <c r="AF352" s="41">
        <f>IF(TRIM('Cross-tab'!$B$7&amp;"")="","",IFERROR(TRIM(INDEX($A352:$Z352,MATCH('Cross-tab'!$B$7,$A$1:$Z$1,0))&amp;""),""))</f>
        <v/>
      </c>
      <c r="AG352" s="41">
        <f>IF(ISNUMBER(IFERROR(VALUE(IF(TRIM('Scale score'!$B$5&amp;"")="","",IFERROR(TRIM(INDEX($A352:$Z352,MATCH('Scale score'!$B$5,$A$1:$Z$1,0))&amp;""),""))),"")),IF(AND(IFERROR(VALUE(IF(TRIM('Scale score'!$B$5&amp;"")="","",IFERROR(TRIM(INDEX($A352:$Z352,MATCH('Scale score'!$B$5,$A$1:$Z$1,0))&amp;""),""))),"")&gt;='Scale score'!$B$6,IFERROR(VALUE(IF(TRIM('Scale score'!$B$5&amp;"")="","",IFERROR(TRIM(INDEX($A352:$Z352,MATCH('Scale score'!$B$5,$A$1:$Z$1,0))&amp;""),""))),"")&lt;='Scale score'!$B$7),IFERROR(VALUE(IF(TRIM('Scale score'!$B$5&amp;"")="","",IFERROR(TRIM(INDEX($A352:$Z352,MATCH('Scale score'!$B$5,$A$1:$Z$1,0))&amp;""),""))),""),""),"")</f>
        <v/>
      </c>
      <c r="AH352" s="41">
        <f>IF(TRIM('Open answers'!$B$5&amp;"")="","",IFERROR(TRIM(INDEX($A352:$Z352,MATCH('Open answers'!$B$5,$A$1:$Z$1,0))&amp;""),""))</f>
        <v/>
      </c>
      <c r="AI352" s="41">
        <f>IF(LEN(AH352)&gt;0,MAX($AI$1:AI351)+1,"")</f>
        <v/>
      </c>
    </row>
    <row r="353">
      <c r="AA353" s="40" t="n"/>
      <c r="AB353" s="41">
        <f>IF(TRIM('Counts'!$B$8&amp;"")="","",IFERROR(TRIM(INDEX($A353:$Z353,MATCH('Counts'!$B$8,$A$1:$Z$1,0))&amp;""),""))</f>
        <v/>
      </c>
      <c r="AC353" s="41">
        <f>IF(TRIM('Counts'!$B$26&amp;"")="","",IFERROR(TRIM(INDEX($A353:$Z353,MATCH('Counts'!$B$26,$A$1:$Z$1,0))&amp;""),""))</f>
        <v/>
      </c>
      <c r="AD353" s="41">
        <f>IF(TRIM('Counts'!$B$44&amp;"")="","",IFERROR(TRIM(INDEX($A353:$Z353,MATCH('Counts'!$B$44,$A$1:$Z$1,0))&amp;""),""))</f>
        <v/>
      </c>
      <c r="AE353" s="41">
        <f>IF(TRIM('Cross-tab'!$B$5&amp;"")="","",IFERROR(TRIM(INDEX($A353:$Z353,MATCH('Cross-tab'!$B$5,$A$1:$Z$1,0))&amp;""),""))</f>
        <v/>
      </c>
      <c r="AF353" s="41">
        <f>IF(TRIM('Cross-tab'!$B$7&amp;"")="","",IFERROR(TRIM(INDEX($A353:$Z353,MATCH('Cross-tab'!$B$7,$A$1:$Z$1,0))&amp;""),""))</f>
        <v/>
      </c>
      <c r="AG353" s="41">
        <f>IF(ISNUMBER(IFERROR(VALUE(IF(TRIM('Scale score'!$B$5&amp;"")="","",IFERROR(TRIM(INDEX($A353:$Z353,MATCH('Scale score'!$B$5,$A$1:$Z$1,0))&amp;""),""))),"")),IF(AND(IFERROR(VALUE(IF(TRIM('Scale score'!$B$5&amp;"")="","",IFERROR(TRIM(INDEX($A353:$Z353,MATCH('Scale score'!$B$5,$A$1:$Z$1,0))&amp;""),""))),"")&gt;='Scale score'!$B$6,IFERROR(VALUE(IF(TRIM('Scale score'!$B$5&amp;"")="","",IFERROR(TRIM(INDEX($A353:$Z353,MATCH('Scale score'!$B$5,$A$1:$Z$1,0))&amp;""),""))),"")&lt;='Scale score'!$B$7),IFERROR(VALUE(IF(TRIM('Scale score'!$B$5&amp;"")="","",IFERROR(TRIM(INDEX($A353:$Z353,MATCH('Scale score'!$B$5,$A$1:$Z$1,0))&amp;""),""))),""),""),"")</f>
        <v/>
      </c>
      <c r="AH353" s="41">
        <f>IF(TRIM('Open answers'!$B$5&amp;"")="","",IFERROR(TRIM(INDEX($A353:$Z353,MATCH('Open answers'!$B$5,$A$1:$Z$1,0))&amp;""),""))</f>
        <v/>
      </c>
      <c r="AI353" s="41">
        <f>IF(LEN(AH353)&gt;0,MAX($AI$1:AI352)+1,"")</f>
        <v/>
      </c>
    </row>
    <row r="354">
      <c r="AA354" s="40" t="n"/>
      <c r="AB354" s="41">
        <f>IF(TRIM('Counts'!$B$8&amp;"")="","",IFERROR(TRIM(INDEX($A354:$Z354,MATCH('Counts'!$B$8,$A$1:$Z$1,0))&amp;""),""))</f>
        <v/>
      </c>
      <c r="AC354" s="41">
        <f>IF(TRIM('Counts'!$B$26&amp;"")="","",IFERROR(TRIM(INDEX($A354:$Z354,MATCH('Counts'!$B$26,$A$1:$Z$1,0))&amp;""),""))</f>
        <v/>
      </c>
      <c r="AD354" s="41">
        <f>IF(TRIM('Counts'!$B$44&amp;"")="","",IFERROR(TRIM(INDEX($A354:$Z354,MATCH('Counts'!$B$44,$A$1:$Z$1,0))&amp;""),""))</f>
        <v/>
      </c>
      <c r="AE354" s="41">
        <f>IF(TRIM('Cross-tab'!$B$5&amp;"")="","",IFERROR(TRIM(INDEX($A354:$Z354,MATCH('Cross-tab'!$B$5,$A$1:$Z$1,0))&amp;""),""))</f>
        <v/>
      </c>
      <c r="AF354" s="41">
        <f>IF(TRIM('Cross-tab'!$B$7&amp;"")="","",IFERROR(TRIM(INDEX($A354:$Z354,MATCH('Cross-tab'!$B$7,$A$1:$Z$1,0))&amp;""),""))</f>
        <v/>
      </c>
      <c r="AG354" s="41">
        <f>IF(ISNUMBER(IFERROR(VALUE(IF(TRIM('Scale score'!$B$5&amp;"")="","",IFERROR(TRIM(INDEX($A354:$Z354,MATCH('Scale score'!$B$5,$A$1:$Z$1,0))&amp;""),""))),"")),IF(AND(IFERROR(VALUE(IF(TRIM('Scale score'!$B$5&amp;"")="","",IFERROR(TRIM(INDEX($A354:$Z354,MATCH('Scale score'!$B$5,$A$1:$Z$1,0))&amp;""),""))),"")&gt;='Scale score'!$B$6,IFERROR(VALUE(IF(TRIM('Scale score'!$B$5&amp;"")="","",IFERROR(TRIM(INDEX($A354:$Z354,MATCH('Scale score'!$B$5,$A$1:$Z$1,0))&amp;""),""))),"")&lt;='Scale score'!$B$7),IFERROR(VALUE(IF(TRIM('Scale score'!$B$5&amp;"")="","",IFERROR(TRIM(INDEX($A354:$Z354,MATCH('Scale score'!$B$5,$A$1:$Z$1,0))&amp;""),""))),""),""),"")</f>
        <v/>
      </c>
      <c r="AH354" s="41">
        <f>IF(TRIM('Open answers'!$B$5&amp;"")="","",IFERROR(TRIM(INDEX($A354:$Z354,MATCH('Open answers'!$B$5,$A$1:$Z$1,0))&amp;""),""))</f>
        <v/>
      </c>
      <c r="AI354" s="41">
        <f>IF(LEN(AH354)&gt;0,MAX($AI$1:AI353)+1,"")</f>
        <v/>
      </c>
    </row>
    <row r="355">
      <c r="AA355" s="40" t="n"/>
      <c r="AB355" s="41">
        <f>IF(TRIM('Counts'!$B$8&amp;"")="","",IFERROR(TRIM(INDEX($A355:$Z355,MATCH('Counts'!$B$8,$A$1:$Z$1,0))&amp;""),""))</f>
        <v/>
      </c>
      <c r="AC355" s="41">
        <f>IF(TRIM('Counts'!$B$26&amp;"")="","",IFERROR(TRIM(INDEX($A355:$Z355,MATCH('Counts'!$B$26,$A$1:$Z$1,0))&amp;""),""))</f>
        <v/>
      </c>
      <c r="AD355" s="41">
        <f>IF(TRIM('Counts'!$B$44&amp;"")="","",IFERROR(TRIM(INDEX($A355:$Z355,MATCH('Counts'!$B$44,$A$1:$Z$1,0))&amp;""),""))</f>
        <v/>
      </c>
      <c r="AE355" s="41">
        <f>IF(TRIM('Cross-tab'!$B$5&amp;"")="","",IFERROR(TRIM(INDEX($A355:$Z355,MATCH('Cross-tab'!$B$5,$A$1:$Z$1,0))&amp;""),""))</f>
        <v/>
      </c>
      <c r="AF355" s="41">
        <f>IF(TRIM('Cross-tab'!$B$7&amp;"")="","",IFERROR(TRIM(INDEX($A355:$Z355,MATCH('Cross-tab'!$B$7,$A$1:$Z$1,0))&amp;""),""))</f>
        <v/>
      </c>
      <c r="AG355" s="41">
        <f>IF(ISNUMBER(IFERROR(VALUE(IF(TRIM('Scale score'!$B$5&amp;"")="","",IFERROR(TRIM(INDEX($A355:$Z355,MATCH('Scale score'!$B$5,$A$1:$Z$1,0))&amp;""),""))),"")),IF(AND(IFERROR(VALUE(IF(TRIM('Scale score'!$B$5&amp;"")="","",IFERROR(TRIM(INDEX($A355:$Z355,MATCH('Scale score'!$B$5,$A$1:$Z$1,0))&amp;""),""))),"")&gt;='Scale score'!$B$6,IFERROR(VALUE(IF(TRIM('Scale score'!$B$5&amp;"")="","",IFERROR(TRIM(INDEX($A355:$Z355,MATCH('Scale score'!$B$5,$A$1:$Z$1,0))&amp;""),""))),"")&lt;='Scale score'!$B$7),IFERROR(VALUE(IF(TRIM('Scale score'!$B$5&amp;"")="","",IFERROR(TRIM(INDEX($A355:$Z355,MATCH('Scale score'!$B$5,$A$1:$Z$1,0))&amp;""),""))),""),""),"")</f>
        <v/>
      </c>
      <c r="AH355" s="41">
        <f>IF(TRIM('Open answers'!$B$5&amp;"")="","",IFERROR(TRIM(INDEX($A355:$Z355,MATCH('Open answers'!$B$5,$A$1:$Z$1,0))&amp;""),""))</f>
        <v/>
      </c>
      <c r="AI355" s="41">
        <f>IF(LEN(AH355)&gt;0,MAX($AI$1:AI354)+1,"")</f>
        <v/>
      </c>
    </row>
    <row r="356">
      <c r="AA356" s="40" t="n"/>
      <c r="AB356" s="41">
        <f>IF(TRIM('Counts'!$B$8&amp;"")="","",IFERROR(TRIM(INDEX($A356:$Z356,MATCH('Counts'!$B$8,$A$1:$Z$1,0))&amp;""),""))</f>
        <v/>
      </c>
      <c r="AC356" s="41">
        <f>IF(TRIM('Counts'!$B$26&amp;"")="","",IFERROR(TRIM(INDEX($A356:$Z356,MATCH('Counts'!$B$26,$A$1:$Z$1,0))&amp;""),""))</f>
        <v/>
      </c>
      <c r="AD356" s="41">
        <f>IF(TRIM('Counts'!$B$44&amp;"")="","",IFERROR(TRIM(INDEX($A356:$Z356,MATCH('Counts'!$B$44,$A$1:$Z$1,0))&amp;""),""))</f>
        <v/>
      </c>
      <c r="AE356" s="41">
        <f>IF(TRIM('Cross-tab'!$B$5&amp;"")="","",IFERROR(TRIM(INDEX($A356:$Z356,MATCH('Cross-tab'!$B$5,$A$1:$Z$1,0))&amp;""),""))</f>
        <v/>
      </c>
      <c r="AF356" s="41">
        <f>IF(TRIM('Cross-tab'!$B$7&amp;"")="","",IFERROR(TRIM(INDEX($A356:$Z356,MATCH('Cross-tab'!$B$7,$A$1:$Z$1,0))&amp;""),""))</f>
        <v/>
      </c>
      <c r="AG356" s="41">
        <f>IF(ISNUMBER(IFERROR(VALUE(IF(TRIM('Scale score'!$B$5&amp;"")="","",IFERROR(TRIM(INDEX($A356:$Z356,MATCH('Scale score'!$B$5,$A$1:$Z$1,0))&amp;""),""))),"")),IF(AND(IFERROR(VALUE(IF(TRIM('Scale score'!$B$5&amp;"")="","",IFERROR(TRIM(INDEX($A356:$Z356,MATCH('Scale score'!$B$5,$A$1:$Z$1,0))&amp;""),""))),"")&gt;='Scale score'!$B$6,IFERROR(VALUE(IF(TRIM('Scale score'!$B$5&amp;"")="","",IFERROR(TRIM(INDEX($A356:$Z356,MATCH('Scale score'!$B$5,$A$1:$Z$1,0))&amp;""),""))),"")&lt;='Scale score'!$B$7),IFERROR(VALUE(IF(TRIM('Scale score'!$B$5&amp;"")="","",IFERROR(TRIM(INDEX($A356:$Z356,MATCH('Scale score'!$B$5,$A$1:$Z$1,0))&amp;""),""))),""),""),"")</f>
        <v/>
      </c>
      <c r="AH356" s="41">
        <f>IF(TRIM('Open answers'!$B$5&amp;"")="","",IFERROR(TRIM(INDEX($A356:$Z356,MATCH('Open answers'!$B$5,$A$1:$Z$1,0))&amp;""),""))</f>
        <v/>
      </c>
      <c r="AI356" s="41">
        <f>IF(LEN(AH356)&gt;0,MAX($AI$1:AI355)+1,"")</f>
        <v/>
      </c>
    </row>
    <row r="357">
      <c r="AA357" s="40" t="n"/>
      <c r="AB357" s="41">
        <f>IF(TRIM('Counts'!$B$8&amp;"")="","",IFERROR(TRIM(INDEX($A357:$Z357,MATCH('Counts'!$B$8,$A$1:$Z$1,0))&amp;""),""))</f>
        <v/>
      </c>
      <c r="AC357" s="41">
        <f>IF(TRIM('Counts'!$B$26&amp;"")="","",IFERROR(TRIM(INDEX($A357:$Z357,MATCH('Counts'!$B$26,$A$1:$Z$1,0))&amp;""),""))</f>
        <v/>
      </c>
      <c r="AD357" s="41">
        <f>IF(TRIM('Counts'!$B$44&amp;"")="","",IFERROR(TRIM(INDEX($A357:$Z357,MATCH('Counts'!$B$44,$A$1:$Z$1,0))&amp;""),""))</f>
        <v/>
      </c>
      <c r="AE357" s="41">
        <f>IF(TRIM('Cross-tab'!$B$5&amp;"")="","",IFERROR(TRIM(INDEX($A357:$Z357,MATCH('Cross-tab'!$B$5,$A$1:$Z$1,0))&amp;""),""))</f>
        <v/>
      </c>
      <c r="AF357" s="41">
        <f>IF(TRIM('Cross-tab'!$B$7&amp;"")="","",IFERROR(TRIM(INDEX($A357:$Z357,MATCH('Cross-tab'!$B$7,$A$1:$Z$1,0))&amp;""),""))</f>
        <v/>
      </c>
      <c r="AG357" s="41">
        <f>IF(ISNUMBER(IFERROR(VALUE(IF(TRIM('Scale score'!$B$5&amp;"")="","",IFERROR(TRIM(INDEX($A357:$Z357,MATCH('Scale score'!$B$5,$A$1:$Z$1,0))&amp;""),""))),"")),IF(AND(IFERROR(VALUE(IF(TRIM('Scale score'!$B$5&amp;"")="","",IFERROR(TRIM(INDEX($A357:$Z357,MATCH('Scale score'!$B$5,$A$1:$Z$1,0))&amp;""),""))),"")&gt;='Scale score'!$B$6,IFERROR(VALUE(IF(TRIM('Scale score'!$B$5&amp;"")="","",IFERROR(TRIM(INDEX($A357:$Z357,MATCH('Scale score'!$B$5,$A$1:$Z$1,0))&amp;""),""))),"")&lt;='Scale score'!$B$7),IFERROR(VALUE(IF(TRIM('Scale score'!$B$5&amp;"")="","",IFERROR(TRIM(INDEX($A357:$Z357,MATCH('Scale score'!$B$5,$A$1:$Z$1,0))&amp;""),""))),""),""),"")</f>
        <v/>
      </c>
      <c r="AH357" s="41">
        <f>IF(TRIM('Open answers'!$B$5&amp;"")="","",IFERROR(TRIM(INDEX($A357:$Z357,MATCH('Open answers'!$B$5,$A$1:$Z$1,0))&amp;""),""))</f>
        <v/>
      </c>
      <c r="AI357" s="41">
        <f>IF(LEN(AH357)&gt;0,MAX($AI$1:AI356)+1,"")</f>
        <v/>
      </c>
    </row>
    <row r="358">
      <c r="AA358" s="40" t="n"/>
      <c r="AB358" s="41">
        <f>IF(TRIM('Counts'!$B$8&amp;"")="","",IFERROR(TRIM(INDEX($A358:$Z358,MATCH('Counts'!$B$8,$A$1:$Z$1,0))&amp;""),""))</f>
        <v/>
      </c>
      <c r="AC358" s="41">
        <f>IF(TRIM('Counts'!$B$26&amp;"")="","",IFERROR(TRIM(INDEX($A358:$Z358,MATCH('Counts'!$B$26,$A$1:$Z$1,0))&amp;""),""))</f>
        <v/>
      </c>
      <c r="AD358" s="41">
        <f>IF(TRIM('Counts'!$B$44&amp;"")="","",IFERROR(TRIM(INDEX($A358:$Z358,MATCH('Counts'!$B$44,$A$1:$Z$1,0))&amp;""),""))</f>
        <v/>
      </c>
      <c r="AE358" s="41">
        <f>IF(TRIM('Cross-tab'!$B$5&amp;"")="","",IFERROR(TRIM(INDEX($A358:$Z358,MATCH('Cross-tab'!$B$5,$A$1:$Z$1,0))&amp;""),""))</f>
        <v/>
      </c>
      <c r="AF358" s="41">
        <f>IF(TRIM('Cross-tab'!$B$7&amp;"")="","",IFERROR(TRIM(INDEX($A358:$Z358,MATCH('Cross-tab'!$B$7,$A$1:$Z$1,0))&amp;""),""))</f>
        <v/>
      </c>
      <c r="AG358" s="41">
        <f>IF(ISNUMBER(IFERROR(VALUE(IF(TRIM('Scale score'!$B$5&amp;"")="","",IFERROR(TRIM(INDEX($A358:$Z358,MATCH('Scale score'!$B$5,$A$1:$Z$1,0))&amp;""),""))),"")),IF(AND(IFERROR(VALUE(IF(TRIM('Scale score'!$B$5&amp;"")="","",IFERROR(TRIM(INDEX($A358:$Z358,MATCH('Scale score'!$B$5,$A$1:$Z$1,0))&amp;""),""))),"")&gt;='Scale score'!$B$6,IFERROR(VALUE(IF(TRIM('Scale score'!$B$5&amp;"")="","",IFERROR(TRIM(INDEX($A358:$Z358,MATCH('Scale score'!$B$5,$A$1:$Z$1,0))&amp;""),""))),"")&lt;='Scale score'!$B$7),IFERROR(VALUE(IF(TRIM('Scale score'!$B$5&amp;"")="","",IFERROR(TRIM(INDEX($A358:$Z358,MATCH('Scale score'!$B$5,$A$1:$Z$1,0))&amp;""),""))),""),""),"")</f>
        <v/>
      </c>
      <c r="AH358" s="41">
        <f>IF(TRIM('Open answers'!$B$5&amp;"")="","",IFERROR(TRIM(INDEX($A358:$Z358,MATCH('Open answers'!$B$5,$A$1:$Z$1,0))&amp;""),""))</f>
        <v/>
      </c>
      <c r="AI358" s="41">
        <f>IF(LEN(AH358)&gt;0,MAX($AI$1:AI357)+1,"")</f>
        <v/>
      </c>
    </row>
    <row r="359">
      <c r="AA359" s="40" t="n"/>
      <c r="AB359" s="41">
        <f>IF(TRIM('Counts'!$B$8&amp;"")="","",IFERROR(TRIM(INDEX($A359:$Z359,MATCH('Counts'!$B$8,$A$1:$Z$1,0))&amp;""),""))</f>
        <v/>
      </c>
      <c r="AC359" s="41">
        <f>IF(TRIM('Counts'!$B$26&amp;"")="","",IFERROR(TRIM(INDEX($A359:$Z359,MATCH('Counts'!$B$26,$A$1:$Z$1,0))&amp;""),""))</f>
        <v/>
      </c>
      <c r="AD359" s="41">
        <f>IF(TRIM('Counts'!$B$44&amp;"")="","",IFERROR(TRIM(INDEX($A359:$Z359,MATCH('Counts'!$B$44,$A$1:$Z$1,0))&amp;""),""))</f>
        <v/>
      </c>
      <c r="AE359" s="41">
        <f>IF(TRIM('Cross-tab'!$B$5&amp;"")="","",IFERROR(TRIM(INDEX($A359:$Z359,MATCH('Cross-tab'!$B$5,$A$1:$Z$1,0))&amp;""),""))</f>
        <v/>
      </c>
      <c r="AF359" s="41">
        <f>IF(TRIM('Cross-tab'!$B$7&amp;"")="","",IFERROR(TRIM(INDEX($A359:$Z359,MATCH('Cross-tab'!$B$7,$A$1:$Z$1,0))&amp;""),""))</f>
        <v/>
      </c>
      <c r="AG359" s="41">
        <f>IF(ISNUMBER(IFERROR(VALUE(IF(TRIM('Scale score'!$B$5&amp;"")="","",IFERROR(TRIM(INDEX($A359:$Z359,MATCH('Scale score'!$B$5,$A$1:$Z$1,0))&amp;""),""))),"")),IF(AND(IFERROR(VALUE(IF(TRIM('Scale score'!$B$5&amp;"")="","",IFERROR(TRIM(INDEX($A359:$Z359,MATCH('Scale score'!$B$5,$A$1:$Z$1,0))&amp;""),""))),"")&gt;='Scale score'!$B$6,IFERROR(VALUE(IF(TRIM('Scale score'!$B$5&amp;"")="","",IFERROR(TRIM(INDEX($A359:$Z359,MATCH('Scale score'!$B$5,$A$1:$Z$1,0))&amp;""),""))),"")&lt;='Scale score'!$B$7),IFERROR(VALUE(IF(TRIM('Scale score'!$B$5&amp;"")="","",IFERROR(TRIM(INDEX($A359:$Z359,MATCH('Scale score'!$B$5,$A$1:$Z$1,0))&amp;""),""))),""),""),"")</f>
        <v/>
      </c>
      <c r="AH359" s="41">
        <f>IF(TRIM('Open answers'!$B$5&amp;"")="","",IFERROR(TRIM(INDEX($A359:$Z359,MATCH('Open answers'!$B$5,$A$1:$Z$1,0))&amp;""),""))</f>
        <v/>
      </c>
      <c r="AI359" s="41">
        <f>IF(LEN(AH359)&gt;0,MAX($AI$1:AI358)+1,"")</f>
        <v/>
      </c>
    </row>
    <row r="360">
      <c r="AA360" s="40" t="n"/>
      <c r="AB360" s="41">
        <f>IF(TRIM('Counts'!$B$8&amp;"")="","",IFERROR(TRIM(INDEX($A360:$Z360,MATCH('Counts'!$B$8,$A$1:$Z$1,0))&amp;""),""))</f>
        <v/>
      </c>
      <c r="AC360" s="41">
        <f>IF(TRIM('Counts'!$B$26&amp;"")="","",IFERROR(TRIM(INDEX($A360:$Z360,MATCH('Counts'!$B$26,$A$1:$Z$1,0))&amp;""),""))</f>
        <v/>
      </c>
      <c r="AD360" s="41">
        <f>IF(TRIM('Counts'!$B$44&amp;"")="","",IFERROR(TRIM(INDEX($A360:$Z360,MATCH('Counts'!$B$44,$A$1:$Z$1,0))&amp;""),""))</f>
        <v/>
      </c>
      <c r="AE360" s="41">
        <f>IF(TRIM('Cross-tab'!$B$5&amp;"")="","",IFERROR(TRIM(INDEX($A360:$Z360,MATCH('Cross-tab'!$B$5,$A$1:$Z$1,0))&amp;""),""))</f>
        <v/>
      </c>
      <c r="AF360" s="41">
        <f>IF(TRIM('Cross-tab'!$B$7&amp;"")="","",IFERROR(TRIM(INDEX($A360:$Z360,MATCH('Cross-tab'!$B$7,$A$1:$Z$1,0))&amp;""),""))</f>
        <v/>
      </c>
      <c r="AG360" s="41">
        <f>IF(ISNUMBER(IFERROR(VALUE(IF(TRIM('Scale score'!$B$5&amp;"")="","",IFERROR(TRIM(INDEX($A360:$Z360,MATCH('Scale score'!$B$5,$A$1:$Z$1,0))&amp;""),""))),"")),IF(AND(IFERROR(VALUE(IF(TRIM('Scale score'!$B$5&amp;"")="","",IFERROR(TRIM(INDEX($A360:$Z360,MATCH('Scale score'!$B$5,$A$1:$Z$1,0))&amp;""),""))),"")&gt;='Scale score'!$B$6,IFERROR(VALUE(IF(TRIM('Scale score'!$B$5&amp;"")="","",IFERROR(TRIM(INDEX($A360:$Z360,MATCH('Scale score'!$B$5,$A$1:$Z$1,0))&amp;""),""))),"")&lt;='Scale score'!$B$7),IFERROR(VALUE(IF(TRIM('Scale score'!$B$5&amp;"")="","",IFERROR(TRIM(INDEX($A360:$Z360,MATCH('Scale score'!$B$5,$A$1:$Z$1,0))&amp;""),""))),""),""),"")</f>
        <v/>
      </c>
      <c r="AH360" s="41">
        <f>IF(TRIM('Open answers'!$B$5&amp;"")="","",IFERROR(TRIM(INDEX($A360:$Z360,MATCH('Open answers'!$B$5,$A$1:$Z$1,0))&amp;""),""))</f>
        <v/>
      </c>
      <c r="AI360" s="41">
        <f>IF(LEN(AH360)&gt;0,MAX($AI$1:AI359)+1,"")</f>
        <v/>
      </c>
    </row>
    <row r="361">
      <c r="AA361" s="40" t="n"/>
      <c r="AB361" s="41">
        <f>IF(TRIM('Counts'!$B$8&amp;"")="","",IFERROR(TRIM(INDEX($A361:$Z361,MATCH('Counts'!$B$8,$A$1:$Z$1,0))&amp;""),""))</f>
        <v/>
      </c>
      <c r="AC361" s="41">
        <f>IF(TRIM('Counts'!$B$26&amp;"")="","",IFERROR(TRIM(INDEX($A361:$Z361,MATCH('Counts'!$B$26,$A$1:$Z$1,0))&amp;""),""))</f>
        <v/>
      </c>
      <c r="AD361" s="41">
        <f>IF(TRIM('Counts'!$B$44&amp;"")="","",IFERROR(TRIM(INDEX($A361:$Z361,MATCH('Counts'!$B$44,$A$1:$Z$1,0))&amp;""),""))</f>
        <v/>
      </c>
      <c r="AE361" s="41">
        <f>IF(TRIM('Cross-tab'!$B$5&amp;"")="","",IFERROR(TRIM(INDEX($A361:$Z361,MATCH('Cross-tab'!$B$5,$A$1:$Z$1,0))&amp;""),""))</f>
        <v/>
      </c>
      <c r="AF361" s="41">
        <f>IF(TRIM('Cross-tab'!$B$7&amp;"")="","",IFERROR(TRIM(INDEX($A361:$Z361,MATCH('Cross-tab'!$B$7,$A$1:$Z$1,0))&amp;""),""))</f>
        <v/>
      </c>
      <c r="AG361" s="41">
        <f>IF(ISNUMBER(IFERROR(VALUE(IF(TRIM('Scale score'!$B$5&amp;"")="","",IFERROR(TRIM(INDEX($A361:$Z361,MATCH('Scale score'!$B$5,$A$1:$Z$1,0))&amp;""),""))),"")),IF(AND(IFERROR(VALUE(IF(TRIM('Scale score'!$B$5&amp;"")="","",IFERROR(TRIM(INDEX($A361:$Z361,MATCH('Scale score'!$B$5,$A$1:$Z$1,0))&amp;""),""))),"")&gt;='Scale score'!$B$6,IFERROR(VALUE(IF(TRIM('Scale score'!$B$5&amp;"")="","",IFERROR(TRIM(INDEX($A361:$Z361,MATCH('Scale score'!$B$5,$A$1:$Z$1,0))&amp;""),""))),"")&lt;='Scale score'!$B$7),IFERROR(VALUE(IF(TRIM('Scale score'!$B$5&amp;"")="","",IFERROR(TRIM(INDEX($A361:$Z361,MATCH('Scale score'!$B$5,$A$1:$Z$1,0))&amp;""),""))),""),""),"")</f>
        <v/>
      </c>
      <c r="AH361" s="41">
        <f>IF(TRIM('Open answers'!$B$5&amp;"")="","",IFERROR(TRIM(INDEX($A361:$Z361,MATCH('Open answers'!$B$5,$A$1:$Z$1,0))&amp;""),""))</f>
        <v/>
      </c>
      <c r="AI361" s="41">
        <f>IF(LEN(AH361)&gt;0,MAX($AI$1:AI360)+1,"")</f>
        <v/>
      </c>
    </row>
    <row r="362">
      <c r="AA362" s="40" t="n"/>
      <c r="AB362" s="41">
        <f>IF(TRIM('Counts'!$B$8&amp;"")="","",IFERROR(TRIM(INDEX($A362:$Z362,MATCH('Counts'!$B$8,$A$1:$Z$1,0))&amp;""),""))</f>
        <v/>
      </c>
      <c r="AC362" s="41">
        <f>IF(TRIM('Counts'!$B$26&amp;"")="","",IFERROR(TRIM(INDEX($A362:$Z362,MATCH('Counts'!$B$26,$A$1:$Z$1,0))&amp;""),""))</f>
        <v/>
      </c>
      <c r="AD362" s="41">
        <f>IF(TRIM('Counts'!$B$44&amp;"")="","",IFERROR(TRIM(INDEX($A362:$Z362,MATCH('Counts'!$B$44,$A$1:$Z$1,0))&amp;""),""))</f>
        <v/>
      </c>
      <c r="AE362" s="41">
        <f>IF(TRIM('Cross-tab'!$B$5&amp;"")="","",IFERROR(TRIM(INDEX($A362:$Z362,MATCH('Cross-tab'!$B$5,$A$1:$Z$1,0))&amp;""),""))</f>
        <v/>
      </c>
      <c r="AF362" s="41">
        <f>IF(TRIM('Cross-tab'!$B$7&amp;"")="","",IFERROR(TRIM(INDEX($A362:$Z362,MATCH('Cross-tab'!$B$7,$A$1:$Z$1,0))&amp;""),""))</f>
        <v/>
      </c>
      <c r="AG362" s="41">
        <f>IF(ISNUMBER(IFERROR(VALUE(IF(TRIM('Scale score'!$B$5&amp;"")="","",IFERROR(TRIM(INDEX($A362:$Z362,MATCH('Scale score'!$B$5,$A$1:$Z$1,0))&amp;""),""))),"")),IF(AND(IFERROR(VALUE(IF(TRIM('Scale score'!$B$5&amp;"")="","",IFERROR(TRIM(INDEX($A362:$Z362,MATCH('Scale score'!$B$5,$A$1:$Z$1,0))&amp;""),""))),"")&gt;='Scale score'!$B$6,IFERROR(VALUE(IF(TRIM('Scale score'!$B$5&amp;"")="","",IFERROR(TRIM(INDEX($A362:$Z362,MATCH('Scale score'!$B$5,$A$1:$Z$1,0))&amp;""),""))),"")&lt;='Scale score'!$B$7),IFERROR(VALUE(IF(TRIM('Scale score'!$B$5&amp;"")="","",IFERROR(TRIM(INDEX($A362:$Z362,MATCH('Scale score'!$B$5,$A$1:$Z$1,0))&amp;""),""))),""),""),"")</f>
        <v/>
      </c>
      <c r="AH362" s="41">
        <f>IF(TRIM('Open answers'!$B$5&amp;"")="","",IFERROR(TRIM(INDEX($A362:$Z362,MATCH('Open answers'!$B$5,$A$1:$Z$1,0))&amp;""),""))</f>
        <v/>
      </c>
      <c r="AI362" s="41">
        <f>IF(LEN(AH362)&gt;0,MAX($AI$1:AI361)+1,"")</f>
        <v/>
      </c>
    </row>
    <row r="363">
      <c r="AA363" s="40" t="n"/>
      <c r="AB363" s="41">
        <f>IF(TRIM('Counts'!$B$8&amp;"")="","",IFERROR(TRIM(INDEX($A363:$Z363,MATCH('Counts'!$B$8,$A$1:$Z$1,0))&amp;""),""))</f>
        <v/>
      </c>
      <c r="AC363" s="41">
        <f>IF(TRIM('Counts'!$B$26&amp;"")="","",IFERROR(TRIM(INDEX($A363:$Z363,MATCH('Counts'!$B$26,$A$1:$Z$1,0))&amp;""),""))</f>
        <v/>
      </c>
      <c r="AD363" s="41">
        <f>IF(TRIM('Counts'!$B$44&amp;"")="","",IFERROR(TRIM(INDEX($A363:$Z363,MATCH('Counts'!$B$44,$A$1:$Z$1,0))&amp;""),""))</f>
        <v/>
      </c>
      <c r="AE363" s="41">
        <f>IF(TRIM('Cross-tab'!$B$5&amp;"")="","",IFERROR(TRIM(INDEX($A363:$Z363,MATCH('Cross-tab'!$B$5,$A$1:$Z$1,0))&amp;""),""))</f>
        <v/>
      </c>
      <c r="AF363" s="41">
        <f>IF(TRIM('Cross-tab'!$B$7&amp;"")="","",IFERROR(TRIM(INDEX($A363:$Z363,MATCH('Cross-tab'!$B$7,$A$1:$Z$1,0))&amp;""),""))</f>
        <v/>
      </c>
      <c r="AG363" s="41">
        <f>IF(ISNUMBER(IFERROR(VALUE(IF(TRIM('Scale score'!$B$5&amp;"")="","",IFERROR(TRIM(INDEX($A363:$Z363,MATCH('Scale score'!$B$5,$A$1:$Z$1,0))&amp;""),""))),"")),IF(AND(IFERROR(VALUE(IF(TRIM('Scale score'!$B$5&amp;"")="","",IFERROR(TRIM(INDEX($A363:$Z363,MATCH('Scale score'!$B$5,$A$1:$Z$1,0))&amp;""),""))),"")&gt;='Scale score'!$B$6,IFERROR(VALUE(IF(TRIM('Scale score'!$B$5&amp;"")="","",IFERROR(TRIM(INDEX($A363:$Z363,MATCH('Scale score'!$B$5,$A$1:$Z$1,0))&amp;""),""))),"")&lt;='Scale score'!$B$7),IFERROR(VALUE(IF(TRIM('Scale score'!$B$5&amp;"")="","",IFERROR(TRIM(INDEX($A363:$Z363,MATCH('Scale score'!$B$5,$A$1:$Z$1,0))&amp;""),""))),""),""),"")</f>
        <v/>
      </c>
      <c r="AH363" s="41">
        <f>IF(TRIM('Open answers'!$B$5&amp;"")="","",IFERROR(TRIM(INDEX($A363:$Z363,MATCH('Open answers'!$B$5,$A$1:$Z$1,0))&amp;""),""))</f>
        <v/>
      </c>
      <c r="AI363" s="41">
        <f>IF(LEN(AH363)&gt;0,MAX($AI$1:AI362)+1,"")</f>
        <v/>
      </c>
    </row>
    <row r="364">
      <c r="AA364" s="40" t="n"/>
      <c r="AB364" s="41">
        <f>IF(TRIM('Counts'!$B$8&amp;"")="","",IFERROR(TRIM(INDEX($A364:$Z364,MATCH('Counts'!$B$8,$A$1:$Z$1,0))&amp;""),""))</f>
        <v/>
      </c>
      <c r="AC364" s="41">
        <f>IF(TRIM('Counts'!$B$26&amp;"")="","",IFERROR(TRIM(INDEX($A364:$Z364,MATCH('Counts'!$B$26,$A$1:$Z$1,0))&amp;""),""))</f>
        <v/>
      </c>
      <c r="AD364" s="41">
        <f>IF(TRIM('Counts'!$B$44&amp;"")="","",IFERROR(TRIM(INDEX($A364:$Z364,MATCH('Counts'!$B$44,$A$1:$Z$1,0))&amp;""),""))</f>
        <v/>
      </c>
      <c r="AE364" s="41">
        <f>IF(TRIM('Cross-tab'!$B$5&amp;"")="","",IFERROR(TRIM(INDEX($A364:$Z364,MATCH('Cross-tab'!$B$5,$A$1:$Z$1,0))&amp;""),""))</f>
        <v/>
      </c>
      <c r="AF364" s="41">
        <f>IF(TRIM('Cross-tab'!$B$7&amp;"")="","",IFERROR(TRIM(INDEX($A364:$Z364,MATCH('Cross-tab'!$B$7,$A$1:$Z$1,0))&amp;""),""))</f>
        <v/>
      </c>
      <c r="AG364" s="41">
        <f>IF(ISNUMBER(IFERROR(VALUE(IF(TRIM('Scale score'!$B$5&amp;"")="","",IFERROR(TRIM(INDEX($A364:$Z364,MATCH('Scale score'!$B$5,$A$1:$Z$1,0))&amp;""),""))),"")),IF(AND(IFERROR(VALUE(IF(TRIM('Scale score'!$B$5&amp;"")="","",IFERROR(TRIM(INDEX($A364:$Z364,MATCH('Scale score'!$B$5,$A$1:$Z$1,0))&amp;""),""))),"")&gt;='Scale score'!$B$6,IFERROR(VALUE(IF(TRIM('Scale score'!$B$5&amp;"")="","",IFERROR(TRIM(INDEX($A364:$Z364,MATCH('Scale score'!$B$5,$A$1:$Z$1,0))&amp;""),""))),"")&lt;='Scale score'!$B$7),IFERROR(VALUE(IF(TRIM('Scale score'!$B$5&amp;"")="","",IFERROR(TRIM(INDEX($A364:$Z364,MATCH('Scale score'!$B$5,$A$1:$Z$1,0))&amp;""),""))),""),""),"")</f>
        <v/>
      </c>
      <c r="AH364" s="41">
        <f>IF(TRIM('Open answers'!$B$5&amp;"")="","",IFERROR(TRIM(INDEX($A364:$Z364,MATCH('Open answers'!$B$5,$A$1:$Z$1,0))&amp;""),""))</f>
        <v/>
      </c>
      <c r="AI364" s="41">
        <f>IF(LEN(AH364)&gt;0,MAX($AI$1:AI363)+1,"")</f>
        <v/>
      </c>
    </row>
    <row r="365">
      <c r="AA365" s="40" t="n"/>
      <c r="AB365" s="41">
        <f>IF(TRIM('Counts'!$B$8&amp;"")="","",IFERROR(TRIM(INDEX($A365:$Z365,MATCH('Counts'!$B$8,$A$1:$Z$1,0))&amp;""),""))</f>
        <v/>
      </c>
      <c r="AC365" s="41">
        <f>IF(TRIM('Counts'!$B$26&amp;"")="","",IFERROR(TRIM(INDEX($A365:$Z365,MATCH('Counts'!$B$26,$A$1:$Z$1,0))&amp;""),""))</f>
        <v/>
      </c>
      <c r="AD365" s="41">
        <f>IF(TRIM('Counts'!$B$44&amp;"")="","",IFERROR(TRIM(INDEX($A365:$Z365,MATCH('Counts'!$B$44,$A$1:$Z$1,0))&amp;""),""))</f>
        <v/>
      </c>
      <c r="AE365" s="41">
        <f>IF(TRIM('Cross-tab'!$B$5&amp;"")="","",IFERROR(TRIM(INDEX($A365:$Z365,MATCH('Cross-tab'!$B$5,$A$1:$Z$1,0))&amp;""),""))</f>
        <v/>
      </c>
      <c r="AF365" s="41">
        <f>IF(TRIM('Cross-tab'!$B$7&amp;"")="","",IFERROR(TRIM(INDEX($A365:$Z365,MATCH('Cross-tab'!$B$7,$A$1:$Z$1,0))&amp;""),""))</f>
        <v/>
      </c>
      <c r="AG365" s="41">
        <f>IF(ISNUMBER(IFERROR(VALUE(IF(TRIM('Scale score'!$B$5&amp;"")="","",IFERROR(TRIM(INDEX($A365:$Z365,MATCH('Scale score'!$B$5,$A$1:$Z$1,0))&amp;""),""))),"")),IF(AND(IFERROR(VALUE(IF(TRIM('Scale score'!$B$5&amp;"")="","",IFERROR(TRIM(INDEX($A365:$Z365,MATCH('Scale score'!$B$5,$A$1:$Z$1,0))&amp;""),""))),"")&gt;='Scale score'!$B$6,IFERROR(VALUE(IF(TRIM('Scale score'!$B$5&amp;"")="","",IFERROR(TRIM(INDEX($A365:$Z365,MATCH('Scale score'!$B$5,$A$1:$Z$1,0))&amp;""),""))),"")&lt;='Scale score'!$B$7),IFERROR(VALUE(IF(TRIM('Scale score'!$B$5&amp;"")="","",IFERROR(TRIM(INDEX($A365:$Z365,MATCH('Scale score'!$B$5,$A$1:$Z$1,0))&amp;""),""))),""),""),"")</f>
        <v/>
      </c>
      <c r="AH365" s="41">
        <f>IF(TRIM('Open answers'!$B$5&amp;"")="","",IFERROR(TRIM(INDEX($A365:$Z365,MATCH('Open answers'!$B$5,$A$1:$Z$1,0))&amp;""),""))</f>
        <v/>
      </c>
      <c r="AI365" s="41">
        <f>IF(LEN(AH365)&gt;0,MAX($AI$1:AI364)+1,"")</f>
        <v/>
      </c>
    </row>
    <row r="366">
      <c r="AA366" s="40" t="n"/>
      <c r="AB366" s="41">
        <f>IF(TRIM('Counts'!$B$8&amp;"")="","",IFERROR(TRIM(INDEX($A366:$Z366,MATCH('Counts'!$B$8,$A$1:$Z$1,0))&amp;""),""))</f>
        <v/>
      </c>
      <c r="AC366" s="41">
        <f>IF(TRIM('Counts'!$B$26&amp;"")="","",IFERROR(TRIM(INDEX($A366:$Z366,MATCH('Counts'!$B$26,$A$1:$Z$1,0))&amp;""),""))</f>
        <v/>
      </c>
      <c r="AD366" s="41">
        <f>IF(TRIM('Counts'!$B$44&amp;"")="","",IFERROR(TRIM(INDEX($A366:$Z366,MATCH('Counts'!$B$44,$A$1:$Z$1,0))&amp;""),""))</f>
        <v/>
      </c>
      <c r="AE366" s="41">
        <f>IF(TRIM('Cross-tab'!$B$5&amp;"")="","",IFERROR(TRIM(INDEX($A366:$Z366,MATCH('Cross-tab'!$B$5,$A$1:$Z$1,0))&amp;""),""))</f>
        <v/>
      </c>
      <c r="AF366" s="41">
        <f>IF(TRIM('Cross-tab'!$B$7&amp;"")="","",IFERROR(TRIM(INDEX($A366:$Z366,MATCH('Cross-tab'!$B$7,$A$1:$Z$1,0))&amp;""),""))</f>
        <v/>
      </c>
      <c r="AG366" s="41">
        <f>IF(ISNUMBER(IFERROR(VALUE(IF(TRIM('Scale score'!$B$5&amp;"")="","",IFERROR(TRIM(INDEX($A366:$Z366,MATCH('Scale score'!$B$5,$A$1:$Z$1,0))&amp;""),""))),"")),IF(AND(IFERROR(VALUE(IF(TRIM('Scale score'!$B$5&amp;"")="","",IFERROR(TRIM(INDEX($A366:$Z366,MATCH('Scale score'!$B$5,$A$1:$Z$1,0))&amp;""),""))),"")&gt;='Scale score'!$B$6,IFERROR(VALUE(IF(TRIM('Scale score'!$B$5&amp;"")="","",IFERROR(TRIM(INDEX($A366:$Z366,MATCH('Scale score'!$B$5,$A$1:$Z$1,0))&amp;""),""))),"")&lt;='Scale score'!$B$7),IFERROR(VALUE(IF(TRIM('Scale score'!$B$5&amp;"")="","",IFERROR(TRIM(INDEX($A366:$Z366,MATCH('Scale score'!$B$5,$A$1:$Z$1,0))&amp;""),""))),""),""),"")</f>
        <v/>
      </c>
      <c r="AH366" s="41">
        <f>IF(TRIM('Open answers'!$B$5&amp;"")="","",IFERROR(TRIM(INDEX($A366:$Z366,MATCH('Open answers'!$B$5,$A$1:$Z$1,0))&amp;""),""))</f>
        <v/>
      </c>
      <c r="AI366" s="41">
        <f>IF(LEN(AH366)&gt;0,MAX($AI$1:AI365)+1,"")</f>
        <v/>
      </c>
    </row>
    <row r="367">
      <c r="AA367" s="40" t="n"/>
      <c r="AB367" s="41">
        <f>IF(TRIM('Counts'!$B$8&amp;"")="","",IFERROR(TRIM(INDEX($A367:$Z367,MATCH('Counts'!$B$8,$A$1:$Z$1,0))&amp;""),""))</f>
        <v/>
      </c>
      <c r="AC367" s="41">
        <f>IF(TRIM('Counts'!$B$26&amp;"")="","",IFERROR(TRIM(INDEX($A367:$Z367,MATCH('Counts'!$B$26,$A$1:$Z$1,0))&amp;""),""))</f>
        <v/>
      </c>
      <c r="AD367" s="41">
        <f>IF(TRIM('Counts'!$B$44&amp;"")="","",IFERROR(TRIM(INDEX($A367:$Z367,MATCH('Counts'!$B$44,$A$1:$Z$1,0))&amp;""),""))</f>
        <v/>
      </c>
      <c r="AE367" s="41">
        <f>IF(TRIM('Cross-tab'!$B$5&amp;"")="","",IFERROR(TRIM(INDEX($A367:$Z367,MATCH('Cross-tab'!$B$5,$A$1:$Z$1,0))&amp;""),""))</f>
        <v/>
      </c>
      <c r="AF367" s="41">
        <f>IF(TRIM('Cross-tab'!$B$7&amp;"")="","",IFERROR(TRIM(INDEX($A367:$Z367,MATCH('Cross-tab'!$B$7,$A$1:$Z$1,0))&amp;""),""))</f>
        <v/>
      </c>
      <c r="AG367" s="41">
        <f>IF(ISNUMBER(IFERROR(VALUE(IF(TRIM('Scale score'!$B$5&amp;"")="","",IFERROR(TRIM(INDEX($A367:$Z367,MATCH('Scale score'!$B$5,$A$1:$Z$1,0))&amp;""),""))),"")),IF(AND(IFERROR(VALUE(IF(TRIM('Scale score'!$B$5&amp;"")="","",IFERROR(TRIM(INDEX($A367:$Z367,MATCH('Scale score'!$B$5,$A$1:$Z$1,0))&amp;""),""))),"")&gt;='Scale score'!$B$6,IFERROR(VALUE(IF(TRIM('Scale score'!$B$5&amp;"")="","",IFERROR(TRIM(INDEX($A367:$Z367,MATCH('Scale score'!$B$5,$A$1:$Z$1,0))&amp;""),""))),"")&lt;='Scale score'!$B$7),IFERROR(VALUE(IF(TRIM('Scale score'!$B$5&amp;"")="","",IFERROR(TRIM(INDEX($A367:$Z367,MATCH('Scale score'!$B$5,$A$1:$Z$1,0))&amp;""),""))),""),""),"")</f>
        <v/>
      </c>
      <c r="AH367" s="41">
        <f>IF(TRIM('Open answers'!$B$5&amp;"")="","",IFERROR(TRIM(INDEX($A367:$Z367,MATCH('Open answers'!$B$5,$A$1:$Z$1,0))&amp;""),""))</f>
        <v/>
      </c>
      <c r="AI367" s="41">
        <f>IF(LEN(AH367)&gt;0,MAX($AI$1:AI366)+1,"")</f>
        <v/>
      </c>
    </row>
    <row r="368">
      <c r="AA368" s="40" t="n"/>
      <c r="AB368" s="41">
        <f>IF(TRIM('Counts'!$B$8&amp;"")="","",IFERROR(TRIM(INDEX($A368:$Z368,MATCH('Counts'!$B$8,$A$1:$Z$1,0))&amp;""),""))</f>
        <v/>
      </c>
      <c r="AC368" s="41">
        <f>IF(TRIM('Counts'!$B$26&amp;"")="","",IFERROR(TRIM(INDEX($A368:$Z368,MATCH('Counts'!$B$26,$A$1:$Z$1,0))&amp;""),""))</f>
        <v/>
      </c>
      <c r="AD368" s="41">
        <f>IF(TRIM('Counts'!$B$44&amp;"")="","",IFERROR(TRIM(INDEX($A368:$Z368,MATCH('Counts'!$B$44,$A$1:$Z$1,0))&amp;""),""))</f>
        <v/>
      </c>
      <c r="AE368" s="41">
        <f>IF(TRIM('Cross-tab'!$B$5&amp;"")="","",IFERROR(TRIM(INDEX($A368:$Z368,MATCH('Cross-tab'!$B$5,$A$1:$Z$1,0))&amp;""),""))</f>
        <v/>
      </c>
      <c r="AF368" s="41">
        <f>IF(TRIM('Cross-tab'!$B$7&amp;"")="","",IFERROR(TRIM(INDEX($A368:$Z368,MATCH('Cross-tab'!$B$7,$A$1:$Z$1,0))&amp;""),""))</f>
        <v/>
      </c>
      <c r="AG368" s="41">
        <f>IF(ISNUMBER(IFERROR(VALUE(IF(TRIM('Scale score'!$B$5&amp;"")="","",IFERROR(TRIM(INDEX($A368:$Z368,MATCH('Scale score'!$B$5,$A$1:$Z$1,0))&amp;""),""))),"")),IF(AND(IFERROR(VALUE(IF(TRIM('Scale score'!$B$5&amp;"")="","",IFERROR(TRIM(INDEX($A368:$Z368,MATCH('Scale score'!$B$5,$A$1:$Z$1,0))&amp;""),""))),"")&gt;='Scale score'!$B$6,IFERROR(VALUE(IF(TRIM('Scale score'!$B$5&amp;"")="","",IFERROR(TRIM(INDEX($A368:$Z368,MATCH('Scale score'!$B$5,$A$1:$Z$1,0))&amp;""),""))),"")&lt;='Scale score'!$B$7),IFERROR(VALUE(IF(TRIM('Scale score'!$B$5&amp;"")="","",IFERROR(TRIM(INDEX($A368:$Z368,MATCH('Scale score'!$B$5,$A$1:$Z$1,0))&amp;""),""))),""),""),"")</f>
        <v/>
      </c>
      <c r="AH368" s="41">
        <f>IF(TRIM('Open answers'!$B$5&amp;"")="","",IFERROR(TRIM(INDEX($A368:$Z368,MATCH('Open answers'!$B$5,$A$1:$Z$1,0))&amp;""),""))</f>
        <v/>
      </c>
      <c r="AI368" s="41">
        <f>IF(LEN(AH368)&gt;0,MAX($AI$1:AI367)+1,"")</f>
        <v/>
      </c>
    </row>
    <row r="369">
      <c r="AA369" s="40" t="n"/>
      <c r="AB369" s="41">
        <f>IF(TRIM('Counts'!$B$8&amp;"")="","",IFERROR(TRIM(INDEX($A369:$Z369,MATCH('Counts'!$B$8,$A$1:$Z$1,0))&amp;""),""))</f>
        <v/>
      </c>
      <c r="AC369" s="41">
        <f>IF(TRIM('Counts'!$B$26&amp;"")="","",IFERROR(TRIM(INDEX($A369:$Z369,MATCH('Counts'!$B$26,$A$1:$Z$1,0))&amp;""),""))</f>
        <v/>
      </c>
      <c r="AD369" s="41">
        <f>IF(TRIM('Counts'!$B$44&amp;"")="","",IFERROR(TRIM(INDEX($A369:$Z369,MATCH('Counts'!$B$44,$A$1:$Z$1,0))&amp;""),""))</f>
        <v/>
      </c>
      <c r="AE369" s="41">
        <f>IF(TRIM('Cross-tab'!$B$5&amp;"")="","",IFERROR(TRIM(INDEX($A369:$Z369,MATCH('Cross-tab'!$B$5,$A$1:$Z$1,0))&amp;""),""))</f>
        <v/>
      </c>
      <c r="AF369" s="41">
        <f>IF(TRIM('Cross-tab'!$B$7&amp;"")="","",IFERROR(TRIM(INDEX($A369:$Z369,MATCH('Cross-tab'!$B$7,$A$1:$Z$1,0))&amp;""),""))</f>
        <v/>
      </c>
      <c r="AG369" s="41">
        <f>IF(ISNUMBER(IFERROR(VALUE(IF(TRIM('Scale score'!$B$5&amp;"")="","",IFERROR(TRIM(INDEX($A369:$Z369,MATCH('Scale score'!$B$5,$A$1:$Z$1,0))&amp;""),""))),"")),IF(AND(IFERROR(VALUE(IF(TRIM('Scale score'!$B$5&amp;"")="","",IFERROR(TRIM(INDEX($A369:$Z369,MATCH('Scale score'!$B$5,$A$1:$Z$1,0))&amp;""),""))),"")&gt;='Scale score'!$B$6,IFERROR(VALUE(IF(TRIM('Scale score'!$B$5&amp;"")="","",IFERROR(TRIM(INDEX($A369:$Z369,MATCH('Scale score'!$B$5,$A$1:$Z$1,0))&amp;""),""))),"")&lt;='Scale score'!$B$7),IFERROR(VALUE(IF(TRIM('Scale score'!$B$5&amp;"")="","",IFERROR(TRIM(INDEX($A369:$Z369,MATCH('Scale score'!$B$5,$A$1:$Z$1,0))&amp;""),""))),""),""),"")</f>
        <v/>
      </c>
      <c r="AH369" s="41">
        <f>IF(TRIM('Open answers'!$B$5&amp;"")="","",IFERROR(TRIM(INDEX($A369:$Z369,MATCH('Open answers'!$B$5,$A$1:$Z$1,0))&amp;""),""))</f>
        <v/>
      </c>
      <c r="AI369" s="41">
        <f>IF(LEN(AH369)&gt;0,MAX($AI$1:AI368)+1,"")</f>
        <v/>
      </c>
    </row>
    <row r="370">
      <c r="AA370" s="40" t="n"/>
      <c r="AB370" s="41">
        <f>IF(TRIM('Counts'!$B$8&amp;"")="","",IFERROR(TRIM(INDEX($A370:$Z370,MATCH('Counts'!$B$8,$A$1:$Z$1,0))&amp;""),""))</f>
        <v/>
      </c>
      <c r="AC370" s="41">
        <f>IF(TRIM('Counts'!$B$26&amp;"")="","",IFERROR(TRIM(INDEX($A370:$Z370,MATCH('Counts'!$B$26,$A$1:$Z$1,0))&amp;""),""))</f>
        <v/>
      </c>
      <c r="AD370" s="41">
        <f>IF(TRIM('Counts'!$B$44&amp;"")="","",IFERROR(TRIM(INDEX($A370:$Z370,MATCH('Counts'!$B$44,$A$1:$Z$1,0))&amp;""),""))</f>
        <v/>
      </c>
      <c r="AE370" s="41">
        <f>IF(TRIM('Cross-tab'!$B$5&amp;"")="","",IFERROR(TRIM(INDEX($A370:$Z370,MATCH('Cross-tab'!$B$5,$A$1:$Z$1,0))&amp;""),""))</f>
        <v/>
      </c>
      <c r="AF370" s="41">
        <f>IF(TRIM('Cross-tab'!$B$7&amp;"")="","",IFERROR(TRIM(INDEX($A370:$Z370,MATCH('Cross-tab'!$B$7,$A$1:$Z$1,0))&amp;""),""))</f>
        <v/>
      </c>
      <c r="AG370" s="41">
        <f>IF(ISNUMBER(IFERROR(VALUE(IF(TRIM('Scale score'!$B$5&amp;"")="","",IFERROR(TRIM(INDEX($A370:$Z370,MATCH('Scale score'!$B$5,$A$1:$Z$1,0))&amp;""),""))),"")),IF(AND(IFERROR(VALUE(IF(TRIM('Scale score'!$B$5&amp;"")="","",IFERROR(TRIM(INDEX($A370:$Z370,MATCH('Scale score'!$B$5,$A$1:$Z$1,0))&amp;""),""))),"")&gt;='Scale score'!$B$6,IFERROR(VALUE(IF(TRIM('Scale score'!$B$5&amp;"")="","",IFERROR(TRIM(INDEX($A370:$Z370,MATCH('Scale score'!$B$5,$A$1:$Z$1,0))&amp;""),""))),"")&lt;='Scale score'!$B$7),IFERROR(VALUE(IF(TRIM('Scale score'!$B$5&amp;"")="","",IFERROR(TRIM(INDEX($A370:$Z370,MATCH('Scale score'!$B$5,$A$1:$Z$1,0))&amp;""),""))),""),""),"")</f>
        <v/>
      </c>
      <c r="AH370" s="41">
        <f>IF(TRIM('Open answers'!$B$5&amp;"")="","",IFERROR(TRIM(INDEX($A370:$Z370,MATCH('Open answers'!$B$5,$A$1:$Z$1,0))&amp;""),""))</f>
        <v/>
      </c>
      <c r="AI370" s="41">
        <f>IF(LEN(AH370)&gt;0,MAX($AI$1:AI369)+1,"")</f>
        <v/>
      </c>
    </row>
    <row r="371">
      <c r="AA371" s="40" t="n"/>
      <c r="AB371" s="41">
        <f>IF(TRIM('Counts'!$B$8&amp;"")="","",IFERROR(TRIM(INDEX($A371:$Z371,MATCH('Counts'!$B$8,$A$1:$Z$1,0))&amp;""),""))</f>
        <v/>
      </c>
      <c r="AC371" s="41">
        <f>IF(TRIM('Counts'!$B$26&amp;"")="","",IFERROR(TRIM(INDEX($A371:$Z371,MATCH('Counts'!$B$26,$A$1:$Z$1,0))&amp;""),""))</f>
        <v/>
      </c>
      <c r="AD371" s="41">
        <f>IF(TRIM('Counts'!$B$44&amp;"")="","",IFERROR(TRIM(INDEX($A371:$Z371,MATCH('Counts'!$B$44,$A$1:$Z$1,0))&amp;""),""))</f>
        <v/>
      </c>
      <c r="AE371" s="41">
        <f>IF(TRIM('Cross-tab'!$B$5&amp;"")="","",IFERROR(TRIM(INDEX($A371:$Z371,MATCH('Cross-tab'!$B$5,$A$1:$Z$1,0))&amp;""),""))</f>
        <v/>
      </c>
      <c r="AF371" s="41">
        <f>IF(TRIM('Cross-tab'!$B$7&amp;"")="","",IFERROR(TRIM(INDEX($A371:$Z371,MATCH('Cross-tab'!$B$7,$A$1:$Z$1,0))&amp;""),""))</f>
        <v/>
      </c>
      <c r="AG371" s="41">
        <f>IF(ISNUMBER(IFERROR(VALUE(IF(TRIM('Scale score'!$B$5&amp;"")="","",IFERROR(TRIM(INDEX($A371:$Z371,MATCH('Scale score'!$B$5,$A$1:$Z$1,0))&amp;""),""))),"")),IF(AND(IFERROR(VALUE(IF(TRIM('Scale score'!$B$5&amp;"")="","",IFERROR(TRIM(INDEX($A371:$Z371,MATCH('Scale score'!$B$5,$A$1:$Z$1,0))&amp;""),""))),"")&gt;='Scale score'!$B$6,IFERROR(VALUE(IF(TRIM('Scale score'!$B$5&amp;"")="","",IFERROR(TRIM(INDEX($A371:$Z371,MATCH('Scale score'!$B$5,$A$1:$Z$1,0))&amp;""),""))),"")&lt;='Scale score'!$B$7),IFERROR(VALUE(IF(TRIM('Scale score'!$B$5&amp;"")="","",IFERROR(TRIM(INDEX($A371:$Z371,MATCH('Scale score'!$B$5,$A$1:$Z$1,0))&amp;""),""))),""),""),"")</f>
        <v/>
      </c>
      <c r="AH371" s="41">
        <f>IF(TRIM('Open answers'!$B$5&amp;"")="","",IFERROR(TRIM(INDEX($A371:$Z371,MATCH('Open answers'!$B$5,$A$1:$Z$1,0))&amp;""),""))</f>
        <v/>
      </c>
      <c r="AI371" s="41">
        <f>IF(LEN(AH371)&gt;0,MAX($AI$1:AI370)+1,"")</f>
        <v/>
      </c>
    </row>
    <row r="372">
      <c r="AA372" s="40" t="n"/>
      <c r="AB372" s="41">
        <f>IF(TRIM('Counts'!$B$8&amp;"")="","",IFERROR(TRIM(INDEX($A372:$Z372,MATCH('Counts'!$B$8,$A$1:$Z$1,0))&amp;""),""))</f>
        <v/>
      </c>
      <c r="AC372" s="41">
        <f>IF(TRIM('Counts'!$B$26&amp;"")="","",IFERROR(TRIM(INDEX($A372:$Z372,MATCH('Counts'!$B$26,$A$1:$Z$1,0))&amp;""),""))</f>
        <v/>
      </c>
      <c r="AD372" s="41">
        <f>IF(TRIM('Counts'!$B$44&amp;"")="","",IFERROR(TRIM(INDEX($A372:$Z372,MATCH('Counts'!$B$44,$A$1:$Z$1,0))&amp;""),""))</f>
        <v/>
      </c>
      <c r="AE372" s="41">
        <f>IF(TRIM('Cross-tab'!$B$5&amp;"")="","",IFERROR(TRIM(INDEX($A372:$Z372,MATCH('Cross-tab'!$B$5,$A$1:$Z$1,0))&amp;""),""))</f>
        <v/>
      </c>
      <c r="AF372" s="41">
        <f>IF(TRIM('Cross-tab'!$B$7&amp;"")="","",IFERROR(TRIM(INDEX($A372:$Z372,MATCH('Cross-tab'!$B$7,$A$1:$Z$1,0))&amp;""),""))</f>
        <v/>
      </c>
      <c r="AG372" s="41">
        <f>IF(ISNUMBER(IFERROR(VALUE(IF(TRIM('Scale score'!$B$5&amp;"")="","",IFERROR(TRIM(INDEX($A372:$Z372,MATCH('Scale score'!$B$5,$A$1:$Z$1,0))&amp;""),""))),"")),IF(AND(IFERROR(VALUE(IF(TRIM('Scale score'!$B$5&amp;"")="","",IFERROR(TRIM(INDEX($A372:$Z372,MATCH('Scale score'!$B$5,$A$1:$Z$1,0))&amp;""),""))),"")&gt;='Scale score'!$B$6,IFERROR(VALUE(IF(TRIM('Scale score'!$B$5&amp;"")="","",IFERROR(TRIM(INDEX($A372:$Z372,MATCH('Scale score'!$B$5,$A$1:$Z$1,0))&amp;""),""))),"")&lt;='Scale score'!$B$7),IFERROR(VALUE(IF(TRIM('Scale score'!$B$5&amp;"")="","",IFERROR(TRIM(INDEX($A372:$Z372,MATCH('Scale score'!$B$5,$A$1:$Z$1,0))&amp;""),""))),""),""),"")</f>
        <v/>
      </c>
      <c r="AH372" s="41">
        <f>IF(TRIM('Open answers'!$B$5&amp;"")="","",IFERROR(TRIM(INDEX($A372:$Z372,MATCH('Open answers'!$B$5,$A$1:$Z$1,0))&amp;""),""))</f>
        <v/>
      </c>
      <c r="AI372" s="41">
        <f>IF(LEN(AH372)&gt;0,MAX($AI$1:AI371)+1,"")</f>
        <v/>
      </c>
    </row>
    <row r="373">
      <c r="AA373" s="40" t="n"/>
      <c r="AB373" s="41">
        <f>IF(TRIM('Counts'!$B$8&amp;"")="","",IFERROR(TRIM(INDEX($A373:$Z373,MATCH('Counts'!$B$8,$A$1:$Z$1,0))&amp;""),""))</f>
        <v/>
      </c>
      <c r="AC373" s="41">
        <f>IF(TRIM('Counts'!$B$26&amp;"")="","",IFERROR(TRIM(INDEX($A373:$Z373,MATCH('Counts'!$B$26,$A$1:$Z$1,0))&amp;""),""))</f>
        <v/>
      </c>
      <c r="AD373" s="41">
        <f>IF(TRIM('Counts'!$B$44&amp;"")="","",IFERROR(TRIM(INDEX($A373:$Z373,MATCH('Counts'!$B$44,$A$1:$Z$1,0))&amp;""),""))</f>
        <v/>
      </c>
      <c r="AE373" s="41">
        <f>IF(TRIM('Cross-tab'!$B$5&amp;"")="","",IFERROR(TRIM(INDEX($A373:$Z373,MATCH('Cross-tab'!$B$5,$A$1:$Z$1,0))&amp;""),""))</f>
        <v/>
      </c>
      <c r="AF373" s="41">
        <f>IF(TRIM('Cross-tab'!$B$7&amp;"")="","",IFERROR(TRIM(INDEX($A373:$Z373,MATCH('Cross-tab'!$B$7,$A$1:$Z$1,0))&amp;""),""))</f>
        <v/>
      </c>
      <c r="AG373" s="41">
        <f>IF(ISNUMBER(IFERROR(VALUE(IF(TRIM('Scale score'!$B$5&amp;"")="","",IFERROR(TRIM(INDEX($A373:$Z373,MATCH('Scale score'!$B$5,$A$1:$Z$1,0))&amp;""),""))),"")),IF(AND(IFERROR(VALUE(IF(TRIM('Scale score'!$B$5&amp;"")="","",IFERROR(TRIM(INDEX($A373:$Z373,MATCH('Scale score'!$B$5,$A$1:$Z$1,0))&amp;""),""))),"")&gt;='Scale score'!$B$6,IFERROR(VALUE(IF(TRIM('Scale score'!$B$5&amp;"")="","",IFERROR(TRIM(INDEX($A373:$Z373,MATCH('Scale score'!$B$5,$A$1:$Z$1,0))&amp;""),""))),"")&lt;='Scale score'!$B$7),IFERROR(VALUE(IF(TRIM('Scale score'!$B$5&amp;"")="","",IFERROR(TRIM(INDEX($A373:$Z373,MATCH('Scale score'!$B$5,$A$1:$Z$1,0))&amp;""),""))),""),""),"")</f>
        <v/>
      </c>
      <c r="AH373" s="41">
        <f>IF(TRIM('Open answers'!$B$5&amp;"")="","",IFERROR(TRIM(INDEX($A373:$Z373,MATCH('Open answers'!$B$5,$A$1:$Z$1,0))&amp;""),""))</f>
        <v/>
      </c>
      <c r="AI373" s="41">
        <f>IF(LEN(AH373)&gt;0,MAX($AI$1:AI372)+1,"")</f>
        <v/>
      </c>
    </row>
    <row r="374">
      <c r="AA374" s="40" t="n"/>
      <c r="AB374" s="41">
        <f>IF(TRIM('Counts'!$B$8&amp;"")="","",IFERROR(TRIM(INDEX($A374:$Z374,MATCH('Counts'!$B$8,$A$1:$Z$1,0))&amp;""),""))</f>
        <v/>
      </c>
      <c r="AC374" s="41">
        <f>IF(TRIM('Counts'!$B$26&amp;"")="","",IFERROR(TRIM(INDEX($A374:$Z374,MATCH('Counts'!$B$26,$A$1:$Z$1,0))&amp;""),""))</f>
        <v/>
      </c>
      <c r="AD374" s="41">
        <f>IF(TRIM('Counts'!$B$44&amp;"")="","",IFERROR(TRIM(INDEX($A374:$Z374,MATCH('Counts'!$B$44,$A$1:$Z$1,0))&amp;""),""))</f>
        <v/>
      </c>
      <c r="AE374" s="41">
        <f>IF(TRIM('Cross-tab'!$B$5&amp;"")="","",IFERROR(TRIM(INDEX($A374:$Z374,MATCH('Cross-tab'!$B$5,$A$1:$Z$1,0))&amp;""),""))</f>
        <v/>
      </c>
      <c r="AF374" s="41">
        <f>IF(TRIM('Cross-tab'!$B$7&amp;"")="","",IFERROR(TRIM(INDEX($A374:$Z374,MATCH('Cross-tab'!$B$7,$A$1:$Z$1,0))&amp;""),""))</f>
        <v/>
      </c>
      <c r="AG374" s="41">
        <f>IF(ISNUMBER(IFERROR(VALUE(IF(TRIM('Scale score'!$B$5&amp;"")="","",IFERROR(TRIM(INDEX($A374:$Z374,MATCH('Scale score'!$B$5,$A$1:$Z$1,0))&amp;""),""))),"")),IF(AND(IFERROR(VALUE(IF(TRIM('Scale score'!$B$5&amp;"")="","",IFERROR(TRIM(INDEX($A374:$Z374,MATCH('Scale score'!$B$5,$A$1:$Z$1,0))&amp;""),""))),"")&gt;='Scale score'!$B$6,IFERROR(VALUE(IF(TRIM('Scale score'!$B$5&amp;"")="","",IFERROR(TRIM(INDEX($A374:$Z374,MATCH('Scale score'!$B$5,$A$1:$Z$1,0))&amp;""),""))),"")&lt;='Scale score'!$B$7),IFERROR(VALUE(IF(TRIM('Scale score'!$B$5&amp;"")="","",IFERROR(TRIM(INDEX($A374:$Z374,MATCH('Scale score'!$B$5,$A$1:$Z$1,0))&amp;""),""))),""),""),"")</f>
        <v/>
      </c>
      <c r="AH374" s="41">
        <f>IF(TRIM('Open answers'!$B$5&amp;"")="","",IFERROR(TRIM(INDEX($A374:$Z374,MATCH('Open answers'!$B$5,$A$1:$Z$1,0))&amp;""),""))</f>
        <v/>
      </c>
      <c r="AI374" s="41">
        <f>IF(LEN(AH374)&gt;0,MAX($AI$1:AI373)+1,"")</f>
        <v/>
      </c>
    </row>
    <row r="375">
      <c r="AA375" s="40" t="n"/>
      <c r="AB375" s="41">
        <f>IF(TRIM('Counts'!$B$8&amp;"")="","",IFERROR(TRIM(INDEX($A375:$Z375,MATCH('Counts'!$B$8,$A$1:$Z$1,0))&amp;""),""))</f>
        <v/>
      </c>
      <c r="AC375" s="41">
        <f>IF(TRIM('Counts'!$B$26&amp;"")="","",IFERROR(TRIM(INDEX($A375:$Z375,MATCH('Counts'!$B$26,$A$1:$Z$1,0))&amp;""),""))</f>
        <v/>
      </c>
      <c r="AD375" s="41">
        <f>IF(TRIM('Counts'!$B$44&amp;"")="","",IFERROR(TRIM(INDEX($A375:$Z375,MATCH('Counts'!$B$44,$A$1:$Z$1,0))&amp;""),""))</f>
        <v/>
      </c>
      <c r="AE375" s="41">
        <f>IF(TRIM('Cross-tab'!$B$5&amp;"")="","",IFERROR(TRIM(INDEX($A375:$Z375,MATCH('Cross-tab'!$B$5,$A$1:$Z$1,0))&amp;""),""))</f>
        <v/>
      </c>
      <c r="AF375" s="41">
        <f>IF(TRIM('Cross-tab'!$B$7&amp;"")="","",IFERROR(TRIM(INDEX($A375:$Z375,MATCH('Cross-tab'!$B$7,$A$1:$Z$1,0))&amp;""),""))</f>
        <v/>
      </c>
      <c r="AG375" s="41">
        <f>IF(ISNUMBER(IFERROR(VALUE(IF(TRIM('Scale score'!$B$5&amp;"")="","",IFERROR(TRIM(INDEX($A375:$Z375,MATCH('Scale score'!$B$5,$A$1:$Z$1,0))&amp;""),""))),"")),IF(AND(IFERROR(VALUE(IF(TRIM('Scale score'!$B$5&amp;"")="","",IFERROR(TRIM(INDEX($A375:$Z375,MATCH('Scale score'!$B$5,$A$1:$Z$1,0))&amp;""),""))),"")&gt;='Scale score'!$B$6,IFERROR(VALUE(IF(TRIM('Scale score'!$B$5&amp;"")="","",IFERROR(TRIM(INDEX($A375:$Z375,MATCH('Scale score'!$B$5,$A$1:$Z$1,0))&amp;""),""))),"")&lt;='Scale score'!$B$7),IFERROR(VALUE(IF(TRIM('Scale score'!$B$5&amp;"")="","",IFERROR(TRIM(INDEX($A375:$Z375,MATCH('Scale score'!$B$5,$A$1:$Z$1,0))&amp;""),""))),""),""),"")</f>
        <v/>
      </c>
      <c r="AH375" s="41">
        <f>IF(TRIM('Open answers'!$B$5&amp;"")="","",IFERROR(TRIM(INDEX($A375:$Z375,MATCH('Open answers'!$B$5,$A$1:$Z$1,0))&amp;""),""))</f>
        <v/>
      </c>
      <c r="AI375" s="41">
        <f>IF(LEN(AH375)&gt;0,MAX($AI$1:AI374)+1,"")</f>
        <v/>
      </c>
    </row>
    <row r="376">
      <c r="AA376" s="40" t="n"/>
      <c r="AB376" s="41">
        <f>IF(TRIM('Counts'!$B$8&amp;"")="","",IFERROR(TRIM(INDEX($A376:$Z376,MATCH('Counts'!$B$8,$A$1:$Z$1,0))&amp;""),""))</f>
        <v/>
      </c>
      <c r="AC376" s="41">
        <f>IF(TRIM('Counts'!$B$26&amp;"")="","",IFERROR(TRIM(INDEX($A376:$Z376,MATCH('Counts'!$B$26,$A$1:$Z$1,0))&amp;""),""))</f>
        <v/>
      </c>
      <c r="AD376" s="41">
        <f>IF(TRIM('Counts'!$B$44&amp;"")="","",IFERROR(TRIM(INDEX($A376:$Z376,MATCH('Counts'!$B$44,$A$1:$Z$1,0))&amp;""),""))</f>
        <v/>
      </c>
      <c r="AE376" s="41">
        <f>IF(TRIM('Cross-tab'!$B$5&amp;"")="","",IFERROR(TRIM(INDEX($A376:$Z376,MATCH('Cross-tab'!$B$5,$A$1:$Z$1,0))&amp;""),""))</f>
        <v/>
      </c>
      <c r="AF376" s="41">
        <f>IF(TRIM('Cross-tab'!$B$7&amp;"")="","",IFERROR(TRIM(INDEX($A376:$Z376,MATCH('Cross-tab'!$B$7,$A$1:$Z$1,0))&amp;""),""))</f>
        <v/>
      </c>
      <c r="AG376" s="41">
        <f>IF(ISNUMBER(IFERROR(VALUE(IF(TRIM('Scale score'!$B$5&amp;"")="","",IFERROR(TRIM(INDEX($A376:$Z376,MATCH('Scale score'!$B$5,$A$1:$Z$1,0))&amp;""),""))),"")),IF(AND(IFERROR(VALUE(IF(TRIM('Scale score'!$B$5&amp;"")="","",IFERROR(TRIM(INDEX($A376:$Z376,MATCH('Scale score'!$B$5,$A$1:$Z$1,0))&amp;""),""))),"")&gt;='Scale score'!$B$6,IFERROR(VALUE(IF(TRIM('Scale score'!$B$5&amp;"")="","",IFERROR(TRIM(INDEX($A376:$Z376,MATCH('Scale score'!$B$5,$A$1:$Z$1,0))&amp;""),""))),"")&lt;='Scale score'!$B$7),IFERROR(VALUE(IF(TRIM('Scale score'!$B$5&amp;"")="","",IFERROR(TRIM(INDEX($A376:$Z376,MATCH('Scale score'!$B$5,$A$1:$Z$1,0))&amp;""),""))),""),""),"")</f>
        <v/>
      </c>
      <c r="AH376" s="41">
        <f>IF(TRIM('Open answers'!$B$5&amp;"")="","",IFERROR(TRIM(INDEX($A376:$Z376,MATCH('Open answers'!$B$5,$A$1:$Z$1,0))&amp;""),""))</f>
        <v/>
      </c>
      <c r="AI376" s="41">
        <f>IF(LEN(AH376)&gt;0,MAX($AI$1:AI375)+1,"")</f>
        <v/>
      </c>
    </row>
    <row r="377">
      <c r="AA377" s="40" t="n"/>
      <c r="AB377" s="41">
        <f>IF(TRIM('Counts'!$B$8&amp;"")="","",IFERROR(TRIM(INDEX($A377:$Z377,MATCH('Counts'!$B$8,$A$1:$Z$1,0))&amp;""),""))</f>
        <v/>
      </c>
      <c r="AC377" s="41">
        <f>IF(TRIM('Counts'!$B$26&amp;"")="","",IFERROR(TRIM(INDEX($A377:$Z377,MATCH('Counts'!$B$26,$A$1:$Z$1,0))&amp;""),""))</f>
        <v/>
      </c>
      <c r="AD377" s="41">
        <f>IF(TRIM('Counts'!$B$44&amp;"")="","",IFERROR(TRIM(INDEX($A377:$Z377,MATCH('Counts'!$B$44,$A$1:$Z$1,0))&amp;""),""))</f>
        <v/>
      </c>
      <c r="AE377" s="41">
        <f>IF(TRIM('Cross-tab'!$B$5&amp;"")="","",IFERROR(TRIM(INDEX($A377:$Z377,MATCH('Cross-tab'!$B$5,$A$1:$Z$1,0))&amp;""),""))</f>
        <v/>
      </c>
      <c r="AF377" s="41">
        <f>IF(TRIM('Cross-tab'!$B$7&amp;"")="","",IFERROR(TRIM(INDEX($A377:$Z377,MATCH('Cross-tab'!$B$7,$A$1:$Z$1,0))&amp;""),""))</f>
        <v/>
      </c>
      <c r="AG377" s="41">
        <f>IF(ISNUMBER(IFERROR(VALUE(IF(TRIM('Scale score'!$B$5&amp;"")="","",IFERROR(TRIM(INDEX($A377:$Z377,MATCH('Scale score'!$B$5,$A$1:$Z$1,0))&amp;""),""))),"")),IF(AND(IFERROR(VALUE(IF(TRIM('Scale score'!$B$5&amp;"")="","",IFERROR(TRIM(INDEX($A377:$Z377,MATCH('Scale score'!$B$5,$A$1:$Z$1,0))&amp;""),""))),"")&gt;='Scale score'!$B$6,IFERROR(VALUE(IF(TRIM('Scale score'!$B$5&amp;"")="","",IFERROR(TRIM(INDEX($A377:$Z377,MATCH('Scale score'!$B$5,$A$1:$Z$1,0))&amp;""),""))),"")&lt;='Scale score'!$B$7),IFERROR(VALUE(IF(TRIM('Scale score'!$B$5&amp;"")="","",IFERROR(TRIM(INDEX($A377:$Z377,MATCH('Scale score'!$B$5,$A$1:$Z$1,0))&amp;""),""))),""),""),"")</f>
        <v/>
      </c>
      <c r="AH377" s="41">
        <f>IF(TRIM('Open answers'!$B$5&amp;"")="","",IFERROR(TRIM(INDEX($A377:$Z377,MATCH('Open answers'!$B$5,$A$1:$Z$1,0))&amp;""),""))</f>
        <v/>
      </c>
      <c r="AI377" s="41">
        <f>IF(LEN(AH377)&gt;0,MAX($AI$1:AI376)+1,"")</f>
        <v/>
      </c>
    </row>
    <row r="378">
      <c r="AA378" s="40" t="n"/>
      <c r="AB378" s="41">
        <f>IF(TRIM('Counts'!$B$8&amp;"")="","",IFERROR(TRIM(INDEX($A378:$Z378,MATCH('Counts'!$B$8,$A$1:$Z$1,0))&amp;""),""))</f>
        <v/>
      </c>
      <c r="AC378" s="41">
        <f>IF(TRIM('Counts'!$B$26&amp;"")="","",IFERROR(TRIM(INDEX($A378:$Z378,MATCH('Counts'!$B$26,$A$1:$Z$1,0))&amp;""),""))</f>
        <v/>
      </c>
      <c r="AD378" s="41">
        <f>IF(TRIM('Counts'!$B$44&amp;"")="","",IFERROR(TRIM(INDEX($A378:$Z378,MATCH('Counts'!$B$44,$A$1:$Z$1,0))&amp;""),""))</f>
        <v/>
      </c>
      <c r="AE378" s="41">
        <f>IF(TRIM('Cross-tab'!$B$5&amp;"")="","",IFERROR(TRIM(INDEX($A378:$Z378,MATCH('Cross-tab'!$B$5,$A$1:$Z$1,0))&amp;""),""))</f>
        <v/>
      </c>
      <c r="AF378" s="41">
        <f>IF(TRIM('Cross-tab'!$B$7&amp;"")="","",IFERROR(TRIM(INDEX($A378:$Z378,MATCH('Cross-tab'!$B$7,$A$1:$Z$1,0))&amp;""),""))</f>
        <v/>
      </c>
      <c r="AG378" s="41">
        <f>IF(ISNUMBER(IFERROR(VALUE(IF(TRIM('Scale score'!$B$5&amp;"")="","",IFERROR(TRIM(INDEX($A378:$Z378,MATCH('Scale score'!$B$5,$A$1:$Z$1,0))&amp;""),""))),"")),IF(AND(IFERROR(VALUE(IF(TRIM('Scale score'!$B$5&amp;"")="","",IFERROR(TRIM(INDEX($A378:$Z378,MATCH('Scale score'!$B$5,$A$1:$Z$1,0))&amp;""),""))),"")&gt;='Scale score'!$B$6,IFERROR(VALUE(IF(TRIM('Scale score'!$B$5&amp;"")="","",IFERROR(TRIM(INDEX($A378:$Z378,MATCH('Scale score'!$B$5,$A$1:$Z$1,0))&amp;""),""))),"")&lt;='Scale score'!$B$7),IFERROR(VALUE(IF(TRIM('Scale score'!$B$5&amp;"")="","",IFERROR(TRIM(INDEX($A378:$Z378,MATCH('Scale score'!$B$5,$A$1:$Z$1,0))&amp;""),""))),""),""),"")</f>
        <v/>
      </c>
      <c r="AH378" s="41">
        <f>IF(TRIM('Open answers'!$B$5&amp;"")="","",IFERROR(TRIM(INDEX($A378:$Z378,MATCH('Open answers'!$B$5,$A$1:$Z$1,0))&amp;""),""))</f>
        <v/>
      </c>
      <c r="AI378" s="41">
        <f>IF(LEN(AH378)&gt;0,MAX($AI$1:AI377)+1,"")</f>
        <v/>
      </c>
    </row>
    <row r="379">
      <c r="AA379" s="40" t="n"/>
      <c r="AB379" s="41">
        <f>IF(TRIM('Counts'!$B$8&amp;"")="","",IFERROR(TRIM(INDEX($A379:$Z379,MATCH('Counts'!$B$8,$A$1:$Z$1,0))&amp;""),""))</f>
        <v/>
      </c>
      <c r="AC379" s="41">
        <f>IF(TRIM('Counts'!$B$26&amp;"")="","",IFERROR(TRIM(INDEX($A379:$Z379,MATCH('Counts'!$B$26,$A$1:$Z$1,0))&amp;""),""))</f>
        <v/>
      </c>
      <c r="AD379" s="41">
        <f>IF(TRIM('Counts'!$B$44&amp;"")="","",IFERROR(TRIM(INDEX($A379:$Z379,MATCH('Counts'!$B$44,$A$1:$Z$1,0))&amp;""),""))</f>
        <v/>
      </c>
      <c r="AE379" s="41">
        <f>IF(TRIM('Cross-tab'!$B$5&amp;"")="","",IFERROR(TRIM(INDEX($A379:$Z379,MATCH('Cross-tab'!$B$5,$A$1:$Z$1,0))&amp;""),""))</f>
        <v/>
      </c>
      <c r="AF379" s="41">
        <f>IF(TRIM('Cross-tab'!$B$7&amp;"")="","",IFERROR(TRIM(INDEX($A379:$Z379,MATCH('Cross-tab'!$B$7,$A$1:$Z$1,0))&amp;""),""))</f>
        <v/>
      </c>
      <c r="AG379" s="41">
        <f>IF(ISNUMBER(IFERROR(VALUE(IF(TRIM('Scale score'!$B$5&amp;"")="","",IFERROR(TRIM(INDEX($A379:$Z379,MATCH('Scale score'!$B$5,$A$1:$Z$1,0))&amp;""),""))),"")),IF(AND(IFERROR(VALUE(IF(TRIM('Scale score'!$B$5&amp;"")="","",IFERROR(TRIM(INDEX($A379:$Z379,MATCH('Scale score'!$B$5,$A$1:$Z$1,0))&amp;""),""))),"")&gt;='Scale score'!$B$6,IFERROR(VALUE(IF(TRIM('Scale score'!$B$5&amp;"")="","",IFERROR(TRIM(INDEX($A379:$Z379,MATCH('Scale score'!$B$5,$A$1:$Z$1,0))&amp;""),""))),"")&lt;='Scale score'!$B$7),IFERROR(VALUE(IF(TRIM('Scale score'!$B$5&amp;"")="","",IFERROR(TRIM(INDEX($A379:$Z379,MATCH('Scale score'!$B$5,$A$1:$Z$1,0))&amp;""),""))),""),""),"")</f>
        <v/>
      </c>
      <c r="AH379" s="41">
        <f>IF(TRIM('Open answers'!$B$5&amp;"")="","",IFERROR(TRIM(INDEX($A379:$Z379,MATCH('Open answers'!$B$5,$A$1:$Z$1,0))&amp;""),""))</f>
        <v/>
      </c>
      <c r="AI379" s="41">
        <f>IF(LEN(AH379)&gt;0,MAX($AI$1:AI378)+1,"")</f>
        <v/>
      </c>
    </row>
    <row r="380">
      <c r="AA380" s="40" t="n"/>
      <c r="AB380" s="41">
        <f>IF(TRIM('Counts'!$B$8&amp;"")="","",IFERROR(TRIM(INDEX($A380:$Z380,MATCH('Counts'!$B$8,$A$1:$Z$1,0))&amp;""),""))</f>
        <v/>
      </c>
      <c r="AC380" s="41">
        <f>IF(TRIM('Counts'!$B$26&amp;"")="","",IFERROR(TRIM(INDEX($A380:$Z380,MATCH('Counts'!$B$26,$A$1:$Z$1,0))&amp;""),""))</f>
        <v/>
      </c>
      <c r="AD380" s="41">
        <f>IF(TRIM('Counts'!$B$44&amp;"")="","",IFERROR(TRIM(INDEX($A380:$Z380,MATCH('Counts'!$B$44,$A$1:$Z$1,0))&amp;""),""))</f>
        <v/>
      </c>
      <c r="AE380" s="41">
        <f>IF(TRIM('Cross-tab'!$B$5&amp;"")="","",IFERROR(TRIM(INDEX($A380:$Z380,MATCH('Cross-tab'!$B$5,$A$1:$Z$1,0))&amp;""),""))</f>
        <v/>
      </c>
      <c r="AF380" s="41">
        <f>IF(TRIM('Cross-tab'!$B$7&amp;"")="","",IFERROR(TRIM(INDEX($A380:$Z380,MATCH('Cross-tab'!$B$7,$A$1:$Z$1,0))&amp;""),""))</f>
        <v/>
      </c>
      <c r="AG380" s="41">
        <f>IF(ISNUMBER(IFERROR(VALUE(IF(TRIM('Scale score'!$B$5&amp;"")="","",IFERROR(TRIM(INDEX($A380:$Z380,MATCH('Scale score'!$B$5,$A$1:$Z$1,0))&amp;""),""))),"")),IF(AND(IFERROR(VALUE(IF(TRIM('Scale score'!$B$5&amp;"")="","",IFERROR(TRIM(INDEX($A380:$Z380,MATCH('Scale score'!$B$5,$A$1:$Z$1,0))&amp;""),""))),"")&gt;='Scale score'!$B$6,IFERROR(VALUE(IF(TRIM('Scale score'!$B$5&amp;"")="","",IFERROR(TRIM(INDEX($A380:$Z380,MATCH('Scale score'!$B$5,$A$1:$Z$1,0))&amp;""),""))),"")&lt;='Scale score'!$B$7),IFERROR(VALUE(IF(TRIM('Scale score'!$B$5&amp;"")="","",IFERROR(TRIM(INDEX($A380:$Z380,MATCH('Scale score'!$B$5,$A$1:$Z$1,0))&amp;""),""))),""),""),"")</f>
        <v/>
      </c>
      <c r="AH380" s="41">
        <f>IF(TRIM('Open answers'!$B$5&amp;"")="","",IFERROR(TRIM(INDEX($A380:$Z380,MATCH('Open answers'!$B$5,$A$1:$Z$1,0))&amp;""),""))</f>
        <v/>
      </c>
      <c r="AI380" s="41">
        <f>IF(LEN(AH380)&gt;0,MAX($AI$1:AI379)+1,"")</f>
        <v/>
      </c>
    </row>
    <row r="381">
      <c r="AA381" s="40" t="n"/>
      <c r="AB381" s="41">
        <f>IF(TRIM('Counts'!$B$8&amp;"")="","",IFERROR(TRIM(INDEX($A381:$Z381,MATCH('Counts'!$B$8,$A$1:$Z$1,0))&amp;""),""))</f>
        <v/>
      </c>
      <c r="AC381" s="41">
        <f>IF(TRIM('Counts'!$B$26&amp;"")="","",IFERROR(TRIM(INDEX($A381:$Z381,MATCH('Counts'!$B$26,$A$1:$Z$1,0))&amp;""),""))</f>
        <v/>
      </c>
      <c r="AD381" s="41">
        <f>IF(TRIM('Counts'!$B$44&amp;"")="","",IFERROR(TRIM(INDEX($A381:$Z381,MATCH('Counts'!$B$44,$A$1:$Z$1,0))&amp;""),""))</f>
        <v/>
      </c>
      <c r="AE381" s="41">
        <f>IF(TRIM('Cross-tab'!$B$5&amp;"")="","",IFERROR(TRIM(INDEX($A381:$Z381,MATCH('Cross-tab'!$B$5,$A$1:$Z$1,0))&amp;""),""))</f>
        <v/>
      </c>
      <c r="AF381" s="41">
        <f>IF(TRIM('Cross-tab'!$B$7&amp;"")="","",IFERROR(TRIM(INDEX($A381:$Z381,MATCH('Cross-tab'!$B$7,$A$1:$Z$1,0))&amp;""),""))</f>
        <v/>
      </c>
      <c r="AG381" s="41">
        <f>IF(ISNUMBER(IFERROR(VALUE(IF(TRIM('Scale score'!$B$5&amp;"")="","",IFERROR(TRIM(INDEX($A381:$Z381,MATCH('Scale score'!$B$5,$A$1:$Z$1,0))&amp;""),""))),"")),IF(AND(IFERROR(VALUE(IF(TRIM('Scale score'!$B$5&amp;"")="","",IFERROR(TRIM(INDEX($A381:$Z381,MATCH('Scale score'!$B$5,$A$1:$Z$1,0))&amp;""),""))),"")&gt;='Scale score'!$B$6,IFERROR(VALUE(IF(TRIM('Scale score'!$B$5&amp;"")="","",IFERROR(TRIM(INDEX($A381:$Z381,MATCH('Scale score'!$B$5,$A$1:$Z$1,0))&amp;""),""))),"")&lt;='Scale score'!$B$7),IFERROR(VALUE(IF(TRIM('Scale score'!$B$5&amp;"")="","",IFERROR(TRIM(INDEX($A381:$Z381,MATCH('Scale score'!$B$5,$A$1:$Z$1,0))&amp;""),""))),""),""),"")</f>
        <v/>
      </c>
      <c r="AH381" s="41">
        <f>IF(TRIM('Open answers'!$B$5&amp;"")="","",IFERROR(TRIM(INDEX($A381:$Z381,MATCH('Open answers'!$B$5,$A$1:$Z$1,0))&amp;""),""))</f>
        <v/>
      </c>
      <c r="AI381" s="41">
        <f>IF(LEN(AH381)&gt;0,MAX($AI$1:AI380)+1,"")</f>
        <v/>
      </c>
    </row>
    <row r="382">
      <c r="AA382" s="40" t="n"/>
      <c r="AB382" s="41">
        <f>IF(TRIM('Counts'!$B$8&amp;"")="","",IFERROR(TRIM(INDEX($A382:$Z382,MATCH('Counts'!$B$8,$A$1:$Z$1,0))&amp;""),""))</f>
        <v/>
      </c>
      <c r="AC382" s="41">
        <f>IF(TRIM('Counts'!$B$26&amp;"")="","",IFERROR(TRIM(INDEX($A382:$Z382,MATCH('Counts'!$B$26,$A$1:$Z$1,0))&amp;""),""))</f>
        <v/>
      </c>
      <c r="AD382" s="41">
        <f>IF(TRIM('Counts'!$B$44&amp;"")="","",IFERROR(TRIM(INDEX($A382:$Z382,MATCH('Counts'!$B$44,$A$1:$Z$1,0))&amp;""),""))</f>
        <v/>
      </c>
      <c r="AE382" s="41">
        <f>IF(TRIM('Cross-tab'!$B$5&amp;"")="","",IFERROR(TRIM(INDEX($A382:$Z382,MATCH('Cross-tab'!$B$5,$A$1:$Z$1,0))&amp;""),""))</f>
        <v/>
      </c>
      <c r="AF382" s="41">
        <f>IF(TRIM('Cross-tab'!$B$7&amp;"")="","",IFERROR(TRIM(INDEX($A382:$Z382,MATCH('Cross-tab'!$B$7,$A$1:$Z$1,0))&amp;""),""))</f>
        <v/>
      </c>
      <c r="AG382" s="41">
        <f>IF(ISNUMBER(IFERROR(VALUE(IF(TRIM('Scale score'!$B$5&amp;"")="","",IFERROR(TRIM(INDEX($A382:$Z382,MATCH('Scale score'!$B$5,$A$1:$Z$1,0))&amp;""),""))),"")),IF(AND(IFERROR(VALUE(IF(TRIM('Scale score'!$B$5&amp;"")="","",IFERROR(TRIM(INDEX($A382:$Z382,MATCH('Scale score'!$B$5,$A$1:$Z$1,0))&amp;""),""))),"")&gt;='Scale score'!$B$6,IFERROR(VALUE(IF(TRIM('Scale score'!$B$5&amp;"")="","",IFERROR(TRIM(INDEX($A382:$Z382,MATCH('Scale score'!$B$5,$A$1:$Z$1,0))&amp;""),""))),"")&lt;='Scale score'!$B$7),IFERROR(VALUE(IF(TRIM('Scale score'!$B$5&amp;"")="","",IFERROR(TRIM(INDEX($A382:$Z382,MATCH('Scale score'!$B$5,$A$1:$Z$1,0))&amp;""),""))),""),""),"")</f>
        <v/>
      </c>
      <c r="AH382" s="41">
        <f>IF(TRIM('Open answers'!$B$5&amp;"")="","",IFERROR(TRIM(INDEX($A382:$Z382,MATCH('Open answers'!$B$5,$A$1:$Z$1,0))&amp;""),""))</f>
        <v/>
      </c>
      <c r="AI382" s="41">
        <f>IF(LEN(AH382)&gt;0,MAX($AI$1:AI381)+1,"")</f>
        <v/>
      </c>
    </row>
    <row r="383">
      <c r="AA383" s="40" t="n"/>
      <c r="AB383" s="41">
        <f>IF(TRIM('Counts'!$B$8&amp;"")="","",IFERROR(TRIM(INDEX($A383:$Z383,MATCH('Counts'!$B$8,$A$1:$Z$1,0))&amp;""),""))</f>
        <v/>
      </c>
      <c r="AC383" s="41">
        <f>IF(TRIM('Counts'!$B$26&amp;"")="","",IFERROR(TRIM(INDEX($A383:$Z383,MATCH('Counts'!$B$26,$A$1:$Z$1,0))&amp;""),""))</f>
        <v/>
      </c>
      <c r="AD383" s="41">
        <f>IF(TRIM('Counts'!$B$44&amp;"")="","",IFERROR(TRIM(INDEX($A383:$Z383,MATCH('Counts'!$B$44,$A$1:$Z$1,0))&amp;""),""))</f>
        <v/>
      </c>
      <c r="AE383" s="41">
        <f>IF(TRIM('Cross-tab'!$B$5&amp;"")="","",IFERROR(TRIM(INDEX($A383:$Z383,MATCH('Cross-tab'!$B$5,$A$1:$Z$1,0))&amp;""),""))</f>
        <v/>
      </c>
      <c r="AF383" s="41">
        <f>IF(TRIM('Cross-tab'!$B$7&amp;"")="","",IFERROR(TRIM(INDEX($A383:$Z383,MATCH('Cross-tab'!$B$7,$A$1:$Z$1,0))&amp;""),""))</f>
        <v/>
      </c>
      <c r="AG383" s="41">
        <f>IF(ISNUMBER(IFERROR(VALUE(IF(TRIM('Scale score'!$B$5&amp;"")="","",IFERROR(TRIM(INDEX($A383:$Z383,MATCH('Scale score'!$B$5,$A$1:$Z$1,0))&amp;""),""))),"")),IF(AND(IFERROR(VALUE(IF(TRIM('Scale score'!$B$5&amp;"")="","",IFERROR(TRIM(INDEX($A383:$Z383,MATCH('Scale score'!$B$5,$A$1:$Z$1,0))&amp;""),""))),"")&gt;='Scale score'!$B$6,IFERROR(VALUE(IF(TRIM('Scale score'!$B$5&amp;"")="","",IFERROR(TRIM(INDEX($A383:$Z383,MATCH('Scale score'!$B$5,$A$1:$Z$1,0))&amp;""),""))),"")&lt;='Scale score'!$B$7),IFERROR(VALUE(IF(TRIM('Scale score'!$B$5&amp;"")="","",IFERROR(TRIM(INDEX($A383:$Z383,MATCH('Scale score'!$B$5,$A$1:$Z$1,0))&amp;""),""))),""),""),"")</f>
        <v/>
      </c>
      <c r="AH383" s="41">
        <f>IF(TRIM('Open answers'!$B$5&amp;"")="","",IFERROR(TRIM(INDEX($A383:$Z383,MATCH('Open answers'!$B$5,$A$1:$Z$1,0))&amp;""),""))</f>
        <v/>
      </c>
      <c r="AI383" s="41">
        <f>IF(LEN(AH383)&gt;0,MAX($AI$1:AI382)+1,"")</f>
        <v/>
      </c>
    </row>
    <row r="384">
      <c r="AA384" s="40" t="n"/>
      <c r="AB384" s="41">
        <f>IF(TRIM('Counts'!$B$8&amp;"")="","",IFERROR(TRIM(INDEX($A384:$Z384,MATCH('Counts'!$B$8,$A$1:$Z$1,0))&amp;""),""))</f>
        <v/>
      </c>
      <c r="AC384" s="41">
        <f>IF(TRIM('Counts'!$B$26&amp;"")="","",IFERROR(TRIM(INDEX($A384:$Z384,MATCH('Counts'!$B$26,$A$1:$Z$1,0))&amp;""),""))</f>
        <v/>
      </c>
      <c r="AD384" s="41">
        <f>IF(TRIM('Counts'!$B$44&amp;"")="","",IFERROR(TRIM(INDEX($A384:$Z384,MATCH('Counts'!$B$44,$A$1:$Z$1,0))&amp;""),""))</f>
        <v/>
      </c>
      <c r="AE384" s="41">
        <f>IF(TRIM('Cross-tab'!$B$5&amp;"")="","",IFERROR(TRIM(INDEX($A384:$Z384,MATCH('Cross-tab'!$B$5,$A$1:$Z$1,0))&amp;""),""))</f>
        <v/>
      </c>
      <c r="AF384" s="41">
        <f>IF(TRIM('Cross-tab'!$B$7&amp;"")="","",IFERROR(TRIM(INDEX($A384:$Z384,MATCH('Cross-tab'!$B$7,$A$1:$Z$1,0))&amp;""),""))</f>
        <v/>
      </c>
      <c r="AG384" s="41">
        <f>IF(ISNUMBER(IFERROR(VALUE(IF(TRIM('Scale score'!$B$5&amp;"")="","",IFERROR(TRIM(INDEX($A384:$Z384,MATCH('Scale score'!$B$5,$A$1:$Z$1,0))&amp;""),""))),"")),IF(AND(IFERROR(VALUE(IF(TRIM('Scale score'!$B$5&amp;"")="","",IFERROR(TRIM(INDEX($A384:$Z384,MATCH('Scale score'!$B$5,$A$1:$Z$1,0))&amp;""),""))),"")&gt;='Scale score'!$B$6,IFERROR(VALUE(IF(TRIM('Scale score'!$B$5&amp;"")="","",IFERROR(TRIM(INDEX($A384:$Z384,MATCH('Scale score'!$B$5,$A$1:$Z$1,0))&amp;""),""))),"")&lt;='Scale score'!$B$7),IFERROR(VALUE(IF(TRIM('Scale score'!$B$5&amp;"")="","",IFERROR(TRIM(INDEX($A384:$Z384,MATCH('Scale score'!$B$5,$A$1:$Z$1,0))&amp;""),""))),""),""),"")</f>
        <v/>
      </c>
      <c r="AH384" s="41">
        <f>IF(TRIM('Open answers'!$B$5&amp;"")="","",IFERROR(TRIM(INDEX($A384:$Z384,MATCH('Open answers'!$B$5,$A$1:$Z$1,0))&amp;""),""))</f>
        <v/>
      </c>
      <c r="AI384" s="41">
        <f>IF(LEN(AH384)&gt;0,MAX($AI$1:AI383)+1,"")</f>
        <v/>
      </c>
    </row>
    <row r="385">
      <c r="AA385" s="40" t="n"/>
      <c r="AB385" s="41">
        <f>IF(TRIM('Counts'!$B$8&amp;"")="","",IFERROR(TRIM(INDEX($A385:$Z385,MATCH('Counts'!$B$8,$A$1:$Z$1,0))&amp;""),""))</f>
        <v/>
      </c>
      <c r="AC385" s="41">
        <f>IF(TRIM('Counts'!$B$26&amp;"")="","",IFERROR(TRIM(INDEX($A385:$Z385,MATCH('Counts'!$B$26,$A$1:$Z$1,0))&amp;""),""))</f>
        <v/>
      </c>
      <c r="AD385" s="41">
        <f>IF(TRIM('Counts'!$B$44&amp;"")="","",IFERROR(TRIM(INDEX($A385:$Z385,MATCH('Counts'!$B$44,$A$1:$Z$1,0))&amp;""),""))</f>
        <v/>
      </c>
      <c r="AE385" s="41">
        <f>IF(TRIM('Cross-tab'!$B$5&amp;"")="","",IFERROR(TRIM(INDEX($A385:$Z385,MATCH('Cross-tab'!$B$5,$A$1:$Z$1,0))&amp;""),""))</f>
        <v/>
      </c>
      <c r="AF385" s="41">
        <f>IF(TRIM('Cross-tab'!$B$7&amp;"")="","",IFERROR(TRIM(INDEX($A385:$Z385,MATCH('Cross-tab'!$B$7,$A$1:$Z$1,0))&amp;""),""))</f>
        <v/>
      </c>
      <c r="AG385" s="41">
        <f>IF(ISNUMBER(IFERROR(VALUE(IF(TRIM('Scale score'!$B$5&amp;"")="","",IFERROR(TRIM(INDEX($A385:$Z385,MATCH('Scale score'!$B$5,$A$1:$Z$1,0))&amp;""),""))),"")),IF(AND(IFERROR(VALUE(IF(TRIM('Scale score'!$B$5&amp;"")="","",IFERROR(TRIM(INDEX($A385:$Z385,MATCH('Scale score'!$B$5,$A$1:$Z$1,0))&amp;""),""))),"")&gt;='Scale score'!$B$6,IFERROR(VALUE(IF(TRIM('Scale score'!$B$5&amp;"")="","",IFERROR(TRIM(INDEX($A385:$Z385,MATCH('Scale score'!$B$5,$A$1:$Z$1,0))&amp;""),""))),"")&lt;='Scale score'!$B$7),IFERROR(VALUE(IF(TRIM('Scale score'!$B$5&amp;"")="","",IFERROR(TRIM(INDEX($A385:$Z385,MATCH('Scale score'!$B$5,$A$1:$Z$1,0))&amp;""),""))),""),""),"")</f>
        <v/>
      </c>
      <c r="AH385" s="41">
        <f>IF(TRIM('Open answers'!$B$5&amp;"")="","",IFERROR(TRIM(INDEX($A385:$Z385,MATCH('Open answers'!$B$5,$A$1:$Z$1,0))&amp;""),""))</f>
        <v/>
      </c>
      <c r="AI385" s="41">
        <f>IF(LEN(AH385)&gt;0,MAX($AI$1:AI384)+1,"")</f>
        <v/>
      </c>
    </row>
    <row r="386">
      <c r="AA386" s="40" t="n"/>
      <c r="AB386" s="41">
        <f>IF(TRIM('Counts'!$B$8&amp;"")="","",IFERROR(TRIM(INDEX($A386:$Z386,MATCH('Counts'!$B$8,$A$1:$Z$1,0))&amp;""),""))</f>
        <v/>
      </c>
      <c r="AC386" s="41">
        <f>IF(TRIM('Counts'!$B$26&amp;"")="","",IFERROR(TRIM(INDEX($A386:$Z386,MATCH('Counts'!$B$26,$A$1:$Z$1,0))&amp;""),""))</f>
        <v/>
      </c>
      <c r="AD386" s="41">
        <f>IF(TRIM('Counts'!$B$44&amp;"")="","",IFERROR(TRIM(INDEX($A386:$Z386,MATCH('Counts'!$B$44,$A$1:$Z$1,0))&amp;""),""))</f>
        <v/>
      </c>
      <c r="AE386" s="41">
        <f>IF(TRIM('Cross-tab'!$B$5&amp;"")="","",IFERROR(TRIM(INDEX($A386:$Z386,MATCH('Cross-tab'!$B$5,$A$1:$Z$1,0))&amp;""),""))</f>
        <v/>
      </c>
      <c r="AF386" s="41">
        <f>IF(TRIM('Cross-tab'!$B$7&amp;"")="","",IFERROR(TRIM(INDEX($A386:$Z386,MATCH('Cross-tab'!$B$7,$A$1:$Z$1,0))&amp;""),""))</f>
        <v/>
      </c>
      <c r="AG386" s="41">
        <f>IF(ISNUMBER(IFERROR(VALUE(IF(TRIM('Scale score'!$B$5&amp;"")="","",IFERROR(TRIM(INDEX($A386:$Z386,MATCH('Scale score'!$B$5,$A$1:$Z$1,0))&amp;""),""))),"")),IF(AND(IFERROR(VALUE(IF(TRIM('Scale score'!$B$5&amp;"")="","",IFERROR(TRIM(INDEX($A386:$Z386,MATCH('Scale score'!$B$5,$A$1:$Z$1,0))&amp;""),""))),"")&gt;='Scale score'!$B$6,IFERROR(VALUE(IF(TRIM('Scale score'!$B$5&amp;"")="","",IFERROR(TRIM(INDEX($A386:$Z386,MATCH('Scale score'!$B$5,$A$1:$Z$1,0))&amp;""),""))),"")&lt;='Scale score'!$B$7),IFERROR(VALUE(IF(TRIM('Scale score'!$B$5&amp;"")="","",IFERROR(TRIM(INDEX($A386:$Z386,MATCH('Scale score'!$B$5,$A$1:$Z$1,0))&amp;""),""))),""),""),"")</f>
        <v/>
      </c>
      <c r="AH386" s="41">
        <f>IF(TRIM('Open answers'!$B$5&amp;"")="","",IFERROR(TRIM(INDEX($A386:$Z386,MATCH('Open answers'!$B$5,$A$1:$Z$1,0))&amp;""),""))</f>
        <v/>
      </c>
      <c r="AI386" s="41">
        <f>IF(LEN(AH386)&gt;0,MAX($AI$1:AI385)+1,"")</f>
        <v/>
      </c>
    </row>
    <row r="387">
      <c r="AA387" s="40" t="n"/>
      <c r="AB387" s="41">
        <f>IF(TRIM('Counts'!$B$8&amp;"")="","",IFERROR(TRIM(INDEX($A387:$Z387,MATCH('Counts'!$B$8,$A$1:$Z$1,0))&amp;""),""))</f>
        <v/>
      </c>
      <c r="AC387" s="41">
        <f>IF(TRIM('Counts'!$B$26&amp;"")="","",IFERROR(TRIM(INDEX($A387:$Z387,MATCH('Counts'!$B$26,$A$1:$Z$1,0))&amp;""),""))</f>
        <v/>
      </c>
      <c r="AD387" s="41">
        <f>IF(TRIM('Counts'!$B$44&amp;"")="","",IFERROR(TRIM(INDEX($A387:$Z387,MATCH('Counts'!$B$44,$A$1:$Z$1,0))&amp;""),""))</f>
        <v/>
      </c>
      <c r="AE387" s="41">
        <f>IF(TRIM('Cross-tab'!$B$5&amp;"")="","",IFERROR(TRIM(INDEX($A387:$Z387,MATCH('Cross-tab'!$B$5,$A$1:$Z$1,0))&amp;""),""))</f>
        <v/>
      </c>
      <c r="AF387" s="41">
        <f>IF(TRIM('Cross-tab'!$B$7&amp;"")="","",IFERROR(TRIM(INDEX($A387:$Z387,MATCH('Cross-tab'!$B$7,$A$1:$Z$1,0))&amp;""),""))</f>
        <v/>
      </c>
      <c r="AG387" s="41">
        <f>IF(ISNUMBER(IFERROR(VALUE(IF(TRIM('Scale score'!$B$5&amp;"")="","",IFERROR(TRIM(INDEX($A387:$Z387,MATCH('Scale score'!$B$5,$A$1:$Z$1,0))&amp;""),""))),"")),IF(AND(IFERROR(VALUE(IF(TRIM('Scale score'!$B$5&amp;"")="","",IFERROR(TRIM(INDEX($A387:$Z387,MATCH('Scale score'!$B$5,$A$1:$Z$1,0))&amp;""),""))),"")&gt;='Scale score'!$B$6,IFERROR(VALUE(IF(TRIM('Scale score'!$B$5&amp;"")="","",IFERROR(TRIM(INDEX($A387:$Z387,MATCH('Scale score'!$B$5,$A$1:$Z$1,0))&amp;""),""))),"")&lt;='Scale score'!$B$7),IFERROR(VALUE(IF(TRIM('Scale score'!$B$5&amp;"")="","",IFERROR(TRIM(INDEX($A387:$Z387,MATCH('Scale score'!$B$5,$A$1:$Z$1,0))&amp;""),""))),""),""),"")</f>
        <v/>
      </c>
      <c r="AH387" s="41">
        <f>IF(TRIM('Open answers'!$B$5&amp;"")="","",IFERROR(TRIM(INDEX($A387:$Z387,MATCH('Open answers'!$B$5,$A$1:$Z$1,0))&amp;""),""))</f>
        <v/>
      </c>
      <c r="AI387" s="41">
        <f>IF(LEN(AH387)&gt;0,MAX($AI$1:AI386)+1,"")</f>
        <v/>
      </c>
    </row>
    <row r="388">
      <c r="AA388" s="40" t="n"/>
      <c r="AB388" s="41">
        <f>IF(TRIM('Counts'!$B$8&amp;"")="","",IFERROR(TRIM(INDEX($A388:$Z388,MATCH('Counts'!$B$8,$A$1:$Z$1,0))&amp;""),""))</f>
        <v/>
      </c>
      <c r="AC388" s="41">
        <f>IF(TRIM('Counts'!$B$26&amp;"")="","",IFERROR(TRIM(INDEX($A388:$Z388,MATCH('Counts'!$B$26,$A$1:$Z$1,0))&amp;""),""))</f>
        <v/>
      </c>
      <c r="AD388" s="41">
        <f>IF(TRIM('Counts'!$B$44&amp;"")="","",IFERROR(TRIM(INDEX($A388:$Z388,MATCH('Counts'!$B$44,$A$1:$Z$1,0))&amp;""),""))</f>
        <v/>
      </c>
      <c r="AE388" s="41">
        <f>IF(TRIM('Cross-tab'!$B$5&amp;"")="","",IFERROR(TRIM(INDEX($A388:$Z388,MATCH('Cross-tab'!$B$5,$A$1:$Z$1,0))&amp;""),""))</f>
        <v/>
      </c>
      <c r="AF388" s="41">
        <f>IF(TRIM('Cross-tab'!$B$7&amp;"")="","",IFERROR(TRIM(INDEX($A388:$Z388,MATCH('Cross-tab'!$B$7,$A$1:$Z$1,0))&amp;""),""))</f>
        <v/>
      </c>
      <c r="AG388" s="41">
        <f>IF(ISNUMBER(IFERROR(VALUE(IF(TRIM('Scale score'!$B$5&amp;"")="","",IFERROR(TRIM(INDEX($A388:$Z388,MATCH('Scale score'!$B$5,$A$1:$Z$1,0))&amp;""),""))),"")),IF(AND(IFERROR(VALUE(IF(TRIM('Scale score'!$B$5&amp;"")="","",IFERROR(TRIM(INDEX($A388:$Z388,MATCH('Scale score'!$B$5,$A$1:$Z$1,0))&amp;""),""))),"")&gt;='Scale score'!$B$6,IFERROR(VALUE(IF(TRIM('Scale score'!$B$5&amp;"")="","",IFERROR(TRIM(INDEX($A388:$Z388,MATCH('Scale score'!$B$5,$A$1:$Z$1,0))&amp;""),""))),"")&lt;='Scale score'!$B$7),IFERROR(VALUE(IF(TRIM('Scale score'!$B$5&amp;"")="","",IFERROR(TRIM(INDEX($A388:$Z388,MATCH('Scale score'!$B$5,$A$1:$Z$1,0))&amp;""),""))),""),""),"")</f>
        <v/>
      </c>
      <c r="AH388" s="41">
        <f>IF(TRIM('Open answers'!$B$5&amp;"")="","",IFERROR(TRIM(INDEX($A388:$Z388,MATCH('Open answers'!$B$5,$A$1:$Z$1,0))&amp;""),""))</f>
        <v/>
      </c>
      <c r="AI388" s="41">
        <f>IF(LEN(AH388)&gt;0,MAX($AI$1:AI387)+1,"")</f>
        <v/>
      </c>
    </row>
    <row r="389">
      <c r="AA389" s="40" t="n"/>
      <c r="AB389" s="41">
        <f>IF(TRIM('Counts'!$B$8&amp;"")="","",IFERROR(TRIM(INDEX($A389:$Z389,MATCH('Counts'!$B$8,$A$1:$Z$1,0))&amp;""),""))</f>
        <v/>
      </c>
      <c r="AC389" s="41">
        <f>IF(TRIM('Counts'!$B$26&amp;"")="","",IFERROR(TRIM(INDEX($A389:$Z389,MATCH('Counts'!$B$26,$A$1:$Z$1,0))&amp;""),""))</f>
        <v/>
      </c>
      <c r="AD389" s="41">
        <f>IF(TRIM('Counts'!$B$44&amp;"")="","",IFERROR(TRIM(INDEX($A389:$Z389,MATCH('Counts'!$B$44,$A$1:$Z$1,0))&amp;""),""))</f>
        <v/>
      </c>
      <c r="AE389" s="41">
        <f>IF(TRIM('Cross-tab'!$B$5&amp;"")="","",IFERROR(TRIM(INDEX($A389:$Z389,MATCH('Cross-tab'!$B$5,$A$1:$Z$1,0))&amp;""),""))</f>
        <v/>
      </c>
      <c r="AF389" s="41">
        <f>IF(TRIM('Cross-tab'!$B$7&amp;"")="","",IFERROR(TRIM(INDEX($A389:$Z389,MATCH('Cross-tab'!$B$7,$A$1:$Z$1,0))&amp;""),""))</f>
        <v/>
      </c>
      <c r="AG389" s="41">
        <f>IF(ISNUMBER(IFERROR(VALUE(IF(TRIM('Scale score'!$B$5&amp;"")="","",IFERROR(TRIM(INDEX($A389:$Z389,MATCH('Scale score'!$B$5,$A$1:$Z$1,0))&amp;""),""))),"")),IF(AND(IFERROR(VALUE(IF(TRIM('Scale score'!$B$5&amp;"")="","",IFERROR(TRIM(INDEX($A389:$Z389,MATCH('Scale score'!$B$5,$A$1:$Z$1,0))&amp;""),""))),"")&gt;='Scale score'!$B$6,IFERROR(VALUE(IF(TRIM('Scale score'!$B$5&amp;"")="","",IFERROR(TRIM(INDEX($A389:$Z389,MATCH('Scale score'!$B$5,$A$1:$Z$1,0))&amp;""),""))),"")&lt;='Scale score'!$B$7),IFERROR(VALUE(IF(TRIM('Scale score'!$B$5&amp;"")="","",IFERROR(TRIM(INDEX($A389:$Z389,MATCH('Scale score'!$B$5,$A$1:$Z$1,0))&amp;""),""))),""),""),"")</f>
        <v/>
      </c>
      <c r="AH389" s="41">
        <f>IF(TRIM('Open answers'!$B$5&amp;"")="","",IFERROR(TRIM(INDEX($A389:$Z389,MATCH('Open answers'!$B$5,$A$1:$Z$1,0))&amp;""),""))</f>
        <v/>
      </c>
      <c r="AI389" s="41">
        <f>IF(LEN(AH389)&gt;0,MAX($AI$1:AI388)+1,"")</f>
        <v/>
      </c>
    </row>
    <row r="390">
      <c r="AA390" s="40" t="n"/>
      <c r="AB390" s="41">
        <f>IF(TRIM('Counts'!$B$8&amp;"")="","",IFERROR(TRIM(INDEX($A390:$Z390,MATCH('Counts'!$B$8,$A$1:$Z$1,0))&amp;""),""))</f>
        <v/>
      </c>
      <c r="AC390" s="41">
        <f>IF(TRIM('Counts'!$B$26&amp;"")="","",IFERROR(TRIM(INDEX($A390:$Z390,MATCH('Counts'!$B$26,$A$1:$Z$1,0))&amp;""),""))</f>
        <v/>
      </c>
      <c r="AD390" s="41">
        <f>IF(TRIM('Counts'!$B$44&amp;"")="","",IFERROR(TRIM(INDEX($A390:$Z390,MATCH('Counts'!$B$44,$A$1:$Z$1,0))&amp;""),""))</f>
        <v/>
      </c>
      <c r="AE390" s="41">
        <f>IF(TRIM('Cross-tab'!$B$5&amp;"")="","",IFERROR(TRIM(INDEX($A390:$Z390,MATCH('Cross-tab'!$B$5,$A$1:$Z$1,0))&amp;""),""))</f>
        <v/>
      </c>
      <c r="AF390" s="41">
        <f>IF(TRIM('Cross-tab'!$B$7&amp;"")="","",IFERROR(TRIM(INDEX($A390:$Z390,MATCH('Cross-tab'!$B$7,$A$1:$Z$1,0))&amp;""),""))</f>
        <v/>
      </c>
      <c r="AG390" s="41">
        <f>IF(ISNUMBER(IFERROR(VALUE(IF(TRIM('Scale score'!$B$5&amp;"")="","",IFERROR(TRIM(INDEX($A390:$Z390,MATCH('Scale score'!$B$5,$A$1:$Z$1,0))&amp;""),""))),"")),IF(AND(IFERROR(VALUE(IF(TRIM('Scale score'!$B$5&amp;"")="","",IFERROR(TRIM(INDEX($A390:$Z390,MATCH('Scale score'!$B$5,$A$1:$Z$1,0))&amp;""),""))),"")&gt;='Scale score'!$B$6,IFERROR(VALUE(IF(TRIM('Scale score'!$B$5&amp;"")="","",IFERROR(TRIM(INDEX($A390:$Z390,MATCH('Scale score'!$B$5,$A$1:$Z$1,0))&amp;""),""))),"")&lt;='Scale score'!$B$7),IFERROR(VALUE(IF(TRIM('Scale score'!$B$5&amp;"")="","",IFERROR(TRIM(INDEX($A390:$Z390,MATCH('Scale score'!$B$5,$A$1:$Z$1,0))&amp;""),""))),""),""),"")</f>
        <v/>
      </c>
      <c r="AH390" s="41">
        <f>IF(TRIM('Open answers'!$B$5&amp;"")="","",IFERROR(TRIM(INDEX($A390:$Z390,MATCH('Open answers'!$B$5,$A$1:$Z$1,0))&amp;""),""))</f>
        <v/>
      </c>
      <c r="AI390" s="41">
        <f>IF(LEN(AH390)&gt;0,MAX($AI$1:AI389)+1,"")</f>
        <v/>
      </c>
    </row>
    <row r="391">
      <c r="AA391" s="40" t="n"/>
      <c r="AB391" s="41">
        <f>IF(TRIM('Counts'!$B$8&amp;"")="","",IFERROR(TRIM(INDEX($A391:$Z391,MATCH('Counts'!$B$8,$A$1:$Z$1,0))&amp;""),""))</f>
        <v/>
      </c>
      <c r="AC391" s="41">
        <f>IF(TRIM('Counts'!$B$26&amp;"")="","",IFERROR(TRIM(INDEX($A391:$Z391,MATCH('Counts'!$B$26,$A$1:$Z$1,0))&amp;""),""))</f>
        <v/>
      </c>
      <c r="AD391" s="41">
        <f>IF(TRIM('Counts'!$B$44&amp;"")="","",IFERROR(TRIM(INDEX($A391:$Z391,MATCH('Counts'!$B$44,$A$1:$Z$1,0))&amp;""),""))</f>
        <v/>
      </c>
      <c r="AE391" s="41">
        <f>IF(TRIM('Cross-tab'!$B$5&amp;"")="","",IFERROR(TRIM(INDEX($A391:$Z391,MATCH('Cross-tab'!$B$5,$A$1:$Z$1,0))&amp;""),""))</f>
        <v/>
      </c>
      <c r="AF391" s="41">
        <f>IF(TRIM('Cross-tab'!$B$7&amp;"")="","",IFERROR(TRIM(INDEX($A391:$Z391,MATCH('Cross-tab'!$B$7,$A$1:$Z$1,0))&amp;""),""))</f>
        <v/>
      </c>
      <c r="AG391" s="41">
        <f>IF(ISNUMBER(IFERROR(VALUE(IF(TRIM('Scale score'!$B$5&amp;"")="","",IFERROR(TRIM(INDEX($A391:$Z391,MATCH('Scale score'!$B$5,$A$1:$Z$1,0))&amp;""),""))),"")),IF(AND(IFERROR(VALUE(IF(TRIM('Scale score'!$B$5&amp;"")="","",IFERROR(TRIM(INDEX($A391:$Z391,MATCH('Scale score'!$B$5,$A$1:$Z$1,0))&amp;""),""))),"")&gt;='Scale score'!$B$6,IFERROR(VALUE(IF(TRIM('Scale score'!$B$5&amp;"")="","",IFERROR(TRIM(INDEX($A391:$Z391,MATCH('Scale score'!$B$5,$A$1:$Z$1,0))&amp;""),""))),"")&lt;='Scale score'!$B$7),IFERROR(VALUE(IF(TRIM('Scale score'!$B$5&amp;"")="","",IFERROR(TRIM(INDEX($A391:$Z391,MATCH('Scale score'!$B$5,$A$1:$Z$1,0))&amp;""),""))),""),""),"")</f>
        <v/>
      </c>
      <c r="AH391" s="41">
        <f>IF(TRIM('Open answers'!$B$5&amp;"")="","",IFERROR(TRIM(INDEX($A391:$Z391,MATCH('Open answers'!$B$5,$A$1:$Z$1,0))&amp;""),""))</f>
        <v/>
      </c>
      <c r="AI391" s="41">
        <f>IF(LEN(AH391)&gt;0,MAX($AI$1:AI390)+1,"")</f>
        <v/>
      </c>
    </row>
    <row r="392">
      <c r="AA392" s="40" t="n"/>
      <c r="AB392" s="41">
        <f>IF(TRIM('Counts'!$B$8&amp;"")="","",IFERROR(TRIM(INDEX($A392:$Z392,MATCH('Counts'!$B$8,$A$1:$Z$1,0))&amp;""),""))</f>
        <v/>
      </c>
      <c r="AC392" s="41">
        <f>IF(TRIM('Counts'!$B$26&amp;"")="","",IFERROR(TRIM(INDEX($A392:$Z392,MATCH('Counts'!$B$26,$A$1:$Z$1,0))&amp;""),""))</f>
        <v/>
      </c>
      <c r="AD392" s="41">
        <f>IF(TRIM('Counts'!$B$44&amp;"")="","",IFERROR(TRIM(INDEX($A392:$Z392,MATCH('Counts'!$B$44,$A$1:$Z$1,0))&amp;""),""))</f>
        <v/>
      </c>
      <c r="AE392" s="41">
        <f>IF(TRIM('Cross-tab'!$B$5&amp;"")="","",IFERROR(TRIM(INDEX($A392:$Z392,MATCH('Cross-tab'!$B$5,$A$1:$Z$1,0))&amp;""),""))</f>
        <v/>
      </c>
      <c r="AF392" s="41">
        <f>IF(TRIM('Cross-tab'!$B$7&amp;"")="","",IFERROR(TRIM(INDEX($A392:$Z392,MATCH('Cross-tab'!$B$7,$A$1:$Z$1,0))&amp;""),""))</f>
        <v/>
      </c>
      <c r="AG392" s="41">
        <f>IF(ISNUMBER(IFERROR(VALUE(IF(TRIM('Scale score'!$B$5&amp;"")="","",IFERROR(TRIM(INDEX($A392:$Z392,MATCH('Scale score'!$B$5,$A$1:$Z$1,0))&amp;""),""))),"")),IF(AND(IFERROR(VALUE(IF(TRIM('Scale score'!$B$5&amp;"")="","",IFERROR(TRIM(INDEX($A392:$Z392,MATCH('Scale score'!$B$5,$A$1:$Z$1,0))&amp;""),""))),"")&gt;='Scale score'!$B$6,IFERROR(VALUE(IF(TRIM('Scale score'!$B$5&amp;"")="","",IFERROR(TRIM(INDEX($A392:$Z392,MATCH('Scale score'!$B$5,$A$1:$Z$1,0))&amp;""),""))),"")&lt;='Scale score'!$B$7),IFERROR(VALUE(IF(TRIM('Scale score'!$B$5&amp;"")="","",IFERROR(TRIM(INDEX($A392:$Z392,MATCH('Scale score'!$B$5,$A$1:$Z$1,0))&amp;""),""))),""),""),"")</f>
        <v/>
      </c>
      <c r="AH392" s="41">
        <f>IF(TRIM('Open answers'!$B$5&amp;"")="","",IFERROR(TRIM(INDEX($A392:$Z392,MATCH('Open answers'!$B$5,$A$1:$Z$1,0))&amp;""),""))</f>
        <v/>
      </c>
      <c r="AI392" s="41">
        <f>IF(LEN(AH392)&gt;0,MAX($AI$1:AI391)+1,"")</f>
        <v/>
      </c>
    </row>
    <row r="393">
      <c r="AA393" s="40" t="n"/>
      <c r="AB393" s="41">
        <f>IF(TRIM('Counts'!$B$8&amp;"")="","",IFERROR(TRIM(INDEX($A393:$Z393,MATCH('Counts'!$B$8,$A$1:$Z$1,0))&amp;""),""))</f>
        <v/>
      </c>
      <c r="AC393" s="41">
        <f>IF(TRIM('Counts'!$B$26&amp;"")="","",IFERROR(TRIM(INDEX($A393:$Z393,MATCH('Counts'!$B$26,$A$1:$Z$1,0))&amp;""),""))</f>
        <v/>
      </c>
      <c r="AD393" s="41">
        <f>IF(TRIM('Counts'!$B$44&amp;"")="","",IFERROR(TRIM(INDEX($A393:$Z393,MATCH('Counts'!$B$44,$A$1:$Z$1,0))&amp;""),""))</f>
        <v/>
      </c>
      <c r="AE393" s="41">
        <f>IF(TRIM('Cross-tab'!$B$5&amp;"")="","",IFERROR(TRIM(INDEX($A393:$Z393,MATCH('Cross-tab'!$B$5,$A$1:$Z$1,0))&amp;""),""))</f>
        <v/>
      </c>
      <c r="AF393" s="41">
        <f>IF(TRIM('Cross-tab'!$B$7&amp;"")="","",IFERROR(TRIM(INDEX($A393:$Z393,MATCH('Cross-tab'!$B$7,$A$1:$Z$1,0))&amp;""),""))</f>
        <v/>
      </c>
      <c r="AG393" s="41">
        <f>IF(ISNUMBER(IFERROR(VALUE(IF(TRIM('Scale score'!$B$5&amp;"")="","",IFERROR(TRIM(INDEX($A393:$Z393,MATCH('Scale score'!$B$5,$A$1:$Z$1,0))&amp;""),""))),"")),IF(AND(IFERROR(VALUE(IF(TRIM('Scale score'!$B$5&amp;"")="","",IFERROR(TRIM(INDEX($A393:$Z393,MATCH('Scale score'!$B$5,$A$1:$Z$1,0))&amp;""),""))),"")&gt;='Scale score'!$B$6,IFERROR(VALUE(IF(TRIM('Scale score'!$B$5&amp;"")="","",IFERROR(TRIM(INDEX($A393:$Z393,MATCH('Scale score'!$B$5,$A$1:$Z$1,0))&amp;""),""))),"")&lt;='Scale score'!$B$7),IFERROR(VALUE(IF(TRIM('Scale score'!$B$5&amp;"")="","",IFERROR(TRIM(INDEX($A393:$Z393,MATCH('Scale score'!$B$5,$A$1:$Z$1,0))&amp;""),""))),""),""),"")</f>
        <v/>
      </c>
      <c r="AH393" s="41">
        <f>IF(TRIM('Open answers'!$B$5&amp;"")="","",IFERROR(TRIM(INDEX($A393:$Z393,MATCH('Open answers'!$B$5,$A$1:$Z$1,0))&amp;""),""))</f>
        <v/>
      </c>
      <c r="AI393" s="41">
        <f>IF(LEN(AH393)&gt;0,MAX($AI$1:AI392)+1,"")</f>
        <v/>
      </c>
    </row>
    <row r="394">
      <c r="AA394" s="40" t="n"/>
      <c r="AB394" s="41">
        <f>IF(TRIM('Counts'!$B$8&amp;"")="","",IFERROR(TRIM(INDEX($A394:$Z394,MATCH('Counts'!$B$8,$A$1:$Z$1,0))&amp;""),""))</f>
        <v/>
      </c>
      <c r="AC394" s="41">
        <f>IF(TRIM('Counts'!$B$26&amp;"")="","",IFERROR(TRIM(INDEX($A394:$Z394,MATCH('Counts'!$B$26,$A$1:$Z$1,0))&amp;""),""))</f>
        <v/>
      </c>
      <c r="AD394" s="41">
        <f>IF(TRIM('Counts'!$B$44&amp;"")="","",IFERROR(TRIM(INDEX($A394:$Z394,MATCH('Counts'!$B$44,$A$1:$Z$1,0))&amp;""),""))</f>
        <v/>
      </c>
      <c r="AE394" s="41">
        <f>IF(TRIM('Cross-tab'!$B$5&amp;"")="","",IFERROR(TRIM(INDEX($A394:$Z394,MATCH('Cross-tab'!$B$5,$A$1:$Z$1,0))&amp;""),""))</f>
        <v/>
      </c>
      <c r="AF394" s="41">
        <f>IF(TRIM('Cross-tab'!$B$7&amp;"")="","",IFERROR(TRIM(INDEX($A394:$Z394,MATCH('Cross-tab'!$B$7,$A$1:$Z$1,0))&amp;""),""))</f>
        <v/>
      </c>
      <c r="AG394" s="41">
        <f>IF(ISNUMBER(IFERROR(VALUE(IF(TRIM('Scale score'!$B$5&amp;"")="","",IFERROR(TRIM(INDEX($A394:$Z394,MATCH('Scale score'!$B$5,$A$1:$Z$1,0))&amp;""),""))),"")),IF(AND(IFERROR(VALUE(IF(TRIM('Scale score'!$B$5&amp;"")="","",IFERROR(TRIM(INDEX($A394:$Z394,MATCH('Scale score'!$B$5,$A$1:$Z$1,0))&amp;""),""))),"")&gt;='Scale score'!$B$6,IFERROR(VALUE(IF(TRIM('Scale score'!$B$5&amp;"")="","",IFERROR(TRIM(INDEX($A394:$Z394,MATCH('Scale score'!$B$5,$A$1:$Z$1,0))&amp;""),""))),"")&lt;='Scale score'!$B$7),IFERROR(VALUE(IF(TRIM('Scale score'!$B$5&amp;"")="","",IFERROR(TRIM(INDEX($A394:$Z394,MATCH('Scale score'!$B$5,$A$1:$Z$1,0))&amp;""),""))),""),""),"")</f>
        <v/>
      </c>
      <c r="AH394" s="41">
        <f>IF(TRIM('Open answers'!$B$5&amp;"")="","",IFERROR(TRIM(INDEX($A394:$Z394,MATCH('Open answers'!$B$5,$A$1:$Z$1,0))&amp;""),""))</f>
        <v/>
      </c>
      <c r="AI394" s="41">
        <f>IF(LEN(AH394)&gt;0,MAX($AI$1:AI393)+1,"")</f>
        <v/>
      </c>
    </row>
    <row r="395">
      <c r="AA395" s="40" t="n"/>
      <c r="AB395" s="41">
        <f>IF(TRIM('Counts'!$B$8&amp;"")="","",IFERROR(TRIM(INDEX($A395:$Z395,MATCH('Counts'!$B$8,$A$1:$Z$1,0))&amp;""),""))</f>
        <v/>
      </c>
      <c r="AC395" s="41">
        <f>IF(TRIM('Counts'!$B$26&amp;"")="","",IFERROR(TRIM(INDEX($A395:$Z395,MATCH('Counts'!$B$26,$A$1:$Z$1,0))&amp;""),""))</f>
        <v/>
      </c>
      <c r="AD395" s="41">
        <f>IF(TRIM('Counts'!$B$44&amp;"")="","",IFERROR(TRIM(INDEX($A395:$Z395,MATCH('Counts'!$B$44,$A$1:$Z$1,0))&amp;""),""))</f>
        <v/>
      </c>
      <c r="AE395" s="41">
        <f>IF(TRIM('Cross-tab'!$B$5&amp;"")="","",IFERROR(TRIM(INDEX($A395:$Z395,MATCH('Cross-tab'!$B$5,$A$1:$Z$1,0))&amp;""),""))</f>
        <v/>
      </c>
      <c r="AF395" s="41">
        <f>IF(TRIM('Cross-tab'!$B$7&amp;"")="","",IFERROR(TRIM(INDEX($A395:$Z395,MATCH('Cross-tab'!$B$7,$A$1:$Z$1,0))&amp;""),""))</f>
        <v/>
      </c>
      <c r="AG395" s="41">
        <f>IF(ISNUMBER(IFERROR(VALUE(IF(TRIM('Scale score'!$B$5&amp;"")="","",IFERROR(TRIM(INDEX($A395:$Z395,MATCH('Scale score'!$B$5,$A$1:$Z$1,0))&amp;""),""))),"")),IF(AND(IFERROR(VALUE(IF(TRIM('Scale score'!$B$5&amp;"")="","",IFERROR(TRIM(INDEX($A395:$Z395,MATCH('Scale score'!$B$5,$A$1:$Z$1,0))&amp;""),""))),"")&gt;='Scale score'!$B$6,IFERROR(VALUE(IF(TRIM('Scale score'!$B$5&amp;"")="","",IFERROR(TRIM(INDEX($A395:$Z395,MATCH('Scale score'!$B$5,$A$1:$Z$1,0))&amp;""),""))),"")&lt;='Scale score'!$B$7),IFERROR(VALUE(IF(TRIM('Scale score'!$B$5&amp;"")="","",IFERROR(TRIM(INDEX($A395:$Z395,MATCH('Scale score'!$B$5,$A$1:$Z$1,0))&amp;""),""))),""),""),"")</f>
        <v/>
      </c>
      <c r="AH395" s="41">
        <f>IF(TRIM('Open answers'!$B$5&amp;"")="","",IFERROR(TRIM(INDEX($A395:$Z395,MATCH('Open answers'!$B$5,$A$1:$Z$1,0))&amp;""),""))</f>
        <v/>
      </c>
      <c r="AI395" s="41">
        <f>IF(LEN(AH395)&gt;0,MAX($AI$1:AI394)+1,"")</f>
        <v/>
      </c>
    </row>
    <row r="396">
      <c r="AA396" s="40" t="n"/>
      <c r="AB396" s="41">
        <f>IF(TRIM('Counts'!$B$8&amp;"")="","",IFERROR(TRIM(INDEX($A396:$Z396,MATCH('Counts'!$B$8,$A$1:$Z$1,0))&amp;""),""))</f>
        <v/>
      </c>
      <c r="AC396" s="41">
        <f>IF(TRIM('Counts'!$B$26&amp;"")="","",IFERROR(TRIM(INDEX($A396:$Z396,MATCH('Counts'!$B$26,$A$1:$Z$1,0))&amp;""),""))</f>
        <v/>
      </c>
      <c r="AD396" s="41">
        <f>IF(TRIM('Counts'!$B$44&amp;"")="","",IFERROR(TRIM(INDEX($A396:$Z396,MATCH('Counts'!$B$44,$A$1:$Z$1,0))&amp;""),""))</f>
        <v/>
      </c>
      <c r="AE396" s="41">
        <f>IF(TRIM('Cross-tab'!$B$5&amp;"")="","",IFERROR(TRIM(INDEX($A396:$Z396,MATCH('Cross-tab'!$B$5,$A$1:$Z$1,0))&amp;""),""))</f>
        <v/>
      </c>
      <c r="AF396" s="41">
        <f>IF(TRIM('Cross-tab'!$B$7&amp;"")="","",IFERROR(TRIM(INDEX($A396:$Z396,MATCH('Cross-tab'!$B$7,$A$1:$Z$1,0))&amp;""),""))</f>
        <v/>
      </c>
      <c r="AG396" s="41">
        <f>IF(ISNUMBER(IFERROR(VALUE(IF(TRIM('Scale score'!$B$5&amp;"")="","",IFERROR(TRIM(INDEX($A396:$Z396,MATCH('Scale score'!$B$5,$A$1:$Z$1,0))&amp;""),""))),"")),IF(AND(IFERROR(VALUE(IF(TRIM('Scale score'!$B$5&amp;"")="","",IFERROR(TRIM(INDEX($A396:$Z396,MATCH('Scale score'!$B$5,$A$1:$Z$1,0))&amp;""),""))),"")&gt;='Scale score'!$B$6,IFERROR(VALUE(IF(TRIM('Scale score'!$B$5&amp;"")="","",IFERROR(TRIM(INDEX($A396:$Z396,MATCH('Scale score'!$B$5,$A$1:$Z$1,0))&amp;""),""))),"")&lt;='Scale score'!$B$7),IFERROR(VALUE(IF(TRIM('Scale score'!$B$5&amp;"")="","",IFERROR(TRIM(INDEX($A396:$Z396,MATCH('Scale score'!$B$5,$A$1:$Z$1,0))&amp;""),""))),""),""),"")</f>
        <v/>
      </c>
      <c r="AH396" s="41">
        <f>IF(TRIM('Open answers'!$B$5&amp;"")="","",IFERROR(TRIM(INDEX($A396:$Z396,MATCH('Open answers'!$B$5,$A$1:$Z$1,0))&amp;""),""))</f>
        <v/>
      </c>
      <c r="AI396" s="41">
        <f>IF(LEN(AH396)&gt;0,MAX($AI$1:AI395)+1,"")</f>
        <v/>
      </c>
    </row>
    <row r="397">
      <c r="AA397" s="40" t="n"/>
      <c r="AB397" s="41">
        <f>IF(TRIM('Counts'!$B$8&amp;"")="","",IFERROR(TRIM(INDEX($A397:$Z397,MATCH('Counts'!$B$8,$A$1:$Z$1,0))&amp;""),""))</f>
        <v/>
      </c>
      <c r="AC397" s="41">
        <f>IF(TRIM('Counts'!$B$26&amp;"")="","",IFERROR(TRIM(INDEX($A397:$Z397,MATCH('Counts'!$B$26,$A$1:$Z$1,0))&amp;""),""))</f>
        <v/>
      </c>
      <c r="AD397" s="41">
        <f>IF(TRIM('Counts'!$B$44&amp;"")="","",IFERROR(TRIM(INDEX($A397:$Z397,MATCH('Counts'!$B$44,$A$1:$Z$1,0))&amp;""),""))</f>
        <v/>
      </c>
      <c r="AE397" s="41">
        <f>IF(TRIM('Cross-tab'!$B$5&amp;"")="","",IFERROR(TRIM(INDEX($A397:$Z397,MATCH('Cross-tab'!$B$5,$A$1:$Z$1,0))&amp;""),""))</f>
        <v/>
      </c>
      <c r="AF397" s="41">
        <f>IF(TRIM('Cross-tab'!$B$7&amp;"")="","",IFERROR(TRIM(INDEX($A397:$Z397,MATCH('Cross-tab'!$B$7,$A$1:$Z$1,0))&amp;""),""))</f>
        <v/>
      </c>
      <c r="AG397" s="41">
        <f>IF(ISNUMBER(IFERROR(VALUE(IF(TRIM('Scale score'!$B$5&amp;"")="","",IFERROR(TRIM(INDEX($A397:$Z397,MATCH('Scale score'!$B$5,$A$1:$Z$1,0))&amp;""),""))),"")),IF(AND(IFERROR(VALUE(IF(TRIM('Scale score'!$B$5&amp;"")="","",IFERROR(TRIM(INDEX($A397:$Z397,MATCH('Scale score'!$B$5,$A$1:$Z$1,0))&amp;""),""))),"")&gt;='Scale score'!$B$6,IFERROR(VALUE(IF(TRIM('Scale score'!$B$5&amp;"")="","",IFERROR(TRIM(INDEX($A397:$Z397,MATCH('Scale score'!$B$5,$A$1:$Z$1,0))&amp;""),""))),"")&lt;='Scale score'!$B$7),IFERROR(VALUE(IF(TRIM('Scale score'!$B$5&amp;"")="","",IFERROR(TRIM(INDEX($A397:$Z397,MATCH('Scale score'!$B$5,$A$1:$Z$1,0))&amp;""),""))),""),""),"")</f>
        <v/>
      </c>
      <c r="AH397" s="41">
        <f>IF(TRIM('Open answers'!$B$5&amp;"")="","",IFERROR(TRIM(INDEX($A397:$Z397,MATCH('Open answers'!$B$5,$A$1:$Z$1,0))&amp;""),""))</f>
        <v/>
      </c>
      <c r="AI397" s="41">
        <f>IF(LEN(AH397)&gt;0,MAX($AI$1:AI396)+1,"")</f>
        <v/>
      </c>
    </row>
    <row r="398">
      <c r="AA398" s="40" t="n"/>
      <c r="AB398" s="41">
        <f>IF(TRIM('Counts'!$B$8&amp;"")="","",IFERROR(TRIM(INDEX($A398:$Z398,MATCH('Counts'!$B$8,$A$1:$Z$1,0))&amp;""),""))</f>
        <v/>
      </c>
      <c r="AC398" s="41">
        <f>IF(TRIM('Counts'!$B$26&amp;"")="","",IFERROR(TRIM(INDEX($A398:$Z398,MATCH('Counts'!$B$26,$A$1:$Z$1,0))&amp;""),""))</f>
        <v/>
      </c>
      <c r="AD398" s="41">
        <f>IF(TRIM('Counts'!$B$44&amp;"")="","",IFERROR(TRIM(INDEX($A398:$Z398,MATCH('Counts'!$B$44,$A$1:$Z$1,0))&amp;""),""))</f>
        <v/>
      </c>
      <c r="AE398" s="41">
        <f>IF(TRIM('Cross-tab'!$B$5&amp;"")="","",IFERROR(TRIM(INDEX($A398:$Z398,MATCH('Cross-tab'!$B$5,$A$1:$Z$1,0))&amp;""),""))</f>
        <v/>
      </c>
      <c r="AF398" s="41">
        <f>IF(TRIM('Cross-tab'!$B$7&amp;"")="","",IFERROR(TRIM(INDEX($A398:$Z398,MATCH('Cross-tab'!$B$7,$A$1:$Z$1,0))&amp;""),""))</f>
        <v/>
      </c>
      <c r="AG398" s="41">
        <f>IF(ISNUMBER(IFERROR(VALUE(IF(TRIM('Scale score'!$B$5&amp;"")="","",IFERROR(TRIM(INDEX($A398:$Z398,MATCH('Scale score'!$B$5,$A$1:$Z$1,0))&amp;""),""))),"")),IF(AND(IFERROR(VALUE(IF(TRIM('Scale score'!$B$5&amp;"")="","",IFERROR(TRIM(INDEX($A398:$Z398,MATCH('Scale score'!$B$5,$A$1:$Z$1,0))&amp;""),""))),"")&gt;='Scale score'!$B$6,IFERROR(VALUE(IF(TRIM('Scale score'!$B$5&amp;"")="","",IFERROR(TRIM(INDEX($A398:$Z398,MATCH('Scale score'!$B$5,$A$1:$Z$1,0))&amp;""),""))),"")&lt;='Scale score'!$B$7),IFERROR(VALUE(IF(TRIM('Scale score'!$B$5&amp;"")="","",IFERROR(TRIM(INDEX($A398:$Z398,MATCH('Scale score'!$B$5,$A$1:$Z$1,0))&amp;""),""))),""),""),"")</f>
        <v/>
      </c>
      <c r="AH398" s="41">
        <f>IF(TRIM('Open answers'!$B$5&amp;"")="","",IFERROR(TRIM(INDEX($A398:$Z398,MATCH('Open answers'!$B$5,$A$1:$Z$1,0))&amp;""),""))</f>
        <v/>
      </c>
      <c r="AI398" s="41">
        <f>IF(LEN(AH398)&gt;0,MAX($AI$1:AI397)+1,"")</f>
        <v/>
      </c>
    </row>
    <row r="399">
      <c r="AA399" s="40" t="n"/>
      <c r="AB399" s="41">
        <f>IF(TRIM('Counts'!$B$8&amp;"")="","",IFERROR(TRIM(INDEX($A399:$Z399,MATCH('Counts'!$B$8,$A$1:$Z$1,0))&amp;""),""))</f>
        <v/>
      </c>
      <c r="AC399" s="41">
        <f>IF(TRIM('Counts'!$B$26&amp;"")="","",IFERROR(TRIM(INDEX($A399:$Z399,MATCH('Counts'!$B$26,$A$1:$Z$1,0))&amp;""),""))</f>
        <v/>
      </c>
      <c r="AD399" s="41">
        <f>IF(TRIM('Counts'!$B$44&amp;"")="","",IFERROR(TRIM(INDEX($A399:$Z399,MATCH('Counts'!$B$44,$A$1:$Z$1,0))&amp;""),""))</f>
        <v/>
      </c>
      <c r="AE399" s="41">
        <f>IF(TRIM('Cross-tab'!$B$5&amp;"")="","",IFERROR(TRIM(INDEX($A399:$Z399,MATCH('Cross-tab'!$B$5,$A$1:$Z$1,0))&amp;""),""))</f>
        <v/>
      </c>
      <c r="AF399" s="41">
        <f>IF(TRIM('Cross-tab'!$B$7&amp;"")="","",IFERROR(TRIM(INDEX($A399:$Z399,MATCH('Cross-tab'!$B$7,$A$1:$Z$1,0))&amp;""),""))</f>
        <v/>
      </c>
      <c r="AG399" s="41">
        <f>IF(ISNUMBER(IFERROR(VALUE(IF(TRIM('Scale score'!$B$5&amp;"")="","",IFERROR(TRIM(INDEX($A399:$Z399,MATCH('Scale score'!$B$5,$A$1:$Z$1,0))&amp;""),""))),"")),IF(AND(IFERROR(VALUE(IF(TRIM('Scale score'!$B$5&amp;"")="","",IFERROR(TRIM(INDEX($A399:$Z399,MATCH('Scale score'!$B$5,$A$1:$Z$1,0))&amp;""),""))),"")&gt;='Scale score'!$B$6,IFERROR(VALUE(IF(TRIM('Scale score'!$B$5&amp;"")="","",IFERROR(TRIM(INDEX($A399:$Z399,MATCH('Scale score'!$B$5,$A$1:$Z$1,0))&amp;""),""))),"")&lt;='Scale score'!$B$7),IFERROR(VALUE(IF(TRIM('Scale score'!$B$5&amp;"")="","",IFERROR(TRIM(INDEX($A399:$Z399,MATCH('Scale score'!$B$5,$A$1:$Z$1,0))&amp;""),""))),""),""),"")</f>
        <v/>
      </c>
      <c r="AH399" s="41">
        <f>IF(TRIM('Open answers'!$B$5&amp;"")="","",IFERROR(TRIM(INDEX($A399:$Z399,MATCH('Open answers'!$B$5,$A$1:$Z$1,0))&amp;""),""))</f>
        <v/>
      </c>
      <c r="AI399" s="41">
        <f>IF(LEN(AH399)&gt;0,MAX($AI$1:AI398)+1,"")</f>
        <v/>
      </c>
    </row>
    <row r="400">
      <c r="AA400" s="40" t="n"/>
      <c r="AB400" s="41">
        <f>IF(TRIM('Counts'!$B$8&amp;"")="","",IFERROR(TRIM(INDEX($A400:$Z400,MATCH('Counts'!$B$8,$A$1:$Z$1,0))&amp;""),""))</f>
        <v/>
      </c>
      <c r="AC400" s="41">
        <f>IF(TRIM('Counts'!$B$26&amp;"")="","",IFERROR(TRIM(INDEX($A400:$Z400,MATCH('Counts'!$B$26,$A$1:$Z$1,0))&amp;""),""))</f>
        <v/>
      </c>
      <c r="AD400" s="41">
        <f>IF(TRIM('Counts'!$B$44&amp;"")="","",IFERROR(TRIM(INDEX($A400:$Z400,MATCH('Counts'!$B$44,$A$1:$Z$1,0))&amp;""),""))</f>
        <v/>
      </c>
      <c r="AE400" s="41">
        <f>IF(TRIM('Cross-tab'!$B$5&amp;"")="","",IFERROR(TRIM(INDEX($A400:$Z400,MATCH('Cross-tab'!$B$5,$A$1:$Z$1,0))&amp;""),""))</f>
        <v/>
      </c>
      <c r="AF400" s="41">
        <f>IF(TRIM('Cross-tab'!$B$7&amp;"")="","",IFERROR(TRIM(INDEX($A400:$Z400,MATCH('Cross-tab'!$B$7,$A$1:$Z$1,0))&amp;""),""))</f>
        <v/>
      </c>
      <c r="AG400" s="41">
        <f>IF(ISNUMBER(IFERROR(VALUE(IF(TRIM('Scale score'!$B$5&amp;"")="","",IFERROR(TRIM(INDEX($A400:$Z400,MATCH('Scale score'!$B$5,$A$1:$Z$1,0))&amp;""),""))),"")),IF(AND(IFERROR(VALUE(IF(TRIM('Scale score'!$B$5&amp;"")="","",IFERROR(TRIM(INDEX($A400:$Z400,MATCH('Scale score'!$B$5,$A$1:$Z$1,0))&amp;""),""))),"")&gt;='Scale score'!$B$6,IFERROR(VALUE(IF(TRIM('Scale score'!$B$5&amp;"")="","",IFERROR(TRIM(INDEX($A400:$Z400,MATCH('Scale score'!$B$5,$A$1:$Z$1,0))&amp;""),""))),"")&lt;='Scale score'!$B$7),IFERROR(VALUE(IF(TRIM('Scale score'!$B$5&amp;"")="","",IFERROR(TRIM(INDEX($A400:$Z400,MATCH('Scale score'!$B$5,$A$1:$Z$1,0))&amp;""),""))),""),""),"")</f>
        <v/>
      </c>
      <c r="AH400" s="41">
        <f>IF(TRIM('Open answers'!$B$5&amp;"")="","",IFERROR(TRIM(INDEX($A400:$Z400,MATCH('Open answers'!$B$5,$A$1:$Z$1,0))&amp;""),""))</f>
        <v/>
      </c>
      <c r="AI400" s="41">
        <f>IF(LEN(AH400)&gt;0,MAX($AI$1:AI399)+1,"")</f>
        <v/>
      </c>
    </row>
    <row r="401">
      <c r="AA401" s="40" t="n"/>
      <c r="AB401" s="41">
        <f>IF(TRIM('Counts'!$B$8&amp;"")="","",IFERROR(TRIM(INDEX($A401:$Z401,MATCH('Counts'!$B$8,$A$1:$Z$1,0))&amp;""),""))</f>
        <v/>
      </c>
      <c r="AC401" s="41">
        <f>IF(TRIM('Counts'!$B$26&amp;"")="","",IFERROR(TRIM(INDEX($A401:$Z401,MATCH('Counts'!$B$26,$A$1:$Z$1,0))&amp;""),""))</f>
        <v/>
      </c>
      <c r="AD401" s="41">
        <f>IF(TRIM('Counts'!$B$44&amp;"")="","",IFERROR(TRIM(INDEX($A401:$Z401,MATCH('Counts'!$B$44,$A$1:$Z$1,0))&amp;""),""))</f>
        <v/>
      </c>
      <c r="AE401" s="41">
        <f>IF(TRIM('Cross-tab'!$B$5&amp;"")="","",IFERROR(TRIM(INDEX($A401:$Z401,MATCH('Cross-tab'!$B$5,$A$1:$Z$1,0))&amp;""),""))</f>
        <v/>
      </c>
      <c r="AF401" s="41">
        <f>IF(TRIM('Cross-tab'!$B$7&amp;"")="","",IFERROR(TRIM(INDEX($A401:$Z401,MATCH('Cross-tab'!$B$7,$A$1:$Z$1,0))&amp;""),""))</f>
        <v/>
      </c>
      <c r="AG401" s="41">
        <f>IF(ISNUMBER(IFERROR(VALUE(IF(TRIM('Scale score'!$B$5&amp;"")="","",IFERROR(TRIM(INDEX($A401:$Z401,MATCH('Scale score'!$B$5,$A$1:$Z$1,0))&amp;""),""))),"")),IF(AND(IFERROR(VALUE(IF(TRIM('Scale score'!$B$5&amp;"")="","",IFERROR(TRIM(INDEX($A401:$Z401,MATCH('Scale score'!$B$5,$A$1:$Z$1,0))&amp;""),""))),"")&gt;='Scale score'!$B$6,IFERROR(VALUE(IF(TRIM('Scale score'!$B$5&amp;"")="","",IFERROR(TRIM(INDEX($A401:$Z401,MATCH('Scale score'!$B$5,$A$1:$Z$1,0))&amp;""),""))),"")&lt;='Scale score'!$B$7),IFERROR(VALUE(IF(TRIM('Scale score'!$B$5&amp;"")="","",IFERROR(TRIM(INDEX($A401:$Z401,MATCH('Scale score'!$B$5,$A$1:$Z$1,0))&amp;""),""))),""),""),"")</f>
        <v/>
      </c>
      <c r="AH401" s="41">
        <f>IF(TRIM('Open answers'!$B$5&amp;"")="","",IFERROR(TRIM(INDEX($A401:$Z401,MATCH('Open answers'!$B$5,$A$1:$Z$1,0))&amp;""),""))</f>
        <v/>
      </c>
      <c r="AI401" s="41">
        <f>IF(LEN(AH401)&gt;0,MAX($AI$1:AI400)+1,"")</f>
        <v/>
      </c>
    </row>
    <row r="402">
      <c r="AA402" s="40" t="n"/>
      <c r="AB402" s="41">
        <f>IF(TRIM('Counts'!$B$8&amp;"")="","",IFERROR(TRIM(INDEX($A402:$Z402,MATCH('Counts'!$B$8,$A$1:$Z$1,0))&amp;""),""))</f>
        <v/>
      </c>
      <c r="AC402" s="41">
        <f>IF(TRIM('Counts'!$B$26&amp;"")="","",IFERROR(TRIM(INDEX($A402:$Z402,MATCH('Counts'!$B$26,$A$1:$Z$1,0))&amp;""),""))</f>
        <v/>
      </c>
      <c r="AD402" s="41">
        <f>IF(TRIM('Counts'!$B$44&amp;"")="","",IFERROR(TRIM(INDEX($A402:$Z402,MATCH('Counts'!$B$44,$A$1:$Z$1,0))&amp;""),""))</f>
        <v/>
      </c>
      <c r="AE402" s="41">
        <f>IF(TRIM('Cross-tab'!$B$5&amp;"")="","",IFERROR(TRIM(INDEX($A402:$Z402,MATCH('Cross-tab'!$B$5,$A$1:$Z$1,0))&amp;""),""))</f>
        <v/>
      </c>
      <c r="AF402" s="41">
        <f>IF(TRIM('Cross-tab'!$B$7&amp;"")="","",IFERROR(TRIM(INDEX($A402:$Z402,MATCH('Cross-tab'!$B$7,$A$1:$Z$1,0))&amp;""),""))</f>
        <v/>
      </c>
      <c r="AG402" s="41">
        <f>IF(ISNUMBER(IFERROR(VALUE(IF(TRIM('Scale score'!$B$5&amp;"")="","",IFERROR(TRIM(INDEX($A402:$Z402,MATCH('Scale score'!$B$5,$A$1:$Z$1,0))&amp;""),""))),"")),IF(AND(IFERROR(VALUE(IF(TRIM('Scale score'!$B$5&amp;"")="","",IFERROR(TRIM(INDEX($A402:$Z402,MATCH('Scale score'!$B$5,$A$1:$Z$1,0))&amp;""),""))),"")&gt;='Scale score'!$B$6,IFERROR(VALUE(IF(TRIM('Scale score'!$B$5&amp;"")="","",IFERROR(TRIM(INDEX($A402:$Z402,MATCH('Scale score'!$B$5,$A$1:$Z$1,0))&amp;""),""))),"")&lt;='Scale score'!$B$7),IFERROR(VALUE(IF(TRIM('Scale score'!$B$5&amp;"")="","",IFERROR(TRIM(INDEX($A402:$Z402,MATCH('Scale score'!$B$5,$A$1:$Z$1,0))&amp;""),""))),""),""),"")</f>
        <v/>
      </c>
      <c r="AH402" s="41">
        <f>IF(TRIM('Open answers'!$B$5&amp;"")="","",IFERROR(TRIM(INDEX($A402:$Z402,MATCH('Open answers'!$B$5,$A$1:$Z$1,0))&amp;""),""))</f>
        <v/>
      </c>
      <c r="AI402" s="41">
        <f>IF(LEN(AH402)&gt;0,MAX($AI$1:AI401)+1,"")</f>
        <v/>
      </c>
    </row>
    <row r="403">
      <c r="AA403" s="40" t="n"/>
      <c r="AB403" s="41">
        <f>IF(TRIM('Counts'!$B$8&amp;"")="","",IFERROR(TRIM(INDEX($A403:$Z403,MATCH('Counts'!$B$8,$A$1:$Z$1,0))&amp;""),""))</f>
        <v/>
      </c>
      <c r="AC403" s="41">
        <f>IF(TRIM('Counts'!$B$26&amp;"")="","",IFERROR(TRIM(INDEX($A403:$Z403,MATCH('Counts'!$B$26,$A$1:$Z$1,0))&amp;""),""))</f>
        <v/>
      </c>
      <c r="AD403" s="41">
        <f>IF(TRIM('Counts'!$B$44&amp;"")="","",IFERROR(TRIM(INDEX($A403:$Z403,MATCH('Counts'!$B$44,$A$1:$Z$1,0))&amp;""),""))</f>
        <v/>
      </c>
      <c r="AE403" s="41">
        <f>IF(TRIM('Cross-tab'!$B$5&amp;"")="","",IFERROR(TRIM(INDEX($A403:$Z403,MATCH('Cross-tab'!$B$5,$A$1:$Z$1,0))&amp;""),""))</f>
        <v/>
      </c>
      <c r="AF403" s="41">
        <f>IF(TRIM('Cross-tab'!$B$7&amp;"")="","",IFERROR(TRIM(INDEX($A403:$Z403,MATCH('Cross-tab'!$B$7,$A$1:$Z$1,0))&amp;""),""))</f>
        <v/>
      </c>
      <c r="AG403" s="41">
        <f>IF(ISNUMBER(IFERROR(VALUE(IF(TRIM('Scale score'!$B$5&amp;"")="","",IFERROR(TRIM(INDEX($A403:$Z403,MATCH('Scale score'!$B$5,$A$1:$Z$1,0))&amp;""),""))),"")),IF(AND(IFERROR(VALUE(IF(TRIM('Scale score'!$B$5&amp;"")="","",IFERROR(TRIM(INDEX($A403:$Z403,MATCH('Scale score'!$B$5,$A$1:$Z$1,0))&amp;""),""))),"")&gt;='Scale score'!$B$6,IFERROR(VALUE(IF(TRIM('Scale score'!$B$5&amp;"")="","",IFERROR(TRIM(INDEX($A403:$Z403,MATCH('Scale score'!$B$5,$A$1:$Z$1,0))&amp;""),""))),"")&lt;='Scale score'!$B$7),IFERROR(VALUE(IF(TRIM('Scale score'!$B$5&amp;"")="","",IFERROR(TRIM(INDEX($A403:$Z403,MATCH('Scale score'!$B$5,$A$1:$Z$1,0))&amp;""),""))),""),""),"")</f>
        <v/>
      </c>
      <c r="AH403" s="41">
        <f>IF(TRIM('Open answers'!$B$5&amp;"")="","",IFERROR(TRIM(INDEX($A403:$Z403,MATCH('Open answers'!$B$5,$A$1:$Z$1,0))&amp;""),""))</f>
        <v/>
      </c>
      <c r="AI403" s="41">
        <f>IF(LEN(AH403)&gt;0,MAX($AI$1:AI402)+1,"")</f>
        <v/>
      </c>
    </row>
    <row r="404">
      <c r="AA404" s="40" t="n"/>
      <c r="AB404" s="41">
        <f>IF(TRIM('Counts'!$B$8&amp;"")="","",IFERROR(TRIM(INDEX($A404:$Z404,MATCH('Counts'!$B$8,$A$1:$Z$1,0))&amp;""),""))</f>
        <v/>
      </c>
      <c r="AC404" s="41">
        <f>IF(TRIM('Counts'!$B$26&amp;"")="","",IFERROR(TRIM(INDEX($A404:$Z404,MATCH('Counts'!$B$26,$A$1:$Z$1,0))&amp;""),""))</f>
        <v/>
      </c>
      <c r="AD404" s="41">
        <f>IF(TRIM('Counts'!$B$44&amp;"")="","",IFERROR(TRIM(INDEX($A404:$Z404,MATCH('Counts'!$B$44,$A$1:$Z$1,0))&amp;""),""))</f>
        <v/>
      </c>
      <c r="AE404" s="41">
        <f>IF(TRIM('Cross-tab'!$B$5&amp;"")="","",IFERROR(TRIM(INDEX($A404:$Z404,MATCH('Cross-tab'!$B$5,$A$1:$Z$1,0))&amp;""),""))</f>
        <v/>
      </c>
      <c r="AF404" s="41">
        <f>IF(TRIM('Cross-tab'!$B$7&amp;"")="","",IFERROR(TRIM(INDEX($A404:$Z404,MATCH('Cross-tab'!$B$7,$A$1:$Z$1,0))&amp;""),""))</f>
        <v/>
      </c>
      <c r="AG404" s="41">
        <f>IF(ISNUMBER(IFERROR(VALUE(IF(TRIM('Scale score'!$B$5&amp;"")="","",IFERROR(TRIM(INDEX($A404:$Z404,MATCH('Scale score'!$B$5,$A$1:$Z$1,0))&amp;""),""))),"")),IF(AND(IFERROR(VALUE(IF(TRIM('Scale score'!$B$5&amp;"")="","",IFERROR(TRIM(INDEX($A404:$Z404,MATCH('Scale score'!$B$5,$A$1:$Z$1,0))&amp;""),""))),"")&gt;='Scale score'!$B$6,IFERROR(VALUE(IF(TRIM('Scale score'!$B$5&amp;"")="","",IFERROR(TRIM(INDEX($A404:$Z404,MATCH('Scale score'!$B$5,$A$1:$Z$1,0))&amp;""),""))),"")&lt;='Scale score'!$B$7),IFERROR(VALUE(IF(TRIM('Scale score'!$B$5&amp;"")="","",IFERROR(TRIM(INDEX($A404:$Z404,MATCH('Scale score'!$B$5,$A$1:$Z$1,0))&amp;""),""))),""),""),"")</f>
        <v/>
      </c>
      <c r="AH404" s="41">
        <f>IF(TRIM('Open answers'!$B$5&amp;"")="","",IFERROR(TRIM(INDEX($A404:$Z404,MATCH('Open answers'!$B$5,$A$1:$Z$1,0))&amp;""),""))</f>
        <v/>
      </c>
      <c r="AI404" s="41">
        <f>IF(LEN(AH404)&gt;0,MAX($AI$1:AI403)+1,"")</f>
        <v/>
      </c>
    </row>
    <row r="405">
      <c r="AA405" s="40" t="n"/>
      <c r="AB405" s="41">
        <f>IF(TRIM('Counts'!$B$8&amp;"")="","",IFERROR(TRIM(INDEX($A405:$Z405,MATCH('Counts'!$B$8,$A$1:$Z$1,0))&amp;""),""))</f>
        <v/>
      </c>
      <c r="AC405" s="41">
        <f>IF(TRIM('Counts'!$B$26&amp;"")="","",IFERROR(TRIM(INDEX($A405:$Z405,MATCH('Counts'!$B$26,$A$1:$Z$1,0))&amp;""),""))</f>
        <v/>
      </c>
      <c r="AD405" s="41">
        <f>IF(TRIM('Counts'!$B$44&amp;"")="","",IFERROR(TRIM(INDEX($A405:$Z405,MATCH('Counts'!$B$44,$A$1:$Z$1,0))&amp;""),""))</f>
        <v/>
      </c>
      <c r="AE405" s="41">
        <f>IF(TRIM('Cross-tab'!$B$5&amp;"")="","",IFERROR(TRIM(INDEX($A405:$Z405,MATCH('Cross-tab'!$B$5,$A$1:$Z$1,0))&amp;""),""))</f>
        <v/>
      </c>
      <c r="AF405" s="41">
        <f>IF(TRIM('Cross-tab'!$B$7&amp;"")="","",IFERROR(TRIM(INDEX($A405:$Z405,MATCH('Cross-tab'!$B$7,$A$1:$Z$1,0))&amp;""),""))</f>
        <v/>
      </c>
      <c r="AG405" s="41">
        <f>IF(ISNUMBER(IFERROR(VALUE(IF(TRIM('Scale score'!$B$5&amp;"")="","",IFERROR(TRIM(INDEX($A405:$Z405,MATCH('Scale score'!$B$5,$A$1:$Z$1,0))&amp;""),""))),"")),IF(AND(IFERROR(VALUE(IF(TRIM('Scale score'!$B$5&amp;"")="","",IFERROR(TRIM(INDEX($A405:$Z405,MATCH('Scale score'!$B$5,$A$1:$Z$1,0))&amp;""),""))),"")&gt;='Scale score'!$B$6,IFERROR(VALUE(IF(TRIM('Scale score'!$B$5&amp;"")="","",IFERROR(TRIM(INDEX($A405:$Z405,MATCH('Scale score'!$B$5,$A$1:$Z$1,0))&amp;""),""))),"")&lt;='Scale score'!$B$7),IFERROR(VALUE(IF(TRIM('Scale score'!$B$5&amp;"")="","",IFERROR(TRIM(INDEX($A405:$Z405,MATCH('Scale score'!$B$5,$A$1:$Z$1,0))&amp;""),""))),""),""),"")</f>
        <v/>
      </c>
      <c r="AH405" s="41">
        <f>IF(TRIM('Open answers'!$B$5&amp;"")="","",IFERROR(TRIM(INDEX($A405:$Z405,MATCH('Open answers'!$B$5,$A$1:$Z$1,0))&amp;""),""))</f>
        <v/>
      </c>
      <c r="AI405" s="41">
        <f>IF(LEN(AH405)&gt;0,MAX($AI$1:AI404)+1,"")</f>
        <v/>
      </c>
    </row>
    <row r="406">
      <c r="AA406" s="40" t="n"/>
      <c r="AB406" s="41">
        <f>IF(TRIM('Counts'!$B$8&amp;"")="","",IFERROR(TRIM(INDEX($A406:$Z406,MATCH('Counts'!$B$8,$A$1:$Z$1,0))&amp;""),""))</f>
        <v/>
      </c>
      <c r="AC406" s="41">
        <f>IF(TRIM('Counts'!$B$26&amp;"")="","",IFERROR(TRIM(INDEX($A406:$Z406,MATCH('Counts'!$B$26,$A$1:$Z$1,0))&amp;""),""))</f>
        <v/>
      </c>
      <c r="AD406" s="41">
        <f>IF(TRIM('Counts'!$B$44&amp;"")="","",IFERROR(TRIM(INDEX($A406:$Z406,MATCH('Counts'!$B$44,$A$1:$Z$1,0))&amp;""),""))</f>
        <v/>
      </c>
      <c r="AE406" s="41">
        <f>IF(TRIM('Cross-tab'!$B$5&amp;"")="","",IFERROR(TRIM(INDEX($A406:$Z406,MATCH('Cross-tab'!$B$5,$A$1:$Z$1,0))&amp;""),""))</f>
        <v/>
      </c>
      <c r="AF406" s="41">
        <f>IF(TRIM('Cross-tab'!$B$7&amp;"")="","",IFERROR(TRIM(INDEX($A406:$Z406,MATCH('Cross-tab'!$B$7,$A$1:$Z$1,0))&amp;""),""))</f>
        <v/>
      </c>
      <c r="AG406" s="41">
        <f>IF(ISNUMBER(IFERROR(VALUE(IF(TRIM('Scale score'!$B$5&amp;"")="","",IFERROR(TRIM(INDEX($A406:$Z406,MATCH('Scale score'!$B$5,$A$1:$Z$1,0))&amp;""),""))),"")),IF(AND(IFERROR(VALUE(IF(TRIM('Scale score'!$B$5&amp;"")="","",IFERROR(TRIM(INDEX($A406:$Z406,MATCH('Scale score'!$B$5,$A$1:$Z$1,0))&amp;""),""))),"")&gt;='Scale score'!$B$6,IFERROR(VALUE(IF(TRIM('Scale score'!$B$5&amp;"")="","",IFERROR(TRIM(INDEX($A406:$Z406,MATCH('Scale score'!$B$5,$A$1:$Z$1,0))&amp;""),""))),"")&lt;='Scale score'!$B$7),IFERROR(VALUE(IF(TRIM('Scale score'!$B$5&amp;"")="","",IFERROR(TRIM(INDEX($A406:$Z406,MATCH('Scale score'!$B$5,$A$1:$Z$1,0))&amp;""),""))),""),""),"")</f>
        <v/>
      </c>
      <c r="AH406" s="41">
        <f>IF(TRIM('Open answers'!$B$5&amp;"")="","",IFERROR(TRIM(INDEX($A406:$Z406,MATCH('Open answers'!$B$5,$A$1:$Z$1,0))&amp;""),""))</f>
        <v/>
      </c>
      <c r="AI406" s="41">
        <f>IF(LEN(AH406)&gt;0,MAX($AI$1:AI405)+1,"")</f>
        <v/>
      </c>
    </row>
    <row r="407">
      <c r="AA407" s="40" t="n"/>
      <c r="AB407" s="41">
        <f>IF(TRIM('Counts'!$B$8&amp;"")="","",IFERROR(TRIM(INDEX($A407:$Z407,MATCH('Counts'!$B$8,$A$1:$Z$1,0))&amp;""),""))</f>
        <v/>
      </c>
      <c r="AC407" s="41">
        <f>IF(TRIM('Counts'!$B$26&amp;"")="","",IFERROR(TRIM(INDEX($A407:$Z407,MATCH('Counts'!$B$26,$A$1:$Z$1,0))&amp;""),""))</f>
        <v/>
      </c>
      <c r="AD407" s="41">
        <f>IF(TRIM('Counts'!$B$44&amp;"")="","",IFERROR(TRIM(INDEX($A407:$Z407,MATCH('Counts'!$B$44,$A$1:$Z$1,0))&amp;""),""))</f>
        <v/>
      </c>
      <c r="AE407" s="41">
        <f>IF(TRIM('Cross-tab'!$B$5&amp;"")="","",IFERROR(TRIM(INDEX($A407:$Z407,MATCH('Cross-tab'!$B$5,$A$1:$Z$1,0))&amp;""),""))</f>
        <v/>
      </c>
      <c r="AF407" s="41">
        <f>IF(TRIM('Cross-tab'!$B$7&amp;"")="","",IFERROR(TRIM(INDEX($A407:$Z407,MATCH('Cross-tab'!$B$7,$A$1:$Z$1,0))&amp;""),""))</f>
        <v/>
      </c>
      <c r="AG407" s="41">
        <f>IF(ISNUMBER(IFERROR(VALUE(IF(TRIM('Scale score'!$B$5&amp;"")="","",IFERROR(TRIM(INDEX($A407:$Z407,MATCH('Scale score'!$B$5,$A$1:$Z$1,0))&amp;""),""))),"")),IF(AND(IFERROR(VALUE(IF(TRIM('Scale score'!$B$5&amp;"")="","",IFERROR(TRIM(INDEX($A407:$Z407,MATCH('Scale score'!$B$5,$A$1:$Z$1,0))&amp;""),""))),"")&gt;='Scale score'!$B$6,IFERROR(VALUE(IF(TRIM('Scale score'!$B$5&amp;"")="","",IFERROR(TRIM(INDEX($A407:$Z407,MATCH('Scale score'!$B$5,$A$1:$Z$1,0))&amp;""),""))),"")&lt;='Scale score'!$B$7),IFERROR(VALUE(IF(TRIM('Scale score'!$B$5&amp;"")="","",IFERROR(TRIM(INDEX($A407:$Z407,MATCH('Scale score'!$B$5,$A$1:$Z$1,0))&amp;""),""))),""),""),"")</f>
        <v/>
      </c>
      <c r="AH407" s="41">
        <f>IF(TRIM('Open answers'!$B$5&amp;"")="","",IFERROR(TRIM(INDEX($A407:$Z407,MATCH('Open answers'!$B$5,$A$1:$Z$1,0))&amp;""),""))</f>
        <v/>
      </c>
      <c r="AI407" s="41">
        <f>IF(LEN(AH407)&gt;0,MAX($AI$1:AI406)+1,"")</f>
        <v/>
      </c>
    </row>
    <row r="408">
      <c r="AA408" s="40" t="n"/>
      <c r="AB408" s="41">
        <f>IF(TRIM('Counts'!$B$8&amp;"")="","",IFERROR(TRIM(INDEX($A408:$Z408,MATCH('Counts'!$B$8,$A$1:$Z$1,0))&amp;""),""))</f>
        <v/>
      </c>
      <c r="AC408" s="41">
        <f>IF(TRIM('Counts'!$B$26&amp;"")="","",IFERROR(TRIM(INDEX($A408:$Z408,MATCH('Counts'!$B$26,$A$1:$Z$1,0))&amp;""),""))</f>
        <v/>
      </c>
      <c r="AD408" s="41">
        <f>IF(TRIM('Counts'!$B$44&amp;"")="","",IFERROR(TRIM(INDEX($A408:$Z408,MATCH('Counts'!$B$44,$A$1:$Z$1,0))&amp;""),""))</f>
        <v/>
      </c>
      <c r="AE408" s="41">
        <f>IF(TRIM('Cross-tab'!$B$5&amp;"")="","",IFERROR(TRIM(INDEX($A408:$Z408,MATCH('Cross-tab'!$B$5,$A$1:$Z$1,0))&amp;""),""))</f>
        <v/>
      </c>
      <c r="AF408" s="41">
        <f>IF(TRIM('Cross-tab'!$B$7&amp;"")="","",IFERROR(TRIM(INDEX($A408:$Z408,MATCH('Cross-tab'!$B$7,$A$1:$Z$1,0))&amp;""),""))</f>
        <v/>
      </c>
      <c r="AG408" s="41">
        <f>IF(ISNUMBER(IFERROR(VALUE(IF(TRIM('Scale score'!$B$5&amp;"")="","",IFERROR(TRIM(INDEX($A408:$Z408,MATCH('Scale score'!$B$5,$A$1:$Z$1,0))&amp;""),""))),"")),IF(AND(IFERROR(VALUE(IF(TRIM('Scale score'!$B$5&amp;"")="","",IFERROR(TRIM(INDEX($A408:$Z408,MATCH('Scale score'!$B$5,$A$1:$Z$1,0))&amp;""),""))),"")&gt;='Scale score'!$B$6,IFERROR(VALUE(IF(TRIM('Scale score'!$B$5&amp;"")="","",IFERROR(TRIM(INDEX($A408:$Z408,MATCH('Scale score'!$B$5,$A$1:$Z$1,0))&amp;""),""))),"")&lt;='Scale score'!$B$7),IFERROR(VALUE(IF(TRIM('Scale score'!$B$5&amp;"")="","",IFERROR(TRIM(INDEX($A408:$Z408,MATCH('Scale score'!$B$5,$A$1:$Z$1,0))&amp;""),""))),""),""),"")</f>
        <v/>
      </c>
      <c r="AH408" s="41">
        <f>IF(TRIM('Open answers'!$B$5&amp;"")="","",IFERROR(TRIM(INDEX($A408:$Z408,MATCH('Open answers'!$B$5,$A$1:$Z$1,0))&amp;""),""))</f>
        <v/>
      </c>
      <c r="AI408" s="41">
        <f>IF(LEN(AH408)&gt;0,MAX($AI$1:AI407)+1,"")</f>
        <v/>
      </c>
    </row>
    <row r="409">
      <c r="AA409" s="40" t="n"/>
      <c r="AB409" s="41">
        <f>IF(TRIM('Counts'!$B$8&amp;"")="","",IFERROR(TRIM(INDEX($A409:$Z409,MATCH('Counts'!$B$8,$A$1:$Z$1,0))&amp;""),""))</f>
        <v/>
      </c>
      <c r="AC409" s="41">
        <f>IF(TRIM('Counts'!$B$26&amp;"")="","",IFERROR(TRIM(INDEX($A409:$Z409,MATCH('Counts'!$B$26,$A$1:$Z$1,0))&amp;""),""))</f>
        <v/>
      </c>
      <c r="AD409" s="41">
        <f>IF(TRIM('Counts'!$B$44&amp;"")="","",IFERROR(TRIM(INDEX($A409:$Z409,MATCH('Counts'!$B$44,$A$1:$Z$1,0))&amp;""),""))</f>
        <v/>
      </c>
      <c r="AE409" s="41">
        <f>IF(TRIM('Cross-tab'!$B$5&amp;"")="","",IFERROR(TRIM(INDEX($A409:$Z409,MATCH('Cross-tab'!$B$5,$A$1:$Z$1,0))&amp;""),""))</f>
        <v/>
      </c>
      <c r="AF409" s="41">
        <f>IF(TRIM('Cross-tab'!$B$7&amp;"")="","",IFERROR(TRIM(INDEX($A409:$Z409,MATCH('Cross-tab'!$B$7,$A$1:$Z$1,0))&amp;""),""))</f>
        <v/>
      </c>
      <c r="AG409" s="41">
        <f>IF(ISNUMBER(IFERROR(VALUE(IF(TRIM('Scale score'!$B$5&amp;"")="","",IFERROR(TRIM(INDEX($A409:$Z409,MATCH('Scale score'!$B$5,$A$1:$Z$1,0))&amp;""),""))),"")),IF(AND(IFERROR(VALUE(IF(TRIM('Scale score'!$B$5&amp;"")="","",IFERROR(TRIM(INDEX($A409:$Z409,MATCH('Scale score'!$B$5,$A$1:$Z$1,0))&amp;""),""))),"")&gt;='Scale score'!$B$6,IFERROR(VALUE(IF(TRIM('Scale score'!$B$5&amp;"")="","",IFERROR(TRIM(INDEX($A409:$Z409,MATCH('Scale score'!$B$5,$A$1:$Z$1,0))&amp;""),""))),"")&lt;='Scale score'!$B$7),IFERROR(VALUE(IF(TRIM('Scale score'!$B$5&amp;"")="","",IFERROR(TRIM(INDEX($A409:$Z409,MATCH('Scale score'!$B$5,$A$1:$Z$1,0))&amp;""),""))),""),""),"")</f>
        <v/>
      </c>
      <c r="AH409" s="41">
        <f>IF(TRIM('Open answers'!$B$5&amp;"")="","",IFERROR(TRIM(INDEX($A409:$Z409,MATCH('Open answers'!$B$5,$A$1:$Z$1,0))&amp;""),""))</f>
        <v/>
      </c>
      <c r="AI409" s="41">
        <f>IF(LEN(AH409)&gt;0,MAX($AI$1:AI408)+1,"")</f>
        <v/>
      </c>
    </row>
    <row r="410">
      <c r="AA410" s="40" t="n"/>
      <c r="AB410" s="41">
        <f>IF(TRIM('Counts'!$B$8&amp;"")="","",IFERROR(TRIM(INDEX($A410:$Z410,MATCH('Counts'!$B$8,$A$1:$Z$1,0))&amp;""),""))</f>
        <v/>
      </c>
      <c r="AC410" s="41">
        <f>IF(TRIM('Counts'!$B$26&amp;"")="","",IFERROR(TRIM(INDEX($A410:$Z410,MATCH('Counts'!$B$26,$A$1:$Z$1,0))&amp;""),""))</f>
        <v/>
      </c>
      <c r="AD410" s="41">
        <f>IF(TRIM('Counts'!$B$44&amp;"")="","",IFERROR(TRIM(INDEX($A410:$Z410,MATCH('Counts'!$B$44,$A$1:$Z$1,0))&amp;""),""))</f>
        <v/>
      </c>
      <c r="AE410" s="41">
        <f>IF(TRIM('Cross-tab'!$B$5&amp;"")="","",IFERROR(TRIM(INDEX($A410:$Z410,MATCH('Cross-tab'!$B$5,$A$1:$Z$1,0))&amp;""),""))</f>
        <v/>
      </c>
      <c r="AF410" s="41">
        <f>IF(TRIM('Cross-tab'!$B$7&amp;"")="","",IFERROR(TRIM(INDEX($A410:$Z410,MATCH('Cross-tab'!$B$7,$A$1:$Z$1,0))&amp;""),""))</f>
        <v/>
      </c>
      <c r="AG410" s="41">
        <f>IF(ISNUMBER(IFERROR(VALUE(IF(TRIM('Scale score'!$B$5&amp;"")="","",IFERROR(TRIM(INDEX($A410:$Z410,MATCH('Scale score'!$B$5,$A$1:$Z$1,0))&amp;""),""))),"")),IF(AND(IFERROR(VALUE(IF(TRIM('Scale score'!$B$5&amp;"")="","",IFERROR(TRIM(INDEX($A410:$Z410,MATCH('Scale score'!$B$5,$A$1:$Z$1,0))&amp;""),""))),"")&gt;='Scale score'!$B$6,IFERROR(VALUE(IF(TRIM('Scale score'!$B$5&amp;"")="","",IFERROR(TRIM(INDEX($A410:$Z410,MATCH('Scale score'!$B$5,$A$1:$Z$1,0))&amp;""),""))),"")&lt;='Scale score'!$B$7),IFERROR(VALUE(IF(TRIM('Scale score'!$B$5&amp;"")="","",IFERROR(TRIM(INDEX($A410:$Z410,MATCH('Scale score'!$B$5,$A$1:$Z$1,0))&amp;""),""))),""),""),"")</f>
        <v/>
      </c>
      <c r="AH410" s="41">
        <f>IF(TRIM('Open answers'!$B$5&amp;"")="","",IFERROR(TRIM(INDEX($A410:$Z410,MATCH('Open answers'!$B$5,$A$1:$Z$1,0))&amp;""),""))</f>
        <v/>
      </c>
      <c r="AI410" s="41">
        <f>IF(LEN(AH410)&gt;0,MAX($AI$1:AI409)+1,"")</f>
        <v/>
      </c>
    </row>
    <row r="411">
      <c r="AA411" s="40" t="n"/>
      <c r="AB411" s="41">
        <f>IF(TRIM('Counts'!$B$8&amp;"")="","",IFERROR(TRIM(INDEX($A411:$Z411,MATCH('Counts'!$B$8,$A$1:$Z$1,0))&amp;""),""))</f>
        <v/>
      </c>
      <c r="AC411" s="41">
        <f>IF(TRIM('Counts'!$B$26&amp;"")="","",IFERROR(TRIM(INDEX($A411:$Z411,MATCH('Counts'!$B$26,$A$1:$Z$1,0))&amp;""),""))</f>
        <v/>
      </c>
      <c r="AD411" s="41">
        <f>IF(TRIM('Counts'!$B$44&amp;"")="","",IFERROR(TRIM(INDEX($A411:$Z411,MATCH('Counts'!$B$44,$A$1:$Z$1,0))&amp;""),""))</f>
        <v/>
      </c>
      <c r="AE411" s="41">
        <f>IF(TRIM('Cross-tab'!$B$5&amp;"")="","",IFERROR(TRIM(INDEX($A411:$Z411,MATCH('Cross-tab'!$B$5,$A$1:$Z$1,0))&amp;""),""))</f>
        <v/>
      </c>
      <c r="AF411" s="41">
        <f>IF(TRIM('Cross-tab'!$B$7&amp;"")="","",IFERROR(TRIM(INDEX($A411:$Z411,MATCH('Cross-tab'!$B$7,$A$1:$Z$1,0))&amp;""),""))</f>
        <v/>
      </c>
      <c r="AG411" s="41">
        <f>IF(ISNUMBER(IFERROR(VALUE(IF(TRIM('Scale score'!$B$5&amp;"")="","",IFERROR(TRIM(INDEX($A411:$Z411,MATCH('Scale score'!$B$5,$A$1:$Z$1,0))&amp;""),""))),"")),IF(AND(IFERROR(VALUE(IF(TRIM('Scale score'!$B$5&amp;"")="","",IFERROR(TRIM(INDEX($A411:$Z411,MATCH('Scale score'!$B$5,$A$1:$Z$1,0))&amp;""),""))),"")&gt;='Scale score'!$B$6,IFERROR(VALUE(IF(TRIM('Scale score'!$B$5&amp;"")="","",IFERROR(TRIM(INDEX($A411:$Z411,MATCH('Scale score'!$B$5,$A$1:$Z$1,0))&amp;""),""))),"")&lt;='Scale score'!$B$7),IFERROR(VALUE(IF(TRIM('Scale score'!$B$5&amp;"")="","",IFERROR(TRIM(INDEX($A411:$Z411,MATCH('Scale score'!$B$5,$A$1:$Z$1,0))&amp;""),""))),""),""),"")</f>
        <v/>
      </c>
      <c r="AH411" s="41">
        <f>IF(TRIM('Open answers'!$B$5&amp;"")="","",IFERROR(TRIM(INDEX($A411:$Z411,MATCH('Open answers'!$B$5,$A$1:$Z$1,0))&amp;""),""))</f>
        <v/>
      </c>
      <c r="AI411" s="41">
        <f>IF(LEN(AH411)&gt;0,MAX($AI$1:AI410)+1,"")</f>
        <v/>
      </c>
    </row>
    <row r="412">
      <c r="AA412" s="40" t="n"/>
      <c r="AB412" s="41">
        <f>IF(TRIM('Counts'!$B$8&amp;"")="","",IFERROR(TRIM(INDEX($A412:$Z412,MATCH('Counts'!$B$8,$A$1:$Z$1,0))&amp;""),""))</f>
        <v/>
      </c>
      <c r="AC412" s="41">
        <f>IF(TRIM('Counts'!$B$26&amp;"")="","",IFERROR(TRIM(INDEX($A412:$Z412,MATCH('Counts'!$B$26,$A$1:$Z$1,0))&amp;""),""))</f>
        <v/>
      </c>
      <c r="AD412" s="41">
        <f>IF(TRIM('Counts'!$B$44&amp;"")="","",IFERROR(TRIM(INDEX($A412:$Z412,MATCH('Counts'!$B$44,$A$1:$Z$1,0))&amp;""),""))</f>
        <v/>
      </c>
      <c r="AE412" s="41">
        <f>IF(TRIM('Cross-tab'!$B$5&amp;"")="","",IFERROR(TRIM(INDEX($A412:$Z412,MATCH('Cross-tab'!$B$5,$A$1:$Z$1,0))&amp;""),""))</f>
        <v/>
      </c>
      <c r="AF412" s="41">
        <f>IF(TRIM('Cross-tab'!$B$7&amp;"")="","",IFERROR(TRIM(INDEX($A412:$Z412,MATCH('Cross-tab'!$B$7,$A$1:$Z$1,0))&amp;""),""))</f>
        <v/>
      </c>
      <c r="AG412" s="41">
        <f>IF(ISNUMBER(IFERROR(VALUE(IF(TRIM('Scale score'!$B$5&amp;"")="","",IFERROR(TRIM(INDEX($A412:$Z412,MATCH('Scale score'!$B$5,$A$1:$Z$1,0))&amp;""),""))),"")),IF(AND(IFERROR(VALUE(IF(TRIM('Scale score'!$B$5&amp;"")="","",IFERROR(TRIM(INDEX($A412:$Z412,MATCH('Scale score'!$B$5,$A$1:$Z$1,0))&amp;""),""))),"")&gt;='Scale score'!$B$6,IFERROR(VALUE(IF(TRIM('Scale score'!$B$5&amp;"")="","",IFERROR(TRIM(INDEX($A412:$Z412,MATCH('Scale score'!$B$5,$A$1:$Z$1,0))&amp;""),""))),"")&lt;='Scale score'!$B$7),IFERROR(VALUE(IF(TRIM('Scale score'!$B$5&amp;"")="","",IFERROR(TRIM(INDEX($A412:$Z412,MATCH('Scale score'!$B$5,$A$1:$Z$1,0))&amp;""),""))),""),""),"")</f>
        <v/>
      </c>
      <c r="AH412" s="41">
        <f>IF(TRIM('Open answers'!$B$5&amp;"")="","",IFERROR(TRIM(INDEX($A412:$Z412,MATCH('Open answers'!$B$5,$A$1:$Z$1,0))&amp;""),""))</f>
        <v/>
      </c>
      <c r="AI412" s="41">
        <f>IF(LEN(AH412)&gt;0,MAX($AI$1:AI411)+1,"")</f>
        <v/>
      </c>
    </row>
    <row r="413">
      <c r="AA413" s="40" t="n"/>
      <c r="AB413" s="41">
        <f>IF(TRIM('Counts'!$B$8&amp;"")="","",IFERROR(TRIM(INDEX($A413:$Z413,MATCH('Counts'!$B$8,$A$1:$Z$1,0))&amp;""),""))</f>
        <v/>
      </c>
      <c r="AC413" s="41">
        <f>IF(TRIM('Counts'!$B$26&amp;"")="","",IFERROR(TRIM(INDEX($A413:$Z413,MATCH('Counts'!$B$26,$A$1:$Z$1,0))&amp;""),""))</f>
        <v/>
      </c>
      <c r="AD413" s="41">
        <f>IF(TRIM('Counts'!$B$44&amp;"")="","",IFERROR(TRIM(INDEX($A413:$Z413,MATCH('Counts'!$B$44,$A$1:$Z$1,0))&amp;""),""))</f>
        <v/>
      </c>
      <c r="AE413" s="41">
        <f>IF(TRIM('Cross-tab'!$B$5&amp;"")="","",IFERROR(TRIM(INDEX($A413:$Z413,MATCH('Cross-tab'!$B$5,$A$1:$Z$1,0))&amp;""),""))</f>
        <v/>
      </c>
      <c r="AF413" s="41">
        <f>IF(TRIM('Cross-tab'!$B$7&amp;"")="","",IFERROR(TRIM(INDEX($A413:$Z413,MATCH('Cross-tab'!$B$7,$A$1:$Z$1,0))&amp;""),""))</f>
        <v/>
      </c>
      <c r="AG413" s="41">
        <f>IF(ISNUMBER(IFERROR(VALUE(IF(TRIM('Scale score'!$B$5&amp;"")="","",IFERROR(TRIM(INDEX($A413:$Z413,MATCH('Scale score'!$B$5,$A$1:$Z$1,0))&amp;""),""))),"")),IF(AND(IFERROR(VALUE(IF(TRIM('Scale score'!$B$5&amp;"")="","",IFERROR(TRIM(INDEX($A413:$Z413,MATCH('Scale score'!$B$5,$A$1:$Z$1,0))&amp;""),""))),"")&gt;='Scale score'!$B$6,IFERROR(VALUE(IF(TRIM('Scale score'!$B$5&amp;"")="","",IFERROR(TRIM(INDEX($A413:$Z413,MATCH('Scale score'!$B$5,$A$1:$Z$1,0))&amp;""),""))),"")&lt;='Scale score'!$B$7),IFERROR(VALUE(IF(TRIM('Scale score'!$B$5&amp;"")="","",IFERROR(TRIM(INDEX($A413:$Z413,MATCH('Scale score'!$B$5,$A$1:$Z$1,0))&amp;""),""))),""),""),"")</f>
        <v/>
      </c>
      <c r="AH413" s="41">
        <f>IF(TRIM('Open answers'!$B$5&amp;"")="","",IFERROR(TRIM(INDEX($A413:$Z413,MATCH('Open answers'!$B$5,$A$1:$Z$1,0))&amp;""),""))</f>
        <v/>
      </c>
      <c r="AI413" s="41">
        <f>IF(LEN(AH413)&gt;0,MAX($AI$1:AI412)+1,"")</f>
        <v/>
      </c>
    </row>
    <row r="414">
      <c r="AA414" s="40" t="n"/>
      <c r="AB414" s="41">
        <f>IF(TRIM('Counts'!$B$8&amp;"")="","",IFERROR(TRIM(INDEX($A414:$Z414,MATCH('Counts'!$B$8,$A$1:$Z$1,0))&amp;""),""))</f>
        <v/>
      </c>
      <c r="AC414" s="41">
        <f>IF(TRIM('Counts'!$B$26&amp;"")="","",IFERROR(TRIM(INDEX($A414:$Z414,MATCH('Counts'!$B$26,$A$1:$Z$1,0))&amp;""),""))</f>
        <v/>
      </c>
      <c r="AD414" s="41">
        <f>IF(TRIM('Counts'!$B$44&amp;"")="","",IFERROR(TRIM(INDEX($A414:$Z414,MATCH('Counts'!$B$44,$A$1:$Z$1,0))&amp;""),""))</f>
        <v/>
      </c>
      <c r="AE414" s="41">
        <f>IF(TRIM('Cross-tab'!$B$5&amp;"")="","",IFERROR(TRIM(INDEX($A414:$Z414,MATCH('Cross-tab'!$B$5,$A$1:$Z$1,0))&amp;""),""))</f>
        <v/>
      </c>
      <c r="AF414" s="41">
        <f>IF(TRIM('Cross-tab'!$B$7&amp;"")="","",IFERROR(TRIM(INDEX($A414:$Z414,MATCH('Cross-tab'!$B$7,$A$1:$Z$1,0))&amp;""),""))</f>
        <v/>
      </c>
      <c r="AG414" s="41">
        <f>IF(ISNUMBER(IFERROR(VALUE(IF(TRIM('Scale score'!$B$5&amp;"")="","",IFERROR(TRIM(INDEX($A414:$Z414,MATCH('Scale score'!$B$5,$A$1:$Z$1,0))&amp;""),""))),"")),IF(AND(IFERROR(VALUE(IF(TRIM('Scale score'!$B$5&amp;"")="","",IFERROR(TRIM(INDEX($A414:$Z414,MATCH('Scale score'!$B$5,$A$1:$Z$1,0))&amp;""),""))),"")&gt;='Scale score'!$B$6,IFERROR(VALUE(IF(TRIM('Scale score'!$B$5&amp;"")="","",IFERROR(TRIM(INDEX($A414:$Z414,MATCH('Scale score'!$B$5,$A$1:$Z$1,0))&amp;""),""))),"")&lt;='Scale score'!$B$7),IFERROR(VALUE(IF(TRIM('Scale score'!$B$5&amp;"")="","",IFERROR(TRIM(INDEX($A414:$Z414,MATCH('Scale score'!$B$5,$A$1:$Z$1,0))&amp;""),""))),""),""),"")</f>
        <v/>
      </c>
      <c r="AH414" s="41">
        <f>IF(TRIM('Open answers'!$B$5&amp;"")="","",IFERROR(TRIM(INDEX($A414:$Z414,MATCH('Open answers'!$B$5,$A$1:$Z$1,0))&amp;""),""))</f>
        <v/>
      </c>
      <c r="AI414" s="41">
        <f>IF(LEN(AH414)&gt;0,MAX($AI$1:AI413)+1,"")</f>
        <v/>
      </c>
    </row>
    <row r="415">
      <c r="AA415" s="40" t="n"/>
      <c r="AB415" s="41">
        <f>IF(TRIM('Counts'!$B$8&amp;"")="","",IFERROR(TRIM(INDEX($A415:$Z415,MATCH('Counts'!$B$8,$A$1:$Z$1,0))&amp;""),""))</f>
        <v/>
      </c>
      <c r="AC415" s="41">
        <f>IF(TRIM('Counts'!$B$26&amp;"")="","",IFERROR(TRIM(INDEX($A415:$Z415,MATCH('Counts'!$B$26,$A$1:$Z$1,0))&amp;""),""))</f>
        <v/>
      </c>
      <c r="AD415" s="41">
        <f>IF(TRIM('Counts'!$B$44&amp;"")="","",IFERROR(TRIM(INDEX($A415:$Z415,MATCH('Counts'!$B$44,$A$1:$Z$1,0))&amp;""),""))</f>
        <v/>
      </c>
      <c r="AE415" s="41">
        <f>IF(TRIM('Cross-tab'!$B$5&amp;"")="","",IFERROR(TRIM(INDEX($A415:$Z415,MATCH('Cross-tab'!$B$5,$A$1:$Z$1,0))&amp;""),""))</f>
        <v/>
      </c>
      <c r="AF415" s="41">
        <f>IF(TRIM('Cross-tab'!$B$7&amp;"")="","",IFERROR(TRIM(INDEX($A415:$Z415,MATCH('Cross-tab'!$B$7,$A$1:$Z$1,0))&amp;""),""))</f>
        <v/>
      </c>
      <c r="AG415" s="41">
        <f>IF(ISNUMBER(IFERROR(VALUE(IF(TRIM('Scale score'!$B$5&amp;"")="","",IFERROR(TRIM(INDEX($A415:$Z415,MATCH('Scale score'!$B$5,$A$1:$Z$1,0))&amp;""),""))),"")),IF(AND(IFERROR(VALUE(IF(TRIM('Scale score'!$B$5&amp;"")="","",IFERROR(TRIM(INDEX($A415:$Z415,MATCH('Scale score'!$B$5,$A$1:$Z$1,0))&amp;""),""))),"")&gt;='Scale score'!$B$6,IFERROR(VALUE(IF(TRIM('Scale score'!$B$5&amp;"")="","",IFERROR(TRIM(INDEX($A415:$Z415,MATCH('Scale score'!$B$5,$A$1:$Z$1,0))&amp;""),""))),"")&lt;='Scale score'!$B$7),IFERROR(VALUE(IF(TRIM('Scale score'!$B$5&amp;"")="","",IFERROR(TRIM(INDEX($A415:$Z415,MATCH('Scale score'!$B$5,$A$1:$Z$1,0))&amp;""),""))),""),""),"")</f>
        <v/>
      </c>
      <c r="AH415" s="41">
        <f>IF(TRIM('Open answers'!$B$5&amp;"")="","",IFERROR(TRIM(INDEX($A415:$Z415,MATCH('Open answers'!$B$5,$A$1:$Z$1,0))&amp;""),""))</f>
        <v/>
      </c>
      <c r="AI415" s="41">
        <f>IF(LEN(AH415)&gt;0,MAX($AI$1:AI414)+1,"")</f>
        <v/>
      </c>
    </row>
    <row r="416">
      <c r="AA416" s="40" t="n"/>
      <c r="AB416" s="41">
        <f>IF(TRIM('Counts'!$B$8&amp;"")="","",IFERROR(TRIM(INDEX($A416:$Z416,MATCH('Counts'!$B$8,$A$1:$Z$1,0))&amp;""),""))</f>
        <v/>
      </c>
      <c r="AC416" s="41">
        <f>IF(TRIM('Counts'!$B$26&amp;"")="","",IFERROR(TRIM(INDEX($A416:$Z416,MATCH('Counts'!$B$26,$A$1:$Z$1,0))&amp;""),""))</f>
        <v/>
      </c>
      <c r="AD416" s="41">
        <f>IF(TRIM('Counts'!$B$44&amp;"")="","",IFERROR(TRIM(INDEX($A416:$Z416,MATCH('Counts'!$B$44,$A$1:$Z$1,0))&amp;""),""))</f>
        <v/>
      </c>
      <c r="AE416" s="41">
        <f>IF(TRIM('Cross-tab'!$B$5&amp;"")="","",IFERROR(TRIM(INDEX($A416:$Z416,MATCH('Cross-tab'!$B$5,$A$1:$Z$1,0))&amp;""),""))</f>
        <v/>
      </c>
      <c r="AF416" s="41">
        <f>IF(TRIM('Cross-tab'!$B$7&amp;"")="","",IFERROR(TRIM(INDEX($A416:$Z416,MATCH('Cross-tab'!$B$7,$A$1:$Z$1,0))&amp;""),""))</f>
        <v/>
      </c>
      <c r="AG416" s="41">
        <f>IF(ISNUMBER(IFERROR(VALUE(IF(TRIM('Scale score'!$B$5&amp;"")="","",IFERROR(TRIM(INDEX($A416:$Z416,MATCH('Scale score'!$B$5,$A$1:$Z$1,0))&amp;""),""))),"")),IF(AND(IFERROR(VALUE(IF(TRIM('Scale score'!$B$5&amp;"")="","",IFERROR(TRIM(INDEX($A416:$Z416,MATCH('Scale score'!$B$5,$A$1:$Z$1,0))&amp;""),""))),"")&gt;='Scale score'!$B$6,IFERROR(VALUE(IF(TRIM('Scale score'!$B$5&amp;"")="","",IFERROR(TRIM(INDEX($A416:$Z416,MATCH('Scale score'!$B$5,$A$1:$Z$1,0))&amp;""),""))),"")&lt;='Scale score'!$B$7),IFERROR(VALUE(IF(TRIM('Scale score'!$B$5&amp;"")="","",IFERROR(TRIM(INDEX($A416:$Z416,MATCH('Scale score'!$B$5,$A$1:$Z$1,0))&amp;""),""))),""),""),"")</f>
        <v/>
      </c>
      <c r="AH416" s="41">
        <f>IF(TRIM('Open answers'!$B$5&amp;"")="","",IFERROR(TRIM(INDEX($A416:$Z416,MATCH('Open answers'!$B$5,$A$1:$Z$1,0))&amp;""),""))</f>
        <v/>
      </c>
      <c r="AI416" s="41">
        <f>IF(LEN(AH416)&gt;0,MAX($AI$1:AI415)+1,"")</f>
        <v/>
      </c>
    </row>
    <row r="417">
      <c r="AA417" s="40" t="n"/>
      <c r="AB417" s="41">
        <f>IF(TRIM('Counts'!$B$8&amp;"")="","",IFERROR(TRIM(INDEX($A417:$Z417,MATCH('Counts'!$B$8,$A$1:$Z$1,0))&amp;""),""))</f>
        <v/>
      </c>
      <c r="AC417" s="41">
        <f>IF(TRIM('Counts'!$B$26&amp;"")="","",IFERROR(TRIM(INDEX($A417:$Z417,MATCH('Counts'!$B$26,$A$1:$Z$1,0))&amp;""),""))</f>
        <v/>
      </c>
      <c r="AD417" s="41">
        <f>IF(TRIM('Counts'!$B$44&amp;"")="","",IFERROR(TRIM(INDEX($A417:$Z417,MATCH('Counts'!$B$44,$A$1:$Z$1,0))&amp;""),""))</f>
        <v/>
      </c>
      <c r="AE417" s="41">
        <f>IF(TRIM('Cross-tab'!$B$5&amp;"")="","",IFERROR(TRIM(INDEX($A417:$Z417,MATCH('Cross-tab'!$B$5,$A$1:$Z$1,0))&amp;""),""))</f>
        <v/>
      </c>
      <c r="AF417" s="41">
        <f>IF(TRIM('Cross-tab'!$B$7&amp;"")="","",IFERROR(TRIM(INDEX($A417:$Z417,MATCH('Cross-tab'!$B$7,$A$1:$Z$1,0))&amp;""),""))</f>
        <v/>
      </c>
      <c r="AG417" s="41">
        <f>IF(ISNUMBER(IFERROR(VALUE(IF(TRIM('Scale score'!$B$5&amp;"")="","",IFERROR(TRIM(INDEX($A417:$Z417,MATCH('Scale score'!$B$5,$A$1:$Z$1,0))&amp;""),""))),"")),IF(AND(IFERROR(VALUE(IF(TRIM('Scale score'!$B$5&amp;"")="","",IFERROR(TRIM(INDEX($A417:$Z417,MATCH('Scale score'!$B$5,$A$1:$Z$1,0))&amp;""),""))),"")&gt;='Scale score'!$B$6,IFERROR(VALUE(IF(TRIM('Scale score'!$B$5&amp;"")="","",IFERROR(TRIM(INDEX($A417:$Z417,MATCH('Scale score'!$B$5,$A$1:$Z$1,0))&amp;""),""))),"")&lt;='Scale score'!$B$7),IFERROR(VALUE(IF(TRIM('Scale score'!$B$5&amp;"")="","",IFERROR(TRIM(INDEX($A417:$Z417,MATCH('Scale score'!$B$5,$A$1:$Z$1,0))&amp;""),""))),""),""),"")</f>
        <v/>
      </c>
      <c r="AH417" s="41">
        <f>IF(TRIM('Open answers'!$B$5&amp;"")="","",IFERROR(TRIM(INDEX($A417:$Z417,MATCH('Open answers'!$B$5,$A$1:$Z$1,0))&amp;""),""))</f>
        <v/>
      </c>
      <c r="AI417" s="41">
        <f>IF(LEN(AH417)&gt;0,MAX($AI$1:AI416)+1,"")</f>
        <v/>
      </c>
    </row>
    <row r="418">
      <c r="AA418" s="40" t="n"/>
      <c r="AB418" s="41">
        <f>IF(TRIM('Counts'!$B$8&amp;"")="","",IFERROR(TRIM(INDEX($A418:$Z418,MATCH('Counts'!$B$8,$A$1:$Z$1,0))&amp;""),""))</f>
        <v/>
      </c>
      <c r="AC418" s="41">
        <f>IF(TRIM('Counts'!$B$26&amp;"")="","",IFERROR(TRIM(INDEX($A418:$Z418,MATCH('Counts'!$B$26,$A$1:$Z$1,0))&amp;""),""))</f>
        <v/>
      </c>
      <c r="AD418" s="41">
        <f>IF(TRIM('Counts'!$B$44&amp;"")="","",IFERROR(TRIM(INDEX($A418:$Z418,MATCH('Counts'!$B$44,$A$1:$Z$1,0))&amp;""),""))</f>
        <v/>
      </c>
      <c r="AE418" s="41">
        <f>IF(TRIM('Cross-tab'!$B$5&amp;"")="","",IFERROR(TRIM(INDEX($A418:$Z418,MATCH('Cross-tab'!$B$5,$A$1:$Z$1,0))&amp;""),""))</f>
        <v/>
      </c>
      <c r="AF418" s="41">
        <f>IF(TRIM('Cross-tab'!$B$7&amp;"")="","",IFERROR(TRIM(INDEX($A418:$Z418,MATCH('Cross-tab'!$B$7,$A$1:$Z$1,0))&amp;""),""))</f>
        <v/>
      </c>
      <c r="AG418" s="41">
        <f>IF(ISNUMBER(IFERROR(VALUE(IF(TRIM('Scale score'!$B$5&amp;"")="","",IFERROR(TRIM(INDEX($A418:$Z418,MATCH('Scale score'!$B$5,$A$1:$Z$1,0))&amp;""),""))),"")),IF(AND(IFERROR(VALUE(IF(TRIM('Scale score'!$B$5&amp;"")="","",IFERROR(TRIM(INDEX($A418:$Z418,MATCH('Scale score'!$B$5,$A$1:$Z$1,0))&amp;""),""))),"")&gt;='Scale score'!$B$6,IFERROR(VALUE(IF(TRIM('Scale score'!$B$5&amp;"")="","",IFERROR(TRIM(INDEX($A418:$Z418,MATCH('Scale score'!$B$5,$A$1:$Z$1,0))&amp;""),""))),"")&lt;='Scale score'!$B$7),IFERROR(VALUE(IF(TRIM('Scale score'!$B$5&amp;"")="","",IFERROR(TRIM(INDEX($A418:$Z418,MATCH('Scale score'!$B$5,$A$1:$Z$1,0))&amp;""),""))),""),""),"")</f>
        <v/>
      </c>
      <c r="AH418" s="41">
        <f>IF(TRIM('Open answers'!$B$5&amp;"")="","",IFERROR(TRIM(INDEX($A418:$Z418,MATCH('Open answers'!$B$5,$A$1:$Z$1,0))&amp;""),""))</f>
        <v/>
      </c>
      <c r="AI418" s="41">
        <f>IF(LEN(AH418)&gt;0,MAX($AI$1:AI417)+1,"")</f>
        <v/>
      </c>
    </row>
    <row r="419">
      <c r="AA419" s="40" t="n"/>
      <c r="AB419" s="41">
        <f>IF(TRIM('Counts'!$B$8&amp;"")="","",IFERROR(TRIM(INDEX($A419:$Z419,MATCH('Counts'!$B$8,$A$1:$Z$1,0))&amp;""),""))</f>
        <v/>
      </c>
      <c r="AC419" s="41">
        <f>IF(TRIM('Counts'!$B$26&amp;"")="","",IFERROR(TRIM(INDEX($A419:$Z419,MATCH('Counts'!$B$26,$A$1:$Z$1,0))&amp;""),""))</f>
        <v/>
      </c>
      <c r="AD419" s="41">
        <f>IF(TRIM('Counts'!$B$44&amp;"")="","",IFERROR(TRIM(INDEX($A419:$Z419,MATCH('Counts'!$B$44,$A$1:$Z$1,0))&amp;""),""))</f>
        <v/>
      </c>
      <c r="AE419" s="41">
        <f>IF(TRIM('Cross-tab'!$B$5&amp;"")="","",IFERROR(TRIM(INDEX($A419:$Z419,MATCH('Cross-tab'!$B$5,$A$1:$Z$1,0))&amp;""),""))</f>
        <v/>
      </c>
      <c r="AF419" s="41">
        <f>IF(TRIM('Cross-tab'!$B$7&amp;"")="","",IFERROR(TRIM(INDEX($A419:$Z419,MATCH('Cross-tab'!$B$7,$A$1:$Z$1,0))&amp;""),""))</f>
        <v/>
      </c>
      <c r="AG419" s="41">
        <f>IF(ISNUMBER(IFERROR(VALUE(IF(TRIM('Scale score'!$B$5&amp;"")="","",IFERROR(TRIM(INDEX($A419:$Z419,MATCH('Scale score'!$B$5,$A$1:$Z$1,0))&amp;""),""))),"")),IF(AND(IFERROR(VALUE(IF(TRIM('Scale score'!$B$5&amp;"")="","",IFERROR(TRIM(INDEX($A419:$Z419,MATCH('Scale score'!$B$5,$A$1:$Z$1,0))&amp;""),""))),"")&gt;='Scale score'!$B$6,IFERROR(VALUE(IF(TRIM('Scale score'!$B$5&amp;"")="","",IFERROR(TRIM(INDEX($A419:$Z419,MATCH('Scale score'!$B$5,$A$1:$Z$1,0))&amp;""),""))),"")&lt;='Scale score'!$B$7),IFERROR(VALUE(IF(TRIM('Scale score'!$B$5&amp;"")="","",IFERROR(TRIM(INDEX($A419:$Z419,MATCH('Scale score'!$B$5,$A$1:$Z$1,0))&amp;""),""))),""),""),"")</f>
        <v/>
      </c>
      <c r="AH419" s="41">
        <f>IF(TRIM('Open answers'!$B$5&amp;"")="","",IFERROR(TRIM(INDEX($A419:$Z419,MATCH('Open answers'!$B$5,$A$1:$Z$1,0))&amp;""),""))</f>
        <v/>
      </c>
      <c r="AI419" s="41">
        <f>IF(LEN(AH419)&gt;0,MAX($AI$1:AI418)+1,"")</f>
        <v/>
      </c>
    </row>
    <row r="420">
      <c r="AA420" s="40" t="n"/>
      <c r="AB420" s="41">
        <f>IF(TRIM('Counts'!$B$8&amp;"")="","",IFERROR(TRIM(INDEX($A420:$Z420,MATCH('Counts'!$B$8,$A$1:$Z$1,0))&amp;""),""))</f>
        <v/>
      </c>
      <c r="AC420" s="41">
        <f>IF(TRIM('Counts'!$B$26&amp;"")="","",IFERROR(TRIM(INDEX($A420:$Z420,MATCH('Counts'!$B$26,$A$1:$Z$1,0))&amp;""),""))</f>
        <v/>
      </c>
      <c r="AD420" s="41">
        <f>IF(TRIM('Counts'!$B$44&amp;"")="","",IFERROR(TRIM(INDEX($A420:$Z420,MATCH('Counts'!$B$44,$A$1:$Z$1,0))&amp;""),""))</f>
        <v/>
      </c>
      <c r="AE420" s="41">
        <f>IF(TRIM('Cross-tab'!$B$5&amp;"")="","",IFERROR(TRIM(INDEX($A420:$Z420,MATCH('Cross-tab'!$B$5,$A$1:$Z$1,0))&amp;""),""))</f>
        <v/>
      </c>
      <c r="AF420" s="41">
        <f>IF(TRIM('Cross-tab'!$B$7&amp;"")="","",IFERROR(TRIM(INDEX($A420:$Z420,MATCH('Cross-tab'!$B$7,$A$1:$Z$1,0))&amp;""),""))</f>
        <v/>
      </c>
      <c r="AG420" s="41">
        <f>IF(ISNUMBER(IFERROR(VALUE(IF(TRIM('Scale score'!$B$5&amp;"")="","",IFERROR(TRIM(INDEX($A420:$Z420,MATCH('Scale score'!$B$5,$A$1:$Z$1,0))&amp;""),""))),"")),IF(AND(IFERROR(VALUE(IF(TRIM('Scale score'!$B$5&amp;"")="","",IFERROR(TRIM(INDEX($A420:$Z420,MATCH('Scale score'!$B$5,$A$1:$Z$1,0))&amp;""),""))),"")&gt;='Scale score'!$B$6,IFERROR(VALUE(IF(TRIM('Scale score'!$B$5&amp;"")="","",IFERROR(TRIM(INDEX($A420:$Z420,MATCH('Scale score'!$B$5,$A$1:$Z$1,0))&amp;""),""))),"")&lt;='Scale score'!$B$7),IFERROR(VALUE(IF(TRIM('Scale score'!$B$5&amp;"")="","",IFERROR(TRIM(INDEX($A420:$Z420,MATCH('Scale score'!$B$5,$A$1:$Z$1,0))&amp;""),""))),""),""),"")</f>
        <v/>
      </c>
      <c r="AH420" s="41">
        <f>IF(TRIM('Open answers'!$B$5&amp;"")="","",IFERROR(TRIM(INDEX($A420:$Z420,MATCH('Open answers'!$B$5,$A$1:$Z$1,0))&amp;""),""))</f>
        <v/>
      </c>
      <c r="AI420" s="41">
        <f>IF(LEN(AH420)&gt;0,MAX($AI$1:AI419)+1,"")</f>
        <v/>
      </c>
    </row>
    <row r="421">
      <c r="AA421" s="40" t="n"/>
      <c r="AB421" s="41">
        <f>IF(TRIM('Counts'!$B$8&amp;"")="","",IFERROR(TRIM(INDEX($A421:$Z421,MATCH('Counts'!$B$8,$A$1:$Z$1,0))&amp;""),""))</f>
        <v/>
      </c>
      <c r="AC421" s="41">
        <f>IF(TRIM('Counts'!$B$26&amp;"")="","",IFERROR(TRIM(INDEX($A421:$Z421,MATCH('Counts'!$B$26,$A$1:$Z$1,0))&amp;""),""))</f>
        <v/>
      </c>
      <c r="AD421" s="41">
        <f>IF(TRIM('Counts'!$B$44&amp;"")="","",IFERROR(TRIM(INDEX($A421:$Z421,MATCH('Counts'!$B$44,$A$1:$Z$1,0))&amp;""),""))</f>
        <v/>
      </c>
      <c r="AE421" s="41">
        <f>IF(TRIM('Cross-tab'!$B$5&amp;"")="","",IFERROR(TRIM(INDEX($A421:$Z421,MATCH('Cross-tab'!$B$5,$A$1:$Z$1,0))&amp;""),""))</f>
        <v/>
      </c>
      <c r="AF421" s="41">
        <f>IF(TRIM('Cross-tab'!$B$7&amp;"")="","",IFERROR(TRIM(INDEX($A421:$Z421,MATCH('Cross-tab'!$B$7,$A$1:$Z$1,0))&amp;""),""))</f>
        <v/>
      </c>
      <c r="AG421" s="41">
        <f>IF(ISNUMBER(IFERROR(VALUE(IF(TRIM('Scale score'!$B$5&amp;"")="","",IFERROR(TRIM(INDEX($A421:$Z421,MATCH('Scale score'!$B$5,$A$1:$Z$1,0))&amp;""),""))),"")),IF(AND(IFERROR(VALUE(IF(TRIM('Scale score'!$B$5&amp;"")="","",IFERROR(TRIM(INDEX($A421:$Z421,MATCH('Scale score'!$B$5,$A$1:$Z$1,0))&amp;""),""))),"")&gt;='Scale score'!$B$6,IFERROR(VALUE(IF(TRIM('Scale score'!$B$5&amp;"")="","",IFERROR(TRIM(INDEX($A421:$Z421,MATCH('Scale score'!$B$5,$A$1:$Z$1,0))&amp;""),""))),"")&lt;='Scale score'!$B$7),IFERROR(VALUE(IF(TRIM('Scale score'!$B$5&amp;"")="","",IFERROR(TRIM(INDEX($A421:$Z421,MATCH('Scale score'!$B$5,$A$1:$Z$1,0))&amp;""),""))),""),""),"")</f>
        <v/>
      </c>
      <c r="AH421" s="41">
        <f>IF(TRIM('Open answers'!$B$5&amp;"")="","",IFERROR(TRIM(INDEX($A421:$Z421,MATCH('Open answers'!$B$5,$A$1:$Z$1,0))&amp;""),""))</f>
        <v/>
      </c>
      <c r="AI421" s="41">
        <f>IF(LEN(AH421)&gt;0,MAX($AI$1:AI420)+1,"")</f>
        <v/>
      </c>
    </row>
    <row r="422">
      <c r="AA422" s="40" t="n"/>
      <c r="AB422" s="41">
        <f>IF(TRIM('Counts'!$B$8&amp;"")="","",IFERROR(TRIM(INDEX($A422:$Z422,MATCH('Counts'!$B$8,$A$1:$Z$1,0))&amp;""),""))</f>
        <v/>
      </c>
      <c r="AC422" s="41">
        <f>IF(TRIM('Counts'!$B$26&amp;"")="","",IFERROR(TRIM(INDEX($A422:$Z422,MATCH('Counts'!$B$26,$A$1:$Z$1,0))&amp;""),""))</f>
        <v/>
      </c>
      <c r="AD422" s="41">
        <f>IF(TRIM('Counts'!$B$44&amp;"")="","",IFERROR(TRIM(INDEX($A422:$Z422,MATCH('Counts'!$B$44,$A$1:$Z$1,0))&amp;""),""))</f>
        <v/>
      </c>
      <c r="AE422" s="41">
        <f>IF(TRIM('Cross-tab'!$B$5&amp;"")="","",IFERROR(TRIM(INDEX($A422:$Z422,MATCH('Cross-tab'!$B$5,$A$1:$Z$1,0))&amp;""),""))</f>
        <v/>
      </c>
      <c r="AF422" s="41">
        <f>IF(TRIM('Cross-tab'!$B$7&amp;"")="","",IFERROR(TRIM(INDEX($A422:$Z422,MATCH('Cross-tab'!$B$7,$A$1:$Z$1,0))&amp;""),""))</f>
        <v/>
      </c>
      <c r="AG422" s="41">
        <f>IF(ISNUMBER(IFERROR(VALUE(IF(TRIM('Scale score'!$B$5&amp;"")="","",IFERROR(TRIM(INDEX($A422:$Z422,MATCH('Scale score'!$B$5,$A$1:$Z$1,0))&amp;""),""))),"")),IF(AND(IFERROR(VALUE(IF(TRIM('Scale score'!$B$5&amp;"")="","",IFERROR(TRIM(INDEX($A422:$Z422,MATCH('Scale score'!$B$5,$A$1:$Z$1,0))&amp;""),""))),"")&gt;='Scale score'!$B$6,IFERROR(VALUE(IF(TRIM('Scale score'!$B$5&amp;"")="","",IFERROR(TRIM(INDEX($A422:$Z422,MATCH('Scale score'!$B$5,$A$1:$Z$1,0))&amp;""),""))),"")&lt;='Scale score'!$B$7),IFERROR(VALUE(IF(TRIM('Scale score'!$B$5&amp;"")="","",IFERROR(TRIM(INDEX($A422:$Z422,MATCH('Scale score'!$B$5,$A$1:$Z$1,0))&amp;""),""))),""),""),"")</f>
        <v/>
      </c>
      <c r="AH422" s="41">
        <f>IF(TRIM('Open answers'!$B$5&amp;"")="","",IFERROR(TRIM(INDEX($A422:$Z422,MATCH('Open answers'!$B$5,$A$1:$Z$1,0))&amp;""),""))</f>
        <v/>
      </c>
      <c r="AI422" s="41">
        <f>IF(LEN(AH422)&gt;0,MAX($AI$1:AI421)+1,"")</f>
        <v/>
      </c>
    </row>
    <row r="423">
      <c r="AA423" s="40" t="n"/>
      <c r="AB423" s="41">
        <f>IF(TRIM('Counts'!$B$8&amp;"")="","",IFERROR(TRIM(INDEX($A423:$Z423,MATCH('Counts'!$B$8,$A$1:$Z$1,0))&amp;""),""))</f>
        <v/>
      </c>
      <c r="AC423" s="41">
        <f>IF(TRIM('Counts'!$B$26&amp;"")="","",IFERROR(TRIM(INDEX($A423:$Z423,MATCH('Counts'!$B$26,$A$1:$Z$1,0))&amp;""),""))</f>
        <v/>
      </c>
      <c r="AD423" s="41">
        <f>IF(TRIM('Counts'!$B$44&amp;"")="","",IFERROR(TRIM(INDEX($A423:$Z423,MATCH('Counts'!$B$44,$A$1:$Z$1,0))&amp;""),""))</f>
        <v/>
      </c>
      <c r="AE423" s="41">
        <f>IF(TRIM('Cross-tab'!$B$5&amp;"")="","",IFERROR(TRIM(INDEX($A423:$Z423,MATCH('Cross-tab'!$B$5,$A$1:$Z$1,0))&amp;""),""))</f>
        <v/>
      </c>
      <c r="AF423" s="41">
        <f>IF(TRIM('Cross-tab'!$B$7&amp;"")="","",IFERROR(TRIM(INDEX($A423:$Z423,MATCH('Cross-tab'!$B$7,$A$1:$Z$1,0))&amp;""),""))</f>
        <v/>
      </c>
      <c r="AG423" s="41">
        <f>IF(ISNUMBER(IFERROR(VALUE(IF(TRIM('Scale score'!$B$5&amp;"")="","",IFERROR(TRIM(INDEX($A423:$Z423,MATCH('Scale score'!$B$5,$A$1:$Z$1,0))&amp;""),""))),"")),IF(AND(IFERROR(VALUE(IF(TRIM('Scale score'!$B$5&amp;"")="","",IFERROR(TRIM(INDEX($A423:$Z423,MATCH('Scale score'!$B$5,$A$1:$Z$1,0))&amp;""),""))),"")&gt;='Scale score'!$B$6,IFERROR(VALUE(IF(TRIM('Scale score'!$B$5&amp;"")="","",IFERROR(TRIM(INDEX($A423:$Z423,MATCH('Scale score'!$B$5,$A$1:$Z$1,0))&amp;""),""))),"")&lt;='Scale score'!$B$7),IFERROR(VALUE(IF(TRIM('Scale score'!$B$5&amp;"")="","",IFERROR(TRIM(INDEX($A423:$Z423,MATCH('Scale score'!$B$5,$A$1:$Z$1,0))&amp;""),""))),""),""),"")</f>
        <v/>
      </c>
      <c r="AH423" s="41">
        <f>IF(TRIM('Open answers'!$B$5&amp;"")="","",IFERROR(TRIM(INDEX($A423:$Z423,MATCH('Open answers'!$B$5,$A$1:$Z$1,0))&amp;""),""))</f>
        <v/>
      </c>
      <c r="AI423" s="41">
        <f>IF(LEN(AH423)&gt;0,MAX($AI$1:AI422)+1,"")</f>
        <v/>
      </c>
    </row>
    <row r="424">
      <c r="AA424" s="40" t="n"/>
      <c r="AB424" s="41">
        <f>IF(TRIM('Counts'!$B$8&amp;"")="","",IFERROR(TRIM(INDEX($A424:$Z424,MATCH('Counts'!$B$8,$A$1:$Z$1,0))&amp;""),""))</f>
        <v/>
      </c>
      <c r="AC424" s="41">
        <f>IF(TRIM('Counts'!$B$26&amp;"")="","",IFERROR(TRIM(INDEX($A424:$Z424,MATCH('Counts'!$B$26,$A$1:$Z$1,0))&amp;""),""))</f>
        <v/>
      </c>
      <c r="AD424" s="41">
        <f>IF(TRIM('Counts'!$B$44&amp;"")="","",IFERROR(TRIM(INDEX($A424:$Z424,MATCH('Counts'!$B$44,$A$1:$Z$1,0))&amp;""),""))</f>
        <v/>
      </c>
      <c r="AE424" s="41">
        <f>IF(TRIM('Cross-tab'!$B$5&amp;"")="","",IFERROR(TRIM(INDEX($A424:$Z424,MATCH('Cross-tab'!$B$5,$A$1:$Z$1,0))&amp;""),""))</f>
        <v/>
      </c>
      <c r="AF424" s="41">
        <f>IF(TRIM('Cross-tab'!$B$7&amp;"")="","",IFERROR(TRIM(INDEX($A424:$Z424,MATCH('Cross-tab'!$B$7,$A$1:$Z$1,0))&amp;""),""))</f>
        <v/>
      </c>
      <c r="AG424" s="41">
        <f>IF(ISNUMBER(IFERROR(VALUE(IF(TRIM('Scale score'!$B$5&amp;"")="","",IFERROR(TRIM(INDEX($A424:$Z424,MATCH('Scale score'!$B$5,$A$1:$Z$1,0))&amp;""),""))),"")),IF(AND(IFERROR(VALUE(IF(TRIM('Scale score'!$B$5&amp;"")="","",IFERROR(TRIM(INDEX($A424:$Z424,MATCH('Scale score'!$B$5,$A$1:$Z$1,0))&amp;""),""))),"")&gt;='Scale score'!$B$6,IFERROR(VALUE(IF(TRIM('Scale score'!$B$5&amp;"")="","",IFERROR(TRIM(INDEX($A424:$Z424,MATCH('Scale score'!$B$5,$A$1:$Z$1,0))&amp;""),""))),"")&lt;='Scale score'!$B$7),IFERROR(VALUE(IF(TRIM('Scale score'!$B$5&amp;"")="","",IFERROR(TRIM(INDEX($A424:$Z424,MATCH('Scale score'!$B$5,$A$1:$Z$1,0))&amp;""),""))),""),""),"")</f>
        <v/>
      </c>
      <c r="AH424" s="41">
        <f>IF(TRIM('Open answers'!$B$5&amp;"")="","",IFERROR(TRIM(INDEX($A424:$Z424,MATCH('Open answers'!$B$5,$A$1:$Z$1,0))&amp;""),""))</f>
        <v/>
      </c>
      <c r="AI424" s="41">
        <f>IF(LEN(AH424)&gt;0,MAX($AI$1:AI423)+1,"")</f>
        <v/>
      </c>
    </row>
    <row r="425">
      <c r="AA425" s="40" t="n"/>
      <c r="AB425" s="41">
        <f>IF(TRIM('Counts'!$B$8&amp;"")="","",IFERROR(TRIM(INDEX($A425:$Z425,MATCH('Counts'!$B$8,$A$1:$Z$1,0))&amp;""),""))</f>
        <v/>
      </c>
      <c r="AC425" s="41">
        <f>IF(TRIM('Counts'!$B$26&amp;"")="","",IFERROR(TRIM(INDEX($A425:$Z425,MATCH('Counts'!$B$26,$A$1:$Z$1,0))&amp;""),""))</f>
        <v/>
      </c>
      <c r="AD425" s="41">
        <f>IF(TRIM('Counts'!$B$44&amp;"")="","",IFERROR(TRIM(INDEX($A425:$Z425,MATCH('Counts'!$B$44,$A$1:$Z$1,0))&amp;""),""))</f>
        <v/>
      </c>
      <c r="AE425" s="41">
        <f>IF(TRIM('Cross-tab'!$B$5&amp;"")="","",IFERROR(TRIM(INDEX($A425:$Z425,MATCH('Cross-tab'!$B$5,$A$1:$Z$1,0))&amp;""),""))</f>
        <v/>
      </c>
      <c r="AF425" s="41">
        <f>IF(TRIM('Cross-tab'!$B$7&amp;"")="","",IFERROR(TRIM(INDEX($A425:$Z425,MATCH('Cross-tab'!$B$7,$A$1:$Z$1,0))&amp;""),""))</f>
        <v/>
      </c>
      <c r="AG425" s="41">
        <f>IF(ISNUMBER(IFERROR(VALUE(IF(TRIM('Scale score'!$B$5&amp;"")="","",IFERROR(TRIM(INDEX($A425:$Z425,MATCH('Scale score'!$B$5,$A$1:$Z$1,0))&amp;""),""))),"")),IF(AND(IFERROR(VALUE(IF(TRIM('Scale score'!$B$5&amp;"")="","",IFERROR(TRIM(INDEX($A425:$Z425,MATCH('Scale score'!$B$5,$A$1:$Z$1,0))&amp;""),""))),"")&gt;='Scale score'!$B$6,IFERROR(VALUE(IF(TRIM('Scale score'!$B$5&amp;"")="","",IFERROR(TRIM(INDEX($A425:$Z425,MATCH('Scale score'!$B$5,$A$1:$Z$1,0))&amp;""),""))),"")&lt;='Scale score'!$B$7),IFERROR(VALUE(IF(TRIM('Scale score'!$B$5&amp;"")="","",IFERROR(TRIM(INDEX($A425:$Z425,MATCH('Scale score'!$B$5,$A$1:$Z$1,0))&amp;""),""))),""),""),"")</f>
        <v/>
      </c>
      <c r="AH425" s="41">
        <f>IF(TRIM('Open answers'!$B$5&amp;"")="","",IFERROR(TRIM(INDEX($A425:$Z425,MATCH('Open answers'!$B$5,$A$1:$Z$1,0))&amp;""),""))</f>
        <v/>
      </c>
      <c r="AI425" s="41">
        <f>IF(LEN(AH425)&gt;0,MAX($AI$1:AI424)+1,"")</f>
        <v/>
      </c>
    </row>
    <row r="426">
      <c r="AA426" s="40" t="n"/>
      <c r="AB426" s="41">
        <f>IF(TRIM('Counts'!$B$8&amp;"")="","",IFERROR(TRIM(INDEX($A426:$Z426,MATCH('Counts'!$B$8,$A$1:$Z$1,0))&amp;""),""))</f>
        <v/>
      </c>
      <c r="AC426" s="41">
        <f>IF(TRIM('Counts'!$B$26&amp;"")="","",IFERROR(TRIM(INDEX($A426:$Z426,MATCH('Counts'!$B$26,$A$1:$Z$1,0))&amp;""),""))</f>
        <v/>
      </c>
      <c r="AD426" s="41">
        <f>IF(TRIM('Counts'!$B$44&amp;"")="","",IFERROR(TRIM(INDEX($A426:$Z426,MATCH('Counts'!$B$44,$A$1:$Z$1,0))&amp;""),""))</f>
        <v/>
      </c>
      <c r="AE426" s="41">
        <f>IF(TRIM('Cross-tab'!$B$5&amp;"")="","",IFERROR(TRIM(INDEX($A426:$Z426,MATCH('Cross-tab'!$B$5,$A$1:$Z$1,0))&amp;""),""))</f>
        <v/>
      </c>
      <c r="AF426" s="41">
        <f>IF(TRIM('Cross-tab'!$B$7&amp;"")="","",IFERROR(TRIM(INDEX($A426:$Z426,MATCH('Cross-tab'!$B$7,$A$1:$Z$1,0))&amp;""),""))</f>
        <v/>
      </c>
      <c r="AG426" s="41">
        <f>IF(ISNUMBER(IFERROR(VALUE(IF(TRIM('Scale score'!$B$5&amp;"")="","",IFERROR(TRIM(INDEX($A426:$Z426,MATCH('Scale score'!$B$5,$A$1:$Z$1,0))&amp;""),""))),"")),IF(AND(IFERROR(VALUE(IF(TRIM('Scale score'!$B$5&amp;"")="","",IFERROR(TRIM(INDEX($A426:$Z426,MATCH('Scale score'!$B$5,$A$1:$Z$1,0))&amp;""),""))),"")&gt;='Scale score'!$B$6,IFERROR(VALUE(IF(TRIM('Scale score'!$B$5&amp;"")="","",IFERROR(TRIM(INDEX($A426:$Z426,MATCH('Scale score'!$B$5,$A$1:$Z$1,0))&amp;""),""))),"")&lt;='Scale score'!$B$7),IFERROR(VALUE(IF(TRIM('Scale score'!$B$5&amp;"")="","",IFERROR(TRIM(INDEX($A426:$Z426,MATCH('Scale score'!$B$5,$A$1:$Z$1,0))&amp;""),""))),""),""),"")</f>
        <v/>
      </c>
      <c r="AH426" s="41">
        <f>IF(TRIM('Open answers'!$B$5&amp;"")="","",IFERROR(TRIM(INDEX($A426:$Z426,MATCH('Open answers'!$B$5,$A$1:$Z$1,0))&amp;""),""))</f>
        <v/>
      </c>
      <c r="AI426" s="41">
        <f>IF(LEN(AH426)&gt;0,MAX($AI$1:AI425)+1,"")</f>
        <v/>
      </c>
    </row>
    <row r="427">
      <c r="AA427" s="40" t="n"/>
      <c r="AB427" s="41">
        <f>IF(TRIM('Counts'!$B$8&amp;"")="","",IFERROR(TRIM(INDEX($A427:$Z427,MATCH('Counts'!$B$8,$A$1:$Z$1,0))&amp;""),""))</f>
        <v/>
      </c>
      <c r="AC427" s="41">
        <f>IF(TRIM('Counts'!$B$26&amp;"")="","",IFERROR(TRIM(INDEX($A427:$Z427,MATCH('Counts'!$B$26,$A$1:$Z$1,0))&amp;""),""))</f>
        <v/>
      </c>
      <c r="AD427" s="41">
        <f>IF(TRIM('Counts'!$B$44&amp;"")="","",IFERROR(TRIM(INDEX($A427:$Z427,MATCH('Counts'!$B$44,$A$1:$Z$1,0))&amp;""),""))</f>
        <v/>
      </c>
      <c r="AE427" s="41">
        <f>IF(TRIM('Cross-tab'!$B$5&amp;"")="","",IFERROR(TRIM(INDEX($A427:$Z427,MATCH('Cross-tab'!$B$5,$A$1:$Z$1,0))&amp;""),""))</f>
        <v/>
      </c>
      <c r="AF427" s="41">
        <f>IF(TRIM('Cross-tab'!$B$7&amp;"")="","",IFERROR(TRIM(INDEX($A427:$Z427,MATCH('Cross-tab'!$B$7,$A$1:$Z$1,0))&amp;""),""))</f>
        <v/>
      </c>
      <c r="AG427" s="41">
        <f>IF(ISNUMBER(IFERROR(VALUE(IF(TRIM('Scale score'!$B$5&amp;"")="","",IFERROR(TRIM(INDEX($A427:$Z427,MATCH('Scale score'!$B$5,$A$1:$Z$1,0))&amp;""),""))),"")),IF(AND(IFERROR(VALUE(IF(TRIM('Scale score'!$B$5&amp;"")="","",IFERROR(TRIM(INDEX($A427:$Z427,MATCH('Scale score'!$B$5,$A$1:$Z$1,0))&amp;""),""))),"")&gt;='Scale score'!$B$6,IFERROR(VALUE(IF(TRIM('Scale score'!$B$5&amp;"")="","",IFERROR(TRIM(INDEX($A427:$Z427,MATCH('Scale score'!$B$5,$A$1:$Z$1,0))&amp;""),""))),"")&lt;='Scale score'!$B$7),IFERROR(VALUE(IF(TRIM('Scale score'!$B$5&amp;"")="","",IFERROR(TRIM(INDEX($A427:$Z427,MATCH('Scale score'!$B$5,$A$1:$Z$1,0))&amp;""),""))),""),""),"")</f>
        <v/>
      </c>
      <c r="AH427" s="41">
        <f>IF(TRIM('Open answers'!$B$5&amp;"")="","",IFERROR(TRIM(INDEX($A427:$Z427,MATCH('Open answers'!$B$5,$A$1:$Z$1,0))&amp;""),""))</f>
        <v/>
      </c>
      <c r="AI427" s="41">
        <f>IF(LEN(AH427)&gt;0,MAX($AI$1:AI426)+1,"")</f>
        <v/>
      </c>
    </row>
    <row r="428">
      <c r="AA428" s="40" t="n"/>
      <c r="AB428" s="41">
        <f>IF(TRIM('Counts'!$B$8&amp;"")="","",IFERROR(TRIM(INDEX($A428:$Z428,MATCH('Counts'!$B$8,$A$1:$Z$1,0))&amp;""),""))</f>
        <v/>
      </c>
      <c r="AC428" s="41">
        <f>IF(TRIM('Counts'!$B$26&amp;"")="","",IFERROR(TRIM(INDEX($A428:$Z428,MATCH('Counts'!$B$26,$A$1:$Z$1,0))&amp;""),""))</f>
        <v/>
      </c>
      <c r="AD428" s="41">
        <f>IF(TRIM('Counts'!$B$44&amp;"")="","",IFERROR(TRIM(INDEX($A428:$Z428,MATCH('Counts'!$B$44,$A$1:$Z$1,0))&amp;""),""))</f>
        <v/>
      </c>
      <c r="AE428" s="41">
        <f>IF(TRIM('Cross-tab'!$B$5&amp;"")="","",IFERROR(TRIM(INDEX($A428:$Z428,MATCH('Cross-tab'!$B$5,$A$1:$Z$1,0))&amp;""),""))</f>
        <v/>
      </c>
      <c r="AF428" s="41">
        <f>IF(TRIM('Cross-tab'!$B$7&amp;"")="","",IFERROR(TRIM(INDEX($A428:$Z428,MATCH('Cross-tab'!$B$7,$A$1:$Z$1,0))&amp;""),""))</f>
        <v/>
      </c>
      <c r="AG428" s="41">
        <f>IF(ISNUMBER(IFERROR(VALUE(IF(TRIM('Scale score'!$B$5&amp;"")="","",IFERROR(TRIM(INDEX($A428:$Z428,MATCH('Scale score'!$B$5,$A$1:$Z$1,0))&amp;""),""))),"")),IF(AND(IFERROR(VALUE(IF(TRIM('Scale score'!$B$5&amp;"")="","",IFERROR(TRIM(INDEX($A428:$Z428,MATCH('Scale score'!$B$5,$A$1:$Z$1,0))&amp;""),""))),"")&gt;='Scale score'!$B$6,IFERROR(VALUE(IF(TRIM('Scale score'!$B$5&amp;"")="","",IFERROR(TRIM(INDEX($A428:$Z428,MATCH('Scale score'!$B$5,$A$1:$Z$1,0))&amp;""),""))),"")&lt;='Scale score'!$B$7),IFERROR(VALUE(IF(TRIM('Scale score'!$B$5&amp;"")="","",IFERROR(TRIM(INDEX($A428:$Z428,MATCH('Scale score'!$B$5,$A$1:$Z$1,0))&amp;""),""))),""),""),"")</f>
        <v/>
      </c>
      <c r="AH428" s="41">
        <f>IF(TRIM('Open answers'!$B$5&amp;"")="","",IFERROR(TRIM(INDEX($A428:$Z428,MATCH('Open answers'!$B$5,$A$1:$Z$1,0))&amp;""),""))</f>
        <v/>
      </c>
      <c r="AI428" s="41">
        <f>IF(LEN(AH428)&gt;0,MAX($AI$1:AI427)+1,"")</f>
        <v/>
      </c>
    </row>
    <row r="429">
      <c r="AA429" s="40" t="n"/>
      <c r="AB429" s="41">
        <f>IF(TRIM('Counts'!$B$8&amp;"")="","",IFERROR(TRIM(INDEX($A429:$Z429,MATCH('Counts'!$B$8,$A$1:$Z$1,0))&amp;""),""))</f>
        <v/>
      </c>
      <c r="AC429" s="41">
        <f>IF(TRIM('Counts'!$B$26&amp;"")="","",IFERROR(TRIM(INDEX($A429:$Z429,MATCH('Counts'!$B$26,$A$1:$Z$1,0))&amp;""),""))</f>
        <v/>
      </c>
      <c r="AD429" s="41">
        <f>IF(TRIM('Counts'!$B$44&amp;"")="","",IFERROR(TRIM(INDEX($A429:$Z429,MATCH('Counts'!$B$44,$A$1:$Z$1,0))&amp;""),""))</f>
        <v/>
      </c>
      <c r="AE429" s="41">
        <f>IF(TRIM('Cross-tab'!$B$5&amp;"")="","",IFERROR(TRIM(INDEX($A429:$Z429,MATCH('Cross-tab'!$B$5,$A$1:$Z$1,0))&amp;""),""))</f>
        <v/>
      </c>
      <c r="AF429" s="41">
        <f>IF(TRIM('Cross-tab'!$B$7&amp;"")="","",IFERROR(TRIM(INDEX($A429:$Z429,MATCH('Cross-tab'!$B$7,$A$1:$Z$1,0))&amp;""),""))</f>
        <v/>
      </c>
      <c r="AG429" s="41">
        <f>IF(ISNUMBER(IFERROR(VALUE(IF(TRIM('Scale score'!$B$5&amp;"")="","",IFERROR(TRIM(INDEX($A429:$Z429,MATCH('Scale score'!$B$5,$A$1:$Z$1,0))&amp;""),""))),"")),IF(AND(IFERROR(VALUE(IF(TRIM('Scale score'!$B$5&amp;"")="","",IFERROR(TRIM(INDEX($A429:$Z429,MATCH('Scale score'!$B$5,$A$1:$Z$1,0))&amp;""),""))),"")&gt;='Scale score'!$B$6,IFERROR(VALUE(IF(TRIM('Scale score'!$B$5&amp;"")="","",IFERROR(TRIM(INDEX($A429:$Z429,MATCH('Scale score'!$B$5,$A$1:$Z$1,0))&amp;""),""))),"")&lt;='Scale score'!$B$7),IFERROR(VALUE(IF(TRIM('Scale score'!$B$5&amp;"")="","",IFERROR(TRIM(INDEX($A429:$Z429,MATCH('Scale score'!$B$5,$A$1:$Z$1,0))&amp;""),""))),""),""),"")</f>
        <v/>
      </c>
      <c r="AH429" s="41">
        <f>IF(TRIM('Open answers'!$B$5&amp;"")="","",IFERROR(TRIM(INDEX($A429:$Z429,MATCH('Open answers'!$B$5,$A$1:$Z$1,0))&amp;""),""))</f>
        <v/>
      </c>
      <c r="AI429" s="41">
        <f>IF(LEN(AH429)&gt;0,MAX($AI$1:AI428)+1,"")</f>
        <v/>
      </c>
    </row>
    <row r="430">
      <c r="AA430" s="40" t="n"/>
      <c r="AB430" s="41">
        <f>IF(TRIM('Counts'!$B$8&amp;"")="","",IFERROR(TRIM(INDEX($A430:$Z430,MATCH('Counts'!$B$8,$A$1:$Z$1,0))&amp;""),""))</f>
        <v/>
      </c>
      <c r="AC430" s="41">
        <f>IF(TRIM('Counts'!$B$26&amp;"")="","",IFERROR(TRIM(INDEX($A430:$Z430,MATCH('Counts'!$B$26,$A$1:$Z$1,0))&amp;""),""))</f>
        <v/>
      </c>
      <c r="AD430" s="41">
        <f>IF(TRIM('Counts'!$B$44&amp;"")="","",IFERROR(TRIM(INDEX($A430:$Z430,MATCH('Counts'!$B$44,$A$1:$Z$1,0))&amp;""),""))</f>
        <v/>
      </c>
      <c r="AE430" s="41">
        <f>IF(TRIM('Cross-tab'!$B$5&amp;"")="","",IFERROR(TRIM(INDEX($A430:$Z430,MATCH('Cross-tab'!$B$5,$A$1:$Z$1,0))&amp;""),""))</f>
        <v/>
      </c>
      <c r="AF430" s="41">
        <f>IF(TRIM('Cross-tab'!$B$7&amp;"")="","",IFERROR(TRIM(INDEX($A430:$Z430,MATCH('Cross-tab'!$B$7,$A$1:$Z$1,0))&amp;""),""))</f>
        <v/>
      </c>
      <c r="AG430" s="41">
        <f>IF(ISNUMBER(IFERROR(VALUE(IF(TRIM('Scale score'!$B$5&amp;"")="","",IFERROR(TRIM(INDEX($A430:$Z430,MATCH('Scale score'!$B$5,$A$1:$Z$1,0))&amp;""),""))),"")),IF(AND(IFERROR(VALUE(IF(TRIM('Scale score'!$B$5&amp;"")="","",IFERROR(TRIM(INDEX($A430:$Z430,MATCH('Scale score'!$B$5,$A$1:$Z$1,0))&amp;""),""))),"")&gt;='Scale score'!$B$6,IFERROR(VALUE(IF(TRIM('Scale score'!$B$5&amp;"")="","",IFERROR(TRIM(INDEX($A430:$Z430,MATCH('Scale score'!$B$5,$A$1:$Z$1,0))&amp;""),""))),"")&lt;='Scale score'!$B$7),IFERROR(VALUE(IF(TRIM('Scale score'!$B$5&amp;"")="","",IFERROR(TRIM(INDEX($A430:$Z430,MATCH('Scale score'!$B$5,$A$1:$Z$1,0))&amp;""),""))),""),""),"")</f>
        <v/>
      </c>
      <c r="AH430" s="41">
        <f>IF(TRIM('Open answers'!$B$5&amp;"")="","",IFERROR(TRIM(INDEX($A430:$Z430,MATCH('Open answers'!$B$5,$A$1:$Z$1,0))&amp;""),""))</f>
        <v/>
      </c>
      <c r="AI430" s="41">
        <f>IF(LEN(AH430)&gt;0,MAX($AI$1:AI429)+1,"")</f>
        <v/>
      </c>
    </row>
    <row r="431">
      <c r="AA431" s="40" t="n"/>
      <c r="AB431" s="41">
        <f>IF(TRIM('Counts'!$B$8&amp;"")="","",IFERROR(TRIM(INDEX($A431:$Z431,MATCH('Counts'!$B$8,$A$1:$Z$1,0))&amp;""),""))</f>
        <v/>
      </c>
      <c r="AC431" s="41">
        <f>IF(TRIM('Counts'!$B$26&amp;"")="","",IFERROR(TRIM(INDEX($A431:$Z431,MATCH('Counts'!$B$26,$A$1:$Z$1,0))&amp;""),""))</f>
        <v/>
      </c>
      <c r="AD431" s="41">
        <f>IF(TRIM('Counts'!$B$44&amp;"")="","",IFERROR(TRIM(INDEX($A431:$Z431,MATCH('Counts'!$B$44,$A$1:$Z$1,0))&amp;""),""))</f>
        <v/>
      </c>
      <c r="AE431" s="41">
        <f>IF(TRIM('Cross-tab'!$B$5&amp;"")="","",IFERROR(TRIM(INDEX($A431:$Z431,MATCH('Cross-tab'!$B$5,$A$1:$Z$1,0))&amp;""),""))</f>
        <v/>
      </c>
      <c r="AF431" s="41">
        <f>IF(TRIM('Cross-tab'!$B$7&amp;"")="","",IFERROR(TRIM(INDEX($A431:$Z431,MATCH('Cross-tab'!$B$7,$A$1:$Z$1,0))&amp;""),""))</f>
        <v/>
      </c>
      <c r="AG431" s="41">
        <f>IF(ISNUMBER(IFERROR(VALUE(IF(TRIM('Scale score'!$B$5&amp;"")="","",IFERROR(TRIM(INDEX($A431:$Z431,MATCH('Scale score'!$B$5,$A$1:$Z$1,0))&amp;""),""))),"")),IF(AND(IFERROR(VALUE(IF(TRIM('Scale score'!$B$5&amp;"")="","",IFERROR(TRIM(INDEX($A431:$Z431,MATCH('Scale score'!$B$5,$A$1:$Z$1,0))&amp;""),""))),"")&gt;='Scale score'!$B$6,IFERROR(VALUE(IF(TRIM('Scale score'!$B$5&amp;"")="","",IFERROR(TRIM(INDEX($A431:$Z431,MATCH('Scale score'!$B$5,$A$1:$Z$1,0))&amp;""),""))),"")&lt;='Scale score'!$B$7),IFERROR(VALUE(IF(TRIM('Scale score'!$B$5&amp;"")="","",IFERROR(TRIM(INDEX($A431:$Z431,MATCH('Scale score'!$B$5,$A$1:$Z$1,0))&amp;""),""))),""),""),"")</f>
        <v/>
      </c>
      <c r="AH431" s="41">
        <f>IF(TRIM('Open answers'!$B$5&amp;"")="","",IFERROR(TRIM(INDEX($A431:$Z431,MATCH('Open answers'!$B$5,$A$1:$Z$1,0))&amp;""),""))</f>
        <v/>
      </c>
      <c r="AI431" s="41">
        <f>IF(LEN(AH431)&gt;0,MAX($AI$1:AI430)+1,"")</f>
        <v/>
      </c>
    </row>
    <row r="432">
      <c r="AA432" s="40" t="n"/>
      <c r="AB432" s="41">
        <f>IF(TRIM('Counts'!$B$8&amp;"")="","",IFERROR(TRIM(INDEX($A432:$Z432,MATCH('Counts'!$B$8,$A$1:$Z$1,0))&amp;""),""))</f>
        <v/>
      </c>
      <c r="AC432" s="41">
        <f>IF(TRIM('Counts'!$B$26&amp;"")="","",IFERROR(TRIM(INDEX($A432:$Z432,MATCH('Counts'!$B$26,$A$1:$Z$1,0))&amp;""),""))</f>
        <v/>
      </c>
      <c r="AD432" s="41">
        <f>IF(TRIM('Counts'!$B$44&amp;"")="","",IFERROR(TRIM(INDEX($A432:$Z432,MATCH('Counts'!$B$44,$A$1:$Z$1,0))&amp;""),""))</f>
        <v/>
      </c>
      <c r="AE432" s="41">
        <f>IF(TRIM('Cross-tab'!$B$5&amp;"")="","",IFERROR(TRIM(INDEX($A432:$Z432,MATCH('Cross-tab'!$B$5,$A$1:$Z$1,0))&amp;""),""))</f>
        <v/>
      </c>
      <c r="AF432" s="41">
        <f>IF(TRIM('Cross-tab'!$B$7&amp;"")="","",IFERROR(TRIM(INDEX($A432:$Z432,MATCH('Cross-tab'!$B$7,$A$1:$Z$1,0))&amp;""),""))</f>
        <v/>
      </c>
      <c r="AG432" s="41">
        <f>IF(ISNUMBER(IFERROR(VALUE(IF(TRIM('Scale score'!$B$5&amp;"")="","",IFERROR(TRIM(INDEX($A432:$Z432,MATCH('Scale score'!$B$5,$A$1:$Z$1,0))&amp;""),""))),"")),IF(AND(IFERROR(VALUE(IF(TRIM('Scale score'!$B$5&amp;"")="","",IFERROR(TRIM(INDEX($A432:$Z432,MATCH('Scale score'!$B$5,$A$1:$Z$1,0))&amp;""),""))),"")&gt;='Scale score'!$B$6,IFERROR(VALUE(IF(TRIM('Scale score'!$B$5&amp;"")="","",IFERROR(TRIM(INDEX($A432:$Z432,MATCH('Scale score'!$B$5,$A$1:$Z$1,0))&amp;""),""))),"")&lt;='Scale score'!$B$7),IFERROR(VALUE(IF(TRIM('Scale score'!$B$5&amp;"")="","",IFERROR(TRIM(INDEX($A432:$Z432,MATCH('Scale score'!$B$5,$A$1:$Z$1,0))&amp;""),""))),""),""),"")</f>
        <v/>
      </c>
      <c r="AH432" s="41">
        <f>IF(TRIM('Open answers'!$B$5&amp;"")="","",IFERROR(TRIM(INDEX($A432:$Z432,MATCH('Open answers'!$B$5,$A$1:$Z$1,0))&amp;""),""))</f>
        <v/>
      </c>
      <c r="AI432" s="41">
        <f>IF(LEN(AH432)&gt;0,MAX($AI$1:AI431)+1,"")</f>
        <v/>
      </c>
    </row>
    <row r="433">
      <c r="AA433" s="40" t="n"/>
      <c r="AB433" s="41">
        <f>IF(TRIM('Counts'!$B$8&amp;"")="","",IFERROR(TRIM(INDEX($A433:$Z433,MATCH('Counts'!$B$8,$A$1:$Z$1,0))&amp;""),""))</f>
        <v/>
      </c>
      <c r="AC433" s="41">
        <f>IF(TRIM('Counts'!$B$26&amp;"")="","",IFERROR(TRIM(INDEX($A433:$Z433,MATCH('Counts'!$B$26,$A$1:$Z$1,0))&amp;""),""))</f>
        <v/>
      </c>
      <c r="AD433" s="41">
        <f>IF(TRIM('Counts'!$B$44&amp;"")="","",IFERROR(TRIM(INDEX($A433:$Z433,MATCH('Counts'!$B$44,$A$1:$Z$1,0))&amp;""),""))</f>
        <v/>
      </c>
      <c r="AE433" s="41">
        <f>IF(TRIM('Cross-tab'!$B$5&amp;"")="","",IFERROR(TRIM(INDEX($A433:$Z433,MATCH('Cross-tab'!$B$5,$A$1:$Z$1,0))&amp;""),""))</f>
        <v/>
      </c>
      <c r="AF433" s="41">
        <f>IF(TRIM('Cross-tab'!$B$7&amp;"")="","",IFERROR(TRIM(INDEX($A433:$Z433,MATCH('Cross-tab'!$B$7,$A$1:$Z$1,0))&amp;""),""))</f>
        <v/>
      </c>
      <c r="AG433" s="41">
        <f>IF(ISNUMBER(IFERROR(VALUE(IF(TRIM('Scale score'!$B$5&amp;"")="","",IFERROR(TRIM(INDEX($A433:$Z433,MATCH('Scale score'!$B$5,$A$1:$Z$1,0))&amp;""),""))),"")),IF(AND(IFERROR(VALUE(IF(TRIM('Scale score'!$B$5&amp;"")="","",IFERROR(TRIM(INDEX($A433:$Z433,MATCH('Scale score'!$B$5,$A$1:$Z$1,0))&amp;""),""))),"")&gt;='Scale score'!$B$6,IFERROR(VALUE(IF(TRIM('Scale score'!$B$5&amp;"")="","",IFERROR(TRIM(INDEX($A433:$Z433,MATCH('Scale score'!$B$5,$A$1:$Z$1,0))&amp;""),""))),"")&lt;='Scale score'!$B$7),IFERROR(VALUE(IF(TRIM('Scale score'!$B$5&amp;"")="","",IFERROR(TRIM(INDEX($A433:$Z433,MATCH('Scale score'!$B$5,$A$1:$Z$1,0))&amp;""),""))),""),""),"")</f>
        <v/>
      </c>
      <c r="AH433" s="41">
        <f>IF(TRIM('Open answers'!$B$5&amp;"")="","",IFERROR(TRIM(INDEX($A433:$Z433,MATCH('Open answers'!$B$5,$A$1:$Z$1,0))&amp;""),""))</f>
        <v/>
      </c>
      <c r="AI433" s="41">
        <f>IF(LEN(AH433)&gt;0,MAX($AI$1:AI432)+1,"")</f>
        <v/>
      </c>
    </row>
    <row r="434">
      <c r="AA434" s="40" t="n"/>
      <c r="AB434" s="41">
        <f>IF(TRIM('Counts'!$B$8&amp;"")="","",IFERROR(TRIM(INDEX($A434:$Z434,MATCH('Counts'!$B$8,$A$1:$Z$1,0))&amp;""),""))</f>
        <v/>
      </c>
      <c r="AC434" s="41">
        <f>IF(TRIM('Counts'!$B$26&amp;"")="","",IFERROR(TRIM(INDEX($A434:$Z434,MATCH('Counts'!$B$26,$A$1:$Z$1,0))&amp;""),""))</f>
        <v/>
      </c>
      <c r="AD434" s="41">
        <f>IF(TRIM('Counts'!$B$44&amp;"")="","",IFERROR(TRIM(INDEX($A434:$Z434,MATCH('Counts'!$B$44,$A$1:$Z$1,0))&amp;""),""))</f>
        <v/>
      </c>
      <c r="AE434" s="41">
        <f>IF(TRIM('Cross-tab'!$B$5&amp;"")="","",IFERROR(TRIM(INDEX($A434:$Z434,MATCH('Cross-tab'!$B$5,$A$1:$Z$1,0))&amp;""),""))</f>
        <v/>
      </c>
      <c r="AF434" s="41">
        <f>IF(TRIM('Cross-tab'!$B$7&amp;"")="","",IFERROR(TRIM(INDEX($A434:$Z434,MATCH('Cross-tab'!$B$7,$A$1:$Z$1,0))&amp;""),""))</f>
        <v/>
      </c>
      <c r="AG434" s="41">
        <f>IF(ISNUMBER(IFERROR(VALUE(IF(TRIM('Scale score'!$B$5&amp;"")="","",IFERROR(TRIM(INDEX($A434:$Z434,MATCH('Scale score'!$B$5,$A$1:$Z$1,0))&amp;""),""))),"")),IF(AND(IFERROR(VALUE(IF(TRIM('Scale score'!$B$5&amp;"")="","",IFERROR(TRIM(INDEX($A434:$Z434,MATCH('Scale score'!$B$5,$A$1:$Z$1,0))&amp;""),""))),"")&gt;='Scale score'!$B$6,IFERROR(VALUE(IF(TRIM('Scale score'!$B$5&amp;"")="","",IFERROR(TRIM(INDEX($A434:$Z434,MATCH('Scale score'!$B$5,$A$1:$Z$1,0))&amp;""),""))),"")&lt;='Scale score'!$B$7),IFERROR(VALUE(IF(TRIM('Scale score'!$B$5&amp;"")="","",IFERROR(TRIM(INDEX($A434:$Z434,MATCH('Scale score'!$B$5,$A$1:$Z$1,0))&amp;""),""))),""),""),"")</f>
        <v/>
      </c>
      <c r="AH434" s="41">
        <f>IF(TRIM('Open answers'!$B$5&amp;"")="","",IFERROR(TRIM(INDEX($A434:$Z434,MATCH('Open answers'!$B$5,$A$1:$Z$1,0))&amp;""),""))</f>
        <v/>
      </c>
      <c r="AI434" s="41">
        <f>IF(LEN(AH434)&gt;0,MAX($AI$1:AI433)+1,"")</f>
        <v/>
      </c>
    </row>
    <row r="435">
      <c r="AA435" s="40" t="n"/>
      <c r="AB435" s="41">
        <f>IF(TRIM('Counts'!$B$8&amp;"")="","",IFERROR(TRIM(INDEX($A435:$Z435,MATCH('Counts'!$B$8,$A$1:$Z$1,0))&amp;""),""))</f>
        <v/>
      </c>
      <c r="AC435" s="41">
        <f>IF(TRIM('Counts'!$B$26&amp;"")="","",IFERROR(TRIM(INDEX($A435:$Z435,MATCH('Counts'!$B$26,$A$1:$Z$1,0))&amp;""),""))</f>
        <v/>
      </c>
      <c r="AD435" s="41">
        <f>IF(TRIM('Counts'!$B$44&amp;"")="","",IFERROR(TRIM(INDEX($A435:$Z435,MATCH('Counts'!$B$44,$A$1:$Z$1,0))&amp;""),""))</f>
        <v/>
      </c>
      <c r="AE435" s="41">
        <f>IF(TRIM('Cross-tab'!$B$5&amp;"")="","",IFERROR(TRIM(INDEX($A435:$Z435,MATCH('Cross-tab'!$B$5,$A$1:$Z$1,0))&amp;""),""))</f>
        <v/>
      </c>
      <c r="AF435" s="41">
        <f>IF(TRIM('Cross-tab'!$B$7&amp;"")="","",IFERROR(TRIM(INDEX($A435:$Z435,MATCH('Cross-tab'!$B$7,$A$1:$Z$1,0))&amp;""),""))</f>
        <v/>
      </c>
      <c r="AG435" s="41">
        <f>IF(ISNUMBER(IFERROR(VALUE(IF(TRIM('Scale score'!$B$5&amp;"")="","",IFERROR(TRIM(INDEX($A435:$Z435,MATCH('Scale score'!$B$5,$A$1:$Z$1,0))&amp;""),""))),"")),IF(AND(IFERROR(VALUE(IF(TRIM('Scale score'!$B$5&amp;"")="","",IFERROR(TRIM(INDEX($A435:$Z435,MATCH('Scale score'!$B$5,$A$1:$Z$1,0))&amp;""),""))),"")&gt;='Scale score'!$B$6,IFERROR(VALUE(IF(TRIM('Scale score'!$B$5&amp;"")="","",IFERROR(TRIM(INDEX($A435:$Z435,MATCH('Scale score'!$B$5,$A$1:$Z$1,0))&amp;""),""))),"")&lt;='Scale score'!$B$7),IFERROR(VALUE(IF(TRIM('Scale score'!$B$5&amp;"")="","",IFERROR(TRIM(INDEX($A435:$Z435,MATCH('Scale score'!$B$5,$A$1:$Z$1,0))&amp;""),""))),""),""),"")</f>
        <v/>
      </c>
      <c r="AH435" s="41">
        <f>IF(TRIM('Open answers'!$B$5&amp;"")="","",IFERROR(TRIM(INDEX($A435:$Z435,MATCH('Open answers'!$B$5,$A$1:$Z$1,0))&amp;""),""))</f>
        <v/>
      </c>
      <c r="AI435" s="41">
        <f>IF(LEN(AH435)&gt;0,MAX($AI$1:AI434)+1,"")</f>
        <v/>
      </c>
    </row>
    <row r="436">
      <c r="AA436" s="40" t="n"/>
      <c r="AB436" s="41">
        <f>IF(TRIM('Counts'!$B$8&amp;"")="","",IFERROR(TRIM(INDEX($A436:$Z436,MATCH('Counts'!$B$8,$A$1:$Z$1,0))&amp;""),""))</f>
        <v/>
      </c>
      <c r="AC436" s="41">
        <f>IF(TRIM('Counts'!$B$26&amp;"")="","",IFERROR(TRIM(INDEX($A436:$Z436,MATCH('Counts'!$B$26,$A$1:$Z$1,0))&amp;""),""))</f>
        <v/>
      </c>
      <c r="AD436" s="41">
        <f>IF(TRIM('Counts'!$B$44&amp;"")="","",IFERROR(TRIM(INDEX($A436:$Z436,MATCH('Counts'!$B$44,$A$1:$Z$1,0))&amp;""),""))</f>
        <v/>
      </c>
      <c r="AE436" s="41">
        <f>IF(TRIM('Cross-tab'!$B$5&amp;"")="","",IFERROR(TRIM(INDEX($A436:$Z436,MATCH('Cross-tab'!$B$5,$A$1:$Z$1,0))&amp;""),""))</f>
        <v/>
      </c>
      <c r="AF436" s="41">
        <f>IF(TRIM('Cross-tab'!$B$7&amp;"")="","",IFERROR(TRIM(INDEX($A436:$Z436,MATCH('Cross-tab'!$B$7,$A$1:$Z$1,0))&amp;""),""))</f>
        <v/>
      </c>
      <c r="AG436" s="41">
        <f>IF(ISNUMBER(IFERROR(VALUE(IF(TRIM('Scale score'!$B$5&amp;"")="","",IFERROR(TRIM(INDEX($A436:$Z436,MATCH('Scale score'!$B$5,$A$1:$Z$1,0))&amp;""),""))),"")),IF(AND(IFERROR(VALUE(IF(TRIM('Scale score'!$B$5&amp;"")="","",IFERROR(TRIM(INDEX($A436:$Z436,MATCH('Scale score'!$B$5,$A$1:$Z$1,0))&amp;""),""))),"")&gt;='Scale score'!$B$6,IFERROR(VALUE(IF(TRIM('Scale score'!$B$5&amp;"")="","",IFERROR(TRIM(INDEX($A436:$Z436,MATCH('Scale score'!$B$5,$A$1:$Z$1,0))&amp;""),""))),"")&lt;='Scale score'!$B$7),IFERROR(VALUE(IF(TRIM('Scale score'!$B$5&amp;"")="","",IFERROR(TRIM(INDEX($A436:$Z436,MATCH('Scale score'!$B$5,$A$1:$Z$1,0))&amp;""),""))),""),""),"")</f>
        <v/>
      </c>
      <c r="AH436" s="41">
        <f>IF(TRIM('Open answers'!$B$5&amp;"")="","",IFERROR(TRIM(INDEX($A436:$Z436,MATCH('Open answers'!$B$5,$A$1:$Z$1,0))&amp;""),""))</f>
        <v/>
      </c>
      <c r="AI436" s="41">
        <f>IF(LEN(AH436)&gt;0,MAX($AI$1:AI435)+1,"")</f>
        <v/>
      </c>
    </row>
    <row r="437">
      <c r="AA437" s="40" t="n"/>
      <c r="AB437" s="41">
        <f>IF(TRIM('Counts'!$B$8&amp;"")="","",IFERROR(TRIM(INDEX($A437:$Z437,MATCH('Counts'!$B$8,$A$1:$Z$1,0))&amp;""),""))</f>
        <v/>
      </c>
      <c r="AC437" s="41">
        <f>IF(TRIM('Counts'!$B$26&amp;"")="","",IFERROR(TRIM(INDEX($A437:$Z437,MATCH('Counts'!$B$26,$A$1:$Z$1,0))&amp;""),""))</f>
        <v/>
      </c>
      <c r="AD437" s="41">
        <f>IF(TRIM('Counts'!$B$44&amp;"")="","",IFERROR(TRIM(INDEX($A437:$Z437,MATCH('Counts'!$B$44,$A$1:$Z$1,0))&amp;""),""))</f>
        <v/>
      </c>
      <c r="AE437" s="41">
        <f>IF(TRIM('Cross-tab'!$B$5&amp;"")="","",IFERROR(TRIM(INDEX($A437:$Z437,MATCH('Cross-tab'!$B$5,$A$1:$Z$1,0))&amp;""),""))</f>
        <v/>
      </c>
      <c r="AF437" s="41">
        <f>IF(TRIM('Cross-tab'!$B$7&amp;"")="","",IFERROR(TRIM(INDEX($A437:$Z437,MATCH('Cross-tab'!$B$7,$A$1:$Z$1,0))&amp;""),""))</f>
        <v/>
      </c>
      <c r="AG437" s="41">
        <f>IF(ISNUMBER(IFERROR(VALUE(IF(TRIM('Scale score'!$B$5&amp;"")="","",IFERROR(TRIM(INDEX($A437:$Z437,MATCH('Scale score'!$B$5,$A$1:$Z$1,0))&amp;""),""))),"")),IF(AND(IFERROR(VALUE(IF(TRIM('Scale score'!$B$5&amp;"")="","",IFERROR(TRIM(INDEX($A437:$Z437,MATCH('Scale score'!$B$5,$A$1:$Z$1,0))&amp;""),""))),"")&gt;='Scale score'!$B$6,IFERROR(VALUE(IF(TRIM('Scale score'!$B$5&amp;"")="","",IFERROR(TRIM(INDEX($A437:$Z437,MATCH('Scale score'!$B$5,$A$1:$Z$1,0))&amp;""),""))),"")&lt;='Scale score'!$B$7),IFERROR(VALUE(IF(TRIM('Scale score'!$B$5&amp;"")="","",IFERROR(TRIM(INDEX($A437:$Z437,MATCH('Scale score'!$B$5,$A$1:$Z$1,0))&amp;""),""))),""),""),"")</f>
        <v/>
      </c>
      <c r="AH437" s="41">
        <f>IF(TRIM('Open answers'!$B$5&amp;"")="","",IFERROR(TRIM(INDEX($A437:$Z437,MATCH('Open answers'!$B$5,$A$1:$Z$1,0))&amp;""),""))</f>
        <v/>
      </c>
      <c r="AI437" s="41">
        <f>IF(LEN(AH437)&gt;0,MAX($AI$1:AI436)+1,"")</f>
        <v/>
      </c>
    </row>
    <row r="438">
      <c r="AA438" s="40" t="n"/>
      <c r="AB438" s="41">
        <f>IF(TRIM('Counts'!$B$8&amp;"")="","",IFERROR(TRIM(INDEX($A438:$Z438,MATCH('Counts'!$B$8,$A$1:$Z$1,0))&amp;""),""))</f>
        <v/>
      </c>
      <c r="AC438" s="41">
        <f>IF(TRIM('Counts'!$B$26&amp;"")="","",IFERROR(TRIM(INDEX($A438:$Z438,MATCH('Counts'!$B$26,$A$1:$Z$1,0))&amp;""),""))</f>
        <v/>
      </c>
      <c r="AD438" s="41">
        <f>IF(TRIM('Counts'!$B$44&amp;"")="","",IFERROR(TRIM(INDEX($A438:$Z438,MATCH('Counts'!$B$44,$A$1:$Z$1,0))&amp;""),""))</f>
        <v/>
      </c>
      <c r="AE438" s="41">
        <f>IF(TRIM('Cross-tab'!$B$5&amp;"")="","",IFERROR(TRIM(INDEX($A438:$Z438,MATCH('Cross-tab'!$B$5,$A$1:$Z$1,0))&amp;""),""))</f>
        <v/>
      </c>
      <c r="AF438" s="41">
        <f>IF(TRIM('Cross-tab'!$B$7&amp;"")="","",IFERROR(TRIM(INDEX($A438:$Z438,MATCH('Cross-tab'!$B$7,$A$1:$Z$1,0))&amp;""),""))</f>
        <v/>
      </c>
      <c r="AG438" s="41">
        <f>IF(ISNUMBER(IFERROR(VALUE(IF(TRIM('Scale score'!$B$5&amp;"")="","",IFERROR(TRIM(INDEX($A438:$Z438,MATCH('Scale score'!$B$5,$A$1:$Z$1,0))&amp;""),""))),"")),IF(AND(IFERROR(VALUE(IF(TRIM('Scale score'!$B$5&amp;"")="","",IFERROR(TRIM(INDEX($A438:$Z438,MATCH('Scale score'!$B$5,$A$1:$Z$1,0))&amp;""),""))),"")&gt;='Scale score'!$B$6,IFERROR(VALUE(IF(TRIM('Scale score'!$B$5&amp;"")="","",IFERROR(TRIM(INDEX($A438:$Z438,MATCH('Scale score'!$B$5,$A$1:$Z$1,0))&amp;""),""))),"")&lt;='Scale score'!$B$7),IFERROR(VALUE(IF(TRIM('Scale score'!$B$5&amp;"")="","",IFERROR(TRIM(INDEX($A438:$Z438,MATCH('Scale score'!$B$5,$A$1:$Z$1,0))&amp;""),""))),""),""),"")</f>
        <v/>
      </c>
      <c r="AH438" s="41">
        <f>IF(TRIM('Open answers'!$B$5&amp;"")="","",IFERROR(TRIM(INDEX($A438:$Z438,MATCH('Open answers'!$B$5,$A$1:$Z$1,0))&amp;""),""))</f>
        <v/>
      </c>
      <c r="AI438" s="41">
        <f>IF(LEN(AH438)&gt;0,MAX($AI$1:AI437)+1,"")</f>
        <v/>
      </c>
    </row>
    <row r="439">
      <c r="AA439" s="40" t="n"/>
      <c r="AB439" s="41">
        <f>IF(TRIM('Counts'!$B$8&amp;"")="","",IFERROR(TRIM(INDEX($A439:$Z439,MATCH('Counts'!$B$8,$A$1:$Z$1,0))&amp;""),""))</f>
        <v/>
      </c>
      <c r="AC439" s="41">
        <f>IF(TRIM('Counts'!$B$26&amp;"")="","",IFERROR(TRIM(INDEX($A439:$Z439,MATCH('Counts'!$B$26,$A$1:$Z$1,0))&amp;""),""))</f>
        <v/>
      </c>
      <c r="AD439" s="41">
        <f>IF(TRIM('Counts'!$B$44&amp;"")="","",IFERROR(TRIM(INDEX($A439:$Z439,MATCH('Counts'!$B$44,$A$1:$Z$1,0))&amp;""),""))</f>
        <v/>
      </c>
      <c r="AE439" s="41">
        <f>IF(TRIM('Cross-tab'!$B$5&amp;"")="","",IFERROR(TRIM(INDEX($A439:$Z439,MATCH('Cross-tab'!$B$5,$A$1:$Z$1,0))&amp;""),""))</f>
        <v/>
      </c>
      <c r="AF439" s="41">
        <f>IF(TRIM('Cross-tab'!$B$7&amp;"")="","",IFERROR(TRIM(INDEX($A439:$Z439,MATCH('Cross-tab'!$B$7,$A$1:$Z$1,0))&amp;""),""))</f>
        <v/>
      </c>
      <c r="AG439" s="41">
        <f>IF(ISNUMBER(IFERROR(VALUE(IF(TRIM('Scale score'!$B$5&amp;"")="","",IFERROR(TRIM(INDEX($A439:$Z439,MATCH('Scale score'!$B$5,$A$1:$Z$1,0))&amp;""),""))),"")),IF(AND(IFERROR(VALUE(IF(TRIM('Scale score'!$B$5&amp;"")="","",IFERROR(TRIM(INDEX($A439:$Z439,MATCH('Scale score'!$B$5,$A$1:$Z$1,0))&amp;""),""))),"")&gt;='Scale score'!$B$6,IFERROR(VALUE(IF(TRIM('Scale score'!$B$5&amp;"")="","",IFERROR(TRIM(INDEX($A439:$Z439,MATCH('Scale score'!$B$5,$A$1:$Z$1,0))&amp;""),""))),"")&lt;='Scale score'!$B$7),IFERROR(VALUE(IF(TRIM('Scale score'!$B$5&amp;"")="","",IFERROR(TRIM(INDEX($A439:$Z439,MATCH('Scale score'!$B$5,$A$1:$Z$1,0))&amp;""),""))),""),""),"")</f>
        <v/>
      </c>
      <c r="AH439" s="41">
        <f>IF(TRIM('Open answers'!$B$5&amp;"")="","",IFERROR(TRIM(INDEX($A439:$Z439,MATCH('Open answers'!$B$5,$A$1:$Z$1,0))&amp;""),""))</f>
        <v/>
      </c>
      <c r="AI439" s="41">
        <f>IF(LEN(AH439)&gt;0,MAX($AI$1:AI438)+1,"")</f>
        <v/>
      </c>
    </row>
    <row r="440">
      <c r="AA440" s="40" t="n"/>
      <c r="AB440" s="41">
        <f>IF(TRIM('Counts'!$B$8&amp;"")="","",IFERROR(TRIM(INDEX($A440:$Z440,MATCH('Counts'!$B$8,$A$1:$Z$1,0))&amp;""),""))</f>
        <v/>
      </c>
      <c r="AC440" s="41">
        <f>IF(TRIM('Counts'!$B$26&amp;"")="","",IFERROR(TRIM(INDEX($A440:$Z440,MATCH('Counts'!$B$26,$A$1:$Z$1,0))&amp;""),""))</f>
        <v/>
      </c>
      <c r="AD440" s="41">
        <f>IF(TRIM('Counts'!$B$44&amp;"")="","",IFERROR(TRIM(INDEX($A440:$Z440,MATCH('Counts'!$B$44,$A$1:$Z$1,0))&amp;""),""))</f>
        <v/>
      </c>
      <c r="AE440" s="41">
        <f>IF(TRIM('Cross-tab'!$B$5&amp;"")="","",IFERROR(TRIM(INDEX($A440:$Z440,MATCH('Cross-tab'!$B$5,$A$1:$Z$1,0))&amp;""),""))</f>
        <v/>
      </c>
      <c r="AF440" s="41">
        <f>IF(TRIM('Cross-tab'!$B$7&amp;"")="","",IFERROR(TRIM(INDEX($A440:$Z440,MATCH('Cross-tab'!$B$7,$A$1:$Z$1,0))&amp;""),""))</f>
        <v/>
      </c>
      <c r="AG440" s="41">
        <f>IF(ISNUMBER(IFERROR(VALUE(IF(TRIM('Scale score'!$B$5&amp;"")="","",IFERROR(TRIM(INDEX($A440:$Z440,MATCH('Scale score'!$B$5,$A$1:$Z$1,0))&amp;""),""))),"")),IF(AND(IFERROR(VALUE(IF(TRIM('Scale score'!$B$5&amp;"")="","",IFERROR(TRIM(INDEX($A440:$Z440,MATCH('Scale score'!$B$5,$A$1:$Z$1,0))&amp;""),""))),"")&gt;='Scale score'!$B$6,IFERROR(VALUE(IF(TRIM('Scale score'!$B$5&amp;"")="","",IFERROR(TRIM(INDEX($A440:$Z440,MATCH('Scale score'!$B$5,$A$1:$Z$1,0))&amp;""),""))),"")&lt;='Scale score'!$B$7),IFERROR(VALUE(IF(TRIM('Scale score'!$B$5&amp;"")="","",IFERROR(TRIM(INDEX($A440:$Z440,MATCH('Scale score'!$B$5,$A$1:$Z$1,0))&amp;""),""))),""),""),"")</f>
        <v/>
      </c>
      <c r="AH440" s="41">
        <f>IF(TRIM('Open answers'!$B$5&amp;"")="","",IFERROR(TRIM(INDEX($A440:$Z440,MATCH('Open answers'!$B$5,$A$1:$Z$1,0))&amp;""),""))</f>
        <v/>
      </c>
      <c r="AI440" s="41">
        <f>IF(LEN(AH440)&gt;0,MAX($AI$1:AI439)+1,"")</f>
        <v/>
      </c>
    </row>
    <row r="441">
      <c r="AA441" s="40" t="n"/>
      <c r="AB441" s="41">
        <f>IF(TRIM('Counts'!$B$8&amp;"")="","",IFERROR(TRIM(INDEX($A441:$Z441,MATCH('Counts'!$B$8,$A$1:$Z$1,0))&amp;""),""))</f>
        <v/>
      </c>
      <c r="AC441" s="41">
        <f>IF(TRIM('Counts'!$B$26&amp;"")="","",IFERROR(TRIM(INDEX($A441:$Z441,MATCH('Counts'!$B$26,$A$1:$Z$1,0))&amp;""),""))</f>
        <v/>
      </c>
      <c r="AD441" s="41">
        <f>IF(TRIM('Counts'!$B$44&amp;"")="","",IFERROR(TRIM(INDEX($A441:$Z441,MATCH('Counts'!$B$44,$A$1:$Z$1,0))&amp;""),""))</f>
        <v/>
      </c>
      <c r="AE441" s="41">
        <f>IF(TRIM('Cross-tab'!$B$5&amp;"")="","",IFERROR(TRIM(INDEX($A441:$Z441,MATCH('Cross-tab'!$B$5,$A$1:$Z$1,0))&amp;""),""))</f>
        <v/>
      </c>
      <c r="AF441" s="41">
        <f>IF(TRIM('Cross-tab'!$B$7&amp;"")="","",IFERROR(TRIM(INDEX($A441:$Z441,MATCH('Cross-tab'!$B$7,$A$1:$Z$1,0))&amp;""),""))</f>
        <v/>
      </c>
      <c r="AG441" s="41">
        <f>IF(ISNUMBER(IFERROR(VALUE(IF(TRIM('Scale score'!$B$5&amp;"")="","",IFERROR(TRIM(INDEX($A441:$Z441,MATCH('Scale score'!$B$5,$A$1:$Z$1,0))&amp;""),""))),"")),IF(AND(IFERROR(VALUE(IF(TRIM('Scale score'!$B$5&amp;"")="","",IFERROR(TRIM(INDEX($A441:$Z441,MATCH('Scale score'!$B$5,$A$1:$Z$1,0))&amp;""),""))),"")&gt;='Scale score'!$B$6,IFERROR(VALUE(IF(TRIM('Scale score'!$B$5&amp;"")="","",IFERROR(TRIM(INDEX($A441:$Z441,MATCH('Scale score'!$B$5,$A$1:$Z$1,0))&amp;""),""))),"")&lt;='Scale score'!$B$7),IFERROR(VALUE(IF(TRIM('Scale score'!$B$5&amp;"")="","",IFERROR(TRIM(INDEX($A441:$Z441,MATCH('Scale score'!$B$5,$A$1:$Z$1,0))&amp;""),""))),""),""),"")</f>
        <v/>
      </c>
      <c r="AH441" s="41">
        <f>IF(TRIM('Open answers'!$B$5&amp;"")="","",IFERROR(TRIM(INDEX($A441:$Z441,MATCH('Open answers'!$B$5,$A$1:$Z$1,0))&amp;""),""))</f>
        <v/>
      </c>
      <c r="AI441" s="41">
        <f>IF(LEN(AH441)&gt;0,MAX($AI$1:AI440)+1,"")</f>
        <v/>
      </c>
    </row>
    <row r="442">
      <c r="AA442" s="40" t="n"/>
      <c r="AB442" s="41">
        <f>IF(TRIM('Counts'!$B$8&amp;"")="","",IFERROR(TRIM(INDEX($A442:$Z442,MATCH('Counts'!$B$8,$A$1:$Z$1,0))&amp;""),""))</f>
        <v/>
      </c>
      <c r="AC442" s="41">
        <f>IF(TRIM('Counts'!$B$26&amp;"")="","",IFERROR(TRIM(INDEX($A442:$Z442,MATCH('Counts'!$B$26,$A$1:$Z$1,0))&amp;""),""))</f>
        <v/>
      </c>
      <c r="AD442" s="41">
        <f>IF(TRIM('Counts'!$B$44&amp;"")="","",IFERROR(TRIM(INDEX($A442:$Z442,MATCH('Counts'!$B$44,$A$1:$Z$1,0))&amp;""),""))</f>
        <v/>
      </c>
      <c r="AE442" s="41">
        <f>IF(TRIM('Cross-tab'!$B$5&amp;"")="","",IFERROR(TRIM(INDEX($A442:$Z442,MATCH('Cross-tab'!$B$5,$A$1:$Z$1,0))&amp;""),""))</f>
        <v/>
      </c>
      <c r="AF442" s="41">
        <f>IF(TRIM('Cross-tab'!$B$7&amp;"")="","",IFERROR(TRIM(INDEX($A442:$Z442,MATCH('Cross-tab'!$B$7,$A$1:$Z$1,0))&amp;""),""))</f>
        <v/>
      </c>
      <c r="AG442" s="41">
        <f>IF(ISNUMBER(IFERROR(VALUE(IF(TRIM('Scale score'!$B$5&amp;"")="","",IFERROR(TRIM(INDEX($A442:$Z442,MATCH('Scale score'!$B$5,$A$1:$Z$1,0))&amp;""),""))),"")),IF(AND(IFERROR(VALUE(IF(TRIM('Scale score'!$B$5&amp;"")="","",IFERROR(TRIM(INDEX($A442:$Z442,MATCH('Scale score'!$B$5,$A$1:$Z$1,0))&amp;""),""))),"")&gt;='Scale score'!$B$6,IFERROR(VALUE(IF(TRIM('Scale score'!$B$5&amp;"")="","",IFERROR(TRIM(INDEX($A442:$Z442,MATCH('Scale score'!$B$5,$A$1:$Z$1,0))&amp;""),""))),"")&lt;='Scale score'!$B$7),IFERROR(VALUE(IF(TRIM('Scale score'!$B$5&amp;"")="","",IFERROR(TRIM(INDEX($A442:$Z442,MATCH('Scale score'!$B$5,$A$1:$Z$1,0))&amp;""),""))),""),""),"")</f>
        <v/>
      </c>
      <c r="AH442" s="41">
        <f>IF(TRIM('Open answers'!$B$5&amp;"")="","",IFERROR(TRIM(INDEX($A442:$Z442,MATCH('Open answers'!$B$5,$A$1:$Z$1,0))&amp;""),""))</f>
        <v/>
      </c>
      <c r="AI442" s="41">
        <f>IF(LEN(AH442)&gt;0,MAX($AI$1:AI441)+1,"")</f>
        <v/>
      </c>
    </row>
    <row r="443">
      <c r="AA443" s="40" t="n"/>
      <c r="AB443" s="41">
        <f>IF(TRIM('Counts'!$B$8&amp;"")="","",IFERROR(TRIM(INDEX($A443:$Z443,MATCH('Counts'!$B$8,$A$1:$Z$1,0))&amp;""),""))</f>
        <v/>
      </c>
      <c r="AC443" s="41">
        <f>IF(TRIM('Counts'!$B$26&amp;"")="","",IFERROR(TRIM(INDEX($A443:$Z443,MATCH('Counts'!$B$26,$A$1:$Z$1,0))&amp;""),""))</f>
        <v/>
      </c>
      <c r="AD443" s="41">
        <f>IF(TRIM('Counts'!$B$44&amp;"")="","",IFERROR(TRIM(INDEX($A443:$Z443,MATCH('Counts'!$B$44,$A$1:$Z$1,0))&amp;""),""))</f>
        <v/>
      </c>
      <c r="AE443" s="41">
        <f>IF(TRIM('Cross-tab'!$B$5&amp;"")="","",IFERROR(TRIM(INDEX($A443:$Z443,MATCH('Cross-tab'!$B$5,$A$1:$Z$1,0))&amp;""),""))</f>
        <v/>
      </c>
      <c r="AF443" s="41">
        <f>IF(TRIM('Cross-tab'!$B$7&amp;"")="","",IFERROR(TRIM(INDEX($A443:$Z443,MATCH('Cross-tab'!$B$7,$A$1:$Z$1,0))&amp;""),""))</f>
        <v/>
      </c>
      <c r="AG443" s="41">
        <f>IF(ISNUMBER(IFERROR(VALUE(IF(TRIM('Scale score'!$B$5&amp;"")="","",IFERROR(TRIM(INDEX($A443:$Z443,MATCH('Scale score'!$B$5,$A$1:$Z$1,0))&amp;""),""))),"")),IF(AND(IFERROR(VALUE(IF(TRIM('Scale score'!$B$5&amp;"")="","",IFERROR(TRIM(INDEX($A443:$Z443,MATCH('Scale score'!$B$5,$A$1:$Z$1,0))&amp;""),""))),"")&gt;='Scale score'!$B$6,IFERROR(VALUE(IF(TRIM('Scale score'!$B$5&amp;"")="","",IFERROR(TRIM(INDEX($A443:$Z443,MATCH('Scale score'!$B$5,$A$1:$Z$1,0))&amp;""),""))),"")&lt;='Scale score'!$B$7),IFERROR(VALUE(IF(TRIM('Scale score'!$B$5&amp;"")="","",IFERROR(TRIM(INDEX($A443:$Z443,MATCH('Scale score'!$B$5,$A$1:$Z$1,0))&amp;""),""))),""),""),"")</f>
        <v/>
      </c>
      <c r="AH443" s="41">
        <f>IF(TRIM('Open answers'!$B$5&amp;"")="","",IFERROR(TRIM(INDEX($A443:$Z443,MATCH('Open answers'!$B$5,$A$1:$Z$1,0))&amp;""),""))</f>
        <v/>
      </c>
      <c r="AI443" s="41">
        <f>IF(LEN(AH443)&gt;0,MAX($AI$1:AI442)+1,"")</f>
        <v/>
      </c>
    </row>
    <row r="444">
      <c r="AA444" s="40" t="n"/>
      <c r="AB444" s="41">
        <f>IF(TRIM('Counts'!$B$8&amp;"")="","",IFERROR(TRIM(INDEX($A444:$Z444,MATCH('Counts'!$B$8,$A$1:$Z$1,0))&amp;""),""))</f>
        <v/>
      </c>
      <c r="AC444" s="41">
        <f>IF(TRIM('Counts'!$B$26&amp;"")="","",IFERROR(TRIM(INDEX($A444:$Z444,MATCH('Counts'!$B$26,$A$1:$Z$1,0))&amp;""),""))</f>
        <v/>
      </c>
      <c r="AD444" s="41">
        <f>IF(TRIM('Counts'!$B$44&amp;"")="","",IFERROR(TRIM(INDEX($A444:$Z444,MATCH('Counts'!$B$44,$A$1:$Z$1,0))&amp;""),""))</f>
        <v/>
      </c>
      <c r="AE444" s="41">
        <f>IF(TRIM('Cross-tab'!$B$5&amp;"")="","",IFERROR(TRIM(INDEX($A444:$Z444,MATCH('Cross-tab'!$B$5,$A$1:$Z$1,0))&amp;""),""))</f>
        <v/>
      </c>
      <c r="AF444" s="41">
        <f>IF(TRIM('Cross-tab'!$B$7&amp;"")="","",IFERROR(TRIM(INDEX($A444:$Z444,MATCH('Cross-tab'!$B$7,$A$1:$Z$1,0))&amp;""),""))</f>
        <v/>
      </c>
      <c r="AG444" s="41">
        <f>IF(ISNUMBER(IFERROR(VALUE(IF(TRIM('Scale score'!$B$5&amp;"")="","",IFERROR(TRIM(INDEX($A444:$Z444,MATCH('Scale score'!$B$5,$A$1:$Z$1,0))&amp;""),""))),"")),IF(AND(IFERROR(VALUE(IF(TRIM('Scale score'!$B$5&amp;"")="","",IFERROR(TRIM(INDEX($A444:$Z444,MATCH('Scale score'!$B$5,$A$1:$Z$1,0))&amp;""),""))),"")&gt;='Scale score'!$B$6,IFERROR(VALUE(IF(TRIM('Scale score'!$B$5&amp;"")="","",IFERROR(TRIM(INDEX($A444:$Z444,MATCH('Scale score'!$B$5,$A$1:$Z$1,0))&amp;""),""))),"")&lt;='Scale score'!$B$7),IFERROR(VALUE(IF(TRIM('Scale score'!$B$5&amp;"")="","",IFERROR(TRIM(INDEX($A444:$Z444,MATCH('Scale score'!$B$5,$A$1:$Z$1,0))&amp;""),""))),""),""),"")</f>
        <v/>
      </c>
      <c r="AH444" s="41">
        <f>IF(TRIM('Open answers'!$B$5&amp;"")="","",IFERROR(TRIM(INDEX($A444:$Z444,MATCH('Open answers'!$B$5,$A$1:$Z$1,0))&amp;""),""))</f>
        <v/>
      </c>
      <c r="AI444" s="41">
        <f>IF(LEN(AH444)&gt;0,MAX($AI$1:AI443)+1,"")</f>
        <v/>
      </c>
    </row>
    <row r="445">
      <c r="AA445" s="40" t="n"/>
      <c r="AB445" s="41">
        <f>IF(TRIM('Counts'!$B$8&amp;"")="","",IFERROR(TRIM(INDEX($A445:$Z445,MATCH('Counts'!$B$8,$A$1:$Z$1,0))&amp;""),""))</f>
        <v/>
      </c>
      <c r="AC445" s="41">
        <f>IF(TRIM('Counts'!$B$26&amp;"")="","",IFERROR(TRIM(INDEX($A445:$Z445,MATCH('Counts'!$B$26,$A$1:$Z$1,0))&amp;""),""))</f>
        <v/>
      </c>
      <c r="AD445" s="41">
        <f>IF(TRIM('Counts'!$B$44&amp;"")="","",IFERROR(TRIM(INDEX($A445:$Z445,MATCH('Counts'!$B$44,$A$1:$Z$1,0))&amp;""),""))</f>
        <v/>
      </c>
      <c r="AE445" s="41">
        <f>IF(TRIM('Cross-tab'!$B$5&amp;"")="","",IFERROR(TRIM(INDEX($A445:$Z445,MATCH('Cross-tab'!$B$5,$A$1:$Z$1,0))&amp;""),""))</f>
        <v/>
      </c>
      <c r="AF445" s="41">
        <f>IF(TRIM('Cross-tab'!$B$7&amp;"")="","",IFERROR(TRIM(INDEX($A445:$Z445,MATCH('Cross-tab'!$B$7,$A$1:$Z$1,0))&amp;""),""))</f>
        <v/>
      </c>
      <c r="AG445" s="41">
        <f>IF(ISNUMBER(IFERROR(VALUE(IF(TRIM('Scale score'!$B$5&amp;"")="","",IFERROR(TRIM(INDEX($A445:$Z445,MATCH('Scale score'!$B$5,$A$1:$Z$1,0))&amp;""),""))),"")),IF(AND(IFERROR(VALUE(IF(TRIM('Scale score'!$B$5&amp;"")="","",IFERROR(TRIM(INDEX($A445:$Z445,MATCH('Scale score'!$B$5,$A$1:$Z$1,0))&amp;""),""))),"")&gt;='Scale score'!$B$6,IFERROR(VALUE(IF(TRIM('Scale score'!$B$5&amp;"")="","",IFERROR(TRIM(INDEX($A445:$Z445,MATCH('Scale score'!$B$5,$A$1:$Z$1,0))&amp;""),""))),"")&lt;='Scale score'!$B$7),IFERROR(VALUE(IF(TRIM('Scale score'!$B$5&amp;"")="","",IFERROR(TRIM(INDEX($A445:$Z445,MATCH('Scale score'!$B$5,$A$1:$Z$1,0))&amp;""),""))),""),""),"")</f>
        <v/>
      </c>
      <c r="AH445" s="41">
        <f>IF(TRIM('Open answers'!$B$5&amp;"")="","",IFERROR(TRIM(INDEX($A445:$Z445,MATCH('Open answers'!$B$5,$A$1:$Z$1,0))&amp;""),""))</f>
        <v/>
      </c>
      <c r="AI445" s="41">
        <f>IF(LEN(AH445)&gt;0,MAX($AI$1:AI444)+1,"")</f>
        <v/>
      </c>
    </row>
    <row r="446">
      <c r="AA446" s="40" t="n"/>
      <c r="AB446" s="41">
        <f>IF(TRIM('Counts'!$B$8&amp;"")="","",IFERROR(TRIM(INDEX($A446:$Z446,MATCH('Counts'!$B$8,$A$1:$Z$1,0))&amp;""),""))</f>
        <v/>
      </c>
      <c r="AC446" s="41">
        <f>IF(TRIM('Counts'!$B$26&amp;"")="","",IFERROR(TRIM(INDEX($A446:$Z446,MATCH('Counts'!$B$26,$A$1:$Z$1,0))&amp;""),""))</f>
        <v/>
      </c>
      <c r="AD446" s="41">
        <f>IF(TRIM('Counts'!$B$44&amp;"")="","",IFERROR(TRIM(INDEX($A446:$Z446,MATCH('Counts'!$B$44,$A$1:$Z$1,0))&amp;""),""))</f>
        <v/>
      </c>
      <c r="AE446" s="41">
        <f>IF(TRIM('Cross-tab'!$B$5&amp;"")="","",IFERROR(TRIM(INDEX($A446:$Z446,MATCH('Cross-tab'!$B$5,$A$1:$Z$1,0))&amp;""),""))</f>
        <v/>
      </c>
      <c r="AF446" s="41">
        <f>IF(TRIM('Cross-tab'!$B$7&amp;"")="","",IFERROR(TRIM(INDEX($A446:$Z446,MATCH('Cross-tab'!$B$7,$A$1:$Z$1,0))&amp;""),""))</f>
        <v/>
      </c>
      <c r="AG446" s="41">
        <f>IF(ISNUMBER(IFERROR(VALUE(IF(TRIM('Scale score'!$B$5&amp;"")="","",IFERROR(TRIM(INDEX($A446:$Z446,MATCH('Scale score'!$B$5,$A$1:$Z$1,0))&amp;""),""))),"")),IF(AND(IFERROR(VALUE(IF(TRIM('Scale score'!$B$5&amp;"")="","",IFERROR(TRIM(INDEX($A446:$Z446,MATCH('Scale score'!$B$5,$A$1:$Z$1,0))&amp;""),""))),"")&gt;='Scale score'!$B$6,IFERROR(VALUE(IF(TRIM('Scale score'!$B$5&amp;"")="","",IFERROR(TRIM(INDEX($A446:$Z446,MATCH('Scale score'!$B$5,$A$1:$Z$1,0))&amp;""),""))),"")&lt;='Scale score'!$B$7),IFERROR(VALUE(IF(TRIM('Scale score'!$B$5&amp;"")="","",IFERROR(TRIM(INDEX($A446:$Z446,MATCH('Scale score'!$B$5,$A$1:$Z$1,0))&amp;""),""))),""),""),"")</f>
        <v/>
      </c>
      <c r="AH446" s="41">
        <f>IF(TRIM('Open answers'!$B$5&amp;"")="","",IFERROR(TRIM(INDEX($A446:$Z446,MATCH('Open answers'!$B$5,$A$1:$Z$1,0))&amp;""),""))</f>
        <v/>
      </c>
      <c r="AI446" s="41">
        <f>IF(LEN(AH446)&gt;0,MAX($AI$1:AI445)+1,"")</f>
        <v/>
      </c>
    </row>
    <row r="447">
      <c r="AA447" s="40" t="n"/>
      <c r="AB447" s="41">
        <f>IF(TRIM('Counts'!$B$8&amp;"")="","",IFERROR(TRIM(INDEX($A447:$Z447,MATCH('Counts'!$B$8,$A$1:$Z$1,0))&amp;""),""))</f>
        <v/>
      </c>
      <c r="AC447" s="41">
        <f>IF(TRIM('Counts'!$B$26&amp;"")="","",IFERROR(TRIM(INDEX($A447:$Z447,MATCH('Counts'!$B$26,$A$1:$Z$1,0))&amp;""),""))</f>
        <v/>
      </c>
      <c r="AD447" s="41">
        <f>IF(TRIM('Counts'!$B$44&amp;"")="","",IFERROR(TRIM(INDEX($A447:$Z447,MATCH('Counts'!$B$44,$A$1:$Z$1,0))&amp;""),""))</f>
        <v/>
      </c>
      <c r="AE447" s="41">
        <f>IF(TRIM('Cross-tab'!$B$5&amp;"")="","",IFERROR(TRIM(INDEX($A447:$Z447,MATCH('Cross-tab'!$B$5,$A$1:$Z$1,0))&amp;""),""))</f>
        <v/>
      </c>
      <c r="AF447" s="41">
        <f>IF(TRIM('Cross-tab'!$B$7&amp;"")="","",IFERROR(TRIM(INDEX($A447:$Z447,MATCH('Cross-tab'!$B$7,$A$1:$Z$1,0))&amp;""),""))</f>
        <v/>
      </c>
      <c r="AG447" s="41">
        <f>IF(ISNUMBER(IFERROR(VALUE(IF(TRIM('Scale score'!$B$5&amp;"")="","",IFERROR(TRIM(INDEX($A447:$Z447,MATCH('Scale score'!$B$5,$A$1:$Z$1,0))&amp;""),""))),"")),IF(AND(IFERROR(VALUE(IF(TRIM('Scale score'!$B$5&amp;"")="","",IFERROR(TRIM(INDEX($A447:$Z447,MATCH('Scale score'!$B$5,$A$1:$Z$1,0))&amp;""),""))),"")&gt;='Scale score'!$B$6,IFERROR(VALUE(IF(TRIM('Scale score'!$B$5&amp;"")="","",IFERROR(TRIM(INDEX($A447:$Z447,MATCH('Scale score'!$B$5,$A$1:$Z$1,0))&amp;""),""))),"")&lt;='Scale score'!$B$7),IFERROR(VALUE(IF(TRIM('Scale score'!$B$5&amp;"")="","",IFERROR(TRIM(INDEX($A447:$Z447,MATCH('Scale score'!$B$5,$A$1:$Z$1,0))&amp;""),""))),""),""),"")</f>
        <v/>
      </c>
      <c r="AH447" s="41">
        <f>IF(TRIM('Open answers'!$B$5&amp;"")="","",IFERROR(TRIM(INDEX($A447:$Z447,MATCH('Open answers'!$B$5,$A$1:$Z$1,0))&amp;""),""))</f>
        <v/>
      </c>
      <c r="AI447" s="41">
        <f>IF(LEN(AH447)&gt;0,MAX($AI$1:AI446)+1,"")</f>
        <v/>
      </c>
    </row>
    <row r="448">
      <c r="AA448" s="40" t="n"/>
      <c r="AB448" s="41">
        <f>IF(TRIM('Counts'!$B$8&amp;"")="","",IFERROR(TRIM(INDEX($A448:$Z448,MATCH('Counts'!$B$8,$A$1:$Z$1,0))&amp;""),""))</f>
        <v/>
      </c>
      <c r="AC448" s="41">
        <f>IF(TRIM('Counts'!$B$26&amp;"")="","",IFERROR(TRIM(INDEX($A448:$Z448,MATCH('Counts'!$B$26,$A$1:$Z$1,0))&amp;""),""))</f>
        <v/>
      </c>
      <c r="AD448" s="41">
        <f>IF(TRIM('Counts'!$B$44&amp;"")="","",IFERROR(TRIM(INDEX($A448:$Z448,MATCH('Counts'!$B$44,$A$1:$Z$1,0))&amp;""),""))</f>
        <v/>
      </c>
      <c r="AE448" s="41">
        <f>IF(TRIM('Cross-tab'!$B$5&amp;"")="","",IFERROR(TRIM(INDEX($A448:$Z448,MATCH('Cross-tab'!$B$5,$A$1:$Z$1,0))&amp;""),""))</f>
        <v/>
      </c>
      <c r="AF448" s="41">
        <f>IF(TRIM('Cross-tab'!$B$7&amp;"")="","",IFERROR(TRIM(INDEX($A448:$Z448,MATCH('Cross-tab'!$B$7,$A$1:$Z$1,0))&amp;""),""))</f>
        <v/>
      </c>
      <c r="AG448" s="41">
        <f>IF(ISNUMBER(IFERROR(VALUE(IF(TRIM('Scale score'!$B$5&amp;"")="","",IFERROR(TRIM(INDEX($A448:$Z448,MATCH('Scale score'!$B$5,$A$1:$Z$1,0))&amp;""),""))),"")),IF(AND(IFERROR(VALUE(IF(TRIM('Scale score'!$B$5&amp;"")="","",IFERROR(TRIM(INDEX($A448:$Z448,MATCH('Scale score'!$B$5,$A$1:$Z$1,0))&amp;""),""))),"")&gt;='Scale score'!$B$6,IFERROR(VALUE(IF(TRIM('Scale score'!$B$5&amp;"")="","",IFERROR(TRIM(INDEX($A448:$Z448,MATCH('Scale score'!$B$5,$A$1:$Z$1,0))&amp;""),""))),"")&lt;='Scale score'!$B$7),IFERROR(VALUE(IF(TRIM('Scale score'!$B$5&amp;"")="","",IFERROR(TRIM(INDEX($A448:$Z448,MATCH('Scale score'!$B$5,$A$1:$Z$1,0))&amp;""),""))),""),""),"")</f>
        <v/>
      </c>
      <c r="AH448" s="41">
        <f>IF(TRIM('Open answers'!$B$5&amp;"")="","",IFERROR(TRIM(INDEX($A448:$Z448,MATCH('Open answers'!$B$5,$A$1:$Z$1,0))&amp;""),""))</f>
        <v/>
      </c>
      <c r="AI448" s="41">
        <f>IF(LEN(AH448)&gt;0,MAX($AI$1:AI447)+1,"")</f>
        <v/>
      </c>
    </row>
    <row r="449">
      <c r="AA449" s="40" t="n"/>
      <c r="AB449" s="41">
        <f>IF(TRIM('Counts'!$B$8&amp;"")="","",IFERROR(TRIM(INDEX($A449:$Z449,MATCH('Counts'!$B$8,$A$1:$Z$1,0))&amp;""),""))</f>
        <v/>
      </c>
      <c r="AC449" s="41">
        <f>IF(TRIM('Counts'!$B$26&amp;"")="","",IFERROR(TRIM(INDEX($A449:$Z449,MATCH('Counts'!$B$26,$A$1:$Z$1,0))&amp;""),""))</f>
        <v/>
      </c>
      <c r="AD449" s="41">
        <f>IF(TRIM('Counts'!$B$44&amp;"")="","",IFERROR(TRIM(INDEX($A449:$Z449,MATCH('Counts'!$B$44,$A$1:$Z$1,0))&amp;""),""))</f>
        <v/>
      </c>
      <c r="AE449" s="41">
        <f>IF(TRIM('Cross-tab'!$B$5&amp;"")="","",IFERROR(TRIM(INDEX($A449:$Z449,MATCH('Cross-tab'!$B$5,$A$1:$Z$1,0))&amp;""),""))</f>
        <v/>
      </c>
      <c r="AF449" s="41">
        <f>IF(TRIM('Cross-tab'!$B$7&amp;"")="","",IFERROR(TRIM(INDEX($A449:$Z449,MATCH('Cross-tab'!$B$7,$A$1:$Z$1,0))&amp;""),""))</f>
        <v/>
      </c>
      <c r="AG449" s="41">
        <f>IF(ISNUMBER(IFERROR(VALUE(IF(TRIM('Scale score'!$B$5&amp;"")="","",IFERROR(TRIM(INDEX($A449:$Z449,MATCH('Scale score'!$B$5,$A$1:$Z$1,0))&amp;""),""))),"")),IF(AND(IFERROR(VALUE(IF(TRIM('Scale score'!$B$5&amp;"")="","",IFERROR(TRIM(INDEX($A449:$Z449,MATCH('Scale score'!$B$5,$A$1:$Z$1,0))&amp;""),""))),"")&gt;='Scale score'!$B$6,IFERROR(VALUE(IF(TRIM('Scale score'!$B$5&amp;"")="","",IFERROR(TRIM(INDEX($A449:$Z449,MATCH('Scale score'!$B$5,$A$1:$Z$1,0))&amp;""),""))),"")&lt;='Scale score'!$B$7),IFERROR(VALUE(IF(TRIM('Scale score'!$B$5&amp;"")="","",IFERROR(TRIM(INDEX($A449:$Z449,MATCH('Scale score'!$B$5,$A$1:$Z$1,0))&amp;""),""))),""),""),"")</f>
        <v/>
      </c>
      <c r="AH449" s="41">
        <f>IF(TRIM('Open answers'!$B$5&amp;"")="","",IFERROR(TRIM(INDEX($A449:$Z449,MATCH('Open answers'!$B$5,$A$1:$Z$1,0))&amp;""),""))</f>
        <v/>
      </c>
      <c r="AI449" s="41">
        <f>IF(LEN(AH449)&gt;0,MAX($AI$1:AI448)+1,"")</f>
        <v/>
      </c>
    </row>
    <row r="450">
      <c r="AA450" s="40" t="n"/>
      <c r="AB450" s="41">
        <f>IF(TRIM('Counts'!$B$8&amp;"")="","",IFERROR(TRIM(INDEX($A450:$Z450,MATCH('Counts'!$B$8,$A$1:$Z$1,0))&amp;""),""))</f>
        <v/>
      </c>
      <c r="AC450" s="41">
        <f>IF(TRIM('Counts'!$B$26&amp;"")="","",IFERROR(TRIM(INDEX($A450:$Z450,MATCH('Counts'!$B$26,$A$1:$Z$1,0))&amp;""),""))</f>
        <v/>
      </c>
      <c r="AD450" s="41">
        <f>IF(TRIM('Counts'!$B$44&amp;"")="","",IFERROR(TRIM(INDEX($A450:$Z450,MATCH('Counts'!$B$44,$A$1:$Z$1,0))&amp;""),""))</f>
        <v/>
      </c>
      <c r="AE450" s="41">
        <f>IF(TRIM('Cross-tab'!$B$5&amp;"")="","",IFERROR(TRIM(INDEX($A450:$Z450,MATCH('Cross-tab'!$B$5,$A$1:$Z$1,0))&amp;""),""))</f>
        <v/>
      </c>
      <c r="AF450" s="41">
        <f>IF(TRIM('Cross-tab'!$B$7&amp;"")="","",IFERROR(TRIM(INDEX($A450:$Z450,MATCH('Cross-tab'!$B$7,$A$1:$Z$1,0))&amp;""),""))</f>
        <v/>
      </c>
      <c r="AG450" s="41">
        <f>IF(ISNUMBER(IFERROR(VALUE(IF(TRIM('Scale score'!$B$5&amp;"")="","",IFERROR(TRIM(INDEX($A450:$Z450,MATCH('Scale score'!$B$5,$A$1:$Z$1,0))&amp;""),""))),"")),IF(AND(IFERROR(VALUE(IF(TRIM('Scale score'!$B$5&amp;"")="","",IFERROR(TRIM(INDEX($A450:$Z450,MATCH('Scale score'!$B$5,$A$1:$Z$1,0))&amp;""),""))),"")&gt;='Scale score'!$B$6,IFERROR(VALUE(IF(TRIM('Scale score'!$B$5&amp;"")="","",IFERROR(TRIM(INDEX($A450:$Z450,MATCH('Scale score'!$B$5,$A$1:$Z$1,0))&amp;""),""))),"")&lt;='Scale score'!$B$7),IFERROR(VALUE(IF(TRIM('Scale score'!$B$5&amp;"")="","",IFERROR(TRIM(INDEX($A450:$Z450,MATCH('Scale score'!$B$5,$A$1:$Z$1,0))&amp;""),""))),""),""),"")</f>
        <v/>
      </c>
      <c r="AH450" s="41">
        <f>IF(TRIM('Open answers'!$B$5&amp;"")="","",IFERROR(TRIM(INDEX($A450:$Z450,MATCH('Open answers'!$B$5,$A$1:$Z$1,0))&amp;""),""))</f>
        <v/>
      </c>
      <c r="AI450" s="41">
        <f>IF(LEN(AH450)&gt;0,MAX($AI$1:AI449)+1,"")</f>
        <v/>
      </c>
    </row>
    <row r="451">
      <c r="AA451" s="40" t="n"/>
      <c r="AB451" s="41">
        <f>IF(TRIM('Counts'!$B$8&amp;"")="","",IFERROR(TRIM(INDEX($A451:$Z451,MATCH('Counts'!$B$8,$A$1:$Z$1,0))&amp;""),""))</f>
        <v/>
      </c>
      <c r="AC451" s="41">
        <f>IF(TRIM('Counts'!$B$26&amp;"")="","",IFERROR(TRIM(INDEX($A451:$Z451,MATCH('Counts'!$B$26,$A$1:$Z$1,0))&amp;""),""))</f>
        <v/>
      </c>
      <c r="AD451" s="41">
        <f>IF(TRIM('Counts'!$B$44&amp;"")="","",IFERROR(TRIM(INDEX($A451:$Z451,MATCH('Counts'!$B$44,$A$1:$Z$1,0))&amp;""),""))</f>
        <v/>
      </c>
      <c r="AE451" s="41">
        <f>IF(TRIM('Cross-tab'!$B$5&amp;"")="","",IFERROR(TRIM(INDEX($A451:$Z451,MATCH('Cross-tab'!$B$5,$A$1:$Z$1,0))&amp;""),""))</f>
        <v/>
      </c>
      <c r="AF451" s="41">
        <f>IF(TRIM('Cross-tab'!$B$7&amp;"")="","",IFERROR(TRIM(INDEX($A451:$Z451,MATCH('Cross-tab'!$B$7,$A$1:$Z$1,0))&amp;""),""))</f>
        <v/>
      </c>
      <c r="AG451" s="41">
        <f>IF(ISNUMBER(IFERROR(VALUE(IF(TRIM('Scale score'!$B$5&amp;"")="","",IFERROR(TRIM(INDEX($A451:$Z451,MATCH('Scale score'!$B$5,$A$1:$Z$1,0))&amp;""),""))),"")),IF(AND(IFERROR(VALUE(IF(TRIM('Scale score'!$B$5&amp;"")="","",IFERROR(TRIM(INDEX($A451:$Z451,MATCH('Scale score'!$B$5,$A$1:$Z$1,0))&amp;""),""))),"")&gt;='Scale score'!$B$6,IFERROR(VALUE(IF(TRIM('Scale score'!$B$5&amp;"")="","",IFERROR(TRIM(INDEX($A451:$Z451,MATCH('Scale score'!$B$5,$A$1:$Z$1,0))&amp;""),""))),"")&lt;='Scale score'!$B$7),IFERROR(VALUE(IF(TRIM('Scale score'!$B$5&amp;"")="","",IFERROR(TRIM(INDEX($A451:$Z451,MATCH('Scale score'!$B$5,$A$1:$Z$1,0))&amp;""),""))),""),""),"")</f>
        <v/>
      </c>
      <c r="AH451" s="41">
        <f>IF(TRIM('Open answers'!$B$5&amp;"")="","",IFERROR(TRIM(INDEX($A451:$Z451,MATCH('Open answers'!$B$5,$A$1:$Z$1,0))&amp;""),""))</f>
        <v/>
      </c>
      <c r="AI451" s="41">
        <f>IF(LEN(AH451)&gt;0,MAX($AI$1:AI450)+1,"")</f>
        <v/>
      </c>
    </row>
    <row r="452">
      <c r="AA452" s="40" t="n"/>
      <c r="AB452" s="41">
        <f>IF(TRIM('Counts'!$B$8&amp;"")="","",IFERROR(TRIM(INDEX($A452:$Z452,MATCH('Counts'!$B$8,$A$1:$Z$1,0))&amp;""),""))</f>
        <v/>
      </c>
      <c r="AC452" s="41">
        <f>IF(TRIM('Counts'!$B$26&amp;"")="","",IFERROR(TRIM(INDEX($A452:$Z452,MATCH('Counts'!$B$26,$A$1:$Z$1,0))&amp;""),""))</f>
        <v/>
      </c>
      <c r="AD452" s="41">
        <f>IF(TRIM('Counts'!$B$44&amp;"")="","",IFERROR(TRIM(INDEX($A452:$Z452,MATCH('Counts'!$B$44,$A$1:$Z$1,0))&amp;""),""))</f>
        <v/>
      </c>
      <c r="AE452" s="41">
        <f>IF(TRIM('Cross-tab'!$B$5&amp;"")="","",IFERROR(TRIM(INDEX($A452:$Z452,MATCH('Cross-tab'!$B$5,$A$1:$Z$1,0))&amp;""),""))</f>
        <v/>
      </c>
      <c r="AF452" s="41">
        <f>IF(TRIM('Cross-tab'!$B$7&amp;"")="","",IFERROR(TRIM(INDEX($A452:$Z452,MATCH('Cross-tab'!$B$7,$A$1:$Z$1,0))&amp;""),""))</f>
        <v/>
      </c>
      <c r="AG452" s="41">
        <f>IF(ISNUMBER(IFERROR(VALUE(IF(TRIM('Scale score'!$B$5&amp;"")="","",IFERROR(TRIM(INDEX($A452:$Z452,MATCH('Scale score'!$B$5,$A$1:$Z$1,0))&amp;""),""))),"")),IF(AND(IFERROR(VALUE(IF(TRIM('Scale score'!$B$5&amp;"")="","",IFERROR(TRIM(INDEX($A452:$Z452,MATCH('Scale score'!$B$5,$A$1:$Z$1,0))&amp;""),""))),"")&gt;='Scale score'!$B$6,IFERROR(VALUE(IF(TRIM('Scale score'!$B$5&amp;"")="","",IFERROR(TRIM(INDEX($A452:$Z452,MATCH('Scale score'!$B$5,$A$1:$Z$1,0))&amp;""),""))),"")&lt;='Scale score'!$B$7),IFERROR(VALUE(IF(TRIM('Scale score'!$B$5&amp;"")="","",IFERROR(TRIM(INDEX($A452:$Z452,MATCH('Scale score'!$B$5,$A$1:$Z$1,0))&amp;""),""))),""),""),"")</f>
        <v/>
      </c>
      <c r="AH452" s="41">
        <f>IF(TRIM('Open answers'!$B$5&amp;"")="","",IFERROR(TRIM(INDEX($A452:$Z452,MATCH('Open answers'!$B$5,$A$1:$Z$1,0))&amp;""),""))</f>
        <v/>
      </c>
      <c r="AI452" s="41">
        <f>IF(LEN(AH452)&gt;0,MAX($AI$1:AI451)+1,"")</f>
        <v/>
      </c>
    </row>
    <row r="453">
      <c r="AA453" s="40" t="n"/>
      <c r="AB453" s="41">
        <f>IF(TRIM('Counts'!$B$8&amp;"")="","",IFERROR(TRIM(INDEX($A453:$Z453,MATCH('Counts'!$B$8,$A$1:$Z$1,0))&amp;""),""))</f>
        <v/>
      </c>
      <c r="AC453" s="41">
        <f>IF(TRIM('Counts'!$B$26&amp;"")="","",IFERROR(TRIM(INDEX($A453:$Z453,MATCH('Counts'!$B$26,$A$1:$Z$1,0))&amp;""),""))</f>
        <v/>
      </c>
      <c r="AD453" s="41">
        <f>IF(TRIM('Counts'!$B$44&amp;"")="","",IFERROR(TRIM(INDEX($A453:$Z453,MATCH('Counts'!$B$44,$A$1:$Z$1,0))&amp;""),""))</f>
        <v/>
      </c>
      <c r="AE453" s="41">
        <f>IF(TRIM('Cross-tab'!$B$5&amp;"")="","",IFERROR(TRIM(INDEX($A453:$Z453,MATCH('Cross-tab'!$B$5,$A$1:$Z$1,0))&amp;""),""))</f>
        <v/>
      </c>
      <c r="AF453" s="41">
        <f>IF(TRIM('Cross-tab'!$B$7&amp;"")="","",IFERROR(TRIM(INDEX($A453:$Z453,MATCH('Cross-tab'!$B$7,$A$1:$Z$1,0))&amp;""),""))</f>
        <v/>
      </c>
      <c r="AG453" s="41">
        <f>IF(ISNUMBER(IFERROR(VALUE(IF(TRIM('Scale score'!$B$5&amp;"")="","",IFERROR(TRIM(INDEX($A453:$Z453,MATCH('Scale score'!$B$5,$A$1:$Z$1,0))&amp;""),""))),"")),IF(AND(IFERROR(VALUE(IF(TRIM('Scale score'!$B$5&amp;"")="","",IFERROR(TRIM(INDEX($A453:$Z453,MATCH('Scale score'!$B$5,$A$1:$Z$1,0))&amp;""),""))),"")&gt;='Scale score'!$B$6,IFERROR(VALUE(IF(TRIM('Scale score'!$B$5&amp;"")="","",IFERROR(TRIM(INDEX($A453:$Z453,MATCH('Scale score'!$B$5,$A$1:$Z$1,0))&amp;""),""))),"")&lt;='Scale score'!$B$7),IFERROR(VALUE(IF(TRIM('Scale score'!$B$5&amp;"")="","",IFERROR(TRIM(INDEX($A453:$Z453,MATCH('Scale score'!$B$5,$A$1:$Z$1,0))&amp;""),""))),""),""),"")</f>
        <v/>
      </c>
      <c r="AH453" s="41">
        <f>IF(TRIM('Open answers'!$B$5&amp;"")="","",IFERROR(TRIM(INDEX($A453:$Z453,MATCH('Open answers'!$B$5,$A$1:$Z$1,0))&amp;""),""))</f>
        <v/>
      </c>
      <c r="AI453" s="41">
        <f>IF(LEN(AH453)&gt;0,MAX($AI$1:AI452)+1,"")</f>
        <v/>
      </c>
    </row>
    <row r="454">
      <c r="AA454" s="40" t="n"/>
      <c r="AB454" s="41">
        <f>IF(TRIM('Counts'!$B$8&amp;"")="","",IFERROR(TRIM(INDEX($A454:$Z454,MATCH('Counts'!$B$8,$A$1:$Z$1,0))&amp;""),""))</f>
        <v/>
      </c>
      <c r="AC454" s="41">
        <f>IF(TRIM('Counts'!$B$26&amp;"")="","",IFERROR(TRIM(INDEX($A454:$Z454,MATCH('Counts'!$B$26,$A$1:$Z$1,0))&amp;""),""))</f>
        <v/>
      </c>
      <c r="AD454" s="41">
        <f>IF(TRIM('Counts'!$B$44&amp;"")="","",IFERROR(TRIM(INDEX($A454:$Z454,MATCH('Counts'!$B$44,$A$1:$Z$1,0))&amp;""),""))</f>
        <v/>
      </c>
      <c r="AE454" s="41">
        <f>IF(TRIM('Cross-tab'!$B$5&amp;"")="","",IFERROR(TRIM(INDEX($A454:$Z454,MATCH('Cross-tab'!$B$5,$A$1:$Z$1,0))&amp;""),""))</f>
        <v/>
      </c>
      <c r="AF454" s="41">
        <f>IF(TRIM('Cross-tab'!$B$7&amp;"")="","",IFERROR(TRIM(INDEX($A454:$Z454,MATCH('Cross-tab'!$B$7,$A$1:$Z$1,0))&amp;""),""))</f>
        <v/>
      </c>
      <c r="AG454" s="41">
        <f>IF(ISNUMBER(IFERROR(VALUE(IF(TRIM('Scale score'!$B$5&amp;"")="","",IFERROR(TRIM(INDEX($A454:$Z454,MATCH('Scale score'!$B$5,$A$1:$Z$1,0))&amp;""),""))),"")),IF(AND(IFERROR(VALUE(IF(TRIM('Scale score'!$B$5&amp;"")="","",IFERROR(TRIM(INDEX($A454:$Z454,MATCH('Scale score'!$B$5,$A$1:$Z$1,0))&amp;""),""))),"")&gt;='Scale score'!$B$6,IFERROR(VALUE(IF(TRIM('Scale score'!$B$5&amp;"")="","",IFERROR(TRIM(INDEX($A454:$Z454,MATCH('Scale score'!$B$5,$A$1:$Z$1,0))&amp;""),""))),"")&lt;='Scale score'!$B$7),IFERROR(VALUE(IF(TRIM('Scale score'!$B$5&amp;"")="","",IFERROR(TRIM(INDEX($A454:$Z454,MATCH('Scale score'!$B$5,$A$1:$Z$1,0))&amp;""),""))),""),""),"")</f>
        <v/>
      </c>
      <c r="AH454" s="41">
        <f>IF(TRIM('Open answers'!$B$5&amp;"")="","",IFERROR(TRIM(INDEX($A454:$Z454,MATCH('Open answers'!$B$5,$A$1:$Z$1,0))&amp;""),""))</f>
        <v/>
      </c>
      <c r="AI454" s="41">
        <f>IF(LEN(AH454)&gt;0,MAX($AI$1:AI453)+1,"")</f>
        <v/>
      </c>
    </row>
    <row r="455">
      <c r="AA455" s="40" t="n"/>
      <c r="AB455" s="41">
        <f>IF(TRIM('Counts'!$B$8&amp;"")="","",IFERROR(TRIM(INDEX($A455:$Z455,MATCH('Counts'!$B$8,$A$1:$Z$1,0))&amp;""),""))</f>
        <v/>
      </c>
      <c r="AC455" s="41">
        <f>IF(TRIM('Counts'!$B$26&amp;"")="","",IFERROR(TRIM(INDEX($A455:$Z455,MATCH('Counts'!$B$26,$A$1:$Z$1,0))&amp;""),""))</f>
        <v/>
      </c>
      <c r="AD455" s="41">
        <f>IF(TRIM('Counts'!$B$44&amp;"")="","",IFERROR(TRIM(INDEX($A455:$Z455,MATCH('Counts'!$B$44,$A$1:$Z$1,0))&amp;""),""))</f>
        <v/>
      </c>
      <c r="AE455" s="41">
        <f>IF(TRIM('Cross-tab'!$B$5&amp;"")="","",IFERROR(TRIM(INDEX($A455:$Z455,MATCH('Cross-tab'!$B$5,$A$1:$Z$1,0))&amp;""),""))</f>
        <v/>
      </c>
      <c r="AF455" s="41">
        <f>IF(TRIM('Cross-tab'!$B$7&amp;"")="","",IFERROR(TRIM(INDEX($A455:$Z455,MATCH('Cross-tab'!$B$7,$A$1:$Z$1,0))&amp;""),""))</f>
        <v/>
      </c>
      <c r="AG455" s="41">
        <f>IF(ISNUMBER(IFERROR(VALUE(IF(TRIM('Scale score'!$B$5&amp;"")="","",IFERROR(TRIM(INDEX($A455:$Z455,MATCH('Scale score'!$B$5,$A$1:$Z$1,0))&amp;""),""))),"")),IF(AND(IFERROR(VALUE(IF(TRIM('Scale score'!$B$5&amp;"")="","",IFERROR(TRIM(INDEX($A455:$Z455,MATCH('Scale score'!$B$5,$A$1:$Z$1,0))&amp;""),""))),"")&gt;='Scale score'!$B$6,IFERROR(VALUE(IF(TRIM('Scale score'!$B$5&amp;"")="","",IFERROR(TRIM(INDEX($A455:$Z455,MATCH('Scale score'!$B$5,$A$1:$Z$1,0))&amp;""),""))),"")&lt;='Scale score'!$B$7),IFERROR(VALUE(IF(TRIM('Scale score'!$B$5&amp;"")="","",IFERROR(TRIM(INDEX($A455:$Z455,MATCH('Scale score'!$B$5,$A$1:$Z$1,0))&amp;""),""))),""),""),"")</f>
        <v/>
      </c>
      <c r="AH455" s="41">
        <f>IF(TRIM('Open answers'!$B$5&amp;"")="","",IFERROR(TRIM(INDEX($A455:$Z455,MATCH('Open answers'!$B$5,$A$1:$Z$1,0))&amp;""),""))</f>
        <v/>
      </c>
      <c r="AI455" s="41">
        <f>IF(LEN(AH455)&gt;0,MAX($AI$1:AI454)+1,"")</f>
        <v/>
      </c>
    </row>
    <row r="456">
      <c r="AA456" s="40" t="n"/>
      <c r="AB456" s="41">
        <f>IF(TRIM('Counts'!$B$8&amp;"")="","",IFERROR(TRIM(INDEX($A456:$Z456,MATCH('Counts'!$B$8,$A$1:$Z$1,0))&amp;""),""))</f>
        <v/>
      </c>
      <c r="AC456" s="41">
        <f>IF(TRIM('Counts'!$B$26&amp;"")="","",IFERROR(TRIM(INDEX($A456:$Z456,MATCH('Counts'!$B$26,$A$1:$Z$1,0))&amp;""),""))</f>
        <v/>
      </c>
      <c r="AD456" s="41">
        <f>IF(TRIM('Counts'!$B$44&amp;"")="","",IFERROR(TRIM(INDEX($A456:$Z456,MATCH('Counts'!$B$44,$A$1:$Z$1,0))&amp;""),""))</f>
        <v/>
      </c>
      <c r="AE456" s="41">
        <f>IF(TRIM('Cross-tab'!$B$5&amp;"")="","",IFERROR(TRIM(INDEX($A456:$Z456,MATCH('Cross-tab'!$B$5,$A$1:$Z$1,0))&amp;""),""))</f>
        <v/>
      </c>
      <c r="AF456" s="41">
        <f>IF(TRIM('Cross-tab'!$B$7&amp;"")="","",IFERROR(TRIM(INDEX($A456:$Z456,MATCH('Cross-tab'!$B$7,$A$1:$Z$1,0))&amp;""),""))</f>
        <v/>
      </c>
      <c r="AG456" s="41">
        <f>IF(ISNUMBER(IFERROR(VALUE(IF(TRIM('Scale score'!$B$5&amp;"")="","",IFERROR(TRIM(INDEX($A456:$Z456,MATCH('Scale score'!$B$5,$A$1:$Z$1,0))&amp;""),""))),"")),IF(AND(IFERROR(VALUE(IF(TRIM('Scale score'!$B$5&amp;"")="","",IFERROR(TRIM(INDEX($A456:$Z456,MATCH('Scale score'!$B$5,$A$1:$Z$1,0))&amp;""),""))),"")&gt;='Scale score'!$B$6,IFERROR(VALUE(IF(TRIM('Scale score'!$B$5&amp;"")="","",IFERROR(TRIM(INDEX($A456:$Z456,MATCH('Scale score'!$B$5,$A$1:$Z$1,0))&amp;""),""))),"")&lt;='Scale score'!$B$7),IFERROR(VALUE(IF(TRIM('Scale score'!$B$5&amp;"")="","",IFERROR(TRIM(INDEX($A456:$Z456,MATCH('Scale score'!$B$5,$A$1:$Z$1,0))&amp;""),""))),""),""),"")</f>
        <v/>
      </c>
      <c r="AH456" s="41">
        <f>IF(TRIM('Open answers'!$B$5&amp;"")="","",IFERROR(TRIM(INDEX($A456:$Z456,MATCH('Open answers'!$B$5,$A$1:$Z$1,0))&amp;""),""))</f>
        <v/>
      </c>
      <c r="AI456" s="41">
        <f>IF(LEN(AH456)&gt;0,MAX($AI$1:AI455)+1,"")</f>
        <v/>
      </c>
    </row>
    <row r="457">
      <c r="AA457" s="40" t="n"/>
      <c r="AB457" s="41">
        <f>IF(TRIM('Counts'!$B$8&amp;"")="","",IFERROR(TRIM(INDEX($A457:$Z457,MATCH('Counts'!$B$8,$A$1:$Z$1,0))&amp;""),""))</f>
        <v/>
      </c>
      <c r="AC457" s="41">
        <f>IF(TRIM('Counts'!$B$26&amp;"")="","",IFERROR(TRIM(INDEX($A457:$Z457,MATCH('Counts'!$B$26,$A$1:$Z$1,0))&amp;""),""))</f>
        <v/>
      </c>
      <c r="AD457" s="41">
        <f>IF(TRIM('Counts'!$B$44&amp;"")="","",IFERROR(TRIM(INDEX($A457:$Z457,MATCH('Counts'!$B$44,$A$1:$Z$1,0))&amp;""),""))</f>
        <v/>
      </c>
      <c r="AE457" s="41">
        <f>IF(TRIM('Cross-tab'!$B$5&amp;"")="","",IFERROR(TRIM(INDEX($A457:$Z457,MATCH('Cross-tab'!$B$5,$A$1:$Z$1,0))&amp;""),""))</f>
        <v/>
      </c>
      <c r="AF457" s="41">
        <f>IF(TRIM('Cross-tab'!$B$7&amp;"")="","",IFERROR(TRIM(INDEX($A457:$Z457,MATCH('Cross-tab'!$B$7,$A$1:$Z$1,0))&amp;""),""))</f>
        <v/>
      </c>
      <c r="AG457" s="41">
        <f>IF(ISNUMBER(IFERROR(VALUE(IF(TRIM('Scale score'!$B$5&amp;"")="","",IFERROR(TRIM(INDEX($A457:$Z457,MATCH('Scale score'!$B$5,$A$1:$Z$1,0))&amp;""),""))),"")),IF(AND(IFERROR(VALUE(IF(TRIM('Scale score'!$B$5&amp;"")="","",IFERROR(TRIM(INDEX($A457:$Z457,MATCH('Scale score'!$B$5,$A$1:$Z$1,0))&amp;""),""))),"")&gt;='Scale score'!$B$6,IFERROR(VALUE(IF(TRIM('Scale score'!$B$5&amp;"")="","",IFERROR(TRIM(INDEX($A457:$Z457,MATCH('Scale score'!$B$5,$A$1:$Z$1,0))&amp;""),""))),"")&lt;='Scale score'!$B$7),IFERROR(VALUE(IF(TRIM('Scale score'!$B$5&amp;"")="","",IFERROR(TRIM(INDEX($A457:$Z457,MATCH('Scale score'!$B$5,$A$1:$Z$1,0))&amp;""),""))),""),""),"")</f>
        <v/>
      </c>
      <c r="AH457" s="41">
        <f>IF(TRIM('Open answers'!$B$5&amp;"")="","",IFERROR(TRIM(INDEX($A457:$Z457,MATCH('Open answers'!$B$5,$A$1:$Z$1,0))&amp;""),""))</f>
        <v/>
      </c>
      <c r="AI457" s="41">
        <f>IF(LEN(AH457)&gt;0,MAX($AI$1:AI456)+1,"")</f>
        <v/>
      </c>
    </row>
    <row r="458">
      <c r="AA458" s="40" t="n"/>
      <c r="AB458" s="41">
        <f>IF(TRIM('Counts'!$B$8&amp;"")="","",IFERROR(TRIM(INDEX($A458:$Z458,MATCH('Counts'!$B$8,$A$1:$Z$1,0))&amp;""),""))</f>
        <v/>
      </c>
      <c r="AC458" s="41">
        <f>IF(TRIM('Counts'!$B$26&amp;"")="","",IFERROR(TRIM(INDEX($A458:$Z458,MATCH('Counts'!$B$26,$A$1:$Z$1,0))&amp;""),""))</f>
        <v/>
      </c>
      <c r="AD458" s="41">
        <f>IF(TRIM('Counts'!$B$44&amp;"")="","",IFERROR(TRIM(INDEX($A458:$Z458,MATCH('Counts'!$B$44,$A$1:$Z$1,0))&amp;""),""))</f>
        <v/>
      </c>
      <c r="AE458" s="41">
        <f>IF(TRIM('Cross-tab'!$B$5&amp;"")="","",IFERROR(TRIM(INDEX($A458:$Z458,MATCH('Cross-tab'!$B$5,$A$1:$Z$1,0))&amp;""),""))</f>
        <v/>
      </c>
      <c r="AF458" s="41">
        <f>IF(TRIM('Cross-tab'!$B$7&amp;"")="","",IFERROR(TRIM(INDEX($A458:$Z458,MATCH('Cross-tab'!$B$7,$A$1:$Z$1,0))&amp;""),""))</f>
        <v/>
      </c>
      <c r="AG458" s="41">
        <f>IF(ISNUMBER(IFERROR(VALUE(IF(TRIM('Scale score'!$B$5&amp;"")="","",IFERROR(TRIM(INDEX($A458:$Z458,MATCH('Scale score'!$B$5,$A$1:$Z$1,0))&amp;""),""))),"")),IF(AND(IFERROR(VALUE(IF(TRIM('Scale score'!$B$5&amp;"")="","",IFERROR(TRIM(INDEX($A458:$Z458,MATCH('Scale score'!$B$5,$A$1:$Z$1,0))&amp;""),""))),"")&gt;='Scale score'!$B$6,IFERROR(VALUE(IF(TRIM('Scale score'!$B$5&amp;"")="","",IFERROR(TRIM(INDEX($A458:$Z458,MATCH('Scale score'!$B$5,$A$1:$Z$1,0))&amp;""),""))),"")&lt;='Scale score'!$B$7),IFERROR(VALUE(IF(TRIM('Scale score'!$B$5&amp;"")="","",IFERROR(TRIM(INDEX($A458:$Z458,MATCH('Scale score'!$B$5,$A$1:$Z$1,0))&amp;""),""))),""),""),"")</f>
        <v/>
      </c>
      <c r="AH458" s="41">
        <f>IF(TRIM('Open answers'!$B$5&amp;"")="","",IFERROR(TRIM(INDEX($A458:$Z458,MATCH('Open answers'!$B$5,$A$1:$Z$1,0))&amp;""),""))</f>
        <v/>
      </c>
      <c r="AI458" s="41">
        <f>IF(LEN(AH458)&gt;0,MAX($AI$1:AI457)+1,"")</f>
        <v/>
      </c>
    </row>
    <row r="459">
      <c r="AA459" s="40" t="n"/>
      <c r="AB459" s="41">
        <f>IF(TRIM('Counts'!$B$8&amp;"")="","",IFERROR(TRIM(INDEX($A459:$Z459,MATCH('Counts'!$B$8,$A$1:$Z$1,0))&amp;""),""))</f>
        <v/>
      </c>
      <c r="AC459" s="41">
        <f>IF(TRIM('Counts'!$B$26&amp;"")="","",IFERROR(TRIM(INDEX($A459:$Z459,MATCH('Counts'!$B$26,$A$1:$Z$1,0))&amp;""),""))</f>
        <v/>
      </c>
      <c r="AD459" s="41">
        <f>IF(TRIM('Counts'!$B$44&amp;"")="","",IFERROR(TRIM(INDEX($A459:$Z459,MATCH('Counts'!$B$44,$A$1:$Z$1,0))&amp;""),""))</f>
        <v/>
      </c>
      <c r="AE459" s="41">
        <f>IF(TRIM('Cross-tab'!$B$5&amp;"")="","",IFERROR(TRIM(INDEX($A459:$Z459,MATCH('Cross-tab'!$B$5,$A$1:$Z$1,0))&amp;""),""))</f>
        <v/>
      </c>
      <c r="AF459" s="41">
        <f>IF(TRIM('Cross-tab'!$B$7&amp;"")="","",IFERROR(TRIM(INDEX($A459:$Z459,MATCH('Cross-tab'!$B$7,$A$1:$Z$1,0))&amp;""),""))</f>
        <v/>
      </c>
      <c r="AG459" s="41">
        <f>IF(ISNUMBER(IFERROR(VALUE(IF(TRIM('Scale score'!$B$5&amp;"")="","",IFERROR(TRIM(INDEX($A459:$Z459,MATCH('Scale score'!$B$5,$A$1:$Z$1,0))&amp;""),""))),"")),IF(AND(IFERROR(VALUE(IF(TRIM('Scale score'!$B$5&amp;"")="","",IFERROR(TRIM(INDEX($A459:$Z459,MATCH('Scale score'!$B$5,$A$1:$Z$1,0))&amp;""),""))),"")&gt;='Scale score'!$B$6,IFERROR(VALUE(IF(TRIM('Scale score'!$B$5&amp;"")="","",IFERROR(TRIM(INDEX($A459:$Z459,MATCH('Scale score'!$B$5,$A$1:$Z$1,0))&amp;""),""))),"")&lt;='Scale score'!$B$7),IFERROR(VALUE(IF(TRIM('Scale score'!$B$5&amp;"")="","",IFERROR(TRIM(INDEX($A459:$Z459,MATCH('Scale score'!$B$5,$A$1:$Z$1,0))&amp;""),""))),""),""),"")</f>
        <v/>
      </c>
      <c r="AH459" s="41">
        <f>IF(TRIM('Open answers'!$B$5&amp;"")="","",IFERROR(TRIM(INDEX($A459:$Z459,MATCH('Open answers'!$B$5,$A$1:$Z$1,0))&amp;""),""))</f>
        <v/>
      </c>
      <c r="AI459" s="41">
        <f>IF(LEN(AH459)&gt;0,MAX($AI$1:AI458)+1,"")</f>
        <v/>
      </c>
    </row>
    <row r="460">
      <c r="AA460" s="40" t="n"/>
      <c r="AB460" s="41">
        <f>IF(TRIM('Counts'!$B$8&amp;"")="","",IFERROR(TRIM(INDEX($A460:$Z460,MATCH('Counts'!$B$8,$A$1:$Z$1,0))&amp;""),""))</f>
        <v/>
      </c>
      <c r="AC460" s="41">
        <f>IF(TRIM('Counts'!$B$26&amp;"")="","",IFERROR(TRIM(INDEX($A460:$Z460,MATCH('Counts'!$B$26,$A$1:$Z$1,0))&amp;""),""))</f>
        <v/>
      </c>
      <c r="AD460" s="41">
        <f>IF(TRIM('Counts'!$B$44&amp;"")="","",IFERROR(TRIM(INDEX($A460:$Z460,MATCH('Counts'!$B$44,$A$1:$Z$1,0))&amp;""),""))</f>
        <v/>
      </c>
      <c r="AE460" s="41">
        <f>IF(TRIM('Cross-tab'!$B$5&amp;"")="","",IFERROR(TRIM(INDEX($A460:$Z460,MATCH('Cross-tab'!$B$5,$A$1:$Z$1,0))&amp;""),""))</f>
        <v/>
      </c>
      <c r="AF460" s="41">
        <f>IF(TRIM('Cross-tab'!$B$7&amp;"")="","",IFERROR(TRIM(INDEX($A460:$Z460,MATCH('Cross-tab'!$B$7,$A$1:$Z$1,0))&amp;""),""))</f>
        <v/>
      </c>
      <c r="AG460" s="41">
        <f>IF(ISNUMBER(IFERROR(VALUE(IF(TRIM('Scale score'!$B$5&amp;"")="","",IFERROR(TRIM(INDEX($A460:$Z460,MATCH('Scale score'!$B$5,$A$1:$Z$1,0))&amp;""),""))),"")),IF(AND(IFERROR(VALUE(IF(TRIM('Scale score'!$B$5&amp;"")="","",IFERROR(TRIM(INDEX($A460:$Z460,MATCH('Scale score'!$B$5,$A$1:$Z$1,0))&amp;""),""))),"")&gt;='Scale score'!$B$6,IFERROR(VALUE(IF(TRIM('Scale score'!$B$5&amp;"")="","",IFERROR(TRIM(INDEX($A460:$Z460,MATCH('Scale score'!$B$5,$A$1:$Z$1,0))&amp;""),""))),"")&lt;='Scale score'!$B$7),IFERROR(VALUE(IF(TRIM('Scale score'!$B$5&amp;"")="","",IFERROR(TRIM(INDEX($A460:$Z460,MATCH('Scale score'!$B$5,$A$1:$Z$1,0))&amp;""),""))),""),""),"")</f>
        <v/>
      </c>
      <c r="AH460" s="41">
        <f>IF(TRIM('Open answers'!$B$5&amp;"")="","",IFERROR(TRIM(INDEX($A460:$Z460,MATCH('Open answers'!$B$5,$A$1:$Z$1,0))&amp;""),""))</f>
        <v/>
      </c>
      <c r="AI460" s="41">
        <f>IF(LEN(AH460)&gt;0,MAX($AI$1:AI459)+1,"")</f>
        <v/>
      </c>
    </row>
    <row r="461">
      <c r="AA461" s="40" t="n"/>
      <c r="AB461" s="41">
        <f>IF(TRIM('Counts'!$B$8&amp;"")="","",IFERROR(TRIM(INDEX($A461:$Z461,MATCH('Counts'!$B$8,$A$1:$Z$1,0))&amp;""),""))</f>
        <v/>
      </c>
      <c r="AC461" s="41">
        <f>IF(TRIM('Counts'!$B$26&amp;"")="","",IFERROR(TRIM(INDEX($A461:$Z461,MATCH('Counts'!$B$26,$A$1:$Z$1,0))&amp;""),""))</f>
        <v/>
      </c>
      <c r="AD461" s="41">
        <f>IF(TRIM('Counts'!$B$44&amp;"")="","",IFERROR(TRIM(INDEX($A461:$Z461,MATCH('Counts'!$B$44,$A$1:$Z$1,0))&amp;""),""))</f>
        <v/>
      </c>
      <c r="AE461" s="41">
        <f>IF(TRIM('Cross-tab'!$B$5&amp;"")="","",IFERROR(TRIM(INDEX($A461:$Z461,MATCH('Cross-tab'!$B$5,$A$1:$Z$1,0))&amp;""),""))</f>
        <v/>
      </c>
      <c r="AF461" s="41">
        <f>IF(TRIM('Cross-tab'!$B$7&amp;"")="","",IFERROR(TRIM(INDEX($A461:$Z461,MATCH('Cross-tab'!$B$7,$A$1:$Z$1,0))&amp;""),""))</f>
        <v/>
      </c>
      <c r="AG461" s="41">
        <f>IF(ISNUMBER(IFERROR(VALUE(IF(TRIM('Scale score'!$B$5&amp;"")="","",IFERROR(TRIM(INDEX($A461:$Z461,MATCH('Scale score'!$B$5,$A$1:$Z$1,0))&amp;""),""))),"")),IF(AND(IFERROR(VALUE(IF(TRIM('Scale score'!$B$5&amp;"")="","",IFERROR(TRIM(INDEX($A461:$Z461,MATCH('Scale score'!$B$5,$A$1:$Z$1,0))&amp;""),""))),"")&gt;='Scale score'!$B$6,IFERROR(VALUE(IF(TRIM('Scale score'!$B$5&amp;"")="","",IFERROR(TRIM(INDEX($A461:$Z461,MATCH('Scale score'!$B$5,$A$1:$Z$1,0))&amp;""),""))),"")&lt;='Scale score'!$B$7),IFERROR(VALUE(IF(TRIM('Scale score'!$B$5&amp;"")="","",IFERROR(TRIM(INDEX($A461:$Z461,MATCH('Scale score'!$B$5,$A$1:$Z$1,0))&amp;""),""))),""),""),"")</f>
        <v/>
      </c>
      <c r="AH461" s="41">
        <f>IF(TRIM('Open answers'!$B$5&amp;"")="","",IFERROR(TRIM(INDEX($A461:$Z461,MATCH('Open answers'!$B$5,$A$1:$Z$1,0))&amp;""),""))</f>
        <v/>
      </c>
      <c r="AI461" s="41">
        <f>IF(LEN(AH461)&gt;0,MAX($AI$1:AI460)+1,"")</f>
        <v/>
      </c>
    </row>
    <row r="462">
      <c r="AA462" s="40" t="n"/>
      <c r="AB462" s="41">
        <f>IF(TRIM('Counts'!$B$8&amp;"")="","",IFERROR(TRIM(INDEX($A462:$Z462,MATCH('Counts'!$B$8,$A$1:$Z$1,0))&amp;""),""))</f>
        <v/>
      </c>
      <c r="AC462" s="41">
        <f>IF(TRIM('Counts'!$B$26&amp;"")="","",IFERROR(TRIM(INDEX($A462:$Z462,MATCH('Counts'!$B$26,$A$1:$Z$1,0))&amp;""),""))</f>
        <v/>
      </c>
      <c r="AD462" s="41">
        <f>IF(TRIM('Counts'!$B$44&amp;"")="","",IFERROR(TRIM(INDEX($A462:$Z462,MATCH('Counts'!$B$44,$A$1:$Z$1,0))&amp;""),""))</f>
        <v/>
      </c>
      <c r="AE462" s="41">
        <f>IF(TRIM('Cross-tab'!$B$5&amp;"")="","",IFERROR(TRIM(INDEX($A462:$Z462,MATCH('Cross-tab'!$B$5,$A$1:$Z$1,0))&amp;""),""))</f>
        <v/>
      </c>
      <c r="AF462" s="41">
        <f>IF(TRIM('Cross-tab'!$B$7&amp;"")="","",IFERROR(TRIM(INDEX($A462:$Z462,MATCH('Cross-tab'!$B$7,$A$1:$Z$1,0))&amp;""),""))</f>
        <v/>
      </c>
      <c r="AG462" s="41">
        <f>IF(ISNUMBER(IFERROR(VALUE(IF(TRIM('Scale score'!$B$5&amp;"")="","",IFERROR(TRIM(INDEX($A462:$Z462,MATCH('Scale score'!$B$5,$A$1:$Z$1,0))&amp;""),""))),"")),IF(AND(IFERROR(VALUE(IF(TRIM('Scale score'!$B$5&amp;"")="","",IFERROR(TRIM(INDEX($A462:$Z462,MATCH('Scale score'!$B$5,$A$1:$Z$1,0))&amp;""),""))),"")&gt;='Scale score'!$B$6,IFERROR(VALUE(IF(TRIM('Scale score'!$B$5&amp;"")="","",IFERROR(TRIM(INDEX($A462:$Z462,MATCH('Scale score'!$B$5,$A$1:$Z$1,0))&amp;""),""))),"")&lt;='Scale score'!$B$7),IFERROR(VALUE(IF(TRIM('Scale score'!$B$5&amp;"")="","",IFERROR(TRIM(INDEX($A462:$Z462,MATCH('Scale score'!$B$5,$A$1:$Z$1,0))&amp;""),""))),""),""),"")</f>
        <v/>
      </c>
      <c r="AH462" s="41">
        <f>IF(TRIM('Open answers'!$B$5&amp;"")="","",IFERROR(TRIM(INDEX($A462:$Z462,MATCH('Open answers'!$B$5,$A$1:$Z$1,0))&amp;""),""))</f>
        <v/>
      </c>
      <c r="AI462" s="41">
        <f>IF(LEN(AH462)&gt;0,MAX($AI$1:AI461)+1,"")</f>
        <v/>
      </c>
    </row>
    <row r="463">
      <c r="AA463" s="40" t="n"/>
      <c r="AB463" s="41">
        <f>IF(TRIM('Counts'!$B$8&amp;"")="","",IFERROR(TRIM(INDEX($A463:$Z463,MATCH('Counts'!$B$8,$A$1:$Z$1,0))&amp;""),""))</f>
        <v/>
      </c>
      <c r="AC463" s="41">
        <f>IF(TRIM('Counts'!$B$26&amp;"")="","",IFERROR(TRIM(INDEX($A463:$Z463,MATCH('Counts'!$B$26,$A$1:$Z$1,0))&amp;""),""))</f>
        <v/>
      </c>
      <c r="AD463" s="41">
        <f>IF(TRIM('Counts'!$B$44&amp;"")="","",IFERROR(TRIM(INDEX($A463:$Z463,MATCH('Counts'!$B$44,$A$1:$Z$1,0))&amp;""),""))</f>
        <v/>
      </c>
      <c r="AE463" s="41">
        <f>IF(TRIM('Cross-tab'!$B$5&amp;"")="","",IFERROR(TRIM(INDEX($A463:$Z463,MATCH('Cross-tab'!$B$5,$A$1:$Z$1,0))&amp;""),""))</f>
        <v/>
      </c>
      <c r="AF463" s="41">
        <f>IF(TRIM('Cross-tab'!$B$7&amp;"")="","",IFERROR(TRIM(INDEX($A463:$Z463,MATCH('Cross-tab'!$B$7,$A$1:$Z$1,0))&amp;""),""))</f>
        <v/>
      </c>
      <c r="AG463" s="41">
        <f>IF(ISNUMBER(IFERROR(VALUE(IF(TRIM('Scale score'!$B$5&amp;"")="","",IFERROR(TRIM(INDEX($A463:$Z463,MATCH('Scale score'!$B$5,$A$1:$Z$1,0))&amp;""),""))),"")),IF(AND(IFERROR(VALUE(IF(TRIM('Scale score'!$B$5&amp;"")="","",IFERROR(TRIM(INDEX($A463:$Z463,MATCH('Scale score'!$B$5,$A$1:$Z$1,0))&amp;""),""))),"")&gt;='Scale score'!$B$6,IFERROR(VALUE(IF(TRIM('Scale score'!$B$5&amp;"")="","",IFERROR(TRIM(INDEX($A463:$Z463,MATCH('Scale score'!$B$5,$A$1:$Z$1,0))&amp;""),""))),"")&lt;='Scale score'!$B$7),IFERROR(VALUE(IF(TRIM('Scale score'!$B$5&amp;"")="","",IFERROR(TRIM(INDEX($A463:$Z463,MATCH('Scale score'!$B$5,$A$1:$Z$1,0))&amp;""),""))),""),""),"")</f>
        <v/>
      </c>
      <c r="AH463" s="41">
        <f>IF(TRIM('Open answers'!$B$5&amp;"")="","",IFERROR(TRIM(INDEX($A463:$Z463,MATCH('Open answers'!$B$5,$A$1:$Z$1,0))&amp;""),""))</f>
        <v/>
      </c>
      <c r="AI463" s="41">
        <f>IF(LEN(AH463)&gt;0,MAX($AI$1:AI462)+1,"")</f>
        <v/>
      </c>
    </row>
    <row r="464">
      <c r="AA464" s="40" t="n"/>
      <c r="AB464" s="41">
        <f>IF(TRIM('Counts'!$B$8&amp;"")="","",IFERROR(TRIM(INDEX($A464:$Z464,MATCH('Counts'!$B$8,$A$1:$Z$1,0))&amp;""),""))</f>
        <v/>
      </c>
      <c r="AC464" s="41">
        <f>IF(TRIM('Counts'!$B$26&amp;"")="","",IFERROR(TRIM(INDEX($A464:$Z464,MATCH('Counts'!$B$26,$A$1:$Z$1,0))&amp;""),""))</f>
        <v/>
      </c>
      <c r="AD464" s="41">
        <f>IF(TRIM('Counts'!$B$44&amp;"")="","",IFERROR(TRIM(INDEX($A464:$Z464,MATCH('Counts'!$B$44,$A$1:$Z$1,0))&amp;""),""))</f>
        <v/>
      </c>
      <c r="AE464" s="41">
        <f>IF(TRIM('Cross-tab'!$B$5&amp;"")="","",IFERROR(TRIM(INDEX($A464:$Z464,MATCH('Cross-tab'!$B$5,$A$1:$Z$1,0))&amp;""),""))</f>
        <v/>
      </c>
      <c r="AF464" s="41">
        <f>IF(TRIM('Cross-tab'!$B$7&amp;"")="","",IFERROR(TRIM(INDEX($A464:$Z464,MATCH('Cross-tab'!$B$7,$A$1:$Z$1,0))&amp;""),""))</f>
        <v/>
      </c>
      <c r="AG464" s="41">
        <f>IF(ISNUMBER(IFERROR(VALUE(IF(TRIM('Scale score'!$B$5&amp;"")="","",IFERROR(TRIM(INDEX($A464:$Z464,MATCH('Scale score'!$B$5,$A$1:$Z$1,0))&amp;""),""))),"")),IF(AND(IFERROR(VALUE(IF(TRIM('Scale score'!$B$5&amp;"")="","",IFERROR(TRIM(INDEX($A464:$Z464,MATCH('Scale score'!$B$5,$A$1:$Z$1,0))&amp;""),""))),"")&gt;='Scale score'!$B$6,IFERROR(VALUE(IF(TRIM('Scale score'!$B$5&amp;"")="","",IFERROR(TRIM(INDEX($A464:$Z464,MATCH('Scale score'!$B$5,$A$1:$Z$1,0))&amp;""),""))),"")&lt;='Scale score'!$B$7),IFERROR(VALUE(IF(TRIM('Scale score'!$B$5&amp;"")="","",IFERROR(TRIM(INDEX($A464:$Z464,MATCH('Scale score'!$B$5,$A$1:$Z$1,0))&amp;""),""))),""),""),"")</f>
        <v/>
      </c>
      <c r="AH464" s="41">
        <f>IF(TRIM('Open answers'!$B$5&amp;"")="","",IFERROR(TRIM(INDEX($A464:$Z464,MATCH('Open answers'!$B$5,$A$1:$Z$1,0))&amp;""),""))</f>
        <v/>
      </c>
      <c r="AI464" s="41">
        <f>IF(LEN(AH464)&gt;0,MAX($AI$1:AI463)+1,"")</f>
        <v/>
      </c>
    </row>
    <row r="465">
      <c r="AA465" s="40" t="n"/>
      <c r="AB465" s="41">
        <f>IF(TRIM('Counts'!$B$8&amp;"")="","",IFERROR(TRIM(INDEX($A465:$Z465,MATCH('Counts'!$B$8,$A$1:$Z$1,0))&amp;""),""))</f>
        <v/>
      </c>
      <c r="AC465" s="41">
        <f>IF(TRIM('Counts'!$B$26&amp;"")="","",IFERROR(TRIM(INDEX($A465:$Z465,MATCH('Counts'!$B$26,$A$1:$Z$1,0))&amp;""),""))</f>
        <v/>
      </c>
      <c r="AD465" s="41">
        <f>IF(TRIM('Counts'!$B$44&amp;"")="","",IFERROR(TRIM(INDEX($A465:$Z465,MATCH('Counts'!$B$44,$A$1:$Z$1,0))&amp;""),""))</f>
        <v/>
      </c>
      <c r="AE465" s="41">
        <f>IF(TRIM('Cross-tab'!$B$5&amp;"")="","",IFERROR(TRIM(INDEX($A465:$Z465,MATCH('Cross-tab'!$B$5,$A$1:$Z$1,0))&amp;""),""))</f>
        <v/>
      </c>
      <c r="AF465" s="41">
        <f>IF(TRIM('Cross-tab'!$B$7&amp;"")="","",IFERROR(TRIM(INDEX($A465:$Z465,MATCH('Cross-tab'!$B$7,$A$1:$Z$1,0))&amp;""),""))</f>
        <v/>
      </c>
      <c r="AG465" s="41">
        <f>IF(ISNUMBER(IFERROR(VALUE(IF(TRIM('Scale score'!$B$5&amp;"")="","",IFERROR(TRIM(INDEX($A465:$Z465,MATCH('Scale score'!$B$5,$A$1:$Z$1,0))&amp;""),""))),"")),IF(AND(IFERROR(VALUE(IF(TRIM('Scale score'!$B$5&amp;"")="","",IFERROR(TRIM(INDEX($A465:$Z465,MATCH('Scale score'!$B$5,$A$1:$Z$1,0))&amp;""),""))),"")&gt;='Scale score'!$B$6,IFERROR(VALUE(IF(TRIM('Scale score'!$B$5&amp;"")="","",IFERROR(TRIM(INDEX($A465:$Z465,MATCH('Scale score'!$B$5,$A$1:$Z$1,0))&amp;""),""))),"")&lt;='Scale score'!$B$7),IFERROR(VALUE(IF(TRIM('Scale score'!$B$5&amp;"")="","",IFERROR(TRIM(INDEX($A465:$Z465,MATCH('Scale score'!$B$5,$A$1:$Z$1,0))&amp;""),""))),""),""),"")</f>
        <v/>
      </c>
      <c r="AH465" s="41">
        <f>IF(TRIM('Open answers'!$B$5&amp;"")="","",IFERROR(TRIM(INDEX($A465:$Z465,MATCH('Open answers'!$B$5,$A$1:$Z$1,0))&amp;""),""))</f>
        <v/>
      </c>
      <c r="AI465" s="41">
        <f>IF(LEN(AH465)&gt;0,MAX($AI$1:AI464)+1,"")</f>
        <v/>
      </c>
    </row>
    <row r="466">
      <c r="AA466" s="40" t="n"/>
      <c r="AB466" s="41">
        <f>IF(TRIM('Counts'!$B$8&amp;"")="","",IFERROR(TRIM(INDEX($A466:$Z466,MATCH('Counts'!$B$8,$A$1:$Z$1,0))&amp;""),""))</f>
        <v/>
      </c>
      <c r="AC466" s="41">
        <f>IF(TRIM('Counts'!$B$26&amp;"")="","",IFERROR(TRIM(INDEX($A466:$Z466,MATCH('Counts'!$B$26,$A$1:$Z$1,0))&amp;""),""))</f>
        <v/>
      </c>
      <c r="AD466" s="41">
        <f>IF(TRIM('Counts'!$B$44&amp;"")="","",IFERROR(TRIM(INDEX($A466:$Z466,MATCH('Counts'!$B$44,$A$1:$Z$1,0))&amp;""),""))</f>
        <v/>
      </c>
      <c r="AE466" s="41">
        <f>IF(TRIM('Cross-tab'!$B$5&amp;"")="","",IFERROR(TRIM(INDEX($A466:$Z466,MATCH('Cross-tab'!$B$5,$A$1:$Z$1,0))&amp;""),""))</f>
        <v/>
      </c>
      <c r="AF466" s="41">
        <f>IF(TRIM('Cross-tab'!$B$7&amp;"")="","",IFERROR(TRIM(INDEX($A466:$Z466,MATCH('Cross-tab'!$B$7,$A$1:$Z$1,0))&amp;""),""))</f>
        <v/>
      </c>
      <c r="AG466" s="41">
        <f>IF(ISNUMBER(IFERROR(VALUE(IF(TRIM('Scale score'!$B$5&amp;"")="","",IFERROR(TRIM(INDEX($A466:$Z466,MATCH('Scale score'!$B$5,$A$1:$Z$1,0))&amp;""),""))),"")),IF(AND(IFERROR(VALUE(IF(TRIM('Scale score'!$B$5&amp;"")="","",IFERROR(TRIM(INDEX($A466:$Z466,MATCH('Scale score'!$B$5,$A$1:$Z$1,0))&amp;""),""))),"")&gt;='Scale score'!$B$6,IFERROR(VALUE(IF(TRIM('Scale score'!$B$5&amp;"")="","",IFERROR(TRIM(INDEX($A466:$Z466,MATCH('Scale score'!$B$5,$A$1:$Z$1,0))&amp;""),""))),"")&lt;='Scale score'!$B$7),IFERROR(VALUE(IF(TRIM('Scale score'!$B$5&amp;"")="","",IFERROR(TRIM(INDEX($A466:$Z466,MATCH('Scale score'!$B$5,$A$1:$Z$1,0))&amp;""),""))),""),""),"")</f>
        <v/>
      </c>
      <c r="AH466" s="41">
        <f>IF(TRIM('Open answers'!$B$5&amp;"")="","",IFERROR(TRIM(INDEX($A466:$Z466,MATCH('Open answers'!$B$5,$A$1:$Z$1,0))&amp;""),""))</f>
        <v/>
      </c>
      <c r="AI466" s="41">
        <f>IF(LEN(AH466)&gt;0,MAX($AI$1:AI465)+1,"")</f>
        <v/>
      </c>
    </row>
    <row r="467">
      <c r="AA467" s="40" t="n"/>
      <c r="AB467" s="41">
        <f>IF(TRIM('Counts'!$B$8&amp;"")="","",IFERROR(TRIM(INDEX($A467:$Z467,MATCH('Counts'!$B$8,$A$1:$Z$1,0))&amp;""),""))</f>
        <v/>
      </c>
      <c r="AC467" s="41">
        <f>IF(TRIM('Counts'!$B$26&amp;"")="","",IFERROR(TRIM(INDEX($A467:$Z467,MATCH('Counts'!$B$26,$A$1:$Z$1,0))&amp;""),""))</f>
        <v/>
      </c>
      <c r="AD467" s="41">
        <f>IF(TRIM('Counts'!$B$44&amp;"")="","",IFERROR(TRIM(INDEX($A467:$Z467,MATCH('Counts'!$B$44,$A$1:$Z$1,0))&amp;""),""))</f>
        <v/>
      </c>
      <c r="AE467" s="41">
        <f>IF(TRIM('Cross-tab'!$B$5&amp;"")="","",IFERROR(TRIM(INDEX($A467:$Z467,MATCH('Cross-tab'!$B$5,$A$1:$Z$1,0))&amp;""),""))</f>
        <v/>
      </c>
      <c r="AF467" s="41">
        <f>IF(TRIM('Cross-tab'!$B$7&amp;"")="","",IFERROR(TRIM(INDEX($A467:$Z467,MATCH('Cross-tab'!$B$7,$A$1:$Z$1,0))&amp;""),""))</f>
        <v/>
      </c>
      <c r="AG467" s="41">
        <f>IF(ISNUMBER(IFERROR(VALUE(IF(TRIM('Scale score'!$B$5&amp;"")="","",IFERROR(TRIM(INDEX($A467:$Z467,MATCH('Scale score'!$B$5,$A$1:$Z$1,0))&amp;""),""))),"")),IF(AND(IFERROR(VALUE(IF(TRIM('Scale score'!$B$5&amp;"")="","",IFERROR(TRIM(INDEX($A467:$Z467,MATCH('Scale score'!$B$5,$A$1:$Z$1,0))&amp;""),""))),"")&gt;='Scale score'!$B$6,IFERROR(VALUE(IF(TRIM('Scale score'!$B$5&amp;"")="","",IFERROR(TRIM(INDEX($A467:$Z467,MATCH('Scale score'!$B$5,$A$1:$Z$1,0))&amp;""),""))),"")&lt;='Scale score'!$B$7),IFERROR(VALUE(IF(TRIM('Scale score'!$B$5&amp;"")="","",IFERROR(TRIM(INDEX($A467:$Z467,MATCH('Scale score'!$B$5,$A$1:$Z$1,0))&amp;""),""))),""),""),"")</f>
        <v/>
      </c>
      <c r="AH467" s="41">
        <f>IF(TRIM('Open answers'!$B$5&amp;"")="","",IFERROR(TRIM(INDEX($A467:$Z467,MATCH('Open answers'!$B$5,$A$1:$Z$1,0))&amp;""),""))</f>
        <v/>
      </c>
      <c r="AI467" s="41">
        <f>IF(LEN(AH467)&gt;0,MAX($AI$1:AI466)+1,"")</f>
        <v/>
      </c>
    </row>
    <row r="468">
      <c r="AA468" s="40" t="n"/>
      <c r="AB468" s="41">
        <f>IF(TRIM('Counts'!$B$8&amp;"")="","",IFERROR(TRIM(INDEX($A468:$Z468,MATCH('Counts'!$B$8,$A$1:$Z$1,0))&amp;""),""))</f>
        <v/>
      </c>
      <c r="AC468" s="41">
        <f>IF(TRIM('Counts'!$B$26&amp;"")="","",IFERROR(TRIM(INDEX($A468:$Z468,MATCH('Counts'!$B$26,$A$1:$Z$1,0))&amp;""),""))</f>
        <v/>
      </c>
      <c r="AD468" s="41">
        <f>IF(TRIM('Counts'!$B$44&amp;"")="","",IFERROR(TRIM(INDEX($A468:$Z468,MATCH('Counts'!$B$44,$A$1:$Z$1,0))&amp;""),""))</f>
        <v/>
      </c>
      <c r="AE468" s="41">
        <f>IF(TRIM('Cross-tab'!$B$5&amp;"")="","",IFERROR(TRIM(INDEX($A468:$Z468,MATCH('Cross-tab'!$B$5,$A$1:$Z$1,0))&amp;""),""))</f>
        <v/>
      </c>
      <c r="AF468" s="41">
        <f>IF(TRIM('Cross-tab'!$B$7&amp;"")="","",IFERROR(TRIM(INDEX($A468:$Z468,MATCH('Cross-tab'!$B$7,$A$1:$Z$1,0))&amp;""),""))</f>
        <v/>
      </c>
      <c r="AG468" s="41">
        <f>IF(ISNUMBER(IFERROR(VALUE(IF(TRIM('Scale score'!$B$5&amp;"")="","",IFERROR(TRIM(INDEX($A468:$Z468,MATCH('Scale score'!$B$5,$A$1:$Z$1,0))&amp;""),""))),"")),IF(AND(IFERROR(VALUE(IF(TRIM('Scale score'!$B$5&amp;"")="","",IFERROR(TRIM(INDEX($A468:$Z468,MATCH('Scale score'!$B$5,$A$1:$Z$1,0))&amp;""),""))),"")&gt;='Scale score'!$B$6,IFERROR(VALUE(IF(TRIM('Scale score'!$B$5&amp;"")="","",IFERROR(TRIM(INDEX($A468:$Z468,MATCH('Scale score'!$B$5,$A$1:$Z$1,0))&amp;""),""))),"")&lt;='Scale score'!$B$7),IFERROR(VALUE(IF(TRIM('Scale score'!$B$5&amp;"")="","",IFERROR(TRIM(INDEX($A468:$Z468,MATCH('Scale score'!$B$5,$A$1:$Z$1,0))&amp;""),""))),""),""),"")</f>
        <v/>
      </c>
      <c r="AH468" s="41">
        <f>IF(TRIM('Open answers'!$B$5&amp;"")="","",IFERROR(TRIM(INDEX($A468:$Z468,MATCH('Open answers'!$B$5,$A$1:$Z$1,0))&amp;""),""))</f>
        <v/>
      </c>
      <c r="AI468" s="41">
        <f>IF(LEN(AH468)&gt;0,MAX($AI$1:AI467)+1,"")</f>
        <v/>
      </c>
    </row>
    <row r="469">
      <c r="AA469" s="40" t="n"/>
      <c r="AB469" s="41">
        <f>IF(TRIM('Counts'!$B$8&amp;"")="","",IFERROR(TRIM(INDEX($A469:$Z469,MATCH('Counts'!$B$8,$A$1:$Z$1,0))&amp;""),""))</f>
        <v/>
      </c>
      <c r="AC469" s="41">
        <f>IF(TRIM('Counts'!$B$26&amp;"")="","",IFERROR(TRIM(INDEX($A469:$Z469,MATCH('Counts'!$B$26,$A$1:$Z$1,0))&amp;""),""))</f>
        <v/>
      </c>
      <c r="AD469" s="41">
        <f>IF(TRIM('Counts'!$B$44&amp;"")="","",IFERROR(TRIM(INDEX($A469:$Z469,MATCH('Counts'!$B$44,$A$1:$Z$1,0))&amp;""),""))</f>
        <v/>
      </c>
      <c r="AE469" s="41">
        <f>IF(TRIM('Cross-tab'!$B$5&amp;"")="","",IFERROR(TRIM(INDEX($A469:$Z469,MATCH('Cross-tab'!$B$5,$A$1:$Z$1,0))&amp;""),""))</f>
        <v/>
      </c>
      <c r="AF469" s="41">
        <f>IF(TRIM('Cross-tab'!$B$7&amp;"")="","",IFERROR(TRIM(INDEX($A469:$Z469,MATCH('Cross-tab'!$B$7,$A$1:$Z$1,0))&amp;""),""))</f>
        <v/>
      </c>
      <c r="AG469" s="41">
        <f>IF(ISNUMBER(IFERROR(VALUE(IF(TRIM('Scale score'!$B$5&amp;"")="","",IFERROR(TRIM(INDEX($A469:$Z469,MATCH('Scale score'!$B$5,$A$1:$Z$1,0))&amp;""),""))),"")),IF(AND(IFERROR(VALUE(IF(TRIM('Scale score'!$B$5&amp;"")="","",IFERROR(TRIM(INDEX($A469:$Z469,MATCH('Scale score'!$B$5,$A$1:$Z$1,0))&amp;""),""))),"")&gt;='Scale score'!$B$6,IFERROR(VALUE(IF(TRIM('Scale score'!$B$5&amp;"")="","",IFERROR(TRIM(INDEX($A469:$Z469,MATCH('Scale score'!$B$5,$A$1:$Z$1,0))&amp;""),""))),"")&lt;='Scale score'!$B$7),IFERROR(VALUE(IF(TRIM('Scale score'!$B$5&amp;"")="","",IFERROR(TRIM(INDEX($A469:$Z469,MATCH('Scale score'!$B$5,$A$1:$Z$1,0))&amp;""),""))),""),""),"")</f>
        <v/>
      </c>
      <c r="AH469" s="41">
        <f>IF(TRIM('Open answers'!$B$5&amp;"")="","",IFERROR(TRIM(INDEX($A469:$Z469,MATCH('Open answers'!$B$5,$A$1:$Z$1,0))&amp;""),""))</f>
        <v/>
      </c>
      <c r="AI469" s="41">
        <f>IF(LEN(AH469)&gt;0,MAX($AI$1:AI468)+1,"")</f>
        <v/>
      </c>
    </row>
    <row r="470">
      <c r="AA470" s="40" t="n"/>
      <c r="AB470" s="41">
        <f>IF(TRIM('Counts'!$B$8&amp;"")="","",IFERROR(TRIM(INDEX($A470:$Z470,MATCH('Counts'!$B$8,$A$1:$Z$1,0))&amp;""),""))</f>
        <v/>
      </c>
      <c r="AC470" s="41">
        <f>IF(TRIM('Counts'!$B$26&amp;"")="","",IFERROR(TRIM(INDEX($A470:$Z470,MATCH('Counts'!$B$26,$A$1:$Z$1,0))&amp;""),""))</f>
        <v/>
      </c>
      <c r="AD470" s="41">
        <f>IF(TRIM('Counts'!$B$44&amp;"")="","",IFERROR(TRIM(INDEX($A470:$Z470,MATCH('Counts'!$B$44,$A$1:$Z$1,0))&amp;""),""))</f>
        <v/>
      </c>
      <c r="AE470" s="41">
        <f>IF(TRIM('Cross-tab'!$B$5&amp;"")="","",IFERROR(TRIM(INDEX($A470:$Z470,MATCH('Cross-tab'!$B$5,$A$1:$Z$1,0))&amp;""),""))</f>
        <v/>
      </c>
      <c r="AF470" s="41">
        <f>IF(TRIM('Cross-tab'!$B$7&amp;"")="","",IFERROR(TRIM(INDEX($A470:$Z470,MATCH('Cross-tab'!$B$7,$A$1:$Z$1,0))&amp;""),""))</f>
        <v/>
      </c>
      <c r="AG470" s="41">
        <f>IF(ISNUMBER(IFERROR(VALUE(IF(TRIM('Scale score'!$B$5&amp;"")="","",IFERROR(TRIM(INDEX($A470:$Z470,MATCH('Scale score'!$B$5,$A$1:$Z$1,0))&amp;""),""))),"")),IF(AND(IFERROR(VALUE(IF(TRIM('Scale score'!$B$5&amp;"")="","",IFERROR(TRIM(INDEX($A470:$Z470,MATCH('Scale score'!$B$5,$A$1:$Z$1,0))&amp;""),""))),"")&gt;='Scale score'!$B$6,IFERROR(VALUE(IF(TRIM('Scale score'!$B$5&amp;"")="","",IFERROR(TRIM(INDEX($A470:$Z470,MATCH('Scale score'!$B$5,$A$1:$Z$1,0))&amp;""),""))),"")&lt;='Scale score'!$B$7),IFERROR(VALUE(IF(TRIM('Scale score'!$B$5&amp;"")="","",IFERROR(TRIM(INDEX($A470:$Z470,MATCH('Scale score'!$B$5,$A$1:$Z$1,0))&amp;""),""))),""),""),"")</f>
        <v/>
      </c>
      <c r="AH470" s="41">
        <f>IF(TRIM('Open answers'!$B$5&amp;"")="","",IFERROR(TRIM(INDEX($A470:$Z470,MATCH('Open answers'!$B$5,$A$1:$Z$1,0))&amp;""),""))</f>
        <v/>
      </c>
      <c r="AI470" s="41">
        <f>IF(LEN(AH470)&gt;0,MAX($AI$1:AI469)+1,"")</f>
        <v/>
      </c>
    </row>
    <row r="471">
      <c r="AA471" s="40" t="n"/>
      <c r="AB471" s="41">
        <f>IF(TRIM('Counts'!$B$8&amp;"")="","",IFERROR(TRIM(INDEX($A471:$Z471,MATCH('Counts'!$B$8,$A$1:$Z$1,0))&amp;""),""))</f>
        <v/>
      </c>
      <c r="AC471" s="41">
        <f>IF(TRIM('Counts'!$B$26&amp;"")="","",IFERROR(TRIM(INDEX($A471:$Z471,MATCH('Counts'!$B$26,$A$1:$Z$1,0))&amp;""),""))</f>
        <v/>
      </c>
      <c r="AD471" s="41">
        <f>IF(TRIM('Counts'!$B$44&amp;"")="","",IFERROR(TRIM(INDEX($A471:$Z471,MATCH('Counts'!$B$44,$A$1:$Z$1,0))&amp;""),""))</f>
        <v/>
      </c>
      <c r="AE471" s="41">
        <f>IF(TRIM('Cross-tab'!$B$5&amp;"")="","",IFERROR(TRIM(INDEX($A471:$Z471,MATCH('Cross-tab'!$B$5,$A$1:$Z$1,0))&amp;""),""))</f>
        <v/>
      </c>
      <c r="AF471" s="41">
        <f>IF(TRIM('Cross-tab'!$B$7&amp;"")="","",IFERROR(TRIM(INDEX($A471:$Z471,MATCH('Cross-tab'!$B$7,$A$1:$Z$1,0))&amp;""),""))</f>
        <v/>
      </c>
      <c r="AG471" s="41">
        <f>IF(ISNUMBER(IFERROR(VALUE(IF(TRIM('Scale score'!$B$5&amp;"")="","",IFERROR(TRIM(INDEX($A471:$Z471,MATCH('Scale score'!$B$5,$A$1:$Z$1,0))&amp;""),""))),"")),IF(AND(IFERROR(VALUE(IF(TRIM('Scale score'!$B$5&amp;"")="","",IFERROR(TRIM(INDEX($A471:$Z471,MATCH('Scale score'!$B$5,$A$1:$Z$1,0))&amp;""),""))),"")&gt;='Scale score'!$B$6,IFERROR(VALUE(IF(TRIM('Scale score'!$B$5&amp;"")="","",IFERROR(TRIM(INDEX($A471:$Z471,MATCH('Scale score'!$B$5,$A$1:$Z$1,0))&amp;""),""))),"")&lt;='Scale score'!$B$7),IFERROR(VALUE(IF(TRIM('Scale score'!$B$5&amp;"")="","",IFERROR(TRIM(INDEX($A471:$Z471,MATCH('Scale score'!$B$5,$A$1:$Z$1,0))&amp;""),""))),""),""),"")</f>
        <v/>
      </c>
      <c r="AH471" s="41">
        <f>IF(TRIM('Open answers'!$B$5&amp;"")="","",IFERROR(TRIM(INDEX($A471:$Z471,MATCH('Open answers'!$B$5,$A$1:$Z$1,0))&amp;""),""))</f>
        <v/>
      </c>
      <c r="AI471" s="41">
        <f>IF(LEN(AH471)&gt;0,MAX($AI$1:AI470)+1,"")</f>
        <v/>
      </c>
    </row>
    <row r="472">
      <c r="AA472" s="40" t="n"/>
      <c r="AB472" s="41">
        <f>IF(TRIM('Counts'!$B$8&amp;"")="","",IFERROR(TRIM(INDEX($A472:$Z472,MATCH('Counts'!$B$8,$A$1:$Z$1,0))&amp;""),""))</f>
        <v/>
      </c>
      <c r="AC472" s="41">
        <f>IF(TRIM('Counts'!$B$26&amp;"")="","",IFERROR(TRIM(INDEX($A472:$Z472,MATCH('Counts'!$B$26,$A$1:$Z$1,0))&amp;""),""))</f>
        <v/>
      </c>
      <c r="AD472" s="41">
        <f>IF(TRIM('Counts'!$B$44&amp;"")="","",IFERROR(TRIM(INDEX($A472:$Z472,MATCH('Counts'!$B$44,$A$1:$Z$1,0))&amp;""),""))</f>
        <v/>
      </c>
      <c r="AE472" s="41">
        <f>IF(TRIM('Cross-tab'!$B$5&amp;"")="","",IFERROR(TRIM(INDEX($A472:$Z472,MATCH('Cross-tab'!$B$5,$A$1:$Z$1,0))&amp;""),""))</f>
        <v/>
      </c>
      <c r="AF472" s="41">
        <f>IF(TRIM('Cross-tab'!$B$7&amp;"")="","",IFERROR(TRIM(INDEX($A472:$Z472,MATCH('Cross-tab'!$B$7,$A$1:$Z$1,0))&amp;""),""))</f>
        <v/>
      </c>
      <c r="AG472" s="41">
        <f>IF(ISNUMBER(IFERROR(VALUE(IF(TRIM('Scale score'!$B$5&amp;"")="","",IFERROR(TRIM(INDEX($A472:$Z472,MATCH('Scale score'!$B$5,$A$1:$Z$1,0))&amp;""),""))),"")),IF(AND(IFERROR(VALUE(IF(TRIM('Scale score'!$B$5&amp;"")="","",IFERROR(TRIM(INDEX($A472:$Z472,MATCH('Scale score'!$B$5,$A$1:$Z$1,0))&amp;""),""))),"")&gt;='Scale score'!$B$6,IFERROR(VALUE(IF(TRIM('Scale score'!$B$5&amp;"")="","",IFERROR(TRIM(INDEX($A472:$Z472,MATCH('Scale score'!$B$5,$A$1:$Z$1,0))&amp;""),""))),"")&lt;='Scale score'!$B$7),IFERROR(VALUE(IF(TRIM('Scale score'!$B$5&amp;"")="","",IFERROR(TRIM(INDEX($A472:$Z472,MATCH('Scale score'!$B$5,$A$1:$Z$1,0))&amp;""),""))),""),""),"")</f>
        <v/>
      </c>
      <c r="AH472" s="41">
        <f>IF(TRIM('Open answers'!$B$5&amp;"")="","",IFERROR(TRIM(INDEX($A472:$Z472,MATCH('Open answers'!$B$5,$A$1:$Z$1,0))&amp;""),""))</f>
        <v/>
      </c>
      <c r="AI472" s="41">
        <f>IF(LEN(AH472)&gt;0,MAX($AI$1:AI471)+1,"")</f>
        <v/>
      </c>
    </row>
    <row r="473">
      <c r="AA473" s="40" t="n"/>
      <c r="AB473" s="41">
        <f>IF(TRIM('Counts'!$B$8&amp;"")="","",IFERROR(TRIM(INDEX($A473:$Z473,MATCH('Counts'!$B$8,$A$1:$Z$1,0))&amp;""),""))</f>
        <v/>
      </c>
      <c r="AC473" s="41">
        <f>IF(TRIM('Counts'!$B$26&amp;"")="","",IFERROR(TRIM(INDEX($A473:$Z473,MATCH('Counts'!$B$26,$A$1:$Z$1,0))&amp;""),""))</f>
        <v/>
      </c>
      <c r="AD473" s="41">
        <f>IF(TRIM('Counts'!$B$44&amp;"")="","",IFERROR(TRIM(INDEX($A473:$Z473,MATCH('Counts'!$B$44,$A$1:$Z$1,0))&amp;""),""))</f>
        <v/>
      </c>
      <c r="AE473" s="41">
        <f>IF(TRIM('Cross-tab'!$B$5&amp;"")="","",IFERROR(TRIM(INDEX($A473:$Z473,MATCH('Cross-tab'!$B$5,$A$1:$Z$1,0))&amp;""),""))</f>
        <v/>
      </c>
      <c r="AF473" s="41">
        <f>IF(TRIM('Cross-tab'!$B$7&amp;"")="","",IFERROR(TRIM(INDEX($A473:$Z473,MATCH('Cross-tab'!$B$7,$A$1:$Z$1,0))&amp;""),""))</f>
        <v/>
      </c>
      <c r="AG473" s="41">
        <f>IF(ISNUMBER(IFERROR(VALUE(IF(TRIM('Scale score'!$B$5&amp;"")="","",IFERROR(TRIM(INDEX($A473:$Z473,MATCH('Scale score'!$B$5,$A$1:$Z$1,0))&amp;""),""))),"")),IF(AND(IFERROR(VALUE(IF(TRIM('Scale score'!$B$5&amp;"")="","",IFERROR(TRIM(INDEX($A473:$Z473,MATCH('Scale score'!$B$5,$A$1:$Z$1,0))&amp;""),""))),"")&gt;='Scale score'!$B$6,IFERROR(VALUE(IF(TRIM('Scale score'!$B$5&amp;"")="","",IFERROR(TRIM(INDEX($A473:$Z473,MATCH('Scale score'!$B$5,$A$1:$Z$1,0))&amp;""),""))),"")&lt;='Scale score'!$B$7),IFERROR(VALUE(IF(TRIM('Scale score'!$B$5&amp;"")="","",IFERROR(TRIM(INDEX($A473:$Z473,MATCH('Scale score'!$B$5,$A$1:$Z$1,0))&amp;""),""))),""),""),"")</f>
        <v/>
      </c>
      <c r="AH473" s="41">
        <f>IF(TRIM('Open answers'!$B$5&amp;"")="","",IFERROR(TRIM(INDEX($A473:$Z473,MATCH('Open answers'!$B$5,$A$1:$Z$1,0))&amp;""),""))</f>
        <v/>
      </c>
      <c r="AI473" s="41">
        <f>IF(LEN(AH473)&gt;0,MAX($AI$1:AI472)+1,"")</f>
        <v/>
      </c>
    </row>
    <row r="474">
      <c r="AA474" s="40" t="n"/>
      <c r="AB474" s="41">
        <f>IF(TRIM('Counts'!$B$8&amp;"")="","",IFERROR(TRIM(INDEX($A474:$Z474,MATCH('Counts'!$B$8,$A$1:$Z$1,0))&amp;""),""))</f>
        <v/>
      </c>
      <c r="AC474" s="41">
        <f>IF(TRIM('Counts'!$B$26&amp;"")="","",IFERROR(TRIM(INDEX($A474:$Z474,MATCH('Counts'!$B$26,$A$1:$Z$1,0))&amp;""),""))</f>
        <v/>
      </c>
      <c r="AD474" s="41">
        <f>IF(TRIM('Counts'!$B$44&amp;"")="","",IFERROR(TRIM(INDEX($A474:$Z474,MATCH('Counts'!$B$44,$A$1:$Z$1,0))&amp;""),""))</f>
        <v/>
      </c>
      <c r="AE474" s="41">
        <f>IF(TRIM('Cross-tab'!$B$5&amp;"")="","",IFERROR(TRIM(INDEX($A474:$Z474,MATCH('Cross-tab'!$B$5,$A$1:$Z$1,0))&amp;""),""))</f>
        <v/>
      </c>
      <c r="AF474" s="41">
        <f>IF(TRIM('Cross-tab'!$B$7&amp;"")="","",IFERROR(TRIM(INDEX($A474:$Z474,MATCH('Cross-tab'!$B$7,$A$1:$Z$1,0))&amp;""),""))</f>
        <v/>
      </c>
      <c r="AG474" s="41">
        <f>IF(ISNUMBER(IFERROR(VALUE(IF(TRIM('Scale score'!$B$5&amp;"")="","",IFERROR(TRIM(INDEX($A474:$Z474,MATCH('Scale score'!$B$5,$A$1:$Z$1,0))&amp;""),""))),"")),IF(AND(IFERROR(VALUE(IF(TRIM('Scale score'!$B$5&amp;"")="","",IFERROR(TRIM(INDEX($A474:$Z474,MATCH('Scale score'!$B$5,$A$1:$Z$1,0))&amp;""),""))),"")&gt;='Scale score'!$B$6,IFERROR(VALUE(IF(TRIM('Scale score'!$B$5&amp;"")="","",IFERROR(TRIM(INDEX($A474:$Z474,MATCH('Scale score'!$B$5,$A$1:$Z$1,0))&amp;""),""))),"")&lt;='Scale score'!$B$7),IFERROR(VALUE(IF(TRIM('Scale score'!$B$5&amp;"")="","",IFERROR(TRIM(INDEX($A474:$Z474,MATCH('Scale score'!$B$5,$A$1:$Z$1,0))&amp;""),""))),""),""),"")</f>
        <v/>
      </c>
      <c r="AH474" s="41">
        <f>IF(TRIM('Open answers'!$B$5&amp;"")="","",IFERROR(TRIM(INDEX($A474:$Z474,MATCH('Open answers'!$B$5,$A$1:$Z$1,0))&amp;""),""))</f>
        <v/>
      </c>
      <c r="AI474" s="41">
        <f>IF(LEN(AH474)&gt;0,MAX($AI$1:AI473)+1,"")</f>
        <v/>
      </c>
    </row>
    <row r="475">
      <c r="AA475" s="40" t="n"/>
      <c r="AB475" s="41">
        <f>IF(TRIM('Counts'!$B$8&amp;"")="","",IFERROR(TRIM(INDEX($A475:$Z475,MATCH('Counts'!$B$8,$A$1:$Z$1,0))&amp;""),""))</f>
        <v/>
      </c>
      <c r="AC475" s="41">
        <f>IF(TRIM('Counts'!$B$26&amp;"")="","",IFERROR(TRIM(INDEX($A475:$Z475,MATCH('Counts'!$B$26,$A$1:$Z$1,0))&amp;""),""))</f>
        <v/>
      </c>
      <c r="AD475" s="41">
        <f>IF(TRIM('Counts'!$B$44&amp;"")="","",IFERROR(TRIM(INDEX($A475:$Z475,MATCH('Counts'!$B$44,$A$1:$Z$1,0))&amp;""),""))</f>
        <v/>
      </c>
      <c r="AE475" s="41">
        <f>IF(TRIM('Cross-tab'!$B$5&amp;"")="","",IFERROR(TRIM(INDEX($A475:$Z475,MATCH('Cross-tab'!$B$5,$A$1:$Z$1,0))&amp;""),""))</f>
        <v/>
      </c>
      <c r="AF475" s="41">
        <f>IF(TRIM('Cross-tab'!$B$7&amp;"")="","",IFERROR(TRIM(INDEX($A475:$Z475,MATCH('Cross-tab'!$B$7,$A$1:$Z$1,0))&amp;""),""))</f>
        <v/>
      </c>
      <c r="AG475" s="41">
        <f>IF(ISNUMBER(IFERROR(VALUE(IF(TRIM('Scale score'!$B$5&amp;"")="","",IFERROR(TRIM(INDEX($A475:$Z475,MATCH('Scale score'!$B$5,$A$1:$Z$1,0))&amp;""),""))),"")),IF(AND(IFERROR(VALUE(IF(TRIM('Scale score'!$B$5&amp;"")="","",IFERROR(TRIM(INDEX($A475:$Z475,MATCH('Scale score'!$B$5,$A$1:$Z$1,0))&amp;""),""))),"")&gt;='Scale score'!$B$6,IFERROR(VALUE(IF(TRIM('Scale score'!$B$5&amp;"")="","",IFERROR(TRIM(INDEX($A475:$Z475,MATCH('Scale score'!$B$5,$A$1:$Z$1,0))&amp;""),""))),"")&lt;='Scale score'!$B$7),IFERROR(VALUE(IF(TRIM('Scale score'!$B$5&amp;"")="","",IFERROR(TRIM(INDEX($A475:$Z475,MATCH('Scale score'!$B$5,$A$1:$Z$1,0))&amp;""),""))),""),""),"")</f>
        <v/>
      </c>
      <c r="AH475" s="41">
        <f>IF(TRIM('Open answers'!$B$5&amp;"")="","",IFERROR(TRIM(INDEX($A475:$Z475,MATCH('Open answers'!$B$5,$A$1:$Z$1,0))&amp;""),""))</f>
        <v/>
      </c>
      <c r="AI475" s="41">
        <f>IF(LEN(AH475)&gt;0,MAX($AI$1:AI474)+1,"")</f>
        <v/>
      </c>
    </row>
    <row r="476">
      <c r="AA476" s="40" t="n"/>
      <c r="AB476" s="41">
        <f>IF(TRIM('Counts'!$B$8&amp;"")="","",IFERROR(TRIM(INDEX($A476:$Z476,MATCH('Counts'!$B$8,$A$1:$Z$1,0))&amp;""),""))</f>
        <v/>
      </c>
      <c r="AC476" s="41">
        <f>IF(TRIM('Counts'!$B$26&amp;"")="","",IFERROR(TRIM(INDEX($A476:$Z476,MATCH('Counts'!$B$26,$A$1:$Z$1,0))&amp;""),""))</f>
        <v/>
      </c>
      <c r="AD476" s="41">
        <f>IF(TRIM('Counts'!$B$44&amp;"")="","",IFERROR(TRIM(INDEX($A476:$Z476,MATCH('Counts'!$B$44,$A$1:$Z$1,0))&amp;""),""))</f>
        <v/>
      </c>
      <c r="AE476" s="41">
        <f>IF(TRIM('Cross-tab'!$B$5&amp;"")="","",IFERROR(TRIM(INDEX($A476:$Z476,MATCH('Cross-tab'!$B$5,$A$1:$Z$1,0))&amp;""),""))</f>
        <v/>
      </c>
      <c r="AF476" s="41">
        <f>IF(TRIM('Cross-tab'!$B$7&amp;"")="","",IFERROR(TRIM(INDEX($A476:$Z476,MATCH('Cross-tab'!$B$7,$A$1:$Z$1,0))&amp;""),""))</f>
        <v/>
      </c>
      <c r="AG476" s="41">
        <f>IF(ISNUMBER(IFERROR(VALUE(IF(TRIM('Scale score'!$B$5&amp;"")="","",IFERROR(TRIM(INDEX($A476:$Z476,MATCH('Scale score'!$B$5,$A$1:$Z$1,0))&amp;""),""))),"")),IF(AND(IFERROR(VALUE(IF(TRIM('Scale score'!$B$5&amp;"")="","",IFERROR(TRIM(INDEX($A476:$Z476,MATCH('Scale score'!$B$5,$A$1:$Z$1,0))&amp;""),""))),"")&gt;='Scale score'!$B$6,IFERROR(VALUE(IF(TRIM('Scale score'!$B$5&amp;"")="","",IFERROR(TRIM(INDEX($A476:$Z476,MATCH('Scale score'!$B$5,$A$1:$Z$1,0))&amp;""),""))),"")&lt;='Scale score'!$B$7),IFERROR(VALUE(IF(TRIM('Scale score'!$B$5&amp;"")="","",IFERROR(TRIM(INDEX($A476:$Z476,MATCH('Scale score'!$B$5,$A$1:$Z$1,0))&amp;""),""))),""),""),"")</f>
        <v/>
      </c>
      <c r="AH476" s="41">
        <f>IF(TRIM('Open answers'!$B$5&amp;"")="","",IFERROR(TRIM(INDEX($A476:$Z476,MATCH('Open answers'!$B$5,$A$1:$Z$1,0))&amp;""),""))</f>
        <v/>
      </c>
      <c r="AI476" s="41">
        <f>IF(LEN(AH476)&gt;0,MAX($AI$1:AI475)+1,"")</f>
        <v/>
      </c>
    </row>
    <row r="477">
      <c r="AA477" s="40" t="n"/>
      <c r="AB477" s="41">
        <f>IF(TRIM('Counts'!$B$8&amp;"")="","",IFERROR(TRIM(INDEX($A477:$Z477,MATCH('Counts'!$B$8,$A$1:$Z$1,0))&amp;""),""))</f>
        <v/>
      </c>
      <c r="AC477" s="41">
        <f>IF(TRIM('Counts'!$B$26&amp;"")="","",IFERROR(TRIM(INDEX($A477:$Z477,MATCH('Counts'!$B$26,$A$1:$Z$1,0))&amp;""),""))</f>
        <v/>
      </c>
      <c r="AD477" s="41">
        <f>IF(TRIM('Counts'!$B$44&amp;"")="","",IFERROR(TRIM(INDEX($A477:$Z477,MATCH('Counts'!$B$44,$A$1:$Z$1,0))&amp;""),""))</f>
        <v/>
      </c>
      <c r="AE477" s="41">
        <f>IF(TRIM('Cross-tab'!$B$5&amp;"")="","",IFERROR(TRIM(INDEX($A477:$Z477,MATCH('Cross-tab'!$B$5,$A$1:$Z$1,0))&amp;""),""))</f>
        <v/>
      </c>
      <c r="AF477" s="41">
        <f>IF(TRIM('Cross-tab'!$B$7&amp;"")="","",IFERROR(TRIM(INDEX($A477:$Z477,MATCH('Cross-tab'!$B$7,$A$1:$Z$1,0))&amp;""),""))</f>
        <v/>
      </c>
      <c r="AG477" s="41">
        <f>IF(ISNUMBER(IFERROR(VALUE(IF(TRIM('Scale score'!$B$5&amp;"")="","",IFERROR(TRIM(INDEX($A477:$Z477,MATCH('Scale score'!$B$5,$A$1:$Z$1,0))&amp;""),""))),"")),IF(AND(IFERROR(VALUE(IF(TRIM('Scale score'!$B$5&amp;"")="","",IFERROR(TRIM(INDEX($A477:$Z477,MATCH('Scale score'!$B$5,$A$1:$Z$1,0))&amp;""),""))),"")&gt;='Scale score'!$B$6,IFERROR(VALUE(IF(TRIM('Scale score'!$B$5&amp;"")="","",IFERROR(TRIM(INDEX($A477:$Z477,MATCH('Scale score'!$B$5,$A$1:$Z$1,0))&amp;""),""))),"")&lt;='Scale score'!$B$7),IFERROR(VALUE(IF(TRIM('Scale score'!$B$5&amp;"")="","",IFERROR(TRIM(INDEX($A477:$Z477,MATCH('Scale score'!$B$5,$A$1:$Z$1,0))&amp;""),""))),""),""),"")</f>
        <v/>
      </c>
      <c r="AH477" s="41">
        <f>IF(TRIM('Open answers'!$B$5&amp;"")="","",IFERROR(TRIM(INDEX($A477:$Z477,MATCH('Open answers'!$B$5,$A$1:$Z$1,0))&amp;""),""))</f>
        <v/>
      </c>
      <c r="AI477" s="41">
        <f>IF(LEN(AH477)&gt;0,MAX($AI$1:AI476)+1,"")</f>
        <v/>
      </c>
    </row>
    <row r="478">
      <c r="AA478" s="40" t="n"/>
      <c r="AB478" s="41">
        <f>IF(TRIM('Counts'!$B$8&amp;"")="","",IFERROR(TRIM(INDEX($A478:$Z478,MATCH('Counts'!$B$8,$A$1:$Z$1,0))&amp;""),""))</f>
        <v/>
      </c>
      <c r="AC478" s="41">
        <f>IF(TRIM('Counts'!$B$26&amp;"")="","",IFERROR(TRIM(INDEX($A478:$Z478,MATCH('Counts'!$B$26,$A$1:$Z$1,0))&amp;""),""))</f>
        <v/>
      </c>
      <c r="AD478" s="41">
        <f>IF(TRIM('Counts'!$B$44&amp;"")="","",IFERROR(TRIM(INDEX($A478:$Z478,MATCH('Counts'!$B$44,$A$1:$Z$1,0))&amp;""),""))</f>
        <v/>
      </c>
      <c r="AE478" s="41">
        <f>IF(TRIM('Cross-tab'!$B$5&amp;"")="","",IFERROR(TRIM(INDEX($A478:$Z478,MATCH('Cross-tab'!$B$5,$A$1:$Z$1,0))&amp;""),""))</f>
        <v/>
      </c>
      <c r="AF478" s="41">
        <f>IF(TRIM('Cross-tab'!$B$7&amp;"")="","",IFERROR(TRIM(INDEX($A478:$Z478,MATCH('Cross-tab'!$B$7,$A$1:$Z$1,0))&amp;""),""))</f>
        <v/>
      </c>
      <c r="AG478" s="41">
        <f>IF(ISNUMBER(IFERROR(VALUE(IF(TRIM('Scale score'!$B$5&amp;"")="","",IFERROR(TRIM(INDEX($A478:$Z478,MATCH('Scale score'!$B$5,$A$1:$Z$1,0))&amp;""),""))),"")),IF(AND(IFERROR(VALUE(IF(TRIM('Scale score'!$B$5&amp;"")="","",IFERROR(TRIM(INDEX($A478:$Z478,MATCH('Scale score'!$B$5,$A$1:$Z$1,0))&amp;""),""))),"")&gt;='Scale score'!$B$6,IFERROR(VALUE(IF(TRIM('Scale score'!$B$5&amp;"")="","",IFERROR(TRIM(INDEX($A478:$Z478,MATCH('Scale score'!$B$5,$A$1:$Z$1,0))&amp;""),""))),"")&lt;='Scale score'!$B$7),IFERROR(VALUE(IF(TRIM('Scale score'!$B$5&amp;"")="","",IFERROR(TRIM(INDEX($A478:$Z478,MATCH('Scale score'!$B$5,$A$1:$Z$1,0))&amp;""),""))),""),""),"")</f>
        <v/>
      </c>
      <c r="AH478" s="41">
        <f>IF(TRIM('Open answers'!$B$5&amp;"")="","",IFERROR(TRIM(INDEX($A478:$Z478,MATCH('Open answers'!$B$5,$A$1:$Z$1,0))&amp;""),""))</f>
        <v/>
      </c>
      <c r="AI478" s="41">
        <f>IF(LEN(AH478)&gt;0,MAX($AI$1:AI477)+1,"")</f>
        <v/>
      </c>
    </row>
    <row r="479">
      <c r="AA479" s="40" t="n"/>
      <c r="AB479" s="41">
        <f>IF(TRIM('Counts'!$B$8&amp;"")="","",IFERROR(TRIM(INDEX($A479:$Z479,MATCH('Counts'!$B$8,$A$1:$Z$1,0))&amp;""),""))</f>
        <v/>
      </c>
      <c r="AC479" s="41">
        <f>IF(TRIM('Counts'!$B$26&amp;"")="","",IFERROR(TRIM(INDEX($A479:$Z479,MATCH('Counts'!$B$26,$A$1:$Z$1,0))&amp;""),""))</f>
        <v/>
      </c>
      <c r="AD479" s="41">
        <f>IF(TRIM('Counts'!$B$44&amp;"")="","",IFERROR(TRIM(INDEX($A479:$Z479,MATCH('Counts'!$B$44,$A$1:$Z$1,0))&amp;""),""))</f>
        <v/>
      </c>
      <c r="AE479" s="41">
        <f>IF(TRIM('Cross-tab'!$B$5&amp;"")="","",IFERROR(TRIM(INDEX($A479:$Z479,MATCH('Cross-tab'!$B$5,$A$1:$Z$1,0))&amp;""),""))</f>
        <v/>
      </c>
      <c r="AF479" s="41">
        <f>IF(TRIM('Cross-tab'!$B$7&amp;"")="","",IFERROR(TRIM(INDEX($A479:$Z479,MATCH('Cross-tab'!$B$7,$A$1:$Z$1,0))&amp;""),""))</f>
        <v/>
      </c>
      <c r="AG479" s="41">
        <f>IF(ISNUMBER(IFERROR(VALUE(IF(TRIM('Scale score'!$B$5&amp;"")="","",IFERROR(TRIM(INDEX($A479:$Z479,MATCH('Scale score'!$B$5,$A$1:$Z$1,0))&amp;""),""))),"")),IF(AND(IFERROR(VALUE(IF(TRIM('Scale score'!$B$5&amp;"")="","",IFERROR(TRIM(INDEX($A479:$Z479,MATCH('Scale score'!$B$5,$A$1:$Z$1,0))&amp;""),""))),"")&gt;='Scale score'!$B$6,IFERROR(VALUE(IF(TRIM('Scale score'!$B$5&amp;"")="","",IFERROR(TRIM(INDEX($A479:$Z479,MATCH('Scale score'!$B$5,$A$1:$Z$1,0))&amp;""),""))),"")&lt;='Scale score'!$B$7),IFERROR(VALUE(IF(TRIM('Scale score'!$B$5&amp;"")="","",IFERROR(TRIM(INDEX($A479:$Z479,MATCH('Scale score'!$B$5,$A$1:$Z$1,0))&amp;""),""))),""),""),"")</f>
        <v/>
      </c>
      <c r="AH479" s="41">
        <f>IF(TRIM('Open answers'!$B$5&amp;"")="","",IFERROR(TRIM(INDEX($A479:$Z479,MATCH('Open answers'!$B$5,$A$1:$Z$1,0))&amp;""),""))</f>
        <v/>
      </c>
      <c r="AI479" s="41">
        <f>IF(LEN(AH479)&gt;0,MAX($AI$1:AI478)+1,"")</f>
        <v/>
      </c>
    </row>
    <row r="480">
      <c r="AA480" s="40" t="n"/>
      <c r="AB480" s="41">
        <f>IF(TRIM('Counts'!$B$8&amp;"")="","",IFERROR(TRIM(INDEX($A480:$Z480,MATCH('Counts'!$B$8,$A$1:$Z$1,0))&amp;""),""))</f>
        <v/>
      </c>
      <c r="AC480" s="41">
        <f>IF(TRIM('Counts'!$B$26&amp;"")="","",IFERROR(TRIM(INDEX($A480:$Z480,MATCH('Counts'!$B$26,$A$1:$Z$1,0))&amp;""),""))</f>
        <v/>
      </c>
      <c r="AD480" s="41">
        <f>IF(TRIM('Counts'!$B$44&amp;"")="","",IFERROR(TRIM(INDEX($A480:$Z480,MATCH('Counts'!$B$44,$A$1:$Z$1,0))&amp;""),""))</f>
        <v/>
      </c>
      <c r="AE480" s="41">
        <f>IF(TRIM('Cross-tab'!$B$5&amp;"")="","",IFERROR(TRIM(INDEX($A480:$Z480,MATCH('Cross-tab'!$B$5,$A$1:$Z$1,0))&amp;""),""))</f>
        <v/>
      </c>
      <c r="AF480" s="41">
        <f>IF(TRIM('Cross-tab'!$B$7&amp;"")="","",IFERROR(TRIM(INDEX($A480:$Z480,MATCH('Cross-tab'!$B$7,$A$1:$Z$1,0))&amp;""),""))</f>
        <v/>
      </c>
      <c r="AG480" s="41">
        <f>IF(ISNUMBER(IFERROR(VALUE(IF(TRIM('Scale score'!$B$5&amp;"")="","",IFERROR(TRIM(INDEX($A480:$Z480,MATCH('Scale score'!$B$5,$A$1:$Z$1,0))&amp;""),""))),"")),IF(AND(IFERROR(VALUE(IF(TRIM('Scale score'!$B$5&amp;"")="","",IFERROR(TRIM(INDEX($A480:$Z480,MATCH('Scale score'!$B$5,$A$1:$Z$1,0))&amp;""),""))),"")&gt;='Scale score'!$B$6,IFERROR(VALUE(IF(TRIM('Scale score'!$B$5&amp;"")="","",IFERROR(TRIM(INDEX($A480:$Z480,MATCH('Scale score'!$B$5,$A$1:$Z$1,0))&amp;""),""))),"")&lt;='Scale score'!$B$7),IFERROR(VALUE(IF(TRIM('Scale score'!$B$5&amp;"")="","",IFERROR(TRIM(INDEX($A480:$Z480,MATCH('Scale score'!$B$5,$A$1:$Z$1,0))&amp;""),""))),""),""),"")</f>
        <v/>
      </c>
      <c r="AH480" s="41">
        <f>IF(TRIM('Open answers'!$B$5&amp;"")="","",IFERROR(TRIM(INDEX($A480:$Z480,MATCH('Open answers'!$B$5,$A$1:$Z$1,0))&amp;""),""))</f>
        <v/>
      </c>
      <c r="AI480" s="41">
        <f>IF(LEN(AH480)&gt;0,MAX($AI$1:AI479)+1,"")</f>
        <v/>
      </c>
    </row>
    <row r="481">
      <c r="AA481" s="40" t="n"/>
      <c r="AB481" s="41">
        <f>IF(TRIM('Counts'!$B$8&amp;"")="","",IFERROR(TRIM(INDEX($A481:$Z481,MATCH('Counts'!$B$8,$A$1:$Z$1,0))&amp;""),""))</f>
        <v/>
      </c>
      <c r="AC481" s="41">
        <f>IF(TRIM('Counts'!$B$26&amp;"")="","",IFERROR(TRIM(INDEX($A481:$Z481,MATCH('Counts'!$B$26,$A$1:$Z$1,0))&amp;""),""))</f>
        <v/>
      </c>
      <c r="AD481" s="41">
        <f>IF(TRIM('Counts'!$B$44&amp;"")="","",IFERROR(TRIM(INDEX($A481:$Z481,MATCH('Counts'!$B$44,$A$1:$Z$1,0))&amp;""),""))</f>
        <v/>
      </c>
      <c r="AE481" s="41">
        <f>IF(TRIM('Cross-tab'!$B$5&amp;"")="","",IFERROR(TRIM(INDEX($A481:$Z481,MATCH('Cross-tab'!$B$5,$A$1:$Z$1,0))&amp;""),""))</f>
        <v/>
      </c>
      <c r="AF481" s="41">
        <f>IF(TRIM('Cross-tab'!$B$7&amp;"")="","",IFERROR(TRIM(INDEX($A481:$Z481,MATCH('Cross-tab'!$B$7,$A$1:$Z$1,0))&amp;""),""))</f>
        <v/>
      </c>
      <c r="AG481" s="41">
        <f>IF(ISNUMBER(IFERROR(VALUE(IF(TRIM('Scale score'!$B$5&amp;"")="","",IFERROR(TRIM(INDEX($A481:$Z481,MATCH('Scale score'!$B$5,$A$1:$Z$1,0))&amp;""),""))),"")),IF(AND(IFERROR(VALUE(IF(TRIM('Scale score'!$B$5&amp;"")="","",IFERROR(TRIM(INDEX($A481:$Z481,MATCH('Scale score'!$B$5,$A$1:$Z$1,0))&amp;""),""))),"")&gt;='Scale score'!$B$6,IFERROR(VALUE(IF(TRIM('Scale score'!$B$5&amp;"")="","",IFERROR(TRIM(INDEX($A481:$Z481,MATCH('Scale score'!$B$5,$A$1:$Z$1,0))&amp;""),""))),"")&lt;='Scale score'!$B$7),IFERROR(VALUE(IF(TRIM('Scale score'!$B$5&amp;"")="","",IFERROR(TRIM(INDEX($A481:$Z481,MATCH('Scale score'!$B$5,$A$1:$Z$1,0))&amp;""),""))),""),""),"")</f>
        <v/>
      </c>
      <c r="AH481" s="41">
        <f>IF(TRIM('Open answers'!$B$5&amp;"")="","",IFERROR(TRIM(INDEX($A481:$Z481,MATCH('Open answers'!$B$5,$A$1:$Z$1,0))&amp;""),""))</f>
        <v/>
      </c>
      <c r="AI481" s="41">
        <f>IF(LEN(AH481)&gt;0,MAX($AI$1:AI480)+1,"")</f>
        <v/>
      </c>
    </row>
    <row r="482">
      <c r="AA482" s="40" t="n"/>
      <c r="AB482" s="41">
        <f>IF(TRIM('Counts'!$B$8&amp;"")="","",IFERROR(TRIM(INDEX($A482:$Z482,MATCH('Counts'!$B$8,$A$1:$Z$1,0))&amp;""),""))</f>
        <v/>
      </c>
      <c r="AC482" s="41">
        <f>IF(TRIM('Counts'!$B$26&amp;"")="","",IFERROR(TRIM(INDEX($A482:$Z482,MATCH('Counts'!$B$26,$A$1:$Z$1,0))&amp;""),""))</f>
        <v/>
      </c>
      <c r="AD482" s="41">
        <f>IF(TRIM('Counts'!$B$44&amp;"")="","",IFERROR(TRIM(INDEX($A482:$Z482,MATCH('Counts'!$B$44,$A$1:$Z$1,0))&amp;""),""))</f>
        <v/>
      </c>
      <c r="AE482" s="41">
        <f>IF(TRIM('Cross-tab'!$B$5&amp;"")="","",IFERROR(TRIM(INDEX($A482:$Z482,MATCH('Cross-tab'!$B$5,$A$1:$Z$1,0))&amp;""),""))</f>
        <v/>
      </c>
      <c r="AF482" s="41">
        <f>IF(TRIM('Cross-tab'!$B$7&amp;"")="","",IFERROR(TRIM(INDEX($A482:$Z482,MATCH('Cross-tab'!$B$7,$A$1:$Z$1,0))&amp;""),""))</f>
        <v/>
      </c>
      <c r="AG482" s="41">
        <f>IF(ISNUMBER(IFERROR(VALUE(IF(TRIM('Scale score'!$B$5&amp;"")="","",IFERROR(TRIM(INDEX($A482:$Z482,MATCH('Scale score'!$B$5,$A$1:$Z$1,0))&amp;""),""))),"")),IF(AND(IFERROR(VALUE(IF(TRIM('Scale score'!$B$5&amp;"")="","",IFERROR(TRIM(INDEX($A482:$Z482,MATCH('Scale score'!$B$5,$A$1:$Z$1,0))&amp;""),""))),"")&gt;='Scale score'!$B$6,IFERROR(VALUE(IF(TRIM('Scale score'!$B$5&amp;"")="","",IFERROR(TRIM(INDEX($A482:$Z482,MATCH('Scale score'!$B$5,$A$1:$Z$1,0))&amp;""),""))),"")&lt;='Scale score'!$B$7),IFERROR(VALUE(IF(TRIM('Scale score'!$B$5&amp;"")="","",IFERROR(TRIM(INDEX($A482:$Z482,MATCH('Scale score'!$B$5,$A$1:$Z$1,0))&amp;""),""))),""),""),"")</f>
        <v/>
      </c>
      <c r="AH482" s="41">
        <f>IF(TRIM('Open answers'!$B$5&amp;"")="","",IFERROR(TRIM(INDEX($A482:$Z482,MATCH('Open answers'!$B$5,$A$1:$Z$1,0))&amp;""),""))</f>
        <v/>
      </c>
      <c r="AI482" s="41">
        <f>IF(LEN(AH482)&gt;0,MAX($AI$1:AI481)+1,"")</f>
        <v/>
      </c>
    </row>
    <row r="483">
      <c r="AA483" s="40" t="n"/>
      <c r="AB483" s="41">
        <f>IF(TRIM('Counts'!$B$8&amp;"")="","",IFERROR(TRIM(INDEX($A483:$Z483,MATCH('Counts'!$B$8,$A$1:$Z$1,0))&amp;""),""))</f>
        <v/>
      </c>
      <c r="AC483" s="41">
        <f>IF(TRIM('Counts'!$B$26&amp;"")="","",IFERROR(TRIM(INDEX($A483:$Z483,MATCH('Counts'!$B$26,$A$1:$Z$1,0))&amp;""),""))</f>
        <v/>
      </c>
      <c r="AD483" s="41">
        <f>IF(TRIM('Counts'!$B$44&amp;"")="","",IFERROR(TRIM(INDEX($A483:$Z483,MATCH('Counts'!$B$44,$A$1:$Z$1,0))&amp;""),""))</f>
        <v/>
      </c>
      <c r="AE483" s="41">
        <f>IF(TRIM('Cross-tab'!$B$5&amp;"")="","",IFERROR(TRIM(INDEX($A483:$Z483,MATCH('Cross-tab'!$B$5,$A$1:$Z$1,0))&amp;""),""))</f>
        <v/>
      </c>
      <c r="AF483" s="41">
        <f>IF(TRIM('Cross-tab'!$B$7&amp;"")="","",IFERROR(TRIM(INDEX($A483:$Z483,MATCH('Cross-tab'!$B$7,$A$1:$Z$1,0))&amp;""),""))</f>
        <v/>
      </c>
      <c r="AG483" s="41">
        <f>IF(ISNUMBER(IFERROR(VALUE(IF(TRIM('Scale score'!$B$5&amp;"")="","",IFERROR(TRIM(INDEX($A483:$Z483,MATCH('Scale score'!$B$5,$A$1:$Z$1,0))&amp;""),""))),"")),IF(AND(IFERROR(VALUE(IF(TRIM('Scale score'!$B$5&amp;"")="","",IFERROR(TRIM(INDEX($A483:$Z483,MATCH('Scale score'!$B$5,$A$1:$Z$1,0))&amp;""),""))),"")&gt;='Scale score'!$B$6,IFERROR(VALUE(IF(TRIM('Scale score'!$B$5&amp;"")="","",IFERROR(TRIM(INDEX($A483:$Z483,MATCH('Scale score'!$B$5,$A$1:$Z$1,0))&amp;""),""))),"")&lt;='Scale score'!$B$7),IFERROR(VALUE(IF(TRIM('Scale score'!$B$5&amp;"")="","",IFERROR(TRIM(INDEX($A483:$Z483,MATCH('Scale score'!$B$5,$A$1:$Z$1,0))&amp;""),""))),""),""),"")</f>
        <v/>
      </c>
      <c r="AH483" s="41">
        <f>IF(TRIM('Open answers'!$B$5&amp;"")="","",IFERROR(TRIM(INDEX($A483:$Z483,MATCH('Open answers'!$B$5,$A$1:$Z$1,0))&amp;""),""))</f>
        <v/>
      </c>
      <c r="AI483" s="41">
        <f>IF(LEN(AH483)&gt;0,MAX($AI$1:AI482)+1,"")</f>
        <v/>
      </c>
    </row>
    <row r="484">
      <c r="AA484" s="40" t="n"/>
      <c r="AB484" s="41">
        <f>IF(TRIM('Counts'!$B$8&amp;"")="","",IFERROR(TRIM(INDEX($A484:$Z484,MATCH('Counts'!$B$8,$A$1:$Z$1,0))&amp;""),""))</f>
        <v/>
      </c>
      <c r="AC484" s="41">
        <f>IF(TRIM('Counts'!$B$26&amp;"")="","",IFERROR(TRIM(INDEX($A484:$Z484,MATCH('Counts'!$B$26,$A$1:$Z$1,0))&amp;""),""))</f>
        <v/>
      </c>
      <c r="AD484" s="41">
        <f>IF(TRIM('Counts'!$B$44&amp;"")="","",IFERROR(TRIM(INDEX($A484:$Z484,MATCH('Counts'!$B$44,$A$1:$Z$1,0))&amp;""),""))</f>
        <v/>
      </c>
      <c r="AE484" s="41">
        <f>IF(TRIM('Cross-tab'!$B$5&amp;"")="","",IFERROR(TRIM(INDEX($A484:$Z484,MATCH('Cross-tab'!$B$5,$A$1:$Z$1,0))&amp;""),""))</f>
        <v/>
      </c>
      <c r="AF484" s="41">
        <f>IF(TRIM('Cross-tab'!$B$7&amp;"")="","",IFERROR(TRIM(INDEX($A484:$Z484,MATCH('Cross-tab'!$B$7,$A$1:$Z$1,0))&amp;""),""))</f>
        <v/>
      </c>
      <c r="AG484" s="41">
        <f>IF(ISNUMBER(IFERROR(VALUE(IF(TRIM('Scale score'!$B$5&amp;"")="","",IFERROR(TRIM(INDEX($A484:$Z484,MATCH('Scale score'!$B$5,$A$1:$Z$1,0))&amp;""),""))),"")),IF(AND(IFERROR(VALUE(IF(TRIM('Scale score'!$B$5&amp;"")="","",IFERROR(TRIM(INDEX($A484:$Z484,MATCH('Scale score'!$B$5,$A$1:$Z$1,0))&amp;""),""))),"")&gt;='Scale score'!$B$6,IFERROR(VALUE(IF(TRIM('Scale score'!$B$5&amp;"")="","",IFERROR(TRIM(INDEX($A484:$Z484,MATCH('Scale score'!$B$5,$A$1:$Z$1,0))&amp;""),""))),"")&lt;='Scale score'!$B$7),IFERROR(VALUE(IF(TRIM('Scale score'!$B$5&amp;"")="","",IFERROR(TRIM(INDEX($A484:$Z484,MATCH('Scale score'!$B$5,$A$1:$Z$1,0))&amp;""),""))),""),""),"")</f>
        <v/>
      </c>
      <c r="AH484" s="41">
        <f>IF(TRIM('Open answers'!$B$5&amp;"")="","",IFERROR(TRIM(INDEX($A484:$Z484,MATCH('Open answers'!$B$5,$A$1:$Z$1,0))&amp;""),""))</f>
        <v/>
      </c>
      <c r="AI484" s="41">
        <f>IF(LEN(AH484)&gt;0,MAX($AI$1:AI483)+1,"")</f>
        <v/>
      </c>
    </row>
    <row r="485">
      <c r="AA485" s="40" t="n"/>
      <c r="AB485" s="41">
        <f>IF(TRIM('Counts'!$B$8&amp;"")="","",IFERROR(TRIM(INDEX($A485:$Z485,MATCH('Counts'!$B$8,$A$1:$Z$1,0))&amp;""),""))</f>
        <v/>
      </c>
      <c r="AC485" s="41">
        <f>IF(TRIM('Counts'!$B$26&amp;"")="","",IFERROR(TRIM(INDEX($A485:$Z485,MATCH('Counts'!$B$26,$A$1:$Z$1,0))&amp;""),""))</f>
        <v/>
      </c>
      <c r="AD485" s="41">
        <f>IF(TRIM('Counts'!$B$44&amp;"")="","",IFERROR(TRIM(INDEX($A485:$Z485,MATCH('Counts'!$B$44,$A$1:$Z$1,0))&amp;""),""))</f>
        <v/>
      </c>
      <c r="AE485" s="41">
        <f>IF(TRIM('Cross-tab'!$B$5&amp;"")="","",IFERROR(TRIM(INDEX($A485:$Z485,MATCH('Cross-tab'!$B$5,$A$1:$Z$1,0))&amp;""),""))</f>
        <v/>
      </c>
      <c r="AF485" s="41">
        <f>IF(TRIM('Cross-tab'!$B$7&amp;"")="","",IFERROR(TRIM(INDEX($A485:$Z485,MATCH('Cross-tab'!$B$7,$A$1:$Z$1,0))&amp;""),""))</f>
        <v/>
      </c>
      <c r="AG485" s="41">
        <f>IF(ISNUMBER(IFERROR(VALUE(IF(TRIM('Scale score'!$B$5&amp;"")="","",IFERROR(TRIM(INDEX($A485:$Z485,MATCH('Scale score'!$B$5,$A$1:$Z$1,0))&amp;""),""))),"")),IF(AND(IFERROR(VALUE(IF(TRIM('Scale score'!$B$5&amp;"")="","",IFERROR(TRIM(INDEX($A485:$Z485,MATCH('Scale score'!$B$5,$A$1:$Z$1,0))&amp;""),""))),"")&gt;='Scale score'!$B$6,IFERROR(VALUE(IF(TRIM('Scale score'!$B$5&amp;"")="","",IFERROR(TRIM(INDEX($A485:$Z485,MATCH('Scale score'!$B$5,$A$1:$Z$1,0))&amp;""),""))),"")&lt;='Scale score'!$B$7),IFERROR(VALUE(IF(TRIM('Scale score'!$B$5&amp;"")="","",IFERROR(TRIM(INDEX($A485:$Z485,MATCH('Scale score'!$B$5,$A$1:$Z$1,0))&amp;""),""))),""),""),"")</f>
        <v/>
      </c>
      <c r="AH485" s="41">
        <f>IF(TRIM('Open answers'!$B$5&amp;"")="","",IFERROR(TRIM(INDEX($A485:$Z485,MATCH('Open answers'!$B$5,$A$1:$Z$1,0))&amp;""),""))</f>
        <v/>
      </c>
      <c r="AI485" s="41">
        <f>IF(LEN(AH485)&gt;0,MAX($AI$1:AI484)+1,"")</f>
        <v/>
      </c>
    </row>
    <row r="486">
      <c r="AA486" s="40" t="n"/>
      <c r="AB486" s="41">
        <f>IF(TRIM('Counts'!$B$8&amp;"")="","",IFERROR(TRIM(INDEX($A486:$Z486,MATCH('Counts'!$B$8,$A$1:$Z$1,0))&amp;""),""))</f>
        <v/>
      </c>
      <c r="AC486" s="41">
        <f>IF(TRIM('Counts'!$B$26&amp;"")="","",IFERROR(TRIM(INDEX($A486:$Z486,MATCH('Counts'!$B$26,$A$1:$Z$1,0))&amp;""),""))</f>
        <v/>
      </c>
      <c r="AD486" s="41">
        <f>IF(TRIM('Counts'!$B$44&amp;"")="","",IFERROR(TRIM(INDEX($A486:$Z486,MATCH('Counts'!$B$44,$A$1:$Z$1,0))&amp;""),""))</f>
        <v/>
      </c>
      <c r="AE486" s="41">
        <f>IF(TRIM('Cross-tab'!$B$5&amp;"")="","",IFERROR(TRIM(INDEX($A486:$Z486,MATCH('Cross-tab'!$B$5,$A$1:$Z$1,0))&amp;""),""))</f>
        <v/>
      </c>
      <c r="AF486" s="41">
        <f>IF(TRIM('Cross-tab'!$B$7&amp;"")="","",IFERROR(TRIM(INDEX($A486:$Z486,MATCH('Cross-tab'!$B$7,$A$1:$Z$1,0))&amp;""),""))</f>
        <v/>
      </c>
      <c r="AG486" s="41">
        <f>IF(ISNUMBER(IFERROR(VALUE(IF(TRIM('Scale score'!$B$5&amp;"")="","",IFERROR(TRIM(INDEX($A486:$Z486,MATCH('Scale score'!$B$5,$A$1:$Z$1,0))&amp;""),""))),"")),IF(AND(IFERROR(VALUE(IF(TRIM('Scale score'!$B$5&amp;"")="","",IFERROR(TRIM(INDEX($A486:$Z486,MATCH('Scale score'!$B$5,$A$1:$Z$1,0))&amp;""),""))),"")&gt;='Scale score'!$B$6,IFERROR(VALUE(IF(TRIM('Scale score'!$B$5&amp;"")="","",IFERROR(TRIM(INDEX($A486:$Z486,MATCH('Scale score'!$B$5,$A$1:$Z$1,0))&amp;""),""))),"")&lt;='Scale score'!$B$7),IFERROR(VALUE(IF(TRIM('Scale score'!$B$5&amp;"")="","",IFERROR(TRIM(INDEX($A486:$Z486,MATCH('Scale score'!$B$5,$A$1:$Z$1,0))&amp;""),""))),""),""),"")</f>
        <v/>
      </c>
      <c r="AH486" s="41">
        <f>IF(TRIM('Open answers'!$B$5&amp;"")="","",IFERROR(TRIM(INDEX($A486:$Z486,MATCH('Open answers'!$B$5,$A$1:$Z$1,0))&amp;""),""))</f>
        <v/>
      </c>
      <c r="AI486" s="41">
        <f>IF(LEN(AH486)&gt;0,MAX($AI$1:AI485)+1,"")</f>
        <v/>
      </c>
    </row>
    <row r="487">
      <c r="AA487" s="40" t="n"/>
      <c r="AB487" s="41">
        <f>IF(TRIM('Counts'!$B$8&amp;"")="","",IFERROR(TRIM(INDEX($A487:$Z487,MATCH('Counts'!$B$8,$A$1:$Z$1,0))&amp;""),""))</f>
        <v/>
      </c>
      <c r="AC487" s="41">
        <f>IF(TRIM('Counts'!$B$26&amp;"")="","",IFERROR(TRIM(INDEX($A487:$Z487,MATCH('Counts'!$B$26,$A$1:$Z$1,0))&amp;""),""))</f>
        <v/>
      </c>
      <c r="AD487" s="41">
        <f>IF(TRIM('Counts'!$B$44&amp;"")="","",IFERROR(TRIM(INDEX($A487:$Z487,MATCH('Counts'!$B$44,$A$1:$Z$1,0))&amp;""),""))</f>
        <v/>
      </c>
      <c r="AE487" s="41">
        <f>IF(TRIM('Cross-tab'!$B$5&amp;"")="","",IFERROR(TRIM(INDEX($A487:$Z487,MATCH('Cross-tab'!$B$5,$A$1:$Z$1,0))&amp;""),""))</f>
        <v/>
      </c>
      <c r="AF487" s="41">
        <f>IF(TRIM('Cross-tab'!$B$7&amp;"")="","",IFERROR(TRIM(INDEX($A487:$Z487,MATCH('Cross-tab'!$B$7,$A$1:$Z$1,0))&amp;""),""))</f>
        <v/>
      </c>
      <c r="AG487" s="41">
        <f>IF(ISNUMBER(IFERROR(VALUE(IF(TRIM('Scale score'!$B$5&amp;"")="","",IFERROR(TRIM(INDEX($A487:$Z487,MATCH('Scale score'!$B$5,$A$1:$Z$1,0))&amp;""),""))),"")),IF(AND(IFERROR(VALUE(IF(TRIM('Scale score'!$B$5&amp;"")="","",IFERROR(TRIM(INDEX($A487:$Z487,MATCH('Scale score'!$B$5,$A$1:$Z$1,0))&amp;""),""))),"")&gt;='Scale score'!$B$6,IFERROR(VALUE(IF(TRIM('Scale score'!$B$5&amp;"")="","",IFERROR(TRIM(INDEX($A487:$Z487,MATCH('Scale score'!$B$5,$A$1:$Z$1,0))&amp;""),""))),"")&lt;='Scale score'!$B$7),IFERROR(VALUE(IF(TRIM('Scale score'!$B$5&amp;"")="","",IFERROR(TRIM(INDEX($A487:$Z487,MATCH('Scale score'!$B$5,$A$1:$Z$1,0))&amp;""),""))),""),""),"")</f>
        <v/>
      </c>
      <c r="AH487" s="41">
        <f>IF(TRIM('Open answers'!$B$5&amp;"")="","",IFERROR(TRIM(INDEX($A487:$Z487,MATCH('Open answers'!$B$5,$A$1:$Z$1,0))&amp;""),""))</f>
        <v/>
      </c>
      <c r="AI487" s="41">
        <f>IF(LEN(AH487)&gt;0,MAX($AI$1:AI486)+1,"")</f>
        <v/>
      </c>
    </row>
    <row r="488">
      <c r="AA488" s="40" t="n"/>
      <c r="AB488" s="41">
        <f>IF(TRIM('Counts'!$B$8&amp;"")="","",IFERROR(TRIM(INDEX($A488:$Z488,MATCH('Counts'!$B$8,$A$1:$Z$1,0))&amp;""),""))</f>
        <v/>
      </c>
      <c r="AC488" s="41">
        <f>IF(TRIM('Counts'!$B$26&amp;"")="","",IFERROR(TRIM(INDEX($A488:$Z488,MATCH('Counts'!$B$26,$A$1:$Z$1,0))&amp;""),""))</f>
        <v/>
      </c>
      <c r="AD488" s="41">
        <f>IF(TRIM('Counts'!$B$44&amp;"")="","",IFERROR(TRIM(INDEX($A488:$Z488,MATCH('Counts'!$B$44,$A$1:$Z$1,0))&amp;""),""))</f>
        <v/>
      </c>
      <c r="AE488" s="41">
        <f>IF(TRIM('Cross-tab'!$B$5&amp;"")="","",IFERROR(TRIM(INDEX($A488:$Z488,MATCH('Cross-tab'!$B$5,$A$1:$Z$1,0))&amp;""),""))</f>
        <v/>
      </c>
      <c r="AF488" s="41">
        <f>IF(TRIM('Cross-tab'!$B$7&amp;"")="","",IFERROR(TRIM(INDEX($A488:$Z488,MATCH('Cross-tab'!$B$7,$A$1:$Z$1,0))&amp;""),""))</f>
        <v/>
      </c>
      <c r="AG488" s="41">
        <f>IF(ISNUMBER(IFERROR(VALUE(IF(TRIM('Scale score'!$B$5&amp;"")="","",IFERROR(TRIM(INDEX($A488:$Z488,MATCH('Scale score'!$B$5,$A$1:$Z$1,0))&amp;""),""))),"")),IF(AND(IFERROR(VALUE(IF(TRIM('Scale score'!$B$5&amp;"")="","",IFERROR(TRIM(INDEX($A488:$Z488,MATCH('Scale score'!$B$5,$A$1:$Z$1,0))&amp;""),""))),"")&gt;='Scale score'!$B$6,IFERROR(VALUE(IF(TRIM('Scale score'!$B$5&amp;"")="","",IFERROR(TRIM(INDEX($A488:$Z488,MATCH('Scale score'!$B$5,$A$1:$Z$1,0))&amp;""),""))),"")&lt;='Scale score'!$B$7),IFERROR(VALUE(IF(TRIM('Scale score'!$B$5&amp;"")="","",IFERROR(TRIM(INDEX($A488:$Z488,MATCH('Scale score'!$B$5,$A$1:$Z$1,0))&amp;""),""))),""),""),"")</f>
        <v/>
      </c>
      <c r="AH488" s="41">
        <f>IF(TRIM('Open answers'!$B$5&amp;"")="","",IFERROR(TRIM(INDEX($A488:$Z488,MATCH('Open answers'!$B$5,$A$1:$Z$1,0))&amp;""),""))</f>
        <v/>
      </c>
      <c r="AI488" s="41">
        <f>IF(LEN(AH488)&gt;0,MAX($AI$1:AI487)+1,"")</f>
        <v/>
      </c>
    </row>
    <row r="489">
      <c r="AA489" s="40" t="n"/>
      <c r="AB489" s="41">
        <f>IF(TRIM('Counts'!$B$8&amp;"")="","",IFERROR(TRIM(INDEX($A489:$Z489,MATCH('Counts'!$B$8,$A$1:$Z$1,0))&amp;""),""))</f>
        <v/>
      </c>
      <c r="AC489" s="41">
        <f>IF(TRIM('Counts'!$B$26&amp;"")="","",IFERROR(TRIM(INDEX($A489:$Z489,MATCH('Counts'!$B$26,$A$1:$Z$1,0))&amp;""),""))</f>
        <v/>
      </c>
      <c r="AD489" s="41">
        <f>IF(TRIM('Counts'!$B$44&amp;"")="","",IFERROR(TRIM(INDEX($A489:$Z489,MATCH('Counts'!$B$44,$A$1:$Z$1,0))&amp;""),""))</f>
        <v/>
      </c>
      <c r="AE489" s="41">
        <f>IF(TRIM('Cross-tab'!$B$5&amp;"")="","",IFERROR(TRIM(INDEX($A489:$Z489,MATCH('Cross-tab'!$B$5,$A$1:$Z$1,0))&amp;""),""))</f>
        <v/>
      </c>
      <c r="AF489" s="41">
        <f>IF(TRIM('Cross-tab'!$B$7&amp;"")="","",IFERROR(TRIM(INDEX($A489:$Z489,MATCH('Cross-tab'!$B$7,$A$1:$Z$1,0))&amp;""),""))</f>
        <v/>
      </c>
      <c r="AG489" s="41">
        <f>IF(ISNUMBER(IFERROR(VALUE(IF(TRIM('Scale score'!$B$5&amp;"")="","",IFERROR(TRIM(INDEX($A489:$Z489,MATCH('Scale score'!$B$5,$A$1:$Z$1,0))&amp;""),""))),"")),IF(AND(IFERROR(VALUE(IF(TRIM('Scale score'!$B$5&amp;"")="","",IFERROR(TRIM(INDEX($A489:$Z489,MATCH('Scale score'!$B$5,$A$1:$Z$1,0))&amp;""),""))),"")&gt;='Scale score'!$B$6,IFERROR(VALUE(IF(TRIM('Scale score'!$B$5&amp;"")="","",IFERROR(TRIM(INDEX($A489:$Z489,MATCH('Scale score'!$B$5,$A$1:$Z$1,0))&amp;""),""))),"")&lt;='Scale score'!$B$7),IFERROR(VALUE(IF(TRIM('Scale score'!$B$5&amp;"")="","",IFERROR(TRIM(INDEX($A489:$Z489,MATCH('Scale score'!$B$5,$A$1:$Z$1,0))&amp;""),""))),""),""),"")</f>
        <v/>
      </c>
      <c r="AH489" s="41">
        <f>IF(TRIM('Open answers'!$B$5&amp;"")="","",IFERROR(TRIM(INDEX($A489:$Z489,MATCH('Open answers'!$B$5,$A$1:$Z$1,0))&amp;""),""))</f>
        <v/>
      </c>
      <c r="AI489" s="41">
        <f>IF(LEN(AH489)&gt;0,MAX($AI$1:AI488)+1,"")</f>
        <v/>
      </c>
    </row>
    <row r="490">
      <c r="AA490" s="40" t="n"/>
      <c r="AB490" s="41">
        <f>IF(TRIM('Counts'!$B$8&amp;"")="","",IFERROR(TRIM(INDEX($A490:$Z490,MATCH('Counts'!$B$8,$A$1:$Z$1,0))&amp;""),""))</f>
        <v/>
      </c>
      <c r="AC490" s="41">
        <f>IF(TRIM('Counts'!$B$26&amp;"")="","",IFERROR(TRIM(INDEX($A490:$Z490,MATCH('Counts'!$B$26,$A$1:$Z$1,0))&amp;""),""))</f>
        <v/>
      </c>
      <c r="AD490" s="41">
        <f>IF(TRIM('Counts'!$B$44&amp;"")="","",IFERROR(TRIM(INDEX($A490:$Z490,MATCH('Counts'!$B$44,$A$1:$Z$1,0))&amp;""),""))</f>
        <v/>
      </c>
      <c r="AE490" s="41">
        <f>IF(TRIM('Cross-tab'!$B$5&amp;"")="","",IFERROR(TRIM(INDEX($A490:$Z490,MATCH('Cross-tab'!$B$5,$A$1:$Z$1,0))&amp;""),""))</f>
        <v/>
      </c>
      <c r="AF490" s="41">
        <f>IF(TRIM('Cross-tab'!$B$7&amp;"")="","",IFERROR(TRIM(INDEX($A490:$Z490,MATCH('Cross-tab'!$B$7,$A$1:$Z$1,0))&amp;""),""))</f>
        <v/>
      </c>
      <c r="AG490" s="41">
        <f>IF(ISNUMBER(IFERROR(VALUE(IF(TRIM('Scale score'!$B$5&amp;"")="","",IFERROR(TRIM(INDEX($A490:$Z490,MATCH('Scale score'!$B$5,$A$1:$Z$1,0))&amp;""),""))),"")),IF(AND(IFERROR(VALUE(IF(TRIM('Scale score'!$B$5&amp;"")="","",IFERROR(TRIM(INDEX($A490:$Z490,MATCH('Scale score'!$B$5,$A$1:$Z$1,0))&amp;""),""))),"")&gt;='Scale score'!$B$6,IFERROR(VALUE(IF(TRIM('Scale score'!$B$5&amp;"")="","",IFERROR(TRIM(INDEX($A490:$Z490,MATCH('Scale score'!$B$5,$A$1:$Z$1,0))&amp;""),""))),"")&lt;='Scale score'!$B$7),IFERROR(VALUE(IF(TRIM('Scale score'!$B$5&amp;"")="","",IFERROR(TRIM(INDEX($A490:$Z490,MATCH('Scale score'!$B$5,$A$1:$Z$1,0))&amp;""),""))),""),""),"")</f>
        <v/>
      </c>
      <c r="AH490" s="41">
        <f>IF(TRIM('Open answers'!$B$5&amp;"")="","",IFERROR(TRIM(INDEX($A490:$Z490,MATCH('Open answers'!$B$5,$A$1:$Z$1,0))&amp;""),""))</f>
        <v/>
      </c>
      <c r="AI490" s="41">
        <f>IF(LEN(AH490)&gt;0,MAX($AI$1:AI489)+1,"")</f>
        <v/>
      </c>
    </row>
    <row r="491">
      <c r="AA491" s="40" t="n"/>
      <c r="AB491" s="41">
        <f>IF(TRIM('Counts'!$B$8&amp;"")="","",IFERROR(TRIM(INDEX($A491:$Z491,MATCH('Counts'!$B$8,$A$1:$Z$1,0))&amp;""),""))</f>
        <v/>
      </c>
      <c r="AC491" s="41">
        <f>IF(TRIM('Counts'!$B$26&amp;"")="","",IFERROR(TRIM(INDEX($A491:$Z491,MATCH('Counts'!$B$26,$A$1:$Z$1,0))&amp;""),""))</f>
        <v/>
      </c>
      <c r="AD491" s="41">
        <f>IF(TRIM('Counts'!$B$44&amp;"")="","",IFERROR(TRIM(INDEX($A491:$Z491,MATCH('Counts'!$B$44,$A$1:$Z$1,0))&amp;""),""))</f>
        <v/>
      </c>
      <c r="AE491" s="41">
        <f>IF(TRIM('Cross-tab'!$B$5&amp;"")="","",IFERROR(TRIM(INDEX($A491:$Z491,MATCH('Cross-tab'!$B$5,$A$1:$Z$1,0))&amp;""),""))</f>
        <v/>
      </c>
      <c r="AF491" s="41">
        <f>IF(TRIM('Cross-tab'!$B$7&amp;"")="","",IFERROR(TRIM(INDEX($A491:$Z491,MATCH('Cross-tab'!$B$7,$A$1:$Z$1,0))&amp;""),""))</f>
        <v/>
      </c>
      <c r="AG491" s="41">
        <f>IF(ISNUMBER(IFERROR(VALUE(IF(TRIM('Scale score'!$B$5&amp;"")="","",IFERROR(TRIM(INDEX($A491:$Z491,MATCH('Scale score'!$B$5,$A$1:$Z$1,0))&amp;""),""))),"")),IF(AND(IFERROR(VALUE(IF(TRIM('Scale score'!$B$5&amp;"")="","",IFERROR(TRIM(INDEX($A491:$Z491,MATCH('Scale score'!$B$5,$A$1:$Z$1,0))&amp;""),""))),"")&gt;='Scale score'!$B$6,IFERROR(VALUE(IF(TRIM('Scale score'!$B$5&amp;"")="","",IFERROR(TRIM(INDEX($A491:$Z491,MATCH('Scale score'!$B$5,$A$1:$Z$1,0))&amp;""),""))),"")&lt;='Scale score'!$B$7),IFERROR(VALUE(IF(TRIM('Scale score'!$B$5&amp;"")="","",IFERROR(TRIM(INDEX($A491:$Z491,MATCH('Scale score'!$B$5,$A$1:$Z$1,0))&amp;""),""))),""),""),"")</f>
        <v/>
      </c>
      <c r="AH491" s="41">
        <f>IF(TRIM('Open answers'!$B$5&amp;"")="","",IFERROR(TRIM(INDEX($A491:$Z491,MATCH('Open answers'!$B$5,$A$1:$Z$1,0))&amp;""),""))</f>
        <v/>
      </c>
      <c r="AI491" s="41">
        <f>IF(LEN(AH491)&gt;0,MAX($AI$1:AI490)+1,"")</f>
        <v/>
      </c>
    </row>
    <row r="492">
      <c r="AA492" s="40" t="n"/>
      <c r="AB492" s="41">
        <f>IF(TRIM('Counts'!$B$8&amp;"")="","",IFERROR(TRIM(INDEX($A492:$Z492,MATCH('Counts'!$B$8,$A$1:$Z$1,0))&amp;""),""))</f>
        <v/>
      </c>
      <c r="AC492" s="41">
        <f>IF(TRIM('Counts'!$B$26&amp;"")="","",IFERROR(TRIM(INDEX($A492:$Z492,MATCH('Counts'!$B$26,$A$1:$Z$1,0))&amp;""),""))</f>
        <v/>
      </c>
      <c r="AD492" s="41">
        <f>IF(TRIM('Counts'!$B$44&amp;"")="","",IFERROR(TRIM(INDEX($A492:$Z492,MATCH('Counts'!$B$44,$A$1:$Z$1,0))&amp;""),""))</f>
        <v/>
      </c>
      <c r="AE492" s="41">
        <f>IF(TRIM('Cross-tab'!$B$5&amp;"")="","",IFERROR(TRIM(INDEX($A492:$Z492,MATCH('Cross-tab'!$B$5,$A$1:$Z$1,0))&amp;""),""))</f>
        <v/>
      </c>
      <c r="AF492" s="41">
        <f>IF(TRIM('Cross-tab'!$B$7&amp;"")="","",IFERROR(TRIM(INDEX($A492:$Z492,MATCH('Cross-tab'!$B$7,$A$1:$Z$1,0))&amp;""),""))</f>
        <v/>
      </c>
      <c r="AG492" s="41">
        <f>IF(ISNUMBER(IFERROR(VALUE(IF(TRIM('Scale score'!$B$5&amp;"")="","",IFERROR(TRIM(INDEX($A492:$Z492,MATCH('Scale score'!$B$5,$A$1:$Z$1,0))&amp;""),""))),"")),IF(AND(IFERROR(VALUE(IF(TRIM('Scale score'!$B$5&amp;"")="","",IFERROR(TRIM(INDEX($A492:$Z492,MATCH('Scale score'!$B$5,$A$1:$Z$1,0))&amp;""),""))),"")&gt;='Scale score'!$B$6,IFERROR(VALUE(IF(TRIM('Scale score'!$B$5&amp;"")="","",IFERROR(TRIM(INDEX($A492:$Z492,MATCH('Scale score'!$B$5,$A$1:$Z$1,0))&amp;""),""))),"")&lt;='Scale score'!$B$7),IFERROR(VALUE(IF(TRIM('Scale score'!$B$5&amp;"")="","",IFERROR(TRIM(INDEX($A492:$Z492,MATCH('Scale score'!$B$5,$A$1:$Z$1,0))&amp;""),""))),""),""),"")</f>
        <v/>
      </c>
      <c r="AH492" s="41">
        <f>IF(TRIM('Open answers'!$B$5&amp;"")="","",IFERROR(TRIM(INDEX($A492:$Z492,MATCH('Open answers'!$B$5,$A$1:$Z$1,0))&amp;""),""))</f>
        <v/>
      </c>
      <c r="AI492" s="41">
        <f>IF(LEN(AH492)&gt;0,MAX($AI$1:AI491)+1,"")</f>
        <v/>
      </c>
    </row>
    <row r="493">
      <c r="AA493" s="40" t="n"/>
      <c r="AB493" s="41">
        <f>IF(TRIM('Counts'!$B$8&amp;"")="","",IFERROR(TRIM(INDEX($A493:$Z493,MATCH('Counts'!$B$8,$A$1:$Z$1,0))&amp;""),""))</f>
        <v/>
      </c>
      <c r="AC493" s="41">
        <f>IF(TRIM('Counts'!$B$26&amp;"")="","",IFERROR(TRIM(INDEX($A493:$Z493,MATCH('Counts'!$B$26,$A$1:$Z$1,0))&amp;""),""))</f>
        <v/>
      </c>
      <c r="AD493" s="41">
        <f>IF(TRIM('Counts'!$B$44&amp;"")="","",IFERROR(TRIM(INDEX($A493:$Z493,MATCH('Counts'!$B$44,$A$1:$Z$1,0))&amp;""),""))</f>
        <v/>
      </c>
      <c r="AE493" s="41">
        <f>IF(TRIM('Cross-tab'!$B$5&amp;"")="","",IFERROR(TRIM(INDEX($A493:$Z493,MATCH('Cross-tab'!$B$5,$A$1:$Z$1,0))&amp;""),""))</f>
        <v/>
      </c>
      <c r="AF493" s="41">
        <f>IF(TRIM('Cross-tab'!$B$7&amp;"")="","",IFERROR(TRIM(INDEX($A493:$Z493,MATCH('Cross-tab'!$B$7,$A$1:$Z$1,0))&amp;""),""))</f>
        <v/>
      </c>
      <c r="AG493" s="41">
        <f>IF(ISNUMBER(IFERROR(VALUE(IF(TRIM('Scale score'!$B$5&amp;"")="","",IFERROR(TRIM(INDEX($A493:$Z493,MATCH('Scale score'!$B$5,$A$1:$Z$1,0))&amp;""),""))),"")),IF(AND(IFERROR(VALUE(IF(TRIM('Scale score'!$B$5&amp;"")="","",IFERROR(TRIM(INDEX($A493:$Z493,MATCH('Scale score'!$B$5,$A$1:$Z$1,0))&amp;""),""))),"")&gt;='Scale score'!$B$6,IFERROR(VALUE(IF(TRIM('Scale score'!$B$5&amp;"")="","",IFERROR(TRIM(INDEX($A493:$Z493,MATCH('Scale score'!$B$5,$A$1:$Z$1,0))&amp;""),""))),"")&lt;='Scale score'!$B$7),IFERROR(VALUE(IF(TRIM('Scale score'!$B$5&amp;"")="","",IFERROR(TRIM(INDEX($A493:$Z493,MATCH('Scale score'!$B$5,$A$1:$Z$1,0))&amp;""),""))),""),""),"")</f>
        <v/>
      </c>
      <c r="AH493" s="41">
        <f>IF(TRIM('Open answers'!$B$5&amp;"")="","",IFERROR(TRIM(INDEX($A493:$Z493,MATCH('Open answers'!$B$5,$A$1:$Z$1,0))&amp;""),""))</f>
        <v/>
      </c>
      <c r="AI493" s="41">
        <f>IF(LEN(AH493)&gt;0,MAX($AI$1:AI492)+1,"")</f>
        <v/>
      </c>
    </row>
    <row r="494">
      <c r="AA494" s="40" t="n"/>
      <c r="AB494" s="41">
        <f>IF(TRIM('Counts'!$B$8&amp;"")="","",IFERROR(TRIM(INDEX($A494:$Z494,MATCH('Counts'!$B$8,$A$1:$Z$1,0))&amp;""),""))</f>
        <v/>
      </c>
      <c r="AC494" s="41">
        <f>IF(TRIM('Counts'!$B$26&amp;"")="","",IFERROR(TRIM(INDEX($A494:$Z494,MATCH('Counts'!$B$26,$A$1:$Z$1,0))&amp;""),""))</f>
        <v/>
      </c>
      <c r="AD494" s="41">
        <f>IF(TRIM('Counts'!$B$44&amp;"")="","",IFERROR(TRIM(INDEX($A494:$Z494,MATCH('Counts'!$B$44,$A$1:$Z$1,0))&amp;""),""))</f>
        <v/>
      </c>
      <c r="AE494" s="41">
        <f>IF(TRIM('Cross-tab'!$B$5&amp;"")="","",IFERROR(TRIM(INDEX($A494:$Z494,MATCH('Cross-tab'!$B$5,$A$1:$Z$1,0))&amp;""),""))</f>
        <v/>
      </c>
      <c r="AF494" s="41">
        <f>IF(TRIM('Cross-tab'!$B$7&amp;"")="","",IFERROR(TRIM(INDEX($A494:$Z494,MATCH('Cross-tab'!$B$7,$A$1:$Z$1,0))&amp;""),""))</f>
        <v/>
      </c>
      <c r="AG494" s="41">
        <f>IF(ISNUMBER(IFERROR(VALUE(IF(TRIM('Scale score'!$B$5&amp;"")="","",IFERROR(TRIM(INDEX($A494:$Z494,MATCH('Scale score'!$B$5,$A$1:$Z$1,0))&amp;""),""))),"")),IF(AND(IFERROR(VALUE(IF(TRIM('Scale score'!$B$5&amp;"")="","",IFERROR(TRIM(INDEX($A494:$Z494,MATCH('Scale score'!$B$5,$A$1:$Z$1,0))&amp;""),""))),"")&gt;='Scale score'!$B$6,IFERROR(VALUE(IF(TRIM('Scale score'!$B$5&amp;"")="","",IFERROR(TRIM(INDEX($A494:$Z494,MATCH('Scale score'!$B$5,$A$1:$Z$1,0))&amp;""),""))),"")&lt;='Scale score'!$B$7),IFERROR(VALUE(IF(TRIM('Scale score'!$B$5&amp;"")="","",IFERROR(TRIM(INDEX($A494:$Z494,MATCH('Scale score'!$B$5,$A$1:$Z$1,0))&amp;""),""))),""),""),"")</f>
        <v/>
      </c>
      <c r="AH494" s="41">
        <f>IF(TRIM('Open answers'!$B$5&amp;"")="","",IFERROR(TRIM(INDEX($A494:$Z494,MATCH('Open answers'!$B$5,$A$1:$Z$1,0))&amp;""),""))</f>
        <v/>
      </c>
      <c r="AI494" s="41">
        <f>IF(LEN(AH494)&gt;0,MAX($AI$1:AI493)+1,"")</f>
        <v/>
      </c>
    </row>
    <row r="495">
      <c r="AA495" s="40" t="n"/>
      <c r="AB495" s="41">
        <f>IF(TRIM('Counts'!$B$8&amp;"")="","",IFERROR(TRIM(INDEX($A495:$Z495,MATCH('Counts'!$B$8,$A$1:$Z$1,0))&amp;""),""))</f>
        <v/>
      </c>
      <c r="AC495" s="41">
        <f>IF(TRIM('Counts'!$B$26&amp;"")="","",IFERROR(TRIM(INDEX($A495:$Z495,MATCH('Counts'!$B$26,$A$1:$Z$1,0))&amp;""),""))</f>
        <v/>
      </c>
      <c r="AD495" s="41">
        <f>IF(TRIM('Counts'!$B$44&amp;"")="","",IFERROR(TRIM(INDEX($A495:$Z495,MATCH('Counts'!$B$44,$A$1:$Z$1,0))&amp;""),""))</f>
        <v/>
      </c>
      <c r="AE495" s="41">
        <f>IF(TRIM('Cross-tab'!$B$5&amp;"")="","",IFERROR(TRIM(INDEX($A495:$Z495,MATCH('Cross-tab'!$B$5,$A$1:$Z$1,0))&amp;""),""))</f>
        <v/>
      </c>
      <c r="AF495" s="41">
        <f>IF(TRIM('Cross-tab'!$B$7&amp;"")="","",IFERROR(TRIM(INDEX($A495:$Z495,MATCH('Cross-tab'!$B$7,$A$1:$Z$1,0))&amp;""),""))</f>
        <v/>
      </c>
      <c r="AG495" s="41">
        <f>IF(ISNUMBER(IFERROR(VALUE(IF(TRIM('Scale score'!$B$5&amp;"")="","",IFERROR(TRIM(INDEX($A495:$Z495,MATCH('Scale score'!$B$5,$A$1:$Z$1,0))&amp;""),""))),"")),IF(AND(IFERROR(VALUE(IF(TRIM('Scale score'!$B$5&amp;"")="","",IFERROR(TRIM(INDEX($A495:$Z495,MATCH('Scale score'!$B$5,$A$1:$Z$1,0))&amp;""),""))),"")&gt;='Scale score'!$B$6,IFERROR(VALUE(IF(TRIM('Scale score'!$B$5&amp;"")="","",IFERROR(TRIM(INDEX($A495:$Z495,MATCH('Scale score'!$B$5,$A$1:$Z$1,0))&amp;""),""))),"")&lt;='Scale score'!$B$7),IFERROR(VALUE(IF(TRIM('Scale score'!$B$5&amp;"")="","",IFERROR(TRIM(INDEX($A495:$Z495,MATCH('Scale score'!$B$5,$A$1:$Z$1,0))&amp;""),""))),""),""),"")</f>
        <v/>
      </c>
      <c r="AH495" s="41">
        <f>IF(TRIM('Open answers'!$B$5&amp;"")="","",IFERROR(TRIM(INDEX($A495:$Z495,MATCH('Open answers'!$B$5,$A$1:$Z$1,0))&amp;""),""))</f>
        <v/>
      </c>
      <c r="AI495" s="41">
        <f>IF(LEN(AH495)&gt;0,MAX($AI$1:AI494)+1,"")</f>
        <v/>
      </c>
    </row>
    <row r="496">
      <c r="AA496" s="40" t="n"/>
      <c r="AB496" s="41">
        <f>IF(TRIM('Counts'!$B$8&amp;"")="","",IFERROR(TRIM(INDEX($A496:$Z496,MATCH('Counts'!$B$8,$A$1:$Z$1,0))&amp;""),""))</f>
        <v/>
      </c>
      <c r="AC496" s="41">
        <f>IF(TRIM('Counts'!$B$26&amp;"")="","",IFERROR(TRIM(INDEX($A496:$Z496,MATCH('Counts'!$B$26,$A$1:$Z$1,0))&amp;""),""))</f>
        <v/>
      </c>
      <c r="AD496" s="41">
        <f>IF(TRIM('Counts'!$B$44&amp;"")="","",IFERROR(TRIM(INDEX($A496:$Z496,MATCH('Counts'!$B$44,$A$1:$Z$1,0))&amp;""),""))</f>
        <v/>
      </c>
      <c r="AE496" s="41">
        <f>IF(TRIM('Cross-tab'!$B$5&amp;"")="","",IFERROR(TRIM(INDEX($A496:$Z496,MATCH('Cross-tab'!$B$5,$A$1:$Z$1,0))&amp;""),""))</f>
        <v/>
      </c>
      <c r="AF496" s="41">
        <f>IF(TRIM('Cross-tab'!$B$7&amp;"")="","",IFERROR(TRIM(INDEX($A496:$Z496,MATCH('Cross-tab'!$B$7,$A$1:$Z$1,0))&amp;""),""))</f>
        <v/>
      </c>
      <c r="AG496" s="41">
        <f>IF(ISNUMBER(IFERROR(VALUE(IF(TRIM('Scale score'!$B$5&amp;"")="","",IFERROR(TRIM(INDEX($A496:$Z496,MATCH('Scale score'!$B$5,$A$1:$Z$1,0))&amp;""),""))),"")),IF(AND(IFERROR(VALUE(IF(TRIM('Scale score'!$B$5&amp;"")="","",IFERROR(TRIM(INDEX($A496:$Z496,MATCH('Scale score'!$B$5,$A$1:$Z$1,0))&amp;""),""))),"")&gt;='Scale score'!$B$6,IFERROR(VALUE(IF(TRIM('Scale score'!$B$5&amp;"")="","",IFERROR(TRIM(INDEX($A496:$Z496,MATCH('Scale score'!$B$5,$A$1:$Z$1,0))&amp;""),""))),"")&lt;='Scale score'!$B$7),IFERROR(VALUE(IF(TRIM('Scale score'!$B$5&amp;"")="","",IFERROR(TRIM(INDEX($A496:$Z496,MATCH('Scale score'!$B$5,$A$1:$Z$1,0))&amp;""),""))),""),""),"")</f>
        <v/>
      </c>
      <c r="AH496" s="41">
        <f>IF(TRIM('Open answers'!$B$5&amp;"")="","",IFERROR(TRIM(INDEX($A496:$Z496,MATCH('Open answers'!$B$5,$A$1:$Z$1,0))&amp;""),""))</f>
        <v/>
      </c>
      <c r="AI496" s="41">
        <f>IF(LEN(AH496)&gt;0,MAX($AI$1:AI495)+1,"")</f>
        <v/>
      </c>
    </row>
    <row r="497">
      <c r="AA497" s="40" t="n"/>
      <c r="AB497" s="41">
        <f>IF(TRIM('Counts'!$B$8&amp;"")="","",IFERROR(TRIM(INDEX($A497:$Z497,MATCH('Counts'!$B$8,$A$1:$Z$1,0))&amp;""),""))</f>
        <v/>
      </c>
      <c r="AC497" s="41">
        <f>IF(TRIM('Counts'!$B$26&amp;"")="","",IFERROR(TRIM(INDEX($A497:$Z497,MATCH('Counts'!$B$26,$A$1:$Z$1,0))&amp;""),""))</f>
        <v/>
      </c>
      <c r="AD497" s="41">
        <f>IF(TRIM('Counts'!$B$44&amp;"")="","",IFERROR(TRIM(INDEX($A497:$Z497,MATCH('Counts'!$B$44,$A$1:$Z$1,0))&amp;""),""))</f>
        <v/>
      </c>
      <c r="AE497" s="41">
        <f>IF(TRIM('Cross-tab'!$B$5&amp;"")="","",IFERROR(TRIM(INDEX($A497:$Z497,MATCH('Cross-tab'!$B$5,$A$1:$Z$1,0))&amp;""),""))</f>
        <v/>
      </c>
      <c r="AF497" s="41">
        <f>IF(TRIM('Cross-tab'!$B$7&amp;"")="","",IFERROR(TRIM(INDEX($A497:$Z497,MATCH('Cross-tab'!$B$7,$A$1:$Z$1,0))&amp;""),""))</f>
        <v/>
      </c>
      <c r="AG497" s="41">
        <f>IF(ISNUMBER(IFERROR(VALUE(IF(TRIM('Scale score'!$B$5&amp;"")="","",IFERROR(TRIM(INDEX($A497:$Z497,MATCH('Scale score'!$B$5,$A$1:$Z$1,0))&amp;""),""))),"")),IF(AND(IFERROR(VALUE(IF(TRIM('Scale score'!$B$5&amp;"")="","",IFERROR(TRIM(INDEX($A497:$Z497,MATCH('Scale score'!$B$5,$A$1:$Z$1,0))&amp;""),""))),"")&gt;='Scale score'!$B$6,IFERROR(VALUE(IF(TRIM('Scale score'!$B$5&amp;"")="","",IFERROR(TRIM(INDEX($A497:$Z497,MATCH('Scale score'!$B$5,$A$1:$Z$1,0))&amp;""),""))),"")&lt;='Scale score'!$B$7),IFERROR(VALUE(IF(TRIM('Scale score'!$B$5&amp;"")="","",IFERROR(TRIM(INDEX($A497:$Z497,MATCH('Scale score'!$B$5,$A$1:$Z$1,0))&amp;""),""))),""),""),"")</f>
        <v/>
      </c>
      <c r="AH497" s="41">
        <f>IF(TRIM('Open answers'!$B$5&amp;"")="","",IFERROR(TRIM(INDEX($A497:$Z497,MATCH('Open answers'!$B$5,$A$1:$Z$1,0))&amp;""),""))</f>
        <v/>
      </c>
      <c r="AI497" s="41">
        <f>IF(LEN(AH497)&gt;0,MAX($AI$1:AI496)+1,"")</f>
        <v/>
      </c>
    </row>
    <row r="498">
      <c r="AA498" s="40" t="n"/>
      <c r="AB498" s="41">
        <f>IF(TRIM('Counts'!$B$8&amp;"")="","",IFERROR(TRIM(INDEX($A498:$Z498,MATCH('Counts'!$B$8,$A$1:$Z$1,0))&amp;""),""))</f>
        <v/>
      </c>
      <c r="AC498" s="41">
        <f>IF(TRIM('Counts'!$B$26&amp;"")="","",IFERROR(TRIM(INDEX($A498:$Z498,MATCH('Counts'!$B$26,$A$1:$Z$1,0))&amp;""),""))</f>
        <v/>
      </c>
      <c r="AD498" s="41">
        <f>IF(TRIM('Counts'!$B$44&amp;"")="","",IFERROR(TRIM(INDEX($A498:$Z498,MATCH('Counts'!$B$44,$A$1:$Z$1,0))&amp;""),""))</f>
        <v/>
      </c>
      <c r="AE498" s="41">
        <f>IF(TRIM('Cross-tab'!$B$5&amp;"")="","",IFERROR(TRIM(INDEX($A498:$Z498,MATCH('Cross-tab'!$B$5,$A$1:$Z$1,0))&amp;""),""))</f>
        <v/>
      </c>
      <c r="AF498" s="41">
        <f>IF(TRIM('Cross-tab'!$B$7&amp;"")="","",IFERROR(TRIM(INDEX($A498:$Z498,MATCH('Cross-tab'!$B$7,$A$1:$Z$1,0))&amp;""),""))</f>
        <v/>
      </c>
      <c r="AG498" s="41">
        <f>IF(ISNUMBER(IFERROR(VALUE(IF(TRIM('Scale score'!$B$5&amp;"")="","",IFERROR(TRIM(INDEX($A498:$Z498,MATCH('Scale score'!$B$5,$A$1:$Z$1,0))&amp;""),""))),"")),IF(AND(IFERROR(VALUE(IF(TRIM('Scale score'!$B$5&amp;"")="","",IFERROR(TRIM(INDEX($A498:$Z498,MATCH('Scale score'!$B$5,$A$1:$Z$1,0))&amp;""),""))),"")&gt;='Scale score'!$B$6,IFERROR(VALUE(IF(TRIM('Scale score'!$B$5&amp;"")="","",IFERROR(TRIM(INDEX($A498:$Z498,MATCH('Scale score'!$B$5,$A$1:$Z$1,0))&amp;""),""))),"")&lt;='Scale score'!$B$7),IFERROR(VALUE(IF(TRIM('Scale score'!$B$5&amp;"")="","",IFERROR(TRIM(INDEX($A498:$Z498,MATCH('Scale score'!$B$5,$A$1:$Z$1,0))&amp;""),""))),""),""),"")</f>
        <v/>
      </c>
      <c r="AH498" s="41">
        <f>IF(TRIM('Open answers'!$B$5&amp;"")="","",IFERROR(TRIM(INDEX($A498:$Z498,MATCH('Open answers'!$B$5,$A$1:$Z$1,0))&amp;""),""))</f>
        <v/>
      </c>
      <c r="AI498" s="41">
        <f>IF(LEN(AH498)&gt;0,MAX($AI$1:AI497)+1,"")</f>
        <v/>
      </c>
    </row>
    <row r="499">
      <c r="AA499" s="40" t="n"/>
      <c r="AB499" s="41">
        <f>IF(TRIM('Counts'!$B$8&amp;"")="","",IFERROR(TRIM(INDEX($A499:$Z499,MATCH('Counts'!$B$8,$A$1:$Z$1,0))&amp;""),""))</f>
        <v/>
      </c>
      <c r="AC499" s="41">
        <f>IF(TRIM('Counts'!$B$26&amp;"")="","",IFERROR(TRIM(INDEX($A499:$Z499,MATCH('Counts'!$B$26,$A$1:$Z$1,0))&amp;""),""))</f>
        <v/>
      </c>
      <c r="AD499" s="41">
        <f>IF(TRIM('Counts'!$B$44&amp;"")="","",IFERROR(TRIM(INDEX($A499:$Z499,MATCH('Counts'!$B$44,$A$1:$Z$1,0))&amp;""),""))</f>
        <v/>
      </c>
      <c r="AE499" s="41">
        <f>IF(TRIM('Cross-tab'!$B$5&amp;"")="","",IFERROR(TRIM(INDEX($A499:$Z499,MATCH('Cross-tab'!$B$5,$A$1:$Z$1,0))&amp;""),""))</f>
        <v/>
      </c>
      <c r="AF499" s="41">
        <f>IF(TRIM('Cross-tab'!$B$7&amp;"")="","",IFERROR(TRIM(INDEX($A499:$Z499,MATCH('Cross-tab'!$B$7,$A$1:$Z$1,0))&amp;""),""))</f>
        <v/>
      </c>
      <c r="AG499" s="41">
        <f>IF(ISNUMBER(IFERROR(VALUE(IF(TRIM('Scale score'!$B$5&amp;"")="","",IFERROR(TRIM(INDEX($A499:$Z499,MATCH('Scale score'!$B$5,$A$1:$Z$1,0))&amp;""),""))),"")),IF(AND(IFERROR(VALUE(IF(TRIM('Scale score'!$B$5&amp;"")="","",IFERROR(TRIM(INDEX($A499:$Z499,MATCH('Scale score'!$B$5,$A$1:$Z$1,0))&amp;""),""))),"")&gt;='Scale score'!$B$6,IFERROR(VALUE(IF(TRIM('Scale score'!$B$5&amp;"")="","",IFERROR(TRIM(INDEX($A499:$Z499,MATCH('Scale score'!$B$5,$A$1:$Z$1,0))&amp;""),""))),"")&lt;='Scale score'!$B$7),IFERROR(VALUE(IF(TRIM('Scale score'!$B$5&amp;"")="","",IFERROR(TRIM(INDEX($A499:$Z499,MATCH('Scale score'!$B$5,$A$1:$Z$1,0))&amp;""),""))),""),""),"")</f>
        <v/>
      </c>
      <c r="AH499" s="41">
        <f>IF(TRIM('Open answers'!$B$5&amp;"")="","",IFERROR(TRIM(INDEX($A499:$Z499,MATCH('Open answers'!$B$5,$A$1:$Z$1,0))&amp;""),""))</f>
        <v/>
      </c>
      <c r="AI499" s="41">
        <f>IF(LEN(AH499)&gt;0,MAX($AI$1:AI498)+1,"")</f>
        <v/>
      </c>
    </row>
    <row r="500">
      <c r="AA500" s="40" t="n"/>
      <c r="AB500" s="41">
        <f>IF(TRIM('Counts'!$B$8&amp;"")="","",IFERROR(TRIM(INDEX($A500:$Z500,MATCH('Counts'!$B$8,$A$1:$Z$1,0))&amp;""),""))</f>
        <v/>
      </c>
      <c r="AC500" s="41">
        <f>IF(TRIM('Counts'!$B$26&amp;"")="","",IFERROR(TRIM(INDEX($A500:$Z500,MATCH('Counts'!$B$26,$A$1:$Z$1,0))&amp;""),""))</f>
        <v/>
      </c>
      <c r="AD500" s="41">
        <f>IF(TRIM('Counts'!$B$44&amp;"")="","",IFERROR(TRIM(INDEX($A500:$Z500,MATCH('Counts'!$B$44,$A$1:$Z$1,0))&amp;""),""))</f>
        <v/>
      </c>
      <c r="AE500" s="41">
        <f>IF(TRIM('Cross-tab'!$B$5&amp;"")="","",IFERROR(TRIM(INDEX($A500:$Z500,MATCH('Cross-tab'!$B$5,$A$1:$Z$1,0))&amp;""),""))</f>
        <v/>
      </c>
      <c r="AF500" s="41">
        <f>IF(TRIM('Cross-tab'!$B$7&amp;"")="","",IFERROR(TRIM(INDEX($A500:$Z500,MATCH('Cross-tab'!$B$7,$A$1:$Z$1,0))&amp;""),""))</f>
        <v/>
      </c>
      <c r="AG500" s="41">
        <f>IF(ISNUMBER(IFERROR(VALUE(IF(TRIM('Scale score'!$B$5&amp;"")="","",IFERROR(TRIM(INDEX($A500:$Z500,MATCH('Scale score'!$B$5,$A$1:$Z$1,0))&amp;""),""))),"")),IF(AND(IFERROR(VALUE(IF(TRIM('Scale score'!$B$5&amp;"")="","",IFERROR(TRIM(INDEX($A500:$Z500,MATCH('Scale score'!$B$5,$A$1:$Z$1,0))&amp;""),""))),"")&gt;='Scale score'!$B$6,IFERROR(VALUE(IF(TRIM('Scale score'!$B$5&amp;"")="","",IFERROR(TRIM(INDEX($A500:$Z500,MATCH('Scale score'!$B$5,$A$1:$Z$1,0))&amp;""),""))),"")&lt;='Scale score'!$B$7),IFERROR(VALUE(IF(TRIM('Scale score'!$B$5&amp;"")="","",IFERROR(TRIM(INDEX($A500:$Z500,MATCH('Scale score'!$B$5,$A$1:$Z$1,0))&amp;""),""))),""),""),"")</f>
        <v/>
      </c>
      <c r="AH500" s="41">
        <f>IF(TRIM('Open answers'!$B$5&amp;"")="","",IFERROR(TRIM(INDEX($A500:$Z500,MATCH('Open answers'!$B$5,$A$1:$Z$1,0))&amp;""),""))</f>
        <v/>
      </c>
      <c r="AI500" s="41">
        <f>IF(LEN(AH500)&gt;0,MAX($AI$1:AI499)+1,"")</f>
        <v/>
      </c>
    </row>
    <row r="501">
      <c r="AA501" s="40" t="n"/>
      <c r="AB501" s="41">
        <f>IF(TRIM('Counts'!$B$8&amp;"")="","",IFERROR(TRIM(INDEX($A501:$Z501,MATCH('Counts'!$B$8,$A$1:$Z$1,0))&amp;""),""))</f>
        <v/>
      </c>
      <c r="AC501" s="41">
        <f>IF(TRIM('Counts'!$B$26&amp;"")="","",IFERROR(TRIM(INDEX($A501:$Z501,MATCH('Counts'!$B$26,$A$1:$Z$1,0))&amp;""),""))</f>
        <v/>
      </c>
      <c r="AD501" s="41">
        <f>IF(TRIM('Counts'!$B$44&amp;"")="","",IFERROR(TRIM(INDEX($A501:$Z501,MATCH('Counts'!$B$44,$A$1:$Z$1,0))&amp;""),""))</f>
        <v/>
      </c>
      <c r="AE501" s="41">
        <f>IF(TRIM('Cross-tab'!$B$5&amp;"")="","",IFERROR(TRIM(INDEX($A501:$Z501,MATCH('Cross-tab'!$B$5,$A$1:$Z$1,0))&amp;""),""))</f>
        <v/>
      </c>
      <c r="AF501" s="41">
        <f>IF(TRIM('Cross-tab'!$B$7&amp;"")="","",IFERROR(TRIM(INDEX($A501:$Z501,MATCH('Cross-tab'!$B$7,$A$1:$Z$1,0))&amp;""),""))</f>
        <v/>
      </c>
      <c r="AG501" s="41">
        <f>IF(ISNUMBER(IFERROR(VALUE(IF(TRIM('Scale score'!$B$5&amp;"")="","",IFERROR(TRIM(INDEX($A501:$Z501,MATCH('Scale score'!$B$5,$A$1:$Z$1,0))&amp;""),""))),"")),IF(AND(IFERROR(VALUE(IF(TRIM('Scale score'!$B$5&amp;"")="","",IFERROR(TRIM(INDEX($A501:$Z501,MATCH('Scale score'!$B$5,$A$1:$Z$1,0))&amp;""),""))),"")&gt;='Scale score'!$B$6,IFERROR(VALUE(IF(TRIM('Scale score'!$B$5&amp;"")="","",IFERROR(TRIM(INDEX($A501:$Z501,MATCH('Scale score'!$B$5,$A$1:$Z$1,0))&amp;""),""))),"")&lt;='Scale score'!$B$7),IFERROR(VALUE(IF(TRIM('Scale score'!$B$5&amp;"")="","",IFERROR(TRIM(INDEX($A501:$Z501,MATCH('Scale score'!$B$5,$A$1:$Z$1,0))&amp;""),""))),""),""),"")</f>
        <v/>
      </c>
      <c r="AH501" s="41">
        <f>IF(TRIM('Open answers'!$B$5&amp;"")="","",IFERROR(TRIM(INDEX($A501:$Z501,MATCH('Open answers'!$B$5,$A$1:$Z$1,0))&amp;""),""))</f>
        <v/>
      </c>
      <c r="AI501" s="41">
        <f>IF(LEN(AH501)&gt;0,MAX($AI$1:AI500)+1,"")</f>
        <v/>
      </c>
    </row>
    <row r="502">
      <c r="AA502" s="40" t="n"/>
      <c r="AB502" s="41">
        <f>IF(TRIM('Counts'!$B$8&amp;"")="","",IFERROR(TRIM(INDEX($A502:$Z502,MATCH('Counts'!$B$8,$A$1:$Z$1,0))&amp;""),""))</f>
        <v/>
      </c>
      <c r="AC502" s="41">
        <f>IF(TRIM('Counts'!$B$26&amp;"")="","",IFERROR(TRIM(INDEX($A502:$Z502,MATCH('Counts'!$B$26,$A$1:$Z$1,0))&amp;""),""))</f>
        <v/>
      </c>
      <c r="AD502" s="41">
        <f>IF(TRIM('Counts'!$B$44&amp;"")="","",IFERROR(TRIM(INDEX($A502:$Z502,MATCH('Counts'!$B$44,$A$1:$Z$1,0))&amp;""),""))</f>
        <v/>
      </c>
      <c r="AE502" s="41">
        <f>IF(TRIM('Cross-tab'!$B$5&amp;"")="","",IFERROR(TRIM(INDEX($A502:$Z502,MATCH('Cross-tab'!$B$5,$A$1:$Z$1,0))&amp;""),""))</f>
        <v/>
      </c>
      <c r="AF502" s="41">
        <f>IF(TRIM('Cross-tab'!$B$7&amp;"")="","",IFERROR(TRIM(INDEX($A502:$Z502,MATCH('Cross-tab'!$B$7,$A$1:$Z$1,0))&amp;""),""))</f>
        <v/>
      </c>
      <c r="AG502" s="41">
        <f>IF(ISNUMBER(IFERROR(VALUE(IF(TRIM('Scale score'!$B$5&amp;"")="","",IFERROR(TRIM(INDEX($A502:$Z502,MATCH('Scale score'!$B$5,$A$1:$Z$1,0))&amp;""),""))),"")),IF(AND(IFERROR(VALUE(IF(TRIM('Scale score'!$B$5&amp;"")="","",IFERROR(TRIM(INDEX($A502:$Z502,MATCH('Scale score'!$B$5,$A$1:$Z$1,0))&amp;""),""))),"")&gt;='Scale score'!$B$6,IFERROR(VALUE(IF(TRIM('Scale score'!$B$5&amp;"")="","",IFERROR(TRIM(INDEX($A502:$Z502,MATCH('Scale score'!$B$5,$A$1:$Z$1,0))&amp;""),""))),"")&lt;='Scale score'!$B$7),IFERROR(VALUE(IF(TRIM('Scale score'!$B$5&amp;"")="","",IFERROR(TRIM(INDEX($A502:$Z502,MATCH('Scale score'!$B$5,$A$1:$Z$1,0))&amp;""),""))),""),""),"")</f>
        <v/>
      </c>
      <c r="AH502" s="41">
        <f>IF(TRIM('Open answers'!$B$5&amp;"")="","",IFERROR(TRIM(INDEX($A502:$Z502,MATCH('Open answers'!$B$5,$A$1:$Z$1,0))&amp;""),""))</f>
        <v/>
      </c>
      <c r="AI502" s="41">
        <f>IF(LEN(AH502)&gt;0,MAX($AI$1:AI501)+1,"")</f>
        <v/>
      </c>
    </row>
    <row r="503">
      <c r="AA503" s="40" t="n"/>
      <c r="AB503" s="41">
        <f>IF(TRIM('Counts'!$B$8&amp;"")="","",IFERROR(TRIM(INDEX($A503:$Z503,MATCH('Counts'!$B$8,$A$1:$Z$1,0))&amp;""),""))</f>
        <v/>
      </c>
      <c r="AC503" s="41">
        <f>IF(TRIM('Counts'!$B$26&amp;"")="","",IFERROR(TRIM(INDEX($A503:$Z503,MATCH('Counts'!$B$26,$A$1:$Z$1,0))&amp;""),""))</f>
        <v/>
      </c>
      <c r="AD503" s="41">
        <f>IF(TRIM('Counts'!$B$44&amp;"")="","",IFERROR(TRIM(INDEX($A503:$Z503,MATCH('Counts'!$B$44,$A$1:$Z$1,0))&amp;""),""))</f>
        <v/>
      </c>
      <c r="AE503" s="41">
        <f>IF(TRIM('Cross-tab'!$B$5&amp;"")="","",IFERROR(TRIM(INDEX($A503:$Z503,MATCH('Cross-tab'!$B$5,$A$1:$Z$1,0))&amp;""),""))</f>
        <v/>
      </c>
      <c r="AF503" s="41">
        <f>IF(TRIM('Cross-tab'!$B$7&amp;"")="","",IFERROR(TRIM(INDEX($A503:$Z503,MATCH('Cross-tab'!$B$7,$A$1:$Z$1,0))&amp;""),""))</f>
        <v/>
      </c>
      <c r="AG503" s="41">
        <f>IF(ISNUMBER(IFERROR(VALUE(IF(TRIM('Scale score'!$B$5&amp;"")="","",IFERROR(TRIM(INDEX($A503:$Z503,MATCH('Scale score'!$B$5,$A$1:$Z$1,0))&amp;""),""))),"")),IF(AND(IFERROR(VALUE(IF(TRIM('Scale score'!$B$5&amp;"")="","",IFERROR(TRIM(INDEX($A503:$Z503,MATCH('Scale score'!$B$5,$A$1:$Z$1,0))&amp;""),""))),"")&gt;='Scale score'!$B$6,IFERROR(VALUE(IF(TRIM('Scale score'!$B$5&amp;"")="","",IFERROR(TRIM(INDEX($A503:$Z503,MATCH('Scale score'!$B$5,$A$1:$Z$1,0))&amp;""),""))),"")&lt;='Scale score'!$B$7),IFERROR(VALUE(IF(TRIM('Scale score'!$B$5&amp;"")="","",IFERROR(TRIM(INDEX($A503:$Z503,MATCH('Scale score'!$B$5,$A$1:$Z$1,0))&amp;""),""))),""),""),"")</f>
        <v/>
      </c>
      <c r="AH503" s="41">
        <f>IF(TRIM('Open answers'!$B$5&amp;"")="","",IFERROR(TRIM(INDEX($A503:$Z503,MATCH('Open answers'!$B$5,$A$1:$Z$1,0))&amp;""),""))</f>
        <v/>
      </c>
      <c r="AI503" s="41">
        <f>IF(LEN(AH503)&gt;0,MAX($AI$1:AI502)+1,"")</f>
        <v/>
      </c>
    </row>
    <row r="504">
      <c r="AA504" s="40" t="n"/>
      <c r="AB504" s="41">
        <f>IF(TRIM('Counts'!$B$8&amp;"")="","",IFERROR(TRIM(INDEX($A504:$Z504,MATCH('Counts'!$B$8,$A$1:$Z$1,0))&amp;""),""))</f>
        <v/>
      </c>
      <c r="AC504" s="41">
        <f>IF(TRIM('Counts'!$B$26&amp;"")="","",IFERROR(TRIM(INDEX($A504:$Z504,MATCH('Counts'!$B$26,$A$1:$Z$1,0))&amp;""),""))</f>
        <v/>
      </c>
      <c r="AD504" s="41">
        <f>IF(TRIM('Counts'!$B$44&amp;"")="","",IFERROR(TRIM(INDEX($A504:$Z504,MATCH('Counts'!$B$44,$A$1:$Z$1,0))&amp;""),""))</f>
        <v/>
      </c>
      <c r="AE504" s="41">
        <f>IF(TRIM('Cross-tab'!$B$5&amp;"")="","",IFERROR(TRIM(INDEX($A504:$Z504,MATCH('Cross-tab'!$B$5,$A$1:$Z$1,0))&amp;""),""))</f>
        <v/>
      </c>
      <c r="AF504" s="41">
        <f>IF(TRIM('Cross-tab'!$B$7&amp;"")="","",IFERROR(TRIM(INDEX($A504:$Z504,MATCH('Cross-tab'!$B$7,$A$1:$Z$1,0))&amp;""),""))</f>
        <v/>
      </c>
      <c r="AG504" s="41">
        <f>IF(ISNUMBER(IFERROR(VALUE(IF(TRIM('Scale score'!$B$5&amp;"")="","",IFERROR(TRIM(INDEX($A504:$Z504,MATCH('Scale score'!$B$5,$A$1:$Z$1,0))&amp;""),""))),"")),IF(AND(IFERROR(VALUE(IF(TRIM('Scale score'!$B$5&amp;"")="","",IFERROR(TRIM(INDEX($A504:$Z504,MATCH('Scale score'!$B$5,$A$1:$Z$1,0))&amp;""),""))),"")&gt;='Scale score'!$B$6,IFERROR(VALUE(IF(TRIM('Scale score'!$B$5&amp;"")="","",IFERROR(TRIM(INDEX($A504:$Z504,MATCH('Scale score'!$B$5,$A$1:$Z$1,0))&amp;""),""))),"")&lt;='Scale score'!$B$7),IFERROR(VALUE(IF(TRIM('Scale score'!$B$5&amp;"")="","",IFERROR(TRIM(INDEX($A504:$Z504,MATCH('Scale score'!$B$5,$A$1:$Z$1,0))&amp;""),""))),""),""),"")</f>
        <v/>
      </c>
      <c r="AH504" s="41">
        <f>IF(TRIM('Open answers'!$B$5&amp;"")="","",IFERROR(TRIM(INDEX($A504:$Z504,MATCH('Open answers'!$B$5,$A$1:$Z$1,0))&amp;""),""))</f>
        <v/>
      </c>
      <c r="AI504" s="41">
        <f>IF(LEN(AH504)&gt;0,MAX($AI$1:AI503)+1,"")</f>
        <v/>
      </c>
    </row>
    <row r="505">
      <c r="AA505" s="40" t="n"/>
      <c r="AB505" s="41">
        <f>IF(TRIM('Counts'!$B$8&amp;"")="","",IFERROR(TRIM(INDEX($A505:$Z505,MATCH('Counts'!$B$8,$A$1:$Z$1,0))&amp;""),""))</f>
        <v/>
      </c>
      <c r="AC505" s="41">
        <f>IF(TRIM('Counts'!$B$26&amp;"")="","",IFERROR(TRIM(INDEX($A505:$Z505,MATCH('Counts'!$B$26,$A$1:$Z$1,0))&amp;""),""))</f>
        <v/>
      </c>
      <c r="AD505" s="41">
        <f>IF(TRIM('Counts'!$B$44&amp;"")="","",IFERROR(TRIM(INDEX($A505:$Z505,MATCH('Counts'!$B$44,$A$1:$Z$1,0))&amp;""),""))</f>
        <v/>
      </c>
      <c r="AE505" s="41">
        <f>IF(TRIM('Cross-tab'!$B$5&amp;"")="","",IFERROR(TRIM(INDEX($A505:$Z505,MATCH('Cross-tab'!$B$5,$A$1:$Z$1,0))&amp;""),""))</f>
        <v/>
      </c>
      <c r="AF505" s="41">
        <f>IF(TRIM('Cross-tab'!$B$7&amp;"")="","",IFERROR(TRIM(INDEX($A505:$Z505,MATCH('Cross-tab'!$B$7,$A$1:$Z$1,0))&amp;""),""))</f>
        <v/>
      </c>
      <c r="AG505" s="41">
        <f>IF(ISNUMBER(IFERROR(VALUE(IF(TRIM('Scale score'!$B$5&amp;"")="","",IFERROR(TRIM(INDEX($A505:$Z505,MATCH('Scale score'!$B$5,$A$1:$Z$1,0))&amp;""),""))),"")),IF(AND(IFERROR(VALUE(IF(TRIM('Scale score'!$B$5&amp;"")="","",IFERROR(TRIM(INDEX($A505:$Z505,MATCH('Scale score'!$B$5,$A$1:$Z$1,0))&amp;""),""))),"")&gt;='Scale score'!$B$6,IFERROR(VALUE(IF(TRIM('Scale score'!$B$5&amp;"")="","",IFERROR(TRIM(INDEX($A505:$Z505,MATCH('Scale score'!$B$5,$A$1:$Z$1,0))&amp;""),""))),"")&lt;='Scale score'!$B$7),IFERROR(VALUE(IF(TRIM('Scale score'!$B$5&amp;"")="","",IFERROR(TRIM(INDEX($A505:$Z505,MATCH('Scale score'!$B$5,$A$1:$Z$1,0))&amp;""),""))),""),""),"")</f>
        <v/>
      </c>
      <c r="AH505" s="41">
        <f>IF(TRIM('Open answers'!$B$5&amp;"")="","",IFERROR(TRIM(INDEX($A505:$Z505,MATCH('Open answers'!$B$5,$A$1:$Z$1,0))&amp;""),""))</f>
        <v/>
      </c>
      <c r="AI505" s="41">
        <f>IF(LEN(AH505)&gt;0,MAX($AI$1:AI504)+1,"")</f>
        <v/>
      </c>
    </row>
    <row r="506">
      <c r="AA506" s="40" t="n"/>
      <c r="AB506" s="41">
        <f>IF(TRIM('Counts'!$B$8&amp;"")="","",IFERROR(TRIM(INDEX($A506:$Z506,MATCH('Counts'!$B$8,$A$1:$Z$1,0))&amp;""),""))</f>
        <v/>
      </c>
      <c r="AC506" s="41">
        <f>IF(TRIM('Counts'!$B$26&amp;"")="","",IFERROR(TRIM(INDEX($A506:$Z506,MATCH('Counts'!$B$26,$A$1:$Z$1,0))&amp;""),""))</f>
        <v/>
      </c>
      <c r="AD506" s="41">
        <f>IF(TRIM('Counts'!$B$44&amp;"")="","",IFERROR(TRIM(INDEX($A506:$Z506,MATCH('Counts'!$B$44,$A$1:$Z$1,0))&amp;""),""))</f>
        <v/>
      </c>
      <c r="AE506" s="41">
        <f>IF(TRIM('Cross-tab'!$B$5&amp;"")="","",IFERROR(TRIM(INDEX($A506:$Z506,MATCH('Cross-tab'!$B$5,$A$1:$Z$1,0))&amp;""),""))</f>
        <v/>
      </c>
      <c r="AF506" s="41">
        <f>IF(TRIM('Cross-tab'!$B$7&amp;"")="","",IFERROR(TRIM(INDEX($A506:$Z506,MATCH('Cross-tab'!$B$7,$A$1:$Z$1,0))&amp;""),""))</f>
        <v/>
      </c>
      <c r="AG506" s="41">
        <f>IF(ISNUMBER(IFERROR(VALUE(IF(TRIM('Scale score'!$B$5&amp;"")="","",IFERROR(TRIM(INDEX($A506:$Z506,MATCH('Scale score'!$B$5,$A$1:$Z$1,0))&amp;""),""))),"")),IF(AND(IFERROR(VALUE(IF(TRIM('Scale score'!$B$5&amp;"")="","",IFERROR(TRIM(INDEX($A506:$Z506,MATCH('Scale score'!$B$5,$A$1:$Z$1,0))&amp;""),""))),"")&gt;='Scale score'!$B$6,IFERROR(VALUE(IF(TRIM('Scale score'!$B$5&amp;"")="","",IFERROR(TRIM(INDEX($A506:$Z506,MATCH('Scale score'!$B$5,$A$1:$Z$1,0))&amp;""),""))),"")&lt;='Scale score'!$B$7),IFERROR(VALUE(IF(TRIM('Scale score'!$B$5&amp;"")="","",IFERROR(TRIM(INDEX($A506:$Z506,MATCH('Scale score'!$B$5,$A$1:$Z$1,0))&amp;""),""))),""),""),"")</f>
        <v/>
      </c>
      <c r="AH506" s="41">
        <f>IF(TRIM('Open answers'!$B$5&amp;"")="","",IFERROR(TRIM(INDEX($A506:$Z506,MATCH('Open answers'!$B$5,$A$1:$Z$1,0))&amp;""),""))</f>
        <v/>
      </c>
      <c r="AI506" s="41">
        <f>IF(LEN(AH506)&gt;0,MAX($AI$1:AI505)+1,"")</f>
        <v/>
      </c>
    </row>
    <row r="507">
      <c r="AA507" s="40" t="n"/>
      <c r="AB507" s="41">
        <f>IF(TRIM('Counts'!$B$8&amp;"")="","",IFERROR(TRIM(INDEX($A507:$Z507,MATCH('Counts'!$B$8,$A$1:$Z$1,0))&amp;""),""))</f>
        <v/>
      </c>
      <c r="AC507" s="41">
        <f>IF(TRIM('Counts'!$B$26&amp;"")="","",IFERROR(TRIM(INDEX($A507:$Z507,MATCH('Counts'!$B$26,$A$1:$Z$1,0))&amp;""),""))</f>
        <v/>
      </c>
      <c r="AD507" s="41">
        <f>IF(TRIM('Counts'!$B$44&amp;"")="","",IFERROR(TRIM(INDEX($A507:$Z507,MATCH('Counts'!$B$44,$A$1:$Z$1,0))&amp;""),""))</f>
        <v/>
      </c>
      <c r="AE507" s="41">
        <f>IF(TRIM('Cross-tab'!$B$5&amp;"")="","",IFERROR(TRIM(INDEX($A507:$Z507,MATCH('Cross-tab'!$B$5,$A$1:$Z$1,0))&amp;""),""))</f>
        <v/>
      </c>
      <c r="AF507" s="41">
        <f>IF(TRIM('Cross-tab'!$B$7&amp;"")="","",IFERROR(TRIM(INDEX($A507:$Z507,MATCH('Cross-tab'!$B$7,$A$1:$Z$1,0))&amp;""),""))</f>
        <v/>
      </c>
      <c r="AG507" s="41">
        <f>IF(ISNUMBER(IFERROR(VALUE(IF(TRIM('Scale score'!$B$5&amp;"")="","",IFERROR(TRIM(INDEX($A507:$Z507,MATCH('Scale score'!$B$5,$A$1:$Z$1,0))&amp;""),""))),"")),IF(AND(IFERROR(VALUE(IF(TRIM('Scale score'!$B$5&amp;"")="","",IFERROR(TRIM(INDEX($A507:$Z507,MATCH('Scale score'!$B$5,$A$1:$Z$1,0))&amp;""),""))),"")&gt;='Scale score'!$B$6,IFERROR(VALUE(IF(TRIM('Scale score'!$B$5&amp;"")="","",IFERROR(TRIM(INDEX($A507:$Z507,MATCH('Scale score'!$B$5,$A$1:$Z$1,0))&amp;""),""))),"")&lt;='Scale score'!$B$7),IFERROR(VALUE(IF(TRIM('Scale score'!$B$5&amp;"")="","",IFERROR(TRIM(INDEX($A507:$Z507,MATCH('Scale score'!$B$5,$A$1:$Z$1,0))&amp;""),""))),""),""),"")</f>
        <v/>
      </c>
      <c r="AH507" s="41">
        <f>IF(TRIM('Open answers'!$B$5&amp;"")="","",IFERROR(TRIM(INDEX($A507:$Z507,MATCH('Open answers'!$B$5,$A$1:$Z$1,0))&amp;""),""))</f>
        <v/>
      </c>
      <c r="AI507" s="41">
        <f>IF(LEN(AH507)&gt;0,MAX($AI$1:AI506)+1,"")</f>
        <v/>
      </c>
    </row>
    <row r="508">
      <c r="AA508" s="40" t="n"/>
      <c r="AB508" s="41">
        <f>IF(TRIM('Counts'!$B$8&amp;"")="","",IFERROR(TRIM(INDEX($A508:$Z508,MATCH('Counts'!$B$8,$A$1:$Z$1,0))&amp;""),""))</f>
        <v/>
      </c>
      <c r="AC508" s="41">
        <f>IF(TRIM('Counts'!$B$26&amp;"")="","",IFERROR(TRIM(INDEX($A508:$Z508,MATCH('Counts'!$B$26,$A$1:$Z$1,0))&amp;""),""))</f>
        <v/>
      </c>
      <c r="AD508" s="41">
        <f>IF(TRIM('Counts'!$B$44&amp;"")="","",IFERROR(TRIM(INDEX($A508:$Z508,MATCH('Counts'!$B$44,$A$1:$Z$1,0))&amp;""),""))</f>
        <v/>
      </c>
      <c r="AE508" s="41">
        <f>IF(TRIM('Cross-tab'!$B$5&amp;"")="","",IFERROR(TRIM(INDEX($A508:$Z508,MATCH('Cross-tab'!$B$5,$A$1:$Z$1,0))&amp;""),""))</f>
        <v/>
      </c>
      <c r="AF508" s="41">
        <f>IF(TRIM('Cross-tab'!$B$7&amp;"")="","",IFERROR(TRIM(INDEX($A508:$Z508,MATCH('Cross-tab'!$B$7,$A$1:$Z$1,0))&amp;""),""))</f>
        <v/>
      </c>
      <c r="AG508" s="41">
        <f>IF(ISNUMBER(IFERROR(VALUE(IF(TRIM('Scale score'!$B$5&amp;"")="","",IFERROR(TRIM(INDEX($A508:$Z508,MATCH('Scale score'!$B$5,$A$1:$Z$1,0))&amp;""),""))),"")),IF(AND(IFERROR(VALUE(IF(TRIM('Scale score'!$B$5&amp;"")="","",IFERROR(TRIM(INDEX($A508:$Z508,MATCH('Scale score'!$B$5,$A$1:$Z$1,0))&amp;""),""))),"")&gt;='Scale score'!$B$6,IFERROR(VALUE(IF(TRIM('Scale score'!$B$5&amp;"")="","",IFERROR(TRIM(INDEX($A508:$Z508,MATCH('Scale score'!$B$5,$A$1:$Z$1,0))&amp;""),""))),"")&lt;='Scale score'!$B$7),IFERROR(VALUE(IF(TRIM('Scale score'!$B$5&amp;"")="","",IFERROR(TRIM(INDEX($A508:$Z508,MATCH('Scale score'!$B$5,$A$1:$Z$1,0))&amp;""),""))),""),""),"")</f>
        <v/>
      </c>
      <c r="AH508" s="41">
        <f>IF(TRIM('Open answers'!$B$5&amp;"")="","",IFERROR(TRIM(INDEX($A508:$Z508,MATCH('Open answers'!$B$5,$A$1:$Z$1,0))&amp;""),""))</f>
        <v/>
      </c>
      <c r="AI508" s="41">
        <f>IF(LEN(AH508)&gt;0,MAX($AI$1:AI507)+1,"")</f>
        <v/>
      </c>
    </row>
    <row r="509">
      <c r="AA509" s="40" t="n"/>
      <c r="AB509" s="41">
        <f>IF(TRIM('Counts'!$B$8&amp;"")="","",IFERROR(TRIM(INDEX($A509:$Z509,MATCH('Counts'!$B$8,$A$1:$Z$1,0))&amp;""),""))</f>
        <v/>
      </c>
      <c r="AC509" s="41">
        <f>IF(TRIM('Counts'!$B$26&amp;"")="","",IFERROR(TRIM(INDEX($A509:$Z509,MATCH('Counts'!$B$26,$A$1:$Z$1,0))&amp;""),""))</f>
        <v/>
      </c>
      <c r="AD509" s="41">
        <f>IF(TRIM('Counts'!$B$44&amp;"")="","",IFERROR(TRIM(INDEX($A509:$Z509,MATCH('Counts'!$B$44,$A$1:$Z$1,0))&amp;""),""))</f>
        <v/>
      </c>
      <c r="AE509" s="41">
        <f>IF(TRIM('Cross-tab'!$B$5&amp;"")="","",IFERROR(TRIM(INDEX($A509:$Z509,MATCH('Cross-tab'!$B$5,$A$1:$Z$1,0))&amp;""),""))</f>
        <v/>
      </c>
      <c r="AF509" s="41">
        <f>IF(TRIM('Cross-tab'!$B$7&amp;"")="","",IFERROR(TRIM(INDEX($A509:$Z509,MATCH('Cross-tab'!$B$7,$A$1:$Z$1,0))&amp;""),""))</f>
        <v/>
      </c>
      <c r="AG509" s="41">
        <f>IF(ISNUMBER(IFERROR(VALUE(IF(TRIM('Scale score'!$B$5&amp;"")="","",IFERROR(TRIM(INDEX($A509:$Z509,MATCH('Scale score'!$B$5,$A$1:$Z$1,0))&amp;""),""))),"")),IF(AND(IFERROR(VALUE(IF(TRIM('Scale score'!$B$5&amp;"")="","",IFERROR(TRIM(INDEX($A509:$Z509,MATCH('Scale score'!$B$5,$A$1:$Z$1,0))&amp;""),""))),"")&gt;='Scale score'!$B$6,IFERROR(VALUE(IF(TRIM('Scale score'!$B$5&amp;"")="","",IFERROR(TRIM(INDEX($A509:$Z509,MATCH('Scale score'!$B$5,$A$1:$Z$1,0))&amp;""),""))),"")&lt;='Scale score'!$B$7),IFERROR(VALUE(IF(TRIM('Scale score'!$B$5&amp;"")="","",IFERROR(TRIM(INDEX($A509:$Z509,MATCH('Scale score'!$B$5,$A$1:$Z$1,0))&amp;""),""))),""),""),"")</f>
        <v/>
      </c>
      <c r="AH509" s="41">
        <f>IF(TRIM('Open answers'!$B$5&amp;"")="","",IFERROR(TRIM(INDEX($A509:$Z509,MATCH('Open answers'!$B$5,$A$1:$Z$1,0))&amp;""),""))</f>
        <v/>
      </c>
      <c r="AI509" s="41">
        <f>IF(LEN(AH509)&gt;0,MAX($AI$1:AI508)+1,"")</f>
        <v/>
      </c>
    </row>
    <row r="510">
      <c r="AA510" s="40" t="n"/>
      <c r="AB510" s="41">
        <f>IF(TRIM('Counts'!$B$8&amp;"")="","",IFERROR(TRIM(INDEX($A510:$Z510,MATCH('Counts'!$B$8,$A$1:$Z$1,0))&amp;""),""))</f>
        <v/>
      </c>
      <c r="AC510" s="41">
        <f>IF(TRIM('Counts'!$B$26&amp;"")="","",IFERROR(TRIM(INDEX($A510:$Z510,MATCH('Counts'!$B$26,$A$1:$Z$1,0))&amp;""),""))</f>
        <v/>
      </c>
      <c r="AD510" s="41">
        <f>IF(TRIM('Counts'!$B$44&amp;"")="","",IFERROR(TRIM(INDEX($A510:$Z510,MATCH('Counts'!$B$44,$A$1:$Z$1,0))&amp;""),""))</f>
        <v/>
      </c>
      <c r="AE510" s="41">
        <f>IF(TRIM('Cross-tab'!$B$5&amp;"")="","",IFERROR(TRIM(INDEX($A510:$Z510,MATCH('Cross-tab'!$B$5,$A$1:$Z$1,0))&amp;""),""))</f>
        <v/>
      </c>
      <c r="AF510" s="41">
        <f>IF(TRIM('Cross-tab'!$B$7&amp;"")="","",IFERROR(TRIM(INDEX($A510:$Z510,MATCH('Cross-tab'!$B$7,$A$1:$Z$1,0))&amp;""),""))</f>
        <v/>
      </c>
      <c r="AG510" s="41">
        <f>IF(ISNUMBER(IFERROR(VALUE(IF(TRIM('Scale score'!$B$5&amp;"")="","",IFERROR(TRIM(INDEX($A510:$Z510,MATCH('Scale score'!$B$5,$A$1:$Z$1,0))&amp;""),""))),"")),IF(AND(IFERROR(VALUE(IF(TRIM('Scale score'!$B$5&amp;"")="","",IFERROR(TRIM(INDEX($A510:$Z510,MATCH('Scale score'!$B$5,$A$1:$Z$1,0))&amp;""),""))),"")&gt;='Scale score'!$B$6,IFERROR(VALUE(IF(TRIM('Scale score'!$B$5&amp;"")="","",IFERROR(TRIM(INDEX($A510:$Z510,MATCH('Scale score'!$B$5,$A$1:$Z$1,0))&amp;""),""))),"")&lt;='Scale score'!$B$7),IFERROR(VALUE(IF(TRIM('Scale score'!$B$5&amp;"")="","",IFERROR(TRIM(INDEX($A510:$Z510,MATCH('Scale score'!$B$5,$A$1:$Z$1,0))&amp;""),""))),""),""),"")</f>
        <v/>
      </c>
      <c r="AH510" s="41">
        <f>IF(TRIM('Open answers'!$B$5&amp;"")="","",IFERROR(TRIM(INDEX($A510:$Z510,MATCH('Open answers'!$B$5,$A$1:$Z$1,0))&amp;""),""))</f>
        <v/>
      </c>
      <c r="AI510" s="41">
        <f>IF(LEN(AH510)&gt;0,MAX($AI$1:AI509)+1,"")</f>
        <v/>
      </c>
    </row>
    <row r="511">
      <c r="AA511" s="40" t="n"/>
      <c r="AB511" s="41">
        <f>IF(TRIM('Counts'!$B$8&amp;"")="","",IFERROR(TRIM(INDEX($A511:$Z511,MATCH('Counts'!$B$8,$A$1:$Z$1,0))&amp;""),""))</f>
        <v/>
      </c>
      <c r="AC511" s="41">
        <f>IF(TRIM('Counts'!$B$26&amp;"")="","",IFERROR(TRIM(INDEX($A511:$Z511,MATCH('Counts'!$B$26,$A$1:$Z$1,0))&amp;""),""))</f>
        <v/>
      </c>
      <c r="AD511" s="41">
        <f>IF(TRIM('Counts'!$B$44&amp;"")="","",IFERROR(TRIM(INDEX($A511:$Z511,MATCH('Counts'!$B$44,$A$1:$Z$1,0))&amp;""),""))</f>
        <v/>
      </c>
      <c r="AE511" s="41">
        <f>IF(TRIM('Cross-tab'!$B$5&amp;"")="","",IFERROR(TRIM(INDEX($A511:$Z511,MATCH('Cross-tab'!$B$5,$A$1:$Z$1,0))&amp;""),""))</f>
        <v/>
      </c>
      <c r="AF511" s="41">
        <f>IF(TRIM('Cross-tab'!$B$7&amp;"")="","",IFERROR(TRIM(INDEX($A511:$Z511,MATCH('Cross-tab'!$B$7,$A$1:$Z$1,0))&amp;""),""))</f>
        <v/>
      </c>
      <c r="AG511" s="41">
        <f>IF(ISNUMBER(IFERROR(VALUE(IF(TRIM('Scale score'!$B$5&amp;"")="","",IFERROR(TRIM(INDEX($A511:$Z511,MATCH('Scale score'!$B$5,$A$1:$Z$1,0))&amp;""),""))),"")),IF(AND(IFERROR(VALUE(IF(TRIM('Scale score'!$B$5&amp;"")="","",IFERROR(TRIM(INDEX($A511:$Z511,MATCH('Scale score'!$B$5,$A$1:$Z$1,0))&amp;""),""))),"")&gt;='Scale score'!$B$6,IFERROR(VALUE(IF(TRIM('Scale score'!$B$5&amp;"")="","",IFERROR(TRIM(INDEX($A511:$Z511,MATCH('Scale score'!$B$5,$A$1:$Z$1,0))&amp;""),""))),"")&lt;='Scale score'!$B$7),IFERROR(VALUE(IF(TRIM('Scale score'!$B$5&amp;"")="","",IFERROR(TRIM(INDEX($A511:$Z511,MATCH('Scale score'!$B$5,$A$1:$Z$1,0))&amp;""),""))),""),""),"")</f>
        <v/>
      </c>
      <c r="AH511" s="41">
        <f>IF(TRIM('Open answers'!$B$5&amp;"")="","",IFERROR(TRIM(INDEX($A511:$Z511,MATCH('Open answers'!$B$5,$A$1:$Z$1,0))&amp;""),""))</f>
        <v/>
      </c>
      <c r="AI511" s="41">
        <f>IF(LEN(AH511)&gt;0,MAX($AI$1:AI510)+1,"")</f>
        <v/>
      </c>
    </row>
    <row r="512">
      <c r="AA512" s="40" t="n"/>
      <c r="AB512" s="41">
        <f>IF(TRIM('Counts'!$B$8&amp;"")="","",IFERROR(TRIM(INDEX($A512:$Z512,MATCH('Counts'!$B$8,$A$1:$Z$1,0))&amp;""),""))</f>
        <v/>
      </c>
      <c r="AC512" s="41">
        <f>IF(TRIM('Counts'!$B$26&amp;"")="","",IFERROR(TRIM(INDEX($A512:$Z512,MATCH('Counts'!$B$26,$A$1:$Z$1,0))&amp;""),""))</f>
        <v/>
      </c>
      <c r="AD512" s="41">
        <f>IF(TRIM('Counts'!$B$44&amp;"")="","",IFERROR(TRIM(INDEX($A512:$Z512,MATCH('Counts'!$B$44,$A$1:$Z$1,0))&amp;""),""))</f>
        <v/>
      </c>
      <c r="AE512" s="41">
        <f>IF(TRIM('Cross-tab'!$B$5&amp;"")="","",IFERROR(TRIM(INDEX($A512:$Z512,MATCH('Cross-tab'!$B$5,$A$1:$Z$1,0))&amp;""),""))</f>
        <v/>
      </c>
      <c r="AF512" s="41">
        <f>IF(TRIM('Cross-tab'!$B$7&amp;"")="","",IFERROR(TRIM(INDEX($A512:$Z512,MATCH('Cross-tab'!$B$7,$A$1:$Z$1,0))&amp;""),""))</f>
        <v/>
      </c>
      <c r="AG512" s="41">
        <f>IF(ISNUMBER(IFERROR(VALUE(IF(TRIM('Scale score'!$B$5&amp;"")="","",IFERROR(TRIM(INDEX($A512:$Z512,MATCH('Scale score'!$B$5,$A$1:$Z$1,0))&amp;""),""))),"")),IF(AND(IFERROR(VALUE(IF(TRIM('Scale score'!$B$5&amp;"")="","",IFERROR(TRIM(INDEX($A512:$Z512,MATCH('Scale score'!$B$5,$A$1:$Z$1,0))&amp;""),""))),"")&gt;='Scale score'!$B$6,IFERROR(VALUE(IF(TRIM('Scale score'!$B$5&amp;"")="","",IFERROR(TRIM(INDEX($A512:$Z512,MATCH('Scale score'!$B$5,$A$1:$Z$1,0))&amp;""),""))),"")&lt;='Scale score'!$B$7),IFERROR(VALUE(IF(TRIM('Scale score'!$B$5&amp;"")="","",IFERROR(TRIM(INDEX($A512:$Z512,MATCH('Scale score'!$B$5,$A$1:$Z$1,0))&amp;""),""))),""),""),"")</f>
        <v/>
      </c>
      <c r="AH512" s="41">
        <f>IF(TRIM('Open answers'!$B$5&amp;"")="","",IFERROR(TRIM(INDEX($A512:$Z512,MATCH('Open answers'!$B$5,$A$1:$Z$1,0))&amp;""),""))</f>
        <v/>
      </c>
      <c r="AI512" s="41">
        <f>IF(LEN(AH512)&gt;0,MAX($AI$1:AI511)+1,"")</f>
        <v/>
      </c>
    </row>
    <row r="513">
      <c r="AA513" s="40" t="n"/>
      <c r="AB513" s="41">
        <f>IF(TRIM('Counts'!$B$8&amp;"")="","",IFERROR(TRIM(INDEX($A513:$Z513,MATCH('Counts'!$B$8,$A$1:$Z$1,0))&amp;""),""))</f>
        <v/>
      </c>
      <c r="AC513" s="41">
        <f>IF(TRIM('Counts'!$B$26&amp;"")="","",IFERROR(TRIM(INDEX($A513:$Z513,MATCH('Counts'!$B$26,$A$1:$Z$1,0))&amp;""),""))</f>
        <v/>
      </c>
      <c r="AD513" s="41">
        <f>IF(TRIM('Counts'!$B$44&amp;"")="","",IFERROR(TRIM(INDEX($A513:$Z513,MATCH('Counts'!$B$44,$A$1:$Z$1,0))&amp;""),""))</f>
        <v/>
      </c>
      <c r="AE513" s="41">
        <f>IF(TRIM('Cross-tab'!$B$5&amp;"")="","",IFERROR(TRIM(INDEX($A513:$Z513,MATCH('Cross-tab'!$B$5,$A$1:$Z$1,0))&amp;""),""))</f>
        <v/>
      </c>
      <c r="AF513" s="41">
        <f>IF(TRIM('Cross-tab'!$B$7&amp;"")="","",IFERROR(TRIM(INDEX($A513:$Z513,MATCH('Cross-tab'!$B$7,$A$1:$Z$1,0))&amp;""),""))</f>
        <v/>
      </c>
      <c r="AG513" s="41">
        <f>IF(ISNUMBER(IFERROR(VALUE(IF(TRIM('Scale score'!$B$5&amp;"")="","",IFERROR(TRIM(INDEX($A513:$Z513,MATCH('Scale score'!$B$5,$A$1:$Z$1,0))&amp;""),""))),"")),IF(AND(IFERROR(VALUE(IF(TRIM('Scale score'!$B$5&amp;"")="","",IFERROR(TRIM(INDEX($A513:$Z513,MATCH('Scale score'!$B$5,$A$1:$Z$1,0))&amp;""),""))),"")&gt;='Scale score'!$B$6,IFERROR(VALUE(IF(TRIM('Scale score'!$B$5&amp;"")="","",IFERROR(TRIM(INDEX($A513:$Z513,MATCH('Scale score'!$B$5,$A$1:$Z$1,0))&amp;""),""))),"")&lt;='Scale score'!$B$7),IFERROR(VALUE(IF(TRIM('Scale score'!$B$5&amp;"")="","",IFERROR(TRIM(INDEX($A513:$Z513,MATCH('Scale score'!$B$5,$A$1:$Z$1,0))&amp;""),""))),""),""),"")</f>
        <v/>
      </c>
      <c r="AH513" s="41">
        <f>IF(TRIM('Open answers'!$B$5&amp;"")="","",IFERROR(TRIM(INDEX($A513:$Z513,MATCH('Open answers'!$B$5,$A$1:$Z$1,0))&amp;""),""))</f>
        <v/>
      </c>
      <c r="AI513" s="41">
        <f>IF(LEN(AH513)&gt;0,MAX($AI$1:AI512)+1,"")</f>
        <v/>
      </c>
    </row>
    <row r="514">
      <c r="AA514" s="40" t="n"/>
      <c r="AB514" s="41">
        <f>IF(TRIM('Counts'!$B$8&amp;"")="","",IFERROR(TRIM(INDEX($A514:$Z514,MATCH('Counts'!$B$8,$A$1:$Z$1,0))&amp;""),""))</f>
        <v/>
      </c>
      <c r="AC514" s="41">
        <f>IF(TRIM('Counts'!$B$26&amp;"")="","",IFERROR(TRIM(INDEX($A514:$Z514,MATCH('Counts'!$B$26,$A$1:$Z$1,0))&amp;""),""))</f>
        <v/>
      </c>
      <c r="AD514" s="41">
        <f>IF(TRIM('Counts'!$B$44&amp;"")="","",IFERROR(TRIM(INDEX($A514:$Z514,MATCH('Counts'!$B$44,$A$1:$Z$1,0))&amp;""),""))</f>
        <v/>
      </c>
      <c r="AE514" s="41">
        <f>IF(TRIM('Cross-tab'!$B$5&amp;"")="","",IFERROR(TRIM(INDEX($A514:$Z514,MATCH('Cross-tab'!$B$5,$A$1:$Z$1,0))&amp;""),""))</f>
        <v/>
      </c>
      <c r="AF514" s="41">
        <f>IF(TRIM('Cross-tab'!$B$7&amp;"")="","",IFERROR(TRIM(INDEX($A514:$Z514,MATCH('Cross-tab'!$B$7,$A$1:$Z$1,0))&amp;""),""))</f>
        <v/>
      </c>
      <c r="AG514" s="41">
        <f>IF(ISNUMBER(IFERROR(VALUE(IF(TRIM('Scale score'!$B$5&amp;"")="","",IFERROR(TRIM(INDEX($A514:$Z514,MATCH('Scale score'!$B$5,$A$1:$Z$1,0))&amp;""),""))),"")),IF(AND(IFERROR(VALUE(IF(TRIM('Scale score'!$B$5&amp;"")="","",IFERROR(TRIM(INDEX($A514:$Z514,MATCH('Scale score'!$B$5,$A$1:$Z$1,0))&amp;""),""))),"")&gt;='Scale score'!$B$6,IFERROR(VALUE(IF(TRIM('Scale score'!$B$5&amp;"")="","",IFERROR(TRIM(INDEX($A514:$Z514,MATCH('Scale score'!$B$5,$A$1:$Z$1,0))&amp;""),""))),"")&lt;='Scale score'!$B$7),IFERROR(VALUE(IF(TRIM('Scale score'!$B$5&amp;"")="","",IFERROR(TRIM(INDEX($A514:$Z514,MATCH('Scale score'!$B$5,$A$1:$Z$1,0))&amp;""),""))),""),""),"")</f>
        <v/>
      </c>
      <c r="AH514" s="41">
        <f>IF(TRIM('Open answers'!$B$5&amp;"")="","",IFERROR(TRIM(INDEX($A514:$Z514,MATCH('Open answers'!$B$5,$A$1:$Z$1,0))&amp;""),""))</f>
        <v/>
      </c>
      <c r="AI514" s="41">
        <f>IF(LEN(AH514)&gt;0,MAX($AI$1:AI513)+1,"")</f>
        <v/>
      </c>
    </row>
    <row r="515">
      <c r="AA515" s="40" t="n"/>
      <c r="AB515" s="41">
        <f>IF(TRIM('Counts'!$B$8&amp;"")="","",IFERROR(TRIM(INDEX($A515:$Z515,MATCH('Counts'!$B$8,$A$1:$Z$1,0))&amp;""),""))</f>
        <v/>
      </c>
      <c r="AC515" s="41">
        <f>IF(TRIM('Counts'!$B$26&amp;"")="","",IFERROR(TRIM(INDEX($A515:$Z515,MATCH('Counts'!$B$26,$A$1:$Z$1,0))&amp;""),""))</f>
        <v/>
      </c>
      <c r="AD515" s="41">
        <f>IF(TRIM('Counts'!$B$44&amp;"")="","",IFERROR(TRIM(INDEX($A515:$Z515,MATCH('Counts'!$B$44,$A$1:$Z$1,0))&amp;""),""))</f>
        <v/>
      </c>
      <c r="AE515" s="41">
        <f>IF(TRIM('Cross-tab'!$B$5&amp;"")="","",IFERROR(TRIM(INDEX($A515:$Z515,MATCH('Cross-tab'!$B$5,$A$1:$Z$1,0))&amp;""),""))</f>
        <v/>
      </c>
      <c r="AF515" s="41">
        <f>IF(TRIM('Cross-tab'!$B$7&amp;"")="","",IFERROR(TRIM(INDEX($A515:$Z515,MATCH('Cross-tab'!$B$7,$A$1:$Z$1,0))&amp;""),""))</f>
        <v/>
      </c>
      <c r="AG515" s="41">
        <f>IF(ISNUMBER(IFERROR(VALUE(IF(TRIM('Scale score'!$B$5&amp;"")="","",IFERROR(TRIM(INDEX($A515:$Z515,MATCH('Scale score'!$B$5,$A$1:$Z$1,0))&amp;""),""))),"")),IF(AND(IFERROR(VALUE(IF(TRIM('Scale score'!$B$5&amp;"")="","",IFERROR(TRIM(INDEX($A515:$Z515,MATCH('Scale score'!$B$5,$A$1:$Z$1,0))&amp;""),""))),"")&gt;='Scale score'!$B$6,IFERROR(VALUE(IF(TRIM('Scale score'!$B$5&amp;"")="","",IFERROR(TRIM(INDEX($A515:$Z515,MATCH('Scale score'!$B$5,$A$1:$Z$1,0))&amp;""),""))),"")&lt;='Scale score'!$B$7),IFERROR(VALUE(IF(TRIM('Scale score'!$B$5&amp;"")="","",IFERROR(TRIM(INDEX($A515:$Z515,MATCH('Scale score'!$B$5,$A$1:$Z$1,0))&amp;""),""))),""),""),"")</f>
        <v/>
      </c>
      <c r="AH515" s="41">
        <f>IF(TRIM('Open answers'!$B$5&amp;"")="","",IFERROR(TRIM(INDEX($A515:$Z515,MATCH('Open answers'!$B$5,$A$1:$Z$1,0))&amp;""),""))</f>
        <v/>
      </c>
      <c r="AI515" s="41">
        <f>IF(LEN(AH515)&gt;0,MAX($AI$1:AI514)+1,"")</f>
        <v/>
      </c>
    </row>
    <row r="516">
      <c r="AA516" s="40" t="n"/>
      <c r="AB516" s="41">
        <f>IF(TRIM('Counts'!$B$8&amp;"")="","",IFERROR(TRIM(INDEX($A516:$Z516,MATCH('Counts'!$B$8,$A$1:$Z$1,0))&amp;""),""))</f>
        <v/>
      </c>
      <c r="AC516" s="41">
        <f>IF(TRIM('Counts'!$B$26&amp;"")="","",IFERROR(TRIM(INDEX($A516:$Z516,MATCH('Counts'!$B$26,$A$1:$Z$1,0))&amp;""),""))</f>
        <v/>
      </c>
      <c r="AD516" s="41">
        <f>IF(TRIM('Counts'!$B$44&amp;"")="","",IFERROR(TRIM(INDEX($A516:$Z516,MATCH('Counts'!$B$44,$A$1:$Z$1,0))&amp;""),""))</f>
        <v/>
      </c>
      <c r="AE516" s="41">
        <f>IF(TRIM('Cross-tab'!$B$5&amp;"")="","",IFERROR(TRIM(INDEX($A516:$Z516,MATCH('Cross-tab'!$B$5,$A$1:$Z$1,0))&amp;""),""))</f>
        <v/>
      </c>
      <c r="AF516" s="41">
        <f>IF(TRIM('Cross-tab'!$B$7&amp;"")="","",IFERROR(TRIM(INDEX($A516:$Z516,MATCH('Cross-tab'!$B$7,$A$1:$Z$1,0))&amp;""),""))</f>
        <v/>
      </c>
      <c r="AG516" s="41">
        <f>IF(ISNUMBER(IFERROR(VALUE(IF(TRIM('Scale score'!$B$5&amp;"")="","",IFERROR(TRIM(INDEX($A516:$Z516,MATCH('Scale score'!$B$5,$A$1:$Z$1,0))&amp;""),""))),"")),IF(AND(IFERROR(VALUE(IF(TRIM('Scale score'!$B$5&amp;"")="","",IFERROR(TRIM(INDEX($A516:$Z516,MATCH('Scale score'!$B$5,$A$1:$Z$1,0))&amp;""),""))),"")&gt;='Scale score'!$B$6,IFERROR(VALUE(IF(TRIM('Scale score'!$B$5&amp;"")="","",IFERROR(TRIM(INDEX($A516:$Z516,MATCH('Scale score'!$B$5,$A$1:$Z$1,0))&amp;""),""))),"")&lt;='Scale score'!$B$7),IFERROR(VALUE(IF(TRIM('Scale score'!$B$5&amp;"")="","",IFERROR(TRIM(INDEX($A516:$Z516,MATCH('Scale score'!$B$5,$A$1:$Z$1,0))&amp;""),""))),""),""),"")</f>
        <v/>
      </c>
      <c r="AH516" s="41">
        <f>IF(TRIM('Open answers'!$B$5&amp;"")="","",IFERROR(TRIM(INDEX($A516:$Z516,MATCH('Open answers'!$B$5,$A$1:$Z$1,0))&amp;""),""))</f>
        <v/>
      </c>
      <c r="AI516" s="41">
        <f>IF(LEN(AH516)&gt;0,MAX($AI$1:AI515)+1,"")</f>
        <v/>
      </c>
    </row>
    <row r="517">
      <c r="AA517" s="40" t="n"/>
      <c r="AB517" s="41">
        <f>IF(TRIM('Counts'!$B$8&amp;"")="","",IFERROR(TRIM(INDEX($A517:$Z517,MATCH('Counts'!$B$8,$A$1:$Z$1,0))&amp;""),""))</f>
        <v/>
      </c>
      <c r="AC517" s="41">
        <f>IF(TRIM('Counts'!$B$26&amp;"")="","",IFERROR(TRIM(INDEX($A517:$Z517,MATCH('Counts'!$B$26,$A$1:$Z$1,0))&amp;""),""))</f>
        <v/>
      </c>
      <c r="AD517" s="41">
        <f>IF(TRIM('Counts'!$B$44&amp;"")="","",IFERROR(TRIM(INDEX($A517:$Z517,MATCH('Counts'!$B$44,$A$1:$Z$1,0))&amp;""),""))</f>
        <v/>
      </c>
      <c r="AE517" s="41">
        <f>IF(TRIM('Cross-tab'!$B$5&amp;"")="","",IFERROR(TRIM(INDEX($A517:$Z517,MATCH('Cross-tab'!$B$5,$A$1:$Z$1,0))&amp;""),""))</f>
        <v/>
      </c>
      <c r="AF517" s="41">
        <f>IF(TRIM('Cross-tab'!$B$7&amp;"")="","",IFERROR(TRIM(INDEX($A517:$Z517,MATCH('Cross-tab'!$B$7,$A$1:$Z$1,0))&amp;""),""))</f>
        <v/>
      </c>
      <c r="AG517" s="41">
        <f>IF(ISNUMBER(IFERROR(VALUE(IF(TRIM('Scale score'!$B$5&amp;"")="","",IFERROR(TRIM(INDEX($A517:$Z517,MATCH('Scale score'!$B$5,$A$1:$Z$1,0))&amp;""),""))),"")),IF(AND(IFERROR(VALUE(IF(TRIM('Scale score'!$B$5&amp;"")="","",IFERROR(TRIM(INDEX($A517:$Z517,MATCH('Scale score'!$B$5,$A$1:$Z$1,0))&amp;""),""))),"")&gt;='Scale score'!$B$6,IFERROR(VALUE(IF(TRIM('Scale score'!$B$5&amp;"")="","",IFERROR(TRIM(INDEX($A517:$Z517,MATCH('Scale score'!$B$5,$A$1:$Z$1,0))&amp;""),""))),"")&lt;='Scale score'!$B$7),IFERROR(VALUE(IF(TRIM('Scale score'!$B$5&amp;"")="","",IFERROR(TRIM(INDEX($A517:$Z517,MATCH('Scale score'!$B$5,$A$1:$Z$1,0))&amp;""),""))),""),""),"")</f>
        <v/>
      </c>
      <c r="AH517" s="41">
        <f>IF(TRIM('Open answers'!$B$5&amp;"")="","",IFERROR(TRIM(INDEX($A517:$Z517,MATCH('Open answers'!$B$5,$A$1:$Z$1,0))&amp;""),""))</f>
        <v/>
      </c>
      <c r="AI517" s="41">
        <f>IF(LEN(AH517)&gt;0,MAX($AI$1:AI516)+1,"")</f>
        <v/>
      </c>
    </row>
    <row r="518">
      <c r="AA518" s="40" t="n"/>
      <c r="AB518" s="41">
        <f>IF(TRIM('Counts'!$B$8&amp;"")="","",IFERROR(TRIM(INDEX($A518:$Z518,MATCH('Counts'!$B$8,$A$1:$Z$1,0))&amp;""),""))</f>
        <v/>
      </c>
      <c r="AC518" s="41">
        <f>IF(TRIM('Counts'!$B$26&amp;"")="","",IFERROR(TRIM(INDEX($A518:$Z518,MATCH('Counts'!$B$26,$A$1:$Z$1,0))&amp;""),""))</f>
        <v/>
      </c>
      <c r="AD518" s="41">
        <f>IF(TRIM('Counts'!$B$44&amp;"")="","",IFERROR(TRIM(INDEX($A518:$Z518,MATCH('Counts'!$B$44,$A$1:$Z$1,0))&amp;""),""))</f>
        <v/>
      </c>
      <c r="AE518" s="41">
        <f>IF(TRIM('Cross-tab'!$B$5&amp;"")="","",IFERROR(TRIM(INDEX($A518:$Z518,MATCH('Cross-tab'!$B$5,$A$1:$Z$1,0))&amp;""),""))</f>
        <v/>
      </c>
      <c r="AF518" s="41">
        <f>IF(TRIM('Cross-tab'!$B$7&amp;"")="","",IFERROR(TRIM(INDEX($A518:$Z518,MATCH('Cross-tab'!$B$7,$A$1:$Z$1,0))&amp;""),""))</f>
        <v/>
      </c>
      <c r="AG518" s="41">
        <f>IF(ISNUMBER(IFERROR(VALUE(IF(TRIM('Scale score'!$B$5&amp;"")="","",IFERROR(TRIM(INDEX($A518:$Z518,MATCH('Scale score'!$B$5,$A$1:$Z$1,0))&amp;""),""))),"")),IF(AND(IFERROR(VALUE(IF(TRIM('Scale score'!$B$5&amp;"")="","",IFERROR(TRIM(INDEX($A518:$Z518,MATCH('Scale score'!$B$5,$A$1:$Z$1,0))&amp;""),""))),"")&gt;='Scale score'!$B$6,IFERROR(VALUE(IF(TRIM('Scale score'!$B$5&amp;"")="","",IFERROR(TRIM(INDEX($A518:$Z518,MATCH('Scale score'!$B$5,$A$1:$Z$1,0))&amp;""),""))),"")&lt;='Scale score'!$B$7),IFERROR(VALUE(IF(TRIM('Scale score'!$B$5&amp;"")="","",IFERROR(TRIM(INDEX($A518:$Z518,MATCH('Scale score'!$B$5,$A$1:$Z$1,0))&amp;""),""))),""),""),"")</f>
        <v/>
      </c>
      <c r="AH518" s="41">
        <f>IF(TRIM('Open answers'!$B$5&amp;"")="","",IFERROR(TRIM(INDEX($A518:$Z518,MATCH('Open answers'!$B$5,$A$1:$Z$1,0))&amp;""),""))</f>
        <v/>
      </c>
      <c r="AI518" s="41">
        <f>IF(LEN(AH518)&gt;0,MAX($AI$1:AI517)+1,"")</f>
        <v/>
      </c>
    </row>
    <row r="519">
      <c r="AA519" s="40" t="n"/>
      <c r="AB519" s="41">
        <f>IF(TRIM('Counts'!$B$8&amp;"")="","",IFERROR(TRIM(INDEX($A519:$Z519,MATCH('Counts'!$B$8,$A$1:$Z$1,0))&amp;""),""))</f>
        <v/>
      </c>
      <c r="AC519" s="41">
        <f>IF(TRIM('Counts'!$B$26&amp;"")="","",IFERROR(TRIM(INDEX($A519:$Z519,MATCH('Counts'!$B$26,$A$1:$Z$1,0))&amp;""),""))</f>
        <v/>
      </c>
      <c r="AD519" s="41">
        <f>IF(TRIM('Counts'!$B$44&amp;"")="","",IFERROR(TRIM(INDEX($A519:$Z519,MATCH('Counts'!$B$44,$A$1:$Z$1,0))&amp;""),""))</f>
        <v/>
      </c>
      <c r="AE519" s="41">
        <f>IF(TRIM('Cross-tab'!$B$5&amp;"")="","",IFERROR(TRIM(INDEX($A519:$Z519,MATCH('Cross-tab'!$B$5,$A$1:$Z$1,0))&amp;""),""))</f>
        <v/>
      </c>
      <c r="AF519" s="41">
        <f>IF(TRIM('Cross-tab'!$B$7&amp;"")="","",IFERROR(TRIM(INDEX($A519:$Z519,MATCH('Cross-tab'!$B$7,$A$1:$Z$1,0))&amp;""),""))</f>
        <v/>
      </c>
      <c r="AG519" s="41">
        <f>IF(ISNUMBER(IFERROR(VALUE(IF(TRIM('Scale score'!$B$5&amp;"")="","",IFERROR(TRIM(INDEX($A519:$Z519,MATCH('Scale score'!$B$5,$A$1:$Z$1,0))&amp;""),""))),"")),IF(AND(IFERROR(VALUE(IF(TRIM('Scale score'!$B$5&amp;"")="","",IFERROR(TRIM(INDEX($A519:$Z519,MATCH('Scale score'!$B$5,$A$1:$Z$1,0))&amp;""),""))),"")&gt;='Scale score'!$B$6,IFERROR(VALUE(IF(TRIM('Scale score'!$B$5&amp;"")="","",IFERROR(TRIM(INDEX($A519:$Z519,MATCH('Scale score'!$B$5,$A$1:$Z$1,0))&amp;""),""))),"")&lt;='Scale score'!$B$7),IFERROR(VALUE(IF(TRIM('Scale score'!$B$5&amp;"")="","",IFERROR(TRIM(INDEX($A519:$Z519,MATCH('Scale score'!$B$5,$A$1:$Z$1,0))&amp;""),""))),""),""),"")</f>
        <v/>
      </c>
      <c r="AH519" s="41">
        <f>IF(TRIM('Open answers'!$B$5&amp;"")="","",IFERROR(TRIM(INDEX($A519:$Z519,MATCH('Open answers'!$B$5,$A$1:$Z$1,0))&amp;""),""))</f>
        <v/>
      </c>
      <c r="AI519" s="41">
        <f>IF(LEN(AH519)&gt;0,MAX($AI$1:AI518)+1,"")</f>
        <v/>
      </c>
    </row>
    <row r="520">
      <c r="AA520" s="40" t="n"/>
      <c r="AB520" s="41">
        <f>IF(TRIM('Counts'!$B$8&amp;"")="","",IFERROR(TRIM(INDEX($A520:$Z520,MATCH('Counts'!$B$8,$A$1:$Z$1,0))&amp;""),""))</f>
        <v/>
      </c>
      <c r="AC520" s="41">
        <f>IF(TRIM('Counts'!$B$26&amp;"")="","",IFERROR(TRIM(INDEX($A520:$Z520,MATCH('Counts'!$B$26,$A$1:$Z$1,0))&amp;""),""))</f>
        <v/>
      </c>
      <c r="AD520" s="41">
        <f>IF(TRIM('Counts'!$B$44&amp;"")="","",IFERROR(TRIM(INDEX($A520:$Z520,MATCH('Counts'!$B$44,$A$1:$Z$1,0))&amp;""),""))</f>
        <v/>
      </c>
      <c r="AE520" s="41">
        <f>IF(TRIM('Cross-tab'!$B$5&amp;"")="","",IFERROR(TRIM(INDEX($A520:$Z520,MATCH('Cross-tab'!$B$5,$A$1:$Z$1,0))&amp;""),""))</f>
        <v/>
      </c>
      <c r="AF520" s="41">
        <f>IF(TRIM('Cross-tab'!$B$7&amp;"")="","",IFERROR(TRIM(INDEX($A520:$Z520,MATCH('Cross-tab'!$B$7,$A$1:$Z$1,0))&amp;""),""))</f>
        <v/>
      </c>
      <c r="AG520" s="41">
        <f>IF(ISNUMBER(IFERROR(VALUE(IF(TRIM('Scale score'!$B$5&amp;"")="","",IFERROR(TRIM(INDEX($A520:$Z520,MATCH('Scale score'!$B$5,$A$1:$Z$1,0))&amp;""),""))),"")),IF(AND(IFERROR(VALUE(IF(TRIM('Scale score'!$B$5&amp;"")="","",IFERROR(TRIM(INDEX($A520:$Z520,MATCH('Scale score'!$B$5,$A$1:$Z$1,0))&amp;""),""))),"")&gt;='Scale score'!$B$6,IFERROR(VALUE(IF(TRIM('Scale score'!$B$5&amp;"")="","",IFERROR(TRIM(INDEX($A520:$Z520,MATCH('Scale score'!$B$5,$A$1:$Z$1,0))&amp;""),""))),"")&lt;='Scale score'!$B$7),IFERROR(VALUE(IF(TRIM('Scale score'!$B$5&amp;"")="","",IFERROR(TRIM(INDEX($A520:$Z520,MATCH('Scale score'!$B$5,$A$1:$Z$1,0))&amp;""),""))),""),""),"")</f>
        <v/>
      </c>
      <c r="AH520" s="41">
        <f>IF(TRIM('Open answers'!$B$5&amp;"")="","",IFERROR(TRIM(INDEX($A520:$Z520,MATCH('Open answers'!$B$5,$A$1:$Z$1,0))&amp;""),""))</f>
        <v/>
      </c>
      <c r="AI520" s="41">
        <f>IF(LEN(AH520)&gt;0,MAX($AI$1:AI519)+1,"")</f>
        <v/>
      </c>
    </row>
    <row r="521">
      <c r="AA521" s="40" t="n"/>
      <c r="AB521" s="41">
        <f>IF(TRIM('Counts'!$B$8&amp;"")="","",IFERROR(TRIM(INDEX($A521:$Z521,MATCH('Counts'!$B$8,$A$1:$Z$1,0))&amp;""),""))</f>
        <v/>
      </c>
      <c r="AC521" s="41">
        <f>IF(TRIM('Counts'!$B$26&amp;"")="","",IFERROR(TRIM(INDEX($A521:$Z521,MATCH('Counts'!$B$26,$A$1:$Z$1,0))&amp;""),""))</f>
        <v/>
      </c>
      <c r="AD521" s="41">
        <f>IF(TRIM('Counts'!$B$44&amp;"")="","",IFERROR(TRIM(INDEX($A521:$Z521,MATCH('Counts'!$B$44,$A$1:$Z$1,0))&amp;""),""))</f>
        <v/>
      </c>
      <c r="AE521" s="41">
        <f>IF(TRIM('Cross-tab'!$B$5&amp;"")="","",IFERROR(TRIM(INDEX($A521:$Z521,MATCH('Cross-tab'!$B$5,$A$1:$Z$1,0))&amp;""),""))</f>
        <v/>
      </c>
      <c r="AF521" s="41">
        <f>IF(TRIM('Cross-tab'!$B$7&amp;"")="","",IFERROR(TRIM(INDEX($A521:$Z521,MATCH('Cross-tab'!$B$7,$A$1:$Z$1,0))&amp;""),""))</f>
        <v/>
      </c>
      <c r="AG521" s="41">
        <f>IF(ISNUMBER(IFERROR(VALUE(IF(TRIM('Scale score'!$B$5&amp;"")="","",IFERROR(TRIM(INDEX($A521:$Z521,MATCH('Scale score'!$B$5,$A$1:$Z$1,0))&amp;""),""))),"")),IF(AND(IFERROR(VALUE(IF(TRIM('Scale score'!$B$5&amp;"")="","",IFERROR(TRIM(INDEX($A521:$Z521,MATCH('Scale score'!$B$5,$A$1:$Z$1,0))&amp;""),""))),"")&gt;='Scale score'!$B$6,IFERROR(VALUE(IF(TRIM('Scale score'!$B$5&amp;"")="","",IFERROR(TRIM(INDEX($A521:$Z521,MATCH('Scale score'!$B$5,$A$1:$Z$1,0))&amp;""),""))),"")&lt;='Scale score'!$B$7),IFERROR(VALUE(IF(TRIM('Scale score'!$B$5&amp;"")="","",IFERROR(TRIM(INDEX($A521:$Z521,MATCH('Scale score'!$B$5,$A$1:$Z$1,0))&amp;""),""))),""),""),"")</f>
        <v/>
      </c>
      <c r="AH521" s="41">
        <f>IF(TRIM('Open answers'!$B$5&amp;"")="","",IFERROR(TRIM(INDEX($A521:$Z521,MATCH('Open answers'!$B$5,$A$1:$Z$1,0))&amp;""),""))</f>
        <v/>
      </c>
      <c r="AI521" s="41">
        <f>IF(LEN(AH521)&gt;0,MAX($AI$1:AI520)+1,"")</f>
        <v/>
      </c>
    </row>
    <row r="522">
      <c r="AA522" s="40" t="n"/>
      <c r="AB522" s="41">
        <f>IF(TRIM('Counts'!$B$8&amp;"")="","",IFERROR(TRIM(INDEX($A522:$Z522,MATCH('Counts'!$B$8,$A$1:$Z$1,0))&amp;""),""))</f>
        <v/>
      </c>
      <c r="AC522" s="41">
        <f>IF(TRIM('Counts'!$B$26&amp;"")="","",IFERROR(TRIM(INDEX($A522:$Z522,MATCH('Counts'!$B$26,$A$1:$Z$1,0))&amp;""),""))</f>
        <v/>
      </c>
      <c r="AD522" s="41">
        <f>IF(TRIM('Counts'!$B$44&amp;"")="","",IFERROR(TRIM(INDEX($A522:$Z522,MATCH('Counts'!$B$44,$A$1:$Z$1,0))&amp;""),""))</f>
        <v/>
      </c>
      <c r="AE522" s="41">
        <f>IF(TRIM('Cross-tab'!$B$5&amp;"")="","",IFERROR(TRIM(INDEX($A522:$Z522,MATCH('Cross-tab'!$B$5,$A$1:$Z$1,0))&amp;""),""))</f>
        <v/>
      </c>
      <c r="AF522" s="41">
        <f>IF(TRIM('Cross-tab'!$B$7&amp;"")="","",IFERROR(TRIM(INDEX($A522:$Z522,MATCH('Cross-tab'!$B$7,$A$1:$Z$1,0))&amp;""),""))</f>
        <v/>
      </c>
      <c r="AG522" s="41">
        <f>IF(ISNUMBER(IFERROR(VALUE(IF(TRIM('Scale score'!$B$5&amp;"")="","",IFERROR(TRIM(INDEX($A522:$Z522,MATCH('Scale score'!$B$5,$A$1:$Z$1,0))&amp;""),""))),"")),IF(AND(IFERROR(VALUE(IF(TRIM('Scale score'!$B$5&amp;"")="","",IFERROR(TRIM(INDEX($A522:$Z522,MATCH('Scale score'!$B$5,$A$1:$Z$1,0))&amp;""),""))),"")&gt;='Scale score'!$B$6,IFERROR(VALUE(IF(TRIM('Scale score'!$B$5&amp;"")="","",IFERROR(TRIM(INDEX($A522:$Z522,MATCH('Scale score'!$B$5,$A$1:$Z$1,0))&amp;""),""))),"")&lt;='Scale score'!$B$7),IFERROR(VALUE(IF(TRIM('Scale score'!$B$5&amp;"")="","",IFERROR(TRIM(INDEX($A522:$Z522,MATCH('Scale score'!$B$5,$A$1:$Z$1,0))&amp;""),""))),""),""),"")</f>
        <v/>
      </c>
      <c r="AH522" s="41">
        <f>IF(TRIM('Open answers'!$B$5&amp;"")="","",IFERROR(TRIM(INDEX($A522:$Z522,MATCH('Open answers'!$B$5,$A$1:$Z$1,0))&amp;""),""))</f>
        <v/>
      </c>
      <c r="AI522" s="41">
        <f>IF(LEN(AH522)&gt;0,MAX($AI$1:AI521)+1,"")</f>
        <v/>
      </c>
    </row>
    <row r="523">
      <c r="AA523" s="40" t="n"/>
      <c r="AB523" s="41">
        <f>IF(TRIM('Counts'!$B$8&amp;"")="","",IFERROR(TRIM(INDEX($A523:$Z523,MATCH('Counts'!$B$8,$A$1:$Z$1,0))&amp;""),""))</f>
        <v/>
      </c>
      <c r="AC523" s="41">
        <f>IF(TRIM('Counts'!$B$26&amp;"")="","",IFERROR(TRIM(INDEX($A523:$Z523,MATCH('Counts'!$B$26,$A$1:$Z$1,0))&amp;""),""))</f>
        <v/>
      </c>
      <c r="AD523" s="41">
        <f>IF(TRIM('Counts'!$B$44&amp;"")="","",IFERROR(TRIM(INDEX($A523:$Z523,MATCH('Counts'!$B$44,$A$1:$Z$1,0))&amp;""),""))</f>
        <v/>
      </c>
      <c r="AE523" s="41">
        <f>IF(TRIM('Cross-tab'!$B$5&amp;"")="","",IFERROR(TRIM(INDEX($A523:$Z523,MATCH('Cross-tab'!$B$5,$A$1:$Z$1,0))&amp;""),""))</f>
        <v/>
      </c>
      <c r="AF523" s="41">
        <f>IF(TRIM('Cross-tab'!$B$7&amp;"")="","",IFERROR(TRIM(INDEX($A523:$Z523,MATCH('Cross-tab'!$B$7,$A$1:$Z$1,0))&amp;""),""))</f>
        <v/>
      </c>
      <c r="AG523" s="41">
        <f>IF(ISNUMBER(IFERROR(VALUE(IF(TRIM('Scale score'!$B$5&amp;"")="","",IFERROR(TRIM(INDEX($A523:$Z523,MATCH('Scale score'!$B$5,$A$1:$Z$1,0))&amp;""),""))),"")),IF(AND(IFERROR(VALUE(IF(TRIM('Scale score'!$B$5&amp;"")="","",IFERROR(TRIM(INDEX($A523:$Z523,MATCH('Scale score'!$B$5,$A$1:$Z$1,0))&amp;""),""))),"")&gt;='Scale score'!$B$6,IFERROR(VALUE(IF(TRIM('Scale score'!$B$5&amp;"")="","",IFERROR(TRIM(INDEX($A523:$Z523,MATCH('Scale score'!$B$5,$A$1:$Z$1,0))&amp;""),""))),"")&lt;='Scale score'!$B$7),IFERROR(VALUE(IF(TRIM('Scale score'!$B$5&amp;"")="","",IFERROR(TRIM(INDEX($A523:$Z523,MATCH('Scale score'!$B$5,$A$1:$Z$1,0))&amp;""),""))),""),""),"")</f>
        <v/>
      </c>
      <c r="AH523" s="41">
        <f>IF(TRIM('Open answers'!$B$5&amp;"")="","",IFERROR(TRIM(INDEX($A523:$Z523,MATCH('Open answers'!$B$5,$A$1:$Z$1,0))&amp;""),""))</f>
        <v/>
      </c>
      <c r="AI523" s="41">
        <f>IF(LEN(AH523)&gt;0,MAX($AI$1:AI522)+1,"")</f>
        <v/>
      </c>
    </row>
    <row r="524">
      <c r="AA524" s="40" t="n"/>
      <c r="AB524" s="41">
        <f>IF(TRIM('Counts'!$B$8&amp;"")="","",IFERROR(TRIM(INDEX($A524:$Z524,MATCH('Counts'!$B$8,$A$1:$Z$1,0))&amp;""),""))</f>
        <v/>
      </c>
      <c r="AC524" s="41">
        <f>IF(TRIM('Counts'!$B$26&amp;"")="","",IFERROR(TRIM(INDEX($A524:$Z524,MATCH('Counts'!$B$26,$A$1:$Z$1,0))&amp;""),""))</f>
        <v/>
      </c>
      <c r="AD524" s="41">
        <f>IF(TRIM('Counts'!$B$44&amp;"")="","",IFERROR(TRIM(INDEX($A524:$Z524,MATCH('Counts'!$B$44,$A$1:$Z$1,0))&amp;""),""))</f>
        <v/>
      </c>
      <c r="AE524" s="41">
        <f>IF(TRIM('Cross-tab'!$B$5&amp;"")="","",IFERROR(TRIM(INDEX($A524:$Z524,MATCH('Cross-tab'!$B$5,$A$1:$Z$1,0))&amp;""),""))</f>
        <v/>
      </c>
      <c r="AF524" s="41">
        <f>IF(TRIM('Cross-tab'!$B$7&amp;"")="","",IFERROR(TRIM(INDEX($A524:$Z524,MATCH('Cross-tab'!$B$7,$A$1:$Z$1,0))&amp;""),""))</f>
        <v/>
      </c>
      <c r="AG524" s="41">
        <f>IF(ISNUMBER(IFERROR(VALUE(IF(TRIM('Scale score'!$B$5&amp;"")="","",IFERROR(TRIM(INDEX($A524:$Z524,MATCH('Scale score'!$B$5,$A$1:$Z$1,0))&amp;""),""))),"")),IF(AND(IFERROR(VALUE(IF(TRIM('Scale score'!$B$5&amp;"")="","",IFERROR(TRIM(INDEX($A524:$Z524,MATCH('Scale score'!$B$5,$A$1:$Z$1,0))&amp;""),""))),"")&gt;='Scale score'!$B$6,IFERROR(VALUE(IF(TRIM('Scale score'!$B$5&amp;"")="","",IFERROR(TRIM(INDEX($A524:$Z524,MATCH('Scale score'!$B$5,$A$1:$Z$1,0))&amp;""),""))),"")&lt;='Scale score'!$B$7),IFERROR(VALUE(IF(TRIM('Scale score'!$B$5&amp;"")="","",IFERROR(TRIM(INDEX($A524:$Z524,MATCH('Scale score'!$B$5,$A$1:$Z$1,0))&amp;""),""))),""),""),"")</f>
        <v/>
      </c>
      <c r="AH524" s="41">
        <f>IF(TRIM('Open answers'!$B$5&amp;"")="","",IFERROR(TRIM(INDEX($A524:$Z524,MATCH('Open answers'!$B$5,$A$1:$Z$1,0))&amp;""),""))</f>
        <v/>
      </c>
      <c r="AI524" s="41">
        <f>IF(LEN(AH524)&gt;0,MAX($AI$1:AI523)+1,"")</f>
        <v/>
      </c>
    </row>
    <row r="525">
      <c r="AA525" s="40" t="n"/>
      <c r="AB525" s="41">
        <f>IF(TRIM('Counts'!$B$8&amp;"")="","",IFERROR(TRIM(INDEX($A525:$Z525,MATCH('Counts'!$B$8,$A$1:$Z$1,0))&amp;""),""))</f>
        <v/>
      </c>
      <c r="AC525" s="41">
        <f>IF(TRIM('Counts'!$B$26&amp;"")="","",IFERROR(TRIM(INDEX($A525:$Z525,MATCH('Counts'!$B$26,$A$1:$Z$1,0))&amp;""),""))</f>
        <v/>
      </c>
      <c r="AD525" s="41">
        <f>IF(TRIM('Counts'!$B$44&amp;"")="","",IFERROR(TRIM(INDEX($A525:$Z525,MATCH('Counts'!$B$44,$A$1:$Z$1,0))&amp;""),""))</f>
        <v/>
      </c>
      <c r="AE525" s="41">
        <f>IF(TRIM('Cross-tab'!$B$5&amp;"")="","",IFERROR(TRIM(INDEX($A525:$Z525,MATCH('Cross-tab'!$B$5,$A$1:$Z$1,0))&amp;""),""))</f>
        <v/>
      </c>
      <c r="AF525" s="41">
        <f>IF(TRIM('Cross-tab'!$B$7&amp;"")="","",IFERROR(TRIM(INDEX($A525:$Z525,MATCH('Cross-tab'!$B$7,$A$1:$Z$1,0))&amp;""),""))</f>
        <v/>
      </c>
      <c r="AG525" s="41">
        <f>IF(ISNUMBER(IFERROR(VALUE(IF(TRIM('Scale score'!$B$5&amp;"")="","",IFERROR(TRIM(INDEX($A525:$Z525,MATCH('Scale score'!$B$5,$A$1:$Z$1,0))&amp;""),""))),"")),IF(AND(IFERROR(VALUE(IF(TRIM('Scale score'!$B$5&amp;"")="","",IFERROR(TRIM(INDEX($A525:$Z525,MATCH('Scale score'!$B$5,$A$1:$Z$1,0))&amp;""),""))),"")&gt;='Scale score'!$B$6,IFERROR(VALUE(IF(TRIM('Scale score'!$B$5&amp;"")="","",IFERROR(TRIM(INDEX($A525:$Z525,MATCH('Scale score'!$B$5,$A$1:$Z$1,0))&amp;""),""))),"")&lt;='Scale score'!$B$7),IFERROR(VALUE(IF(TRIM('Scale score'!$B$5&amp;"")="","",IFERROR(TRIM(INDEX($A525:$Z525,MATCH('Scale score'!$B$5,$A$1:$Z$1,0))&amp;""),""))),""),""),"")</f>
        <v/>
      </c>
      <c r="AH525" s="41">
        <f>IF(TRIM('Open answers'!$B$5&amp;"")="","",IFERROR(TRIM(INDEX($A525:$Z525,MATCH('Open answers'!$B$5,$A$1:$Z$1,0))&amp;""),""))</f>
        <v/>
      </c>
      <c r="AI525" s="41">
        <f>IF(LEN(AH525)&gt;0,MAX($AI$1:AI524)+1,"")</f>
        <v/>
      </c>
    </row>
    <row r="526">
      <c r="AA526" s="40" t="n"/>
      <c r="AB526" s="41">
        <f>IF(TRIM('Counts'!$B$8&amp;"")="","",IFERROR(TRIM(INDEX($A526:$Z526,MATCH('Counts'!$B$8,$A$1:$Z$1,0))&amp;""),""))</f>
        <v/>
      </c>
      <c r="AC526" s="41">
        <f>IF(TRIM('Counts'!$B$26&amp;"")="","",IFERROR(TRIM(INDEX($A526:$Z526,MATCH('Counts'!$B$26,$A$1:$Z$1,0))&amp;""),""))</f>
        <v/>
      </c>
      <c r="AD526" s="41">
        <f>IF(TRIM('Counts'!$B$44&amp;"")="","",IFERROR(TRIM(INDEX($A526:$Z526,MATCH('Counts'!$B$44,$A$1:$Z$1,0))&amp;""),""))</f>
        <v/>
      </c>
      <c r="AE526" s="41">
        <f>IF(TRIM('Cross-tab'!$B$5&amp;"")="","",IFERROR(TRIM(INDEX($A526:$Z526,MATCH('Cross-tab'!$B$5,$A$1:$Z$1,0))&amp;""),""))</f>
        <v/>
      </c>
      <c r="AF526" s="41">
        <f>IF(TRIM('Cross-tab'!$B$7&amp;"")="","",IFERROR(TRIM(INDEX($A526:$Z526,MATCH('Cross-tab'!$B$7,$A$1:$Z$1,0))&amp;""),""))</f>
        <v/>
      </c>
      <c r="AG526" s="41">
        <f>IF(ISNUMBER(IFERROR(VALUE(IF(TRIM('Scale score'!$B$5&amp;"")="","",IFERROR(TRIM(INDEX($A526:$Z526,MATCH('Scale score'!$B$5,$A$1:$Z$1,0))&amp;""),""))),"")),IF(AND(IFERROR(VALUE(IF(TRIM('Scale score'!$B$5&amp;"")="","",IFERROR(TRIM(INDEX($A526:$Z526,MATCH('Scale score'!$B$5,$A$1:$Z$1,0))&amp;""),""))),"")&gt;='Scale score'!$B$6,IFERROR(VALUE(IF(TRIM('Scale score'!$B$5&amp;"")="","",IFERROR(TRIM(INDEX($A526:$Z526,MATCH('Scale score'!$B$5,$A$1:$Z$1,0))&amp;""),""))),"")&lt;='Scale score'!$B$7),IFERROR(VALUE(IF(TRIM('Scale score'!$B$5&amp;"")="","",IFERROR(TRIM(INDEX($A526:$Z526,MATCH('Scale score'!$B$5,$A$1:$Z$1,0))&amp;""),""))),""),""),"")</f>
        <v/>
      </c>
      <c r="AH526" s="41">
        <f>IF(TRIM('Open answers'!$B$5&amp;"")="","",IFERROR(TRIM(INDEX($A526:$Z526,MATCH('Open answers'!$B$5,$A$1:$Z$1,0))&amp;""),""))</f>
        <v/>
      </c>
      <c r="AI526" s="41">
        <f>IF(LEN(AH526)&gt;0,MAX($AI$1:AI525)+1,"")</f>
        <v/>
      </c>
    </row>
    <row r="527">
      <c r="AA527" s="40" t="n"/>
      <c r="AB527" s="41">
        <f>IF(TRIM('Counts'!$B$8&amp;"")="","",IFERROR(TRIM(INDEX($A527:$Z527,MATCH('Counts'!$B$8,$A$1:$Z$1,0))&amp;""),""))</f>
        <v/>
      </c>
      <c r="AC527" s="41">
        <f>IF(TRIM('Counts'!$B$26&amp;"")="","",IFERROR(TRIM(INDEX($A527:$Z527,MATCH('Counts'!$B$26,$A$1:$Z$1,0))&amp;""),""))</f>
        <v/>
      </c>
      <c r="AD527" s="41">
        <f>IF(TRIM('Counts'!$B$44&amp;"")="","",IFERROR(TRIM(INDEX($A527:$Z527,MATCH('Counts'!$B$44,$A$1:$Z$1,0))&amp;""),""))</f>
        <v/>
      </c>
      <c r="AE527" s="41">
        <f>IF(TRIM('Cross-tab'!$B$5&amp;"")="","",IFERROR(TRIM(INDEX($A527:$Z527,MATCH('Cross-tab'!$B$5,$A$1:$Z$1,0))&amp;""),""))</f>
        <v/>
      </c>
      <c r="AF527" s="41">
        <f>IF(TRIM('Cross-tab'!$B$7&amp;"")="","",IFERROR(TRIM(INDEX($A527:$Z527,MATCH('Cross-tab'!$B$7,$A$1:$Z$1,0))&amp;""),""))</f>
        <v/>
      </c>
      <c r="AG527" s="41">
        <f>IF(ISNUMBER(IFERROR(VALUE(IF(TRIM('Scale score'!$B$5&amp;"")="","",IFERROR(TRIM(INDEX($A527:$Z527,MATCH('Scale score'!$B$5,$A$1:$Z$1,0))&amp;""),""))),"")),IF(AND(IFERROR(VALUE(IF(TRIM('Scale score'!$B$5&amp;"")="","",IFERROR(TRIM(INDEX($A527:$Z527,MATCH('Scale score'!$B$5,$A$1:$Z$1,0))&amp;""),""))),"")&gt;='Scale score'!$B$6,IFERROR(VALUE(IF(TRIM('Scale score'!$B$5&amp;"")="","",IFERROR(TRIM(INDEX($A527:$Z527,MATCH('Scale score'!$B$5,$A$1:$Z$1,0))&amp;""),""))),"")&lt;='Scale score'!$B$7),IFERROR(VALUE(IF(TRIM('Scale score'!$B$5&amp;"")="","",IFERROR(TRIM(INDEX($A527:$Z527,MATCH('Scale score'!$B$5,$A$1:$Z$1,0))&amp;""),""))),""),""),"")</f>
        <v/>
      </c>
      <c r="AH527" s="41">
        <f>IF(TRIM('Open answers'!$B$5&amp;"")="","",IFERROR(TRIM(INDEX($A527:$Z527,MATCH('Open answers'!$B$5,$A$1:$Z$1,0))&amp;""),""))</f>
        <v/>
      </c>
      <c r="AI527" s="41">
        <f>IF(LEN(AH527)&gt;0,MAX($AI$1:AI526)+1,"")</f>
        <v/>
      </c>
    </row>
    <row r="528">
      <c r="AA528" s="40" t="n"/>
      <c r="AB528" s="41">
        <f>IF(TRIM('Counts'!$B$8&amp;"")="","",IFERROR(TRIM(INDEX($A528:$Z528,MATCH('Counts'!$B$8,$A$1:$Z$1,0))&amp;""),""))</f>
        <v/>
      </c>
      <c r="AC528" s="41">
        <f>IF(TRIM('Counts'!$B$26&amp;"")="","",IFERROR(TRIM(INDEX($A528:$Z528,MATCH('Counts'!$B$26,$A$1:$Z$1,0))&amp;""),""))</f>
        <v/>
      </c>
      <c r="AD528" s="41">
        <f>IF(TRIM('Counts'!$B$44&amp;"")="","",IFERROR(TRIM(INDEX($A528:$Z528,MATCH('Counts'!$B$44,$A$1:$Z$1,0))&amp;""),""))</f>
        <v/>
      </c>
      <c r="AE528" s="41">
        <f>IF(TRIM('Cross-tab'!$B$5&amp;"")="","",IFERROR(TRIM(INDEX($A528:$Z528,MATCH('Cross-tab'!$B$5,$A$1:$Z$1,0))&amp;""),""))</f>
        <v/>
      </c>
      <c r="AF528" s="41">
        <f>IF(TRIM('Cross-tab'!$B$7&amp;"")="","",IFERROR(TRIM(INDEX($A528:$Z528,MATCH('Cross-tab'!$B$7,$A$1:$Z$1,0))&amp;""),""))</f>
        <v/>
      </c>
      <c r="AG528" s="41">
        <f>IF(ISNUMBER(IFERROR(VALUE(IF(TRIM('Scale score'!$B$5&amp;"")="","",IFERROR(TRIM(INDEX($A528:$Z528,MATCH('Scale score'!$B$5,$A$1:$Z$1,0))&amp;""),""))),"")),IF(AND(IFERROR(VALUE(IF(TRIM('Scale score'!$B$5&amp;"")="","",IFERROR(TRIM(INDEX($A528:$Z528,MATCH('Scale score'!$B$5,$A$1:$Z$1,0))&amp;""),""))),"")&gt;='Scale score'!$B$6,IFERROR(VALUE(IF(TRIM('Scale score'!$B$5&amp;"")="","",IFERROR(TRIM(INDEX($A528:$Z528,MATCH('Scale score'!$B$5,$A$1:$Z$1,0))&amp;""),""))),"")&lt;='Scale score'!$B$7),IFERROR(VALUE(IF(TRIM('Scale score'!$B$5&amp;"")="","",IFERROR(TRIM(INDEX($A528:$Z528,MATCH('Scale score'!$B$5,$A$1:$Z$1,0))&amp;""),""))),""),""),"")</f>
        <v/>
      </c>
      <c r="AH528" s="41">
        <f>IF(TRIM('Open answers'!$B$5&amp;"")="","",IFERROR(TRIM(INDEX($A528:$Z528,MATCH('Open answers'!$B$5,$A$1:$Z$1,0))&amp;""),""))</f>
        <v/>
      </c>
      <c r="AI528" s="41">
        <f>IF(LEN(AH528)&gt;0,MAX($AI$1:AI527)+1,"")</f>
        <v/>
      </c>
    </row>
    <row r="529">
      <c r="AA529" s="40" t="n"/>
      <c r="AB529" s="41">
        <f>IF(TRIM('Counts'!$B$8&amp;"")="","",IFERROR(TRIM(INDEX($A529:$Z529,MATCH('Counts'!$B$8,$A$1:$Z$1,0))&amp;""),""))</f>
        <v/>
      </c>
      <c r="AC529" s="41">
        <f>IF(TRIM('Counts'!$B$26&amp;"")="","",IFERROR(TRIM(INDEX($A529:$Z529,MATCH('Counts'!$B$26,$A$1:$Z$1,0))&amp;""),""))</f>
        <v/>
      </c>
      <c r="AD529" s="41">
        <f>IF(TRIM('Counts'!$B$44&amp;"")="","",IFERROR(TRIM(INDEX($A529:$Z529,MATCH('Counts'!$B$44,$A$1:$Z$1,0))&amp;""),""))</f>
        <v/>
      </c>
      <c r="AE529" s="41">
        <f>IF(TRIM('Cross-tab'!$B$5&amp;"")="","",IFERROR(TRIM(INDEX($A529:$Z529,MATCH('Cross-tab'!$B$5,$A$1:$Z$1,0))&amp;""),""))</f>
        <v/>
      </c>
      <c r="AF529" s="41">
        <f>IF(TRIM('Cross-tab'!$B$7&amp;"")="","",IFERROR(TRIM(INDEX($A529:$Z529,MATCH('Cross-tab'!$B$7,$A$1:$Z$1,0))&amp;""),""))</f>
        <v/>
      </c>
      <c r="AG529" s="41">
        <f>IF(ISNUMBER(IFERROR(VALUE(IF(TRIM('Scale score'!$B$5&amp;"")="","",IFERROR(TRIM(INDEX($A529:$Z529,MATCH('Scale score'!$B$5,$A$1:$Z$1,0))&amp;""),""))),"")),IF(AND(IFERROR(VALUE(IF(TRIM('Scale score'!$B$5&amp;"")="","",IFERROR(TRIM(INDEX($A529:$Z529,MATCH('Scale score'!$B$5,$A$1:$Z$1,0))&amp;""),""))),"")&gt;='Scale score'!$B$6,IFERROR(VALUE(IF(TRIM('Scale score'!$B$5&amp;"")="","",IFERROR(TRIM(INDEX($A529:$Z529,MATCH('Scale score'!$B$5,$A$1:$Z$1,0))&amp;""),""))),"")&lt;='Scale score'!$B$7),IFERROR(VALUE(IF(TRIM('Scale score'!$B$5&amp;"")="","",IFERROR(TRIM(INDEX($A529:$Z529,MATCH('Scale score'!$B$5,$A$1:$Z$1,0))&amp;""),""))),""),""),"")</f>
        <v/>
      </c>
      <c r="AH529" s="41">
        <f>IF(TRIM('Open answers'!$B$5&amp;"")="","",IFERROR(TRIM(INDEX($A529:$Z529,MATCH('Open answers'!$B$5,$A$1:$Z$1,0))&amp;""),""))</f>
        <v/>
      </c>
      <c r="AI529" s="41">
        <f>IF(LEN(AH529)&gt;0,MAX($AI$1:AI528)+1,"")</f>
        <v/>
      </c>
    </row>
    <row r="530">
      <c r="AA530" s="40" t="n"/>
      <c r="AB530" s="41">
        <f>IF(TRIM('Counts'!$B$8&amp;"")="","",IFERROR(TRIM(INDEX($A530:$Z530,MATCH('Counts'!$B$8,$A$1:$Z$1,0))&amp;""),""))</f>
        <v/>
      </c>
      <c r="AC530" s="41">
        <f>IF(TRIM('Counts'!$B$26&amp;"")="","",IFERROR(TRIM(INDEX($A530:$Z530,MATCH('Counts'!$B$26,$A$1:$Z$1,0))&amp;""),""))</f>
        <v/>
      </c>
      <c r="AD530" s="41">
        <f>IF(TRIM('Counts'!$B$44&amp;"")="","",IFERROR(TRIM(INDEX($A530:$Z530,MATCH('Counts'!$B$44,$A$1:$Z$1,0))&amp;""),""))</f>
        <v/>
      </c>
      <c r="AE530" s="41">
        <f>IF(TRIM('Cross-tab'!$B$5&amp;"")="","",IFERROR(TRIM(INDEX($A530:$Z530,MATCH('Cross-tab'!$B$5,$A$1:$Z$1,0))&amp;""),""))</f>
        <v/>
      </c>
      <c r="AF530" s="41">
        <f>IF(TRIM('Cross-tab'!$B$7&amp;"")="","",IFERROR(TRIM(INDEX($A530:$Z530,MATCH('Cross-tab'!$B$7,$A$1:$Z$1,0))&amp;""),""))</f>
        <v/>
      </c>
      <c r="AG530" s="41">
        <f>IF(ISNUMBER(IFERROR(VALUE(IF(TRIM('Scale score'!$B$5&amp;"")="","",IFERROR(TRIM(INDEX($A530:$Z530,MATCH('Scale score'!$B$5,$A$1:$Z$1,0))&amp;""),""))),"")),IF(AND(IFERROR(VALUE(IF(TRIM('Scale score'!$B$5&amp;"")="","",IFERROR(TRIM(INDEX($A530:$Z530,MATCH('Scale score'!$B$5,$A$1:$Z$1,0))&amp;""),""))),"")&gt;='Scale score'!$B$6,IFERROR(VALUE(IF(TRIM('Scale score'!$B$5&amp;"")="","",IFERROR(TRIM(INDEX($A530:$Z530,MATCH('Scale score'!$B$5,$A$1:$Z$1,0))&amp;""),""))),"")&lt;='Scale score'!$B$7),IFERROR(VALUE(IF(TRIM('Scale score'!$B$5&amp;"")="","",IFERROR(TRIM(INDEX($A530:$Z530,MATCH('Scale score'!$B$5,$A$1:$Z$1,0))&amp;""),""))),""),""),"")</f>
        <v/>
      </c>
      <c r="AH530" s="41">
        <f>IF(TRIM('Open answers'!$B$5&amp;"")="","",IFERROR(TRIM(INDEX($A530:$Z530,MATCH('Open answers'!$B$5,$A$1:$Z$1,0))&amp;""),""))</f>
        <v/>
      </c>
      <c r="AI530" s="41">
        <f>IF(LEN(AH530)&gt;0,MAX($AI$1:AI529)+1,"")</f>
        <v/>
      </c>
    </row>
    <row r="531">
      <c r="AA531" s="40" t="n"/>
      <c r="AB531" s="41">
        <f>IF(TRIM('Counts'!$B$8&amp;"")="","",IFERROR(TRIM(INDEX($A531:$Z531,MATCH('Counts'!$B$8,$A$1:$Z$1,0))&amp;""),""))</f>
        <v/>
      </c>
      <c r="AC531" s="41">
        <f>IF(TRIM('Counts'!$B$26&amp;"")="","",IFERROR(TRIM(INDEX($A531:$Z531,MATCH('Counts'!$B$26,$A$1:$Z$1,0))&amp;""),""))</f>
        <v/>
      </c>
      <c r="AD531" s="41">
        <f>IF(TRIM('Counts'!$B$44&amp;"")="","",IFERROR(TRIM(INDEX($A531:$Z531,MATCH('Counts'!$B$44,$A$1:$Z$1,0))&amp;""),""))</f>
        <v/>
      </c>
      <c r="AE531" s="41">
        <f>IF(TRIM('Cross-tab'!$B$5&amp;"")="","",IFERROR(TRIM(INDEX($A531:$Z531,MATCH('Cross-tab'!$B$5,$A$1:$Z$1,0))&amp;""),""))</f>
        <v/>
      </c>
      <c r="AF531" s="41">
        <f>IF(TRIM('Cross-tab'!$B$7&amp;"")="","",IFERROR(TRIM(INDEX($A531:$Z531,MATCH('Cross-tab'!$B$7,$A$1:$Z$1,0))&amp;""),""))</f>
        <v/>
      </c>
      <c r="AG531" s="41">
        <f>IF(ISNUMBER(IFERROR(VALUE(IF(TRIM('Scale score'!$B$5&amp;"")="","",IFERROR(TRIM(INDEX($A531:$Z531,MATCH('Scale score'!$B$5,$A$1:$Z$1,0))&amp;""),""))),"")),IF(AND(IFERROR(VALUE(IF(TRIM('Scale score'!$B$5&amp;"")="","",IFERROR(TRIM(INDEX($A531:$Z531,MATCH('Scale score'!$B$5,$A$1:$Z$1,0))&amp;""),""))),"")&gt;='Scale score'!$B$6,IFERROR(VALUE(IF(TRIM('Scale score'!$B$5&amp;"")="","",IFERROR(TRIM(INDEX($A531:$Z531,MATCH('Scale score'!$B$5,$A$1:$Z$1,0))&amp;""),""))),"")&lt;='Scale score'!$B$7),IFERROR(VALUE(IF(TRIM('Scale score'!$B$5&amp;"")="","",IFERROR(TRIM(INDEX($A531:$Z531,MATCH('Scale score'!$B$5,$A$1:$Z$1,0))&amp;""),""))),""),""),"")</f>
        <v/>
      </c>
      <c r="AH531" s="41">
        <f>IF(TRIM('Open answers'!$B$5&amp;"")="","",IFERROR(TRIM(INDEX($A531:$Z531,MATCH('Open answers'!$B$5,$A$1:$Z$1,0))&amp;""),""))</f>
        <v/>
      </c>
      <c r="AI531" s="41">
        <f>IF(LEN(AH531)&gt;0,MAX($AI$1:AI530)+1,"")</f>
        <v/>
      </c>
    </row>
    <row r="532">
      <c r="AA532" s="40" t="n"/>
      <c r="AB532" s="41">
        <f>IF(TRIM('Counts'!$B$8&amp;"")="","",IFERROR(TRIM(INDEX($A532:$Z532,MATCH('Counts'!$B$8,$A$1:$Z$1,0))&amp;""),""))</f>
        <v/>
      </c>
      <c r="AC532" s="41">
        <f>IF(TRIM('Counts'!$B$26&amp;"")="","",IFERROR(TRIM(INDEX($A532:$Z532,MATCH('Counts'!$B$26,$A$1:$Z$1,0))&amp;""),""))</f>
        <v/>
      </c>
      <c r="AD532" s="41">
        <f>IF(TRIM('Counts'!$B$44&amp;"")="","",IFERROR(TRIM(INDEX($A532:$Z532,MATCH('Counts'!$B$44,$A$1:$Z$1,0))&amp;""),""))</f>
        <v/>
      </c>
      <c r="AE532" s="41">
        <f>IF(TRIM('Cross-tab'!$B$5&amp;"")="","",IFERROR(TRIM(INDEX($A532:$Z532,MATCH('Cross-tab'!$B$5,$A$1:$Z$1,0))&amp;""),""))</f>
        <v/>
      </c>
      <c r="AF532" s="41">
        <f>IF(TRIM('Cross-tab'!$B$7&amp;"")="","",IFERROR(TRIM(INDEX($A532:$Z532,MATCH('Cross-tab'!$B$7,$A$1:$Z$1,0))&amp;""),""))</f>
        <v/>
      </c>
      <c r="AG532" s="41">
        <f>IF(ISNUMBER(IFERROR(VALUE(IF(TRIM('Scale score'!$B$5&amp;"")="","",IFERROR(TRIM(INDEX($A532:$Z532,MATCH('Scale score'!$B$5,$A$1:$Z$1,0))&amp;""),""))),"")),IF(AND(IFERROR(VALUE(IF(TRIM('Scale score'!$B$5&amp;"")="","",IFERROR(TRIM(INDEX($A532:$Z532,MATCH('Scale score'!$B$5,$A$1:$Z$1,0))&amp;""),""))),"")&gt;='Scale score'!$B$6,IFERROR(VALUE(IF(TRIM('Scale score'!$B$5&amp;"")="","",IFERROR(TRIM(INDEX($A532:$Z532,MATCH('Scale score'!$B$5,$A$1:$Z$1,0))&amp;""),""))),"")&lt;='Scale score'!$B$7),IFERROR(VALUE(IF(TRIM('Scale score'!$B$5&amp;"")="","",IFERROR(TRIM(INDEX($A532:$Z532,MATCH('Scale score'!$B$5,$A$1:$Z$1,0))&amp;""),""))),""),""),"")</f>
        <v/>
      </c>
      <c r="AH532" s="41">
        <f>IF(TRIM('Open answers'!$B$5&amp;"")="","",IFERROR(TRIM(INDEX($A532:$Z532,MATCH('Open answers'!$B$5,$A$1:$Z$1,0))&amp;""),""))</f>
        <v/>
      </c>
      <c r="AI532" s="41">
        <f>IF(LEN(AH532)&gt;0,MAX($AI$1:AI531)+1,"")</f>
        <v/>
      </c>
    </row>
    <row r="533">
      <c r="AA533" s="40" t="n"/>
      <c r="AB533" s="41">
        <f>IF(TRIM('Counts'!$B$8&amp;"")="","",IFERROR(TRIM(INDEX($A533:$Z533,MATCH('Counts'!$B$8,$A$1:$Z$1,0))&amp;""),""))</f>
        <v/>
      </c>
      <c r="AC533" s="41">
        <f>IF(TRIM('Counts'!$B$26&amp;"")="","",IFERROR(TRIM(INDEX($A533:$Z533,MATCH('Counts'!$B$26,$A$1:$Z$1,0))&amp;""),""))</f>
        <v/>
      </c>
      <c r="AD533" s="41">
        <f>IF(TRIM('Counts'!$B$44&amp;"")="","",IFERROR(TRIM(INDEX($A533:$Z533,MATCH('Counts'!$B$44,$A$1:$Z$1,0))&amp;""),""))</f>
        <v/>
      </c>
      <c r="AE533" s="41">
        <f>IF(TRIM('Cross-tab'!$B$5&amp;"")="","",IFERROR(TRIM(INDEX($A533:$Z533,MATCH('Cross-tab'!$B$5,$A$1:$Z$1,0))&amp;""),""))</f>
        <v/>
      </c>
      <c r="AF533" s="41">
        <f>IF(TRIM('Cross-tab'!$B$7&amp;"")="","",IFERROR(TRIM(INDEX($A533:$Z533,MATCH('Cross-tab'!$B$7,$A$1:$Z$1,0))&amp;""),""))</f>
        <v/>
      </c>
      <c r="AG533" s="41">
        <f>IF(ISNUMBER(IFERROR(VALUE(IF(TRIM('Scale score'!$B$5&amp;"")="","",IFERROR(TRIM(INDEX($A533:$Z533,MATCH('Scale score'!$B$5,$A$1:$Z$1,0))&amp;""),""))),"")),IF(AND(IFERROR(VALUE(IF(TRIM('Scale score'!$B$5&amp;"")="","",IFERROR(TRIM(INDEX($A533:$Z533,MATCH('Scale score'!$B$5,$A$1:$Z$1,0))&amp;""),""))),"")&gt;='Scale score'!$B$6,IFERROR(VALUE(IF(TRIM('Scale score'!$B$5&amp;"")="","",IFERROR(TRIM(INDEX($A533:$Z533,MATCH('Scale score'!$B$5,$A$1:$Z$1,0))&amp;""),""))),"")&lt;='Scale score'!$B$7),IFERROR(VALUE(IF(TRIM('Scale score'!$B$5&amp;"")="","",IFERROR(TRIM(INDEX($A533:$Z533,MATCH('Scale score'!$B$5,$A$1:$Z$1,0))&amp;""),""))),""),""),"")</f>
        <v/>
      </c>
      <c r="AH533" s="41">
        <f>IF(TRIM('Open answers'!$B$5&amp;"")="","",IFERROR(TRIM(INDEX($A533:$Z533,MATCH('Open answers'!$B$5,$A$1:$Z$1,0))&amp;""),""))</f>
        <v/>
      </c>
      <c r="AI533" s="41">
        <f>IF(LEN(AH533)&gt;0,MAX($AI$1:AI532)+1,"")</f>
        <v/>
      </c>
    </row>
    <row r="534">
      <c r="AA534" s="40" t="n"/>
      <c r="AB534" s="41">
        <f>IF(TRIM('Counts'!$B$8&amp;"")="","",IFERROR(TRIM(INDEX($A534:$Z534,MATCH('Counts'!$B$8,$A$1:$Z$1,0))&amp;""),""))</f>
        <v/>
      </c>
      <c r="AC534" s="41">
        <f>IF(TRIM('Counts'!$B$26&amp;"")="","",IFERROR(TRIM(INDEX($A534:$Z534,MATCH('Counts'!$B$26,$A$1:$Z$1,0))&amp;""),""))</f>
        <v/>
      </c>
      <c r="AD534" s="41">
        <f>IF(TRIM('Counts'!$B$44&amp;"")="","",IFERROR(TRIM(INDEX($A534:$Z534,MATCH('Counts'!$B$44,$A$1:$Z$1,0))&amp;""),""))</f>
        <v/>
      </c>
      <c r="AE534" s="41">
        <f>IF(TRIM('Cross-tab'!$B$5&amp;"")="","",IFERROR(TRIM(INDEX($A534:$Z534,MATCH('Cross-tab'!$B$5,$A$1:$Z$1,0))&amp;""),""))</f>
        <v/>
      </c>
      <c r="AF534" s="41">
        <f>IF(TRIM('Cross-tab'!$B$7&amp;"")="","",IFERROR(TRIM(INDEX($A534:$Z534,MATCH('Cross-tab'!$B$7,$A$1:$Z$1,0))&amp;""),""))</f>
        <v/>
      </c>
      <c r="AG534" s="41">
        <f>IF(ISNUMBER(IFERROR(VALUE(IF(TRIM('Scale score'!$B$5&amp;"")="","",IFERROR(TRIM(INDEX($A534:$Z534,MATCH('Scale score'!$B$5,$A$1:$Z$1,0))&amp;""),""))),"")),IF(AND(IFERROR(VALUE(IF(TRIM('Scale score'!$B$5&amp;"")="","",IFERROR(TRIM(INDEX($A534:$Z534,MATCH('Scale score'!$B$5,$A$1:$Z$1,0))&amp;""),""))),"")&gt;='Scale score'!$B$6,IFERROR(VALUE(IF(TRIM('Scale score'!$B$5&amp;"")="","",IFERROR(TRIM(INDEX($A534:$Z534,MATCH('Scale score'!$B$5,$A$1:$Z$1,0))&amp;""),""))),"")&lt;='Scale score'!$B$7),IFERROR(VALUE(IF(TRIM('Scale score'!$B$5&amp;"")="","",IFERROR(TRIM(INDEX($A534:$Z534,MATCH('Scale score'!$B$5,$A$1:$Z$1,0))&amp;""),""))),""),""),"")</f>
        <v/>
      </c>
      <c r="AH534" s="41">
        <f>IF(TRIM('Open answers'!$B$5&amp;"")="","",IFERROR(TRIM(INDEX($A534:$Z534,MATCH('Open answers'!$B$5,$A$1:$Z$1,0))&amp;""),""))</f>
        <v/>
      </c>
      <c r="AI534" s="41">
        <f>IF(LEN(AH534)&gt;0,MAX($AI$1:AI533)+1,"")</f>
        <v/>
      </c>
    </row>
    <row r="535">
      <c r="AA535" s="40" t="n"/>
      <c r="AB535" s="41">
        <f>IF(TRIM('Counts'!$B$8&amp;"")="","",IFERROR(TRIM(INDEX($A535:$Z535,MATCH('Counts'!$B$8,$A$1:$Z$1,0))&amp;""),""))</f>
        <v/>
      </c>
      <c r="AC535" s="41">
        <f>IF(TRIM('Counts'!$B$26&amp;"")="","",IFERROR(TRIM(INDEX($A535:$Z535,MATCH('Counts'!$B$26,$A$1:$Z$1,0))&amp;""),""))</f>
        <v/>
      </c>
      <c r="AD535" s="41">
        <f>IF(TRIM('Counts'!$B$44&amp;"")="","",IFERROR(TRIM(INDEX($A535:$Z535,MATCH('Counts'!$B$44,$A$1:$Z$1,0))&amp;""),""))</f>
        <v/>
      </c>
      <c r="AE535" s="41">
        <f>IF(TRIM('Cross-tab'!$B$5&amp;"")="","",IFERROR(TRIM(INDEX($A535:$Z535,MATCH('Cross-tab'!$B$5,$A$1:$Z$1,0))&amp;""),""))</f>
        <v/>
      </c>
      <c r="AF535" s="41">
        <f>IF(TRIM('Cross-tab'!$B$7&amp;"")="","",IFERROR(TRIM(INDEX($A535:$Z535,MATCH('Cross-tab'!$B$7,$A$1:$Z$1,0))&amp;""),""))</f>
        <v/>
      </c>
      <c r="AG535" s="41">
        <f>IF(ISNUMBER(IFERROR(VALUE(IF(TRIM('Scale score'!$B$5&amp;"")="","",IFERROR(TRIM(INDEX($A535:$Z535,MATCH('Scale score'!$B$5,$A$1:$Z$1,0))&amp;""),""))),"")),IF(AND(IFERROR(VALUE(IF(TRIM('Scale score'!$B$5&amp;"")="","",IFERROR(TRIM(INDEX($A535:$Z535,MATCH('Scale score'!$B$5,$A$1:$Z$1,0))&amp;""),""))),"")&gt;='Scale score'!$B$6,IFERROR(VALUE(IF(TRIM('Scale score'!$B$5&amp;"")="","",IFERROR(TRIM(INDEX($A535:$Z535,MATCH('Scale score'!$B$5,$A$1:$Z$1,0))&amp;""),""))),"")&lt;='Scale score'!$B$7),IFERROR(VALUE(IF(TRIM('Scale score'!$B$5&amp;"")="","",IFERROR(TRIM(INDEX($A535:$Z535,MATCH('Scale score'!$B$5,$A$1:$Z$1,0))&amp;""),""))),""),""),"")</f>
        <v/>
      </c>
      <c r="AH535" s="41">
        <f>IF(TRIM('Open answers'!$B$5&amp;"")="","",IFERROR(TRIM(INDEX($A535:$Z535,MATCH('Open answers'!$B$5,$A$1:$Z$1,0))&amp;""),""))</f>
        <v/>
      </c>
      <c r="AI535" s="41">
        <f>IF(LEN(AH535)&gt;0,MAX($AI$1:AI534)+1,"")</f>
        <v/>
      </c>
    </row>
    <row r="536">
      <c r="AA536" s="40" t="n"/>
      <c r="AB536" s="41">
        <f>IF(TRIM('Counts'!$B$8&amp;"")="","",IFERROR(TRIM(INDEX($A536:$Z536,MATCH('Counts'!$B$8,$A$1:$Z$1,0))&amp;""),""))</f>
        <v/>
      </c>
      <c r="AC536" s="41">
        <f>IF(TRIM('Counts'!$B$26&amp;"")="","",IFERROR(TRIM(INDEX($A536:$Z536,MATCH('Counts'!$B$26,$A$1:$Z$1,0))&amp;""),""))</f>
        <v/>
      </c>
      <c r="AD536" s="41">
        <f>IF(TRIM('Counts'!$B$44&amp;"")="","",IFERROR(TRIM(INDEX($A536:$Z536,MATCH('Counts'!$B$44,$A$1:$Z$1,0))&amp;""),""))</f>
        <v/>
      </c>
      <c r="AE536" s="41">
        <f>IF(TRIM('Cross-tab'!$B$5&amp;"")="","",IFERROR(TRIM(INDEX($A536:$Z536,MATCH('Cross-tab'!$B$5,$A$1:$Z$1,0))&amp;""),""))</f>
        <v/>
      </c>
      <c r="AF536" s="41">
        <f>IF(TRIM('Cross-tab'!$B$7&amp;"")="","",IFERROR(TRIM(INDEX($A536:$Z536,MATCH('Cross-tab'!$B$7,$A$1:$Z$1,0))&amp;""),""))</f>
        <v/>
      </c>
      <c r="AG536" s="41">
        <f>IF(ISNUMBER(IFERROR(VALUE(IF(TRIM('Scale score'!$B$5&amp;"")="","",IFERROR(TRIM(INDEX($A536:$Z536,MATCH('Scale score'!$B$5,$A$1:$Z$1,0))&amp;""),""))),"")),IF(AND(IFERROR(VALUE(IF(TRIM('Scale score'!$B$5&amp;"")="","",IFERROR(TRIM(INDEX($A536:$Z536,MATCH('Scale score'!$B$5,$A$1:$Z$1,0))&amp;""),""))),"")&gt;='Scale score'!$B$6,IFERROR(VALUE(IF(TRIM('Scale score'!$B$5&amp;"")="","",IFERROR(TRIM(INDEX($A536:$Z536,MATCH('Scale score'!$B$5,$A$1:$Z$1,0))&amp;""),""))),"")&lt;='Scale score'!$B$7),IFERROR(VALUE(IF(TRIM('Scale score'!$B$5&amp;"")="","",IFERROR(TRIM(INDEX($A536:$Z536,MATCH('Scale score'!$B$5,$A$1:$Z$1,0))&amp;""),""))),""),""),"")</f>
        <v/>
      </c>
      <c r="AH536" s="41">
        <f>IF(TRIM('Open answers'!$B$5&amp;"")="","",IFERROR(TRIM(INDEX($A536:$Z536,MATCH('Open answers'!$B$5,$A$1:$Z$1,0))&amp;""),""))</f>
        <v/>
      </c>
      <c r="AI536" s="41">
        <f>IF(LEN(AH536)&gt;0,MAX($AI$1:AI535)+1,"")</f>
        <v/>
      </c>
    </row>
    <row r="537">
      <c r="AA537" s="40" t="n"/>
      <c r="AB537" s="41">
        <f>IF(TRIM('Counts'!$B$8&amp;"")="","",IFERROR(TRIM(INDEX($A537:$Z537,MATCH('Counts'!$B$8,$A$1:$Z$1,0))&amp;""),""))</f>
        <v/>
      </c>
      <c r="AC537" s="41">
        <f>IF(TRIM('Counts'!$B$26&amp;"")="","",IFERROR(TRIM(INDEX($A537:$Z537,MATCH('Counts'!$B$26,$A$1:$Z$1,0))&amp;""),""))</f>
        <v/>
      </c>
      <c r="AD537" s="41">
        <f>IF(TRIM('Counts'!$B$44&amp;"")="","",IFERROR(TRIM(INDEX($A537:$Z537,MATCH('Counts'!$B$44,$A$1:$Z$1,0))&amp;""),""))</f>
        <v/>
      </c>
      <c r="AE537" s="41">
        <f>IF(TRIM('Cross-tab'!$B$5&amp;"")="","",IFERROR(TRIM(INDEX($A537:$Z537,MATCH('Cross-tab'!$B$5,$A$1:$Z$1,0))&amp;""),""))</f>
        <v/>
      </c>
      <c r="AF537" s="41">
        <f>IF(TRIM('Cross-tab'!$B$7&amp;"")="","",IFERROR(TRIM(INDEX($A537:$Z537,MATCH('Cross-tab'!$B$7,$A$1:$Z$1,0))&amp;""),""))</f>
        <v/>
      </c>
      <c r="AG537" s="41">
        <f>IF(ISNUMBER(IFERROR(VALUE(IF(TRIM('Scale score'!$B$5&amp;"")="","",IFERROR(TRIM(INDEX($A537:$Z537,MATCH('Scale score'!$B$5,$A$1:$Z$1,0))&amp;""),""))),"")),IF(AND(IFERROR(VALUE(IF(TRIM('Scale score'!$B$5&amp;"")="","",IFERROR(TRIM(INDEX($A537:$Z537,MATCH('Scale score'!$B$5,$A$1:$Z$1,0))&amp;""),""))),"")&gt;='Scale score'!$B$6,IFERROR(VALUE(IF(TRIM('Scale score'!$B$5&amp;"")="","",IFERROR(TRIM(INDEX($A537:$Z537,MATCH('Scale score'!$B$5,$A$1:$Z$1,0))&amp;""),""))),"")&lt;='Scale score'!$B$7),IFERROR(VALUE(IF(TRIM('Scale score'!$B$5&amp;"")="","",IFERROR(TRIM(INDEX($A537:$Z537,MATCH('Scale score'!$B$5,$A$1:$Z$1,0))&amp;""),""))),""),""),"")</f>
        <v/>
      </c>
      <c r="AH537" s="41">
        <f>IF(TRIM('Open answers'!$B$5&amp;"")="","",IFERROR(TRIM(INDEX($A537:$Z537,MATCH('Open answers'!$B$5,$A$1:$Z$1,0))&amp;""),""))</f>
        <v/>
      </c>
      <c r="AI537" s="41">
        <f>IF(LEN(AH537)&gt;0,MAX($AI$1:AI536)+1,"")</f>
        <v/>
      </c>
    </row>
    <row r="538">
      <c r="AA538" s="40" t="n"/>
      <c r="AB538" s="41">
        <f>IF(TRIM('Counts'!$B$8&amp;"")="","",IFERROR(TRIM(INDEX($A538:$Z538,MATCH('Counts'!$B$8,$A$1:$Z$1,0))&amp;""),""))</f>
        <v/>
      </c>
      <c r="AC538" s="41">
        <f>IF(TRIM('Counts'!$B$26&amp;"")="","",IFERROR(TRIM(INDEX($A538:$Z538,MATCH('Counts'!$B$26,$A$1:$Z$1,0))&amp;""),""))</f>
        <v/>
      </c>
      <c r="AD538" s="41">
        <f>IF(TRIM('Counts'!$B$44&amp;"")="","",IFERROR(TRIM(INDEX($A538:$Z538,MATCH('Counts'!$B$44,$A$1:$Z$1,0))&amp;""),""))</f>
        <v/>
      </c>
      <c r="AE538" s="41">
        <f>IF(TRIM('Cross-tab'!$B$5&amp;"")="","",IFERROR(TRIM(INDEX($A538:$Z538,MATCH('Cross-tab'!$B$5,$A$1:$Z$1,0))&amp;""),""))</f>
        <v/>
      </c>
      <c r="AF538" s="41">
        <f>IF(TRIM('Cross-tab'!$B$7&amp;"")="","",IFERROR(TRIM(INDEX($A538:$Z538,MATCH('Cross-tab'!$B$7,$A$1:$Z$1,0))&amp;""),""))</f>
        <v/>
      </c>
      <c r="AG538" s="41">
        <f>IF(ISNUMBER(IFERROR(VALUE(IF(TRIM('Scale score'!$B$5&amp;"")="","",IFERROR(TRIM(INDEX($A538:$Z538,MATCH('Scale score'!$B$5,$A$1:$Z$1,0))&amp;""),""))),"")),IF(AND(IFERROR(VALUE(IF(TRIM('Scale score'!$B$5&amp;"")="","",IFERROR(TRIM(INDEX($A538:$Z538,MATCH('Scale score'!$B$5,$A$1:$Z$1,0))&amp;""),""))),"")&gt;='Scale score'!$B$6,IFERROR(VALUE(IF(TRIM('Scale score'!$B$5&amp;"")="","",IFERROR(TRIM(INDEX($A538:$Z538,MATCH('Scale score'!$B$5,$A$1:$Z$1,0))&amp;""),""))),"")&lt;='Scale score'!$B$7),IFERROR(VALUE(IF(TRIM('Scale score'!$B$5&amp;"")="","",IFERROR(TRIM(INDEX($A538:$Z538,MATCH('Scale score'!$B$5,$A$1:$Z$1,0))&amp;""),""))),""),""),"")</f>
        <v/>
      </c>
      <c r="AH538" s="41">
        <f>IF(TRIM('Open answers'!$B$5&amp;"")="","",IFERROR(TRIM(INDEX($A538:$Z538,MATCH('Open answers'!$B$5,$A$1:$Z$1,0))&amp;""),""))</f>
        <v/>
      </c>
      <c r="AI538" s="41">
        <f>IF(LEN(AH538)&gt;0,MAX($AI$1:AI537)+1,"")</f>
        <v/>
      </c>
    </row>
    <row r="539">
      <c r="AA539" s="40" t="n"/>
      <c r="AB539" s="41">
        <f>IF(TRIM('Counts'!$B$8&amp;"")="","",IFERROR(TRIM(INDEX($A539:$Z539,MATCH('Counts'!$B$8,$A$1:$Z$1,0))&amp;""),""))</f>
        <v/>
      </c>
      <c r="AC539" s="41">
        <f>IF(TRIM('Counts'!$B$26&amp;"")="","",IFERROR(TRIM(INDEX($A539:$Z539,MATCH('Counts'!$B$26,$A$1:$Z$1,0))&amp;""),""))</f>
        <v/>
      </c>
      <c r="AD539" s="41">
        <f>IF(TRIM('Counts'!$B$44&amp;"")="","",IFERROR(TRIM(INDEX($A539:$Z539,MATCH('Counts'!$B$44,$A$1:$Z$1,0))&amp;""),""))</f>
        <v/>
      </c>
      <c r="AE539" s="41">
        <f>IF(TRIM('Cross-tab'!$B$5&amp;"")="","",IFERROR(TRIM(INDEX($A539:$Z539,MATCH('Cross-tab'!$B$5,$A$1:$Z$1,0))&amp;""),""))</f>
        <v/>
      </c>
      <c r="AF539" s="41">
        <f>IF(TRIM('Cross-tab'!$B$7&amp;"")="","",IFERROR(TRIM(INDEX($A539:$Z539,MATCH('Cross-tab'!$B$7,$A$1:$Z$1,0))&amp;""),""))</f>
        <v/>
      </c>
      <c r="AG539" s="41">
        <f>IF(ISNUMBER(IFERROR(VALUE(IF(TRIM('Scale score'!$B$5&amp;"")="","",IFERROR(TRIM(INDEX($A539:$Z539,MATCH('Scale score'!$B$5,$A$1:$Z$1,0))&amp;""),""))),"")),IF(AND(IFERROR(VALUE(IF(TRIM('Scale score'!$B$5&amp;"")="","",IFERROR(TRIM(INDEX($A539:$Z539,MATCH('Scale score'!$B$5,$A$1:$Z$1,0))&amp;""),""))),"")&gt;='Scale score'!$B$6,IFERROR(VALUE(IF(TRIM('Scale score'!$B$5&amp;"")="","",IFERROR(TRIM(INDEX($A539:$Z539,MATCH('Scale score'!$B$5,$A$1:$Z$1,0))&amp;""),""))),"")&lt;='Scale score'!$B$7),IFERROR(VALUE(IF(TRIM('Scale score'!$B$5&amp;"")="","",IFERROR(TRIM(INDEX($A539:$Z539,MATCH('Scale score'!$B$5,$A$1:$Z$1,0))&amp;""),""))),""),""),"")</f>
        <v/>
      </c>
      <c r="AH539" s="41">
        <f>IF(TRIM('Open answers'!$B$5&amp;"")="","",IFERROR(TRIM(INDEX($A539:$Z539,MATCH('Open answers'!$B$5,$A$1:$Z$1,0))&amp;""),""))</f>
        <v/>
      </c>
      <c r="AI539" s="41">
        <f>IF(LEN(AH539)&gt;0,MAX($AI$1:AI538)+1,"")</f>
        <v/>
      </c>
    </row>
    <row r="540">
      <c r="AA540" s="40" t="n"/>
      <c r="AB540" s="41">
        <f>IF(TRIM('Counts'!$B$8&amp;"")="","",IFERROR(TRIM(INDEX($A540:$Z540,MATCH('Counts'!$B$8,$A$1:$Z$1,0))&amp;""),""))</f>
        <v/>
      </c>
      <c r="AC540" s="41">
        <f>IF(TRIM('Counts'!$B$26&amp;"")="","",IFERROR(TRIM(INDEX($A540:$Z540,MATCH('Counts'!$B$26,$A$1:$Z$1,0))&amp;""),""))</f>
        <v/>
      </c>
      <c r="AD540" s="41">
        <f>IF(TRIM('Counts'!$B$44&amp;"")="","",IFERROR(TRIM(INDEX($A540:$Z540,MATCH('Counts'!$B$44,$A$1:$Z$1,0))&amp;""),""))</f>
        <v/>
      </c>
      <c r="AE540" s="41">
        <f>IF(TRIM('Cross-tab'!$B$5&amp;"")="","",IFERROR(TRIM(INDEX($A540:$Z540,MATCH('Cross-tab'!$B$5,$A$1:$Z$1,0))&amp;""),""))</f>
        <v/>
      </c>
      <c r="AF540" s="41">
        <f>IF(TRIM('Cross-tab'!$B$7&amp;"")="","",IFERROR(TRIM(INDEX($A540:$Z540,MATCH('Cross-tab'!$B$7,$A$1:$Z$1,0))&amp;""),""))</f>
        <v/>
      </c>
      <c r="AG540" s="41">
        <f>IF(ISNUMBER(IFERROR(VALUE(IF(TRIM('Scale score'!$B$5&amp;"")="","",IFERROR(TRIM(INDEX($A540:$Z540,MATCH('Scale score'!$B$5,$A$1:$Z$1,0))&amp;""),""))),"")),IF(AND(IFERROR(VALUE(IF(TRIM('Scale score'!$B$5&amp;"")="","",IFERROR(TRIM(INDEX($A540:$Z540,MATCH('Scale score'!$B$5,$A$1:$Z$1,0))&amp;""),""))),"")&gt;='Scale score'!$B$6,IFERROR(VALUE(IF(TRIM('Scale score'!$B$5&amp;"")="","",IFERROR(TRIM(INDEX($A540:$Z540,MATCH('Scale score'!$B$5,$A$1:$Z$1,0))&amp;""),""))),"")&lt;='Scale score'!$B$7),IFERROR(VALUE(IF(TRIM('Scale score'!$B$5&amp;"")="","",IFERROR(TRIM(INDEX($A540:$Z540,MATCH('Scale score'!$B$5,$A$1:$Z$1,0))&amp;""),""))),""),""),"")</f>
        <v/>
      </c>
      <c r="AH540" s="41">
        <f>IF(TRIM('Open answers'!$B$5&amp;"")="","",IFERROR(TRIM(INDEX($A540:$Z540,MATCH('Open answers'!$B$5,$A$1:$Z$1,0))&amp;""),""))</f>
        <v/>
      </c>
      <c r="AI540" s="41">
        <f>IF(LEN(AH540)&gt;0,MAX($AI$1:AI539)+1,"")</f>
        <v/>
      </c>
    </row>
    <row r="541">
      <c r="AA541" s="40" t="n"/>
      <c r="AB541" s="41">
        <f>IF(TRIM('Counts'!$B$8&amp;"")="","",IFERROR(TRIM(INDEX($A541:$Z541,MATCH('Counts'!$B$8,$A$1:$Z$1,0))&amp;""),""))</f>
        <v/>
      </c>
      <c r="AC541" s="41">
        <f>IF(TRIM('Counts'!$B$26&amp;"")="","",IFERROR(TRIM(INDEX($A541:$Z541,MATCH('Counts'!$B$26,$A$1:$Z$1,0))&amp;""),""))</f>
        <v/>
      </c>
      <c r="AD541" s="41">
        <f>IF(TRIM('Counts'!$B$44&amp;"")="","",IFERROR(TRIM(INDEX($A541:$Z541,MATCH('Counts'!$B$44,$A$1:$Z$1,0))&amp;""),""))</f>
        <v/>
      </c>
      <c r="AE541" s="41">
        <f>IF(TRIM('Cross-tab'!$B$5&amp;"")="","",IFERROR(TRIM(INDEX($A541:$Z541,MATCH('Cross-tab'!$B$5,$A$1:$Z$1,0))&amp;""),""))</f>
        <v/>
      </c>
      <c r="AF541" s="41">
        <f>IF(TRIM('Cross-tab'!$B$7&amp;"")="","",IFERROR(TRIM(INDEX($A541:$Z541,MATCH('Cross-tab'!$B$7,$A$1:$Z$1,0))&amp;""),""))</f>
        <v/>
      </c>
      <c r="AG541" s="41">
        <f>IF(ISNUMBER(IFERROR(VALUE(IF(TRIM('Scale score'!$B$5&amp;"")="","",IFERROR(TRIM(INDEX($A541:$Z541,MATCH('Scale score'!$B$5,$A$1:$Z$1,0))&amp;""),""))),"")),IF(AND(IFERROR(VALUE(IF(TRIM('Scale score'!$B$5&amp;"")="","",IFERROR(TRIM(INDEX($A541:$Z541,MATCH('Scale score'!$B$5,$A$1:$Z$1,0))&amp;""),""))),"")&gt;='Scale score'!$B$6,IFERROR(VALUE(IF(TRIM('Scale score'!$B$5&amp;"")="","",IFERROR(TRIM(INDEX($A541:$Z541,MATCH('Scale score'!$B$5,$A$1:$Z$1,0))&amp;""),""))),"")&lt;='Scale score'!$B$7),IFERROR(VALUE(IF(TRIM('Scale score'!$B$5&amp;"")="","",IFERROR(TRIM(INDEX($A541:$Z541,MATCH('Scale score'!$B$5,$A$1:$Z$1,0))&amp;""),""))),""),""),"")</f>
        <v/>
      </c>
      <c r="AH541" s="41">
        <f>IF(TRIM('Open answers'!$B$5&amp;"")="","",IFERROR(TRIM(INDEX($A541:$Z541,MATCH('Open answers'!$B$5,$A$1:$Z$1,0))&amp;""),""))</f>
        <v/>
      </c>
      <c r="AI541" s="41">
        <f>IF(LEN(AH541)&gt;0,MAX($AI$1:AI540)+1,"")</f>
        <v/>
      </c>
    </row>
    <row r="542">
      <c r="AA542" s="40" t="n"/>
      <c r="AB542" s="41">
        <f>IF(TRIM('Counts'!$B$8&amp;"")="","",IFERROR(TRIM(INDEX($A542:$Z542,MATCH('Counts'!$B$8,$A$1:$Z$1,0))&amp;""),""))</f>
        <v/>
      </c>
      <c r="AC542" s="41">
        <f>IF(TRIM('Counts'!$B$26&amp;"")="","",IFERROR(TRIM(INDEX($A542:$Z542,MATCH('Counts'!$B$26,$A$1:$Z$1,0))&amp;""),""))</f>
        <v/>
      </c>
      <c r="AD542" s="41">
        <f>IF(TRIM('Counts'!$B$44&amp;"")="","",IFERROR(TRIM(INDEX($A542:$Z542,MATCH('Counts'!$B$44,$A$1:$Z$1,0))&amp;""),""))</f>
        <v/>
      </c>
      <c r="AE542" s="41">
        <f>IF(TRIM('Cross-tab'!$B$5&amp;"")="","",IFERROR(TRIM(INDEX($A542:$Z542,MATCH('Cross-tab'!$B$5,$A$1:$Z$1,0))&amp;""),""))</f>
        <v/>
      </c>
      <c r="AF542" s="41">
        <f>IF(TRIM('Cross-tab'!$B$7&amp;"")="","",IFERROR(TRIM(INDEX($A542:$Z542,MATCH('Cross-tab'!$B$7,$A$1:$Z$1,0))&amp;""),""))</f>
        <v/>
      </c>
      <c r="AG542" s="41">
        <f>IF(ISNUMBER(IFERROR(VALUE(IF(TRIM('Scale score'!$B$5&amp;"")="","",IFERROR(TRIM(INDEX($A542:$Z542,MATCH('Scale score'!$B$5,$A$1:$Z$1,0))&amp;""),""))),"")),IF(AND(IFERROR(VALUE(IF(TRIM('Scale score'!$B$5&amp;"")="","",IFERROR(TRIM(INDEX($A542:$Z542,MATCH('Scale score'!$B$5,$A$1:$Z$1,0))&amp;""),""))),"")&gt;='Scale score'!$B$6,IFERROR(VALUE(IF(TRIM('Scale score'!$B$5&amp;"")="","",IFERROR(TRIM(INDEX($A542:$Z542,MATCH('Scale score'!$B$5,$A$1:$Z$1,0))&amp;""),""))),"")&lt;='Scale score'!$B$7),IFERROR(VALUE(IF(TRIM('Scale score'!$B$5&amp;"")="","",IFERROR(TRIM(INDEX($A542:$Z542,MATCH('Scale score'!$B$5,$A$1:$Z$1,0))&amp;""),""))),""),""),"")</f>
        <v/>
      </c>
      <c r="AH542" s="41">
        <f>IF(TRIM('Open answers'!$B$5&amp;"")="","",IFERROR(TRIM(INDEX($A542:$Z542,MATCH('Open answers'!$B$5,$A$1:$Z$1,0))&amp;""),""))</f>
        <v/>
      </c>
      <c r="AI542" s="41">
        <f>IF(LEN(AH542)&gt;0,MAX($AI$1:AI541)+1,"")</f>
        <v/>
      </c>
    </row>
    <row r="543">
      <c r="AA543" s="40" t="n"/>
      <c r="AB543" s="41">
        <f>IF(TRIM('Counts'!$B$8&amp;"")="","",IFERROR(TRIM(INDEX($A543:$Z543,MATCH('Counts'!$B$8,$A$1:$Z$1,0))&amp;""),""))</f>
        <v/>
      </c>
      <c r="AC543" s="41">
        <f>IF(TRIM('Counts'!$B$26&amp;"")="","",IFERROR(TRIM(INDEX($A543:$Z543,MATCH('Counts'!$B$26,$A$1:$Z$1,0))&amp;""),""))</f>
        <v/>
      </c>
      <c r="AD543" s="41">
        <f>IF(TRIM('Counts'!$B$44&amp;"")="","",IFERROR(TRIM(INDEX($A543:$Z543,MATCH('Counts'!$B$44,$A$1:$Z$1,0))&amp;""),""))</f>
        <v/>
      </c>
      <c r="AE543" s="41">
        <f>IF(TRIM('Cross-tab'!$B$5&amp;"")="","",IFERROR(TRIM(INDEX($A543:$Z543,MATCH('Cross-tab'!$B$5,$A$1:$Z$1,0))&amp;""),""))</f>
        <v/>
      </c>
      <c r="AF543" s="41">
        <f>IF(TRIM('Cross-tab'!$B$7&amp;"")="","",IFERROR(TRIM(INDEX($A543:$Z543,MATCH('Cross-tab'!$B$7,$A$1:$Z$1,0))&amp;""),""))</f>
        <v/>
      </c>
      <c r="AG543" s="41">
        <f>IF(ISNUMBER(IFERROR(VALUE(IF(TRIM('Scale score'!$B$5&amp;"")="","",IFERROR(TRIM(INDEX($A543:$Z543,MATCH('Scale score'!$B$5,$A$1:$Z$1,0))&amp;""),""))),"")),IF(AND(IFERROR(VALUE(IF(TRIM('Scale score'!$B$5&amp;"")="","",IFERROR(TRIM(INDEX($A543:$Z543,MATCH('Scale score'!$B$5,$A$1:$Z$1,0))&amp;""),""))),"")&gt;='Scale score'!$B$6,IFERROR(VALUE(IF(TRIM('Scale score'!$B$5&amp;"")="","",IFERROR(TRIM(INDEX($A543:$Z543,MATCH('Scale score'!$B$5,$A$1:$Z$1,0))&amp;""),""))),"")&lt;='Scale score'!$B$7),IFERROR(VALUE(IF(TRIM('Scale score'!$B$5&amp;"")="","",IFERROR(TRIM(INDEX($A543:$Z543,MATCH('Scale score'!$B$5,$A$1:$Z$1,0))&amp;""),""))),""),""),"")</f>
        <v/>
      </c>
      <c r="AH543" s="41">
        <f>IF(TRIM('Open answers'!$B$5&amp;"")="","",IFERROR(TRIM(INDEX($A543:$Z543,MATCH('Open answers'!$B$5,$A$1:$Z$1,0))&amp;""),""))</f>
        <v/>
      </c>
      <c r="AI543" s="41">
        <f>IF(LEN(AH543)&gt;0,MAX($AI$1:AI542)+1,"")</f>
        <v/>
      </c>
    </row>
    <row r="544">
      <c r="AA544" s="40" t="n"/>
      <c r="AB544" s="41">
        <f>IF(TRIM('Counts'!$B$8&amp;"")="","",IFERROR(TRIM(INDEX($A544:$Z544,MATCH('Counts'!$B$8,$A$1:$Z$1,0))&amp;""),""))</f>
        <v/>
      </c>
      <c r="AC544" s="41">
        <f>IF(TRIM('Counts'!$B$26&amp;"")="","",IFERROR(TRIM(INDEX($A544:$Z544,MATCH('Counts'!$B$26,$A$1:$Z$1,0))&amp;""),""))</f>
        <v/>
      </c>
      <c r="AD544" s="41">
        <f>IF(TRIM('Counts'!$B$44&amp;"")="","",IFERROR(TRIM(INDEX($A544:$Z544,MATCH('Counts'!$B$44,$A$1:$Z$1,0))&amp;""),""))</f>
        <v/>
      </c>
      <c r="AE544" s="41">
        <f>IF(TRIM('Cross-tab'!$B$5&amp;"")="","",IFERROR(TRIM(INDEX($A544:$Z544,MATCH('Cross-tab'!$B$5,$A$1:$Z$1,0))&amp;""),""))</f>
        <v/>
      </c>
      <c r="AF544" s="41">
        <f>IF(TRIM('Cross-tab'!$B$7&amp;"")="","",IFERROR(TRIM(INDEX($A544:$Z544,MATCH('Cross-tab'!$B$7,$A$1:$Z$1,0))&amp;""),""))</f>
        <v/>
      </c>
      <c r="AG544" s="41">
        <f>IF(ISNUMBER(IFERROR(VALUE(IF(TRIM('Scale score'!$B$5&amp;"")="","",IFERROR(TRIM(INDEX($A544:$Z544,MATCH('Scale score'!$B$5,$A$1:$Z$1,0))&amp;""),""))),"")),IF(AND(IFERROR(VALUE(IF(TRIM('Scale score'!$B$5&amp;"")="","",IFERROR(TRIM(INDEX($A544:$Z544,MATCH('Scale score'!$B$5,$A$1:$Z$1,0))&amp;""),""))),"")&gt;='Scale score'!$B$6,IFERROR(VALUE(IF(TRIM('Scale score'!$B$5&amp;"")="","",IFERROR(TRIM(INDEX($A544:$Z544,MATCH('Scale score'!$B$5,$A$1:$Z$1,0))&amp;""),""))),"")&lt;='Scale score'!$B$7),IFERROR(VALUE(IF(TRIM('Scale score'!$B$5&amp;"")="","",IFERROR(TRIM(INDEX($A544:$Z544,MATCH('Scale score'!$B$5,$A$1:$Z$1,0))&amp;""),""))),""),""),"")</f>
        <v/>
      </c>
      <c r="AH544" s="41">
        <f>IF(TRIM('Open answers'!$B$5&amp;"")="","",IFERROR(TRIM(INDEX($A544:$Z544,MATCH('Open answers'!$B$5,$A$1:$Z$1,0))&amp;""),""))</f>
        <v/>
      </c>
      <c r="AI544" s="41">
        <f>IF(LEN(AH544)&gt;0,MAX($AI$1:AI543)+1,"")</f>
        <v/>
      </c>
    </row>
    <row r="545">
      <c r="AA545" s="40" t="n"/>
      <c r="AB545" s="41">
        <f>IF(TRIM('Counts'!$B$8&amp;"")="","",IFERROR(TRIM(INDEX($A545:$Z545,MATCH('Counts'!$B$8,$A$1:$Z$1,0))&amp;""),""))</f>
        <v/>
      </c>
      <c r="AC545" s="41">
        <f>IF(TRIM('Counts'!$B$26&amp;"")="","",IFERROR(TRIM(INDEX($A545:$Z545,MATCH('Counts'!$B$26,$A$1:$Z$1,0))&amp;""),""))</f>
        <v/>
      </c>
      <c r="AD545" s="41">
        <f>IF(TRIM('Counts'!$B$44&amp;"")="","",IFERROR(TRIM(INDEX($A545:$Z545,MATCH('Counts'!$B$44,$A$1:$Z$1,0))&amp;""),""))</f>
        <v/>
      </c>
      <c r="AE545" s="41">
        <f>IF(TRIM('Cross-tab'!$B$5&amp;"")="","",IFERROR(TRIM(INDEX($A545:$Z545,MATCH('Cross-tab'!$B$5,$A$1:$Z$1,0))&amp;""),""))</f>
        <v/>
      </c>
      <c r="AF545" s="41">
        <f>IF(TRIM('Cross-tab'!$B$7&amp;"")="","",IFERROR(TRIM(INDEX($A545:$Z545,MATCH('Cross-tab'!$B$7,$A$1:$Z$1,0))&amp;""),""))</f>
        <v/>
      </c>
      <c r="AG545" s="41">
        <f>IF(ISNUMBER(IFERROR(VALUE(IF(TRIM('Scale score'!$B$5&amp;"")="","",IFERROR(TRIM(INDEX($A545:$Z545,MATCH('Scale score'!$B$5,$A$1:$Z$1,0))&amp;""),""))),"")),IF(AND(IFERROR(VALUE(IF(TRIM('Scale score'!$B$5&amp;"")="","",IFERROR(TRIM(INDEX($A545:$Z545,MATCH('Scale score'!$B$5,$A$1:$Z$1,0))&amp;""),""))),"")&gt;='Scale score'!$B$6,IFERROR(VALUE(IF(TRIM('Scale score'!$B$5&amp;"")="","",IFERROR(TRIM(INDEX($A545:$Z545,MATCH('Scale score'!$B$5,$A$1:$Z$1,0))&amp;""),""))),"")&lt;='Scale score'!$B$7),IFERROR(VALUE(IF(TRIM('Scale score'!$B$5&amp;"")="","",IFERROR(TRIM(INDEX($A545:$Z545,MATCH('Scale score'!$B$5,$A$1:$Z$1,0))&amp;""),""))),""),""),"")</f>
        <v/>
      </c>
      <c r="AH545" s="41">
        <f>IF(TRIM('Open answers'!$B$5&amp;"")="","",IFERROR(TRIM(INDEX($A545:$Z545,MATCH('Open answers'!$B$5,$A$1:$Z$1,0))&amp;""),""))</f>
        <v/>
      </c>
      <c r="AI545" s="41">
        <f>IF(LEN(AH545)&gt;0,MAX($AI$1:AI544)+1,"")</f>
        <v/>
      </c>
    </row>
    <row r="546">
      <c r="AA546" s="40" t="n"/>
      <c r="AB546" s="41">
        <f>IF(TRIM('Counts'!$B$8&amp;"")="","",IFERROR(TRIM(INDEX($A546:$Z546,MATCH('Counts'!$B$8,$A$1:$Z$1,0))&amp;""),""))</f>
        <v/>
      </c>
      <c r="AC546" s="41">
        <f>IF(TRIM('Counts'!$B$26&amp;"")="","",IFERROR(TRIM(INDEX($A546:$Z546,MATCH('Counts'!$B$26,$A$1:$Z$1,0))&amp;""),""))</f>
        <v/>
      </c>
      <c r="AD546" s="41">
        <f>IF(TRIM('Counts'!$B$44&amp;"")="","",IFERROR(TRIM(INDEX($A546:$Z546,MATCH('Counts'!$B$44,$A$1:$Z$1,0))&amp;""),""))</f>
        <v/>
      </c>
      <c r="AE546" s="41">
        <f>IF(TRIM('Cross-tab'!$B$5&amp;"")="","",IFERROR(TRIM(INDEX($A546:$Z546,MATCH('Cross-tab'!$B$5,$A$1:$Z$1,0))&amp;""),""))</f>
        <v/>
      </c>
      <c r="AF546" s="41">
        <f>IF(TRIM('Cross-tab'!$B$7&amp;"")="","",IFERROR(TRIM(INDEX($A546:$Z546,MATCH('Cross-tab'!$B$7,$A$1:$Z$1,0))&amp;""),""))</f>
        <v/>
      </c>
      <c r="AG546" s="41">
        <f>IF(ISNUMBER(IFERROR(VALUE(IF(TRIM('Scale score'!$B$5&amp;"")="","",IFERROR(TRIM(INDEX($A546:$Z546,MATCH('Scale score'!$B$5,$A$1:$Z$1,0))&amp;""),""))),"")),IF(AND(IFERROR(VALUE(IF(TRIM('Scale score'!$B$5&amp;"")="","",IFERROR(TRIM(INDEX($A546:$Z546,MATCH('Scale score'!$B$5,$A$1:$Z$1,0))&amp;""),""))),"")&gt;='Scale score'!$B$6,IFERROR(VALUE(IF(TRIM('Scale score'!$B$5&amp;"")="","",IFERROR(TRIM(INDEX($A546:$Z546,MATCH('Scale score'!$B$5,$A$1:$Z$1,0))&amp;""),""))),"")&lt;='Scale score'!$B$7),IFERROR(VALUE(IF(TRIM('Scale score'!$B$5&amp;"")="","",IFERROR(TRIM(INDEX($A546:$Z546,MATCH('Scale score'!$B$5,$A$1:$Z$1,0))&amp;""),""))),""),""),"")</f>
        <v/>
      </c>
      <c r="AH546" s="41">
        <f>IF(TRIM('Open answers'!$B$5&amp;"")="","",IFERROR(TRIM(INDEX($A546:$Z546,MATCH('Open answers'!$B$5,$A$1:$Z$1,0))&amp;""),""))</f>
        <v/>
      </c>
      <c r="AI546" s="41">
        <f>IF(LEN(AH546)&gt;0,MAX($AI$1:AI545)+1,"")</f>
        <v/>
      </c>
    </row>
    <row r="547">
      <c r="AA547" s="40" t="n"/>
      <c r="AB547" s="41">
        <f>IF(TRIM('Counts'!$B$8&amp;"")="","",IFERROR(TRIM(INDEX($A547:$Z547,MATCH('Counts'!$B$8,$A$1:$Z$1,0))&amp;""),""))</f>
        <v/>
      </c>
      <c r="AC547" s="41">
        <f>IF(TRIM('Counts'!$B$26&amp;"")="","",IFERROR(TRIM(INDEX($A547:$Z547,MATCH('Counts'!$B$26,$A$1:$Z$1,0))&amp;""),""))</f>
        <v/>
      </c>
      <c r="AD547" s="41">
        <f>IF(TRIM('Counts'!$B$44&amp;"")="","",IFERROR(TRIM(INDEX($A547:$Z547,MATCH('Counts'!$B$44,$A$1:$Z$1,0))&amp;""),""))</f>
        <v/>
      </c>
      <c r="AE547" s="41">
        <f>IF(TRIM('Cross-tab'!$B$5&amp;"")="","",IFERROR(TRIM(INDEX($A547:$Z547,MATCH('Cross-tab'!$B$5,$A$1:$Z$1,0))&amp;""),""))</f>
        <v/>
      </c>
      <c r="AF547" s="41">
        <f>IF(TRIM('Cross-tab'!$B$7&amp;"")="","",IFERROR(TRIM(INDEX($A547:$Z547,MATCH('Cross-tab'!$B$7,$A$1:$Z$1,0))&amp;""),""))</f>
        <v/>
      </c>
      <c r="AG547" s="41">
        <f>IF(ISNUMBER(IFERROR(VALUE(IF(TRIM('Scale score'!$B$5&amp;"")="","",IFERROR(TRIM(INDEX($A547:$Z547,MATCH('Scale score'!$B$5,$A$1:$Z$1,0))&amp;""),""))),"")),IF(AND(IFERROR(VALUE(IF(TRIM('Scale score'!$B$5&amp;"")="","",IFERROR(TRIM(INDEX($A547:$Z547,MATCH('Scale score'!$B$5,$A$1:$Z$1,0))&amp;""),""))),"")&gt;='Scale score'!$B$6,IFERROR(VALUE(IF(TRIM('Scale score'!$B$5&amp;"")="","",IFERROR(TRIM(INDEX($A547:$Z547,MATCH('Scale score'!$B$5,$A$1:$Z$1,0))&amp;""),""))),"")&lt;='Scale score'!$B$7),IFERROR(VALUE(IF(TRIM('Scale score'!$B$5&amp;"")="","",IFERROR(TRIM(INDEX($A547:$Z547,MATCH('Scale score'!$B$5,$A$1:$Z$1,0))&amp;""),""))),""),""),"")</f>
        <v/>
      </c>
      <c r="AH547" s="41">
        <f>IF(TRIM('Open answers'!$B$5&amp;"")="","",IFERROR(TRIM(INDEX($A547:$Z547,MATCH('Open answers'!$B$5,$A$1:$Z$1,0))&amp;""),""))</f>
        <v/>
      </c>
      <c r="AI547" s="41">
        <f>IF(LEN(AH547)&gt;0,MAX($AI$1:AI546)+1,"")</f>
        <v/>
      </c>
    </row>
    <row r="548">
      <c r="AA548" s="40" t="n"/>
      <c r="AB548" s="41">
        <f>IF(TRIM('Counts'!$B$8&amp;"")="","",IFERROR(TRIM(INDEX($A548:$Z548,MATCH('Counts'!$B$8,$A$1:$Z$1,0))&amp;""),""))</f>
        <v/>
      </c>
      <c r="AC548" s="41">
        <f>IF(TRIM('Counts'!$B$26&amp;"")="","",IFERROR(TRIM(INDEX($A548:$Z548,MATCH('Counts'!$B$26,$A$1:$Z$1,0))&amp;""),""))</f>
        <v/>
      </c>
      <c r="AD548" s="41">
        <f>IF(TRIM('Counts'!$B$44&amp;"")="","",IFERROR(TRIM(INDEX($A548:$Z548,MATCH('Counts'!$B$44,$A$1:$Z$1,0))&amp;""),""))</f>
        <v/>
      </c>
      <c r="AE548" s="41">
        <f>IF(TRIM('Cross-tab'!$B$5&amp;"")="","",IFERROR(TRIM(INDEX($A548:$Z548,MATCH('Cross-tab'!$B$5,$A$1:$Z$1,0))&amp;""),""))</f>
        <v/>
      </c>
      <c r="AF548" s="41">
        <f>IF(TRIM('Cross-tab'!$B$7&amp;"")="","",IFERROR(TRIM(INDEX($A548:$Z548,MATCH('Cross-tab'!$B$7,$A$1:$Z$1,0))&amp;""),""))</f>
        <v/>
      </c>
      <c r="AG548" s="41">
        <f>IF(ISNUMBER(IFERROR(VALUE(IF(TRIM('Scale score'!$B$5&amp;"")="","",IFERROR(TRIM(INDEX($A548:$Z548,MATCH('Scale score'!$B$5,$A$1:$Z$1,0))&amp;""),""))),"")),IF(AND(IFERROR(VALUE(IF(TRIM('Scale score'!$B$5&amp;"")="","",IFERROR(TRIM(INDEX($A548:$Z548,MATCH('Scale score'!$B$5,$A$1:$Z$1,0))&amp;""),""))),"")&gt;='Scale score'!$B$6,IFERROR(VALUE(IF(TRIM('Scale score'!$B$5&amp;"")="","",IFERROR(TRIM(INDEX($A548:$Z548,MATCH('Scale score'!$B$5,$A$1:$Z$1,0))&amp;""),""))),"")&lt;='Scale score'!$B$7),IFERROR(VALUE(IF(TRIM('Scale score'!$B$5&amp;"")="","",IFERROR(TRIM(INDEX($A548:$Z548,MATCH('Scale score'!$B$5,$A$1:$Z$1,0))&amp;""),""))),""),""),"")</f>
        <v/>
      </c>
      <c r="AH548" s="41">
        <f>IF(TRIM('Open answers'!$B$5&amp;"")="","",IFERROR(TRIM(INDEX($A548:$Z548,MATCH('Open answers'!$B$5,$A$1:$Z$1,0))&amp;""),""))</f>
        <v/>
      </c>
      <c r="AI548" s="41">
        <f>IF(LEN(AH548)&gt;0,MAX($AI$1:AI547)+1,"")</f>
        <v/>
      </c>
    </row>
    <row r="549">
      <c r="AA549" s="40" t="n"/>
      <c r="AB549" s="41">
        <f>IF(TRIM('Counts'!$B$8&amp;"")="","",IFERROR(TRIM(INDEX($A549:$Z549,MATCH('Counts'!$B$8,$A$1:$Z$1,0))&amp;""),""))</f>
        <v/>
      </c>
      <c r="AC549" s="41">
        <f>IF(TRIM('Counts'!$B$26&amp;"")="","",IFERROR(TRIM(INDEX($A549:$Z549,MATCH('Counts'!$B$26,$A$1:$Z$1,0))&amp;""),""))</f>
        <v/>
      </c>
      <c r="AD549" s="41">
        <f>IF(TRIM('Counts'!$B$44&amp;"")="","",IFERROR(TRIM(INDEX($A549:$Z549,MATCH('Counts'!$B$44,$A$1:$Z$1,0))&amp;""),""))</f>
        <v/>
      </c>
      <c r="AE549" s="41">
        <f>IF(TRIM('Cross-tab'!$B$5&amp;"")="","",IFERROR(TRIM(INDEX($A549:$Z549,MATCH('Cross-tab'!$B$5,$A$1:$Z$1,0))&amp;""),""))</f>
        <v/>
      </c>
      <c r="AF549" s="41">
        <f>IF(TRIM('Cross-tab'!$B$7&amp;"")="","",IFERROR(TRIM(INDEX($A549:$Z549,MATCH('Cross-tab'!$B$7,$A$1:$Z$1,0))&amp;""),""))</f>
        <v/>
      </c>
      <c r="AG549" s="41">
        <f>IF(ISNUMBER(IFERROR(VALUE(IF(TRIM('Scale score'!$B$5&amp;"")="","",IFERROR(TRIM(INDEX($A549:$Z549,MATCH('Scale score'!$B$5,$A$1:$Z$1,0))&amp;""),""))),"")),IF(AND(IFERROR(VALUE(IF(TRIM('Scale score'!$B$5&amp;"")="","",IFERROR(TRIM(INDEX($A549:$Z549,MATCH('Scale score'!$B$5,$A$1:$Z$1,0))&amp;""),""))),"")&gt;='Scale score'!$B$6,IFERROR(VALUE(IF(TRIM('Scale score'!$B$5&amp;"")="","",IFERROR(TRIM(INDEX($A549:$Z549,MATCH('Scale score'!$B$5,$A$1:$Z$1,0))&amp;""),""))),"")&lt;='Scale score'!$B$7),IFERROR(VALUE(IF(TRIM('Scale score'!$B$5&amp;"")="","",IFERROR(TRIM(INDEX($A549:$Z549,MATCH('Scale score'!$B$5,$A$1:$Z$1,0))&amp;""),""))),""),""),"")</f>
        <v/>
      </c>
      <c r="AH549" s="41">
        <f>IF(TRIM('Open answers'!$B$5&amp;"")="","",IFERROR(TRIM(INDEX($A549:$Z549,MATCH('Open answers'!$B$5,$A$1:$Z$1,0))&amp;""),""))</f>
        <v/>
      </c>
      <c r="AI549" s="41">
        <f>IF(LEN(AH549)&gt;0,MAX($AI$1:AI548)+1,"")</f>
        <v/>
      </c>
    </row>
    <row r="550">
      <c r="AA550" s="40" t="n"/>
      <c r="AB550" s="41">
        <f>IF(TRIM('Counts'!$B$8&amp;"")="","",IFERROR(TRIM(INDEX($A550:$Z550,MATCH('Counts'!$B$8,$A$1:$Z$1,0))&amp;""),""))</f>
        <v/>
      </c>
      <c r="AC550" s="41">
        <f>IF(TRIM('Counts'!$B$26&amp;"")="","",IFERROR(TRIM(INDEX($A550:$Z550,MATCH('Counts'!$B$26,$A$1:$Z$1,0))&amp;""),""))</f>
        <v/>
      </c>
      <c r="AD550" s="41">
        <f>IF(TRIM('Counts'!$B$44&amp;"")="","",IFERROR(TRIM(INDEX($A550:$Z550,MATCH('Counts'!$B$44,$A$1:$Z$1,0))&amp;""),""))</f>
        <v/>
      </c>
      <c r="AE550" s="41">
        <f>IF(TRIM('Cross-tab'!$B$5&amp;"")="","",IFERROR(TRIM(INDEX($A550:$Z550,MATCH('Cross-tab'!$B$5,$A$1:$Z$1,0))&amp;""),""))</f>
        <v/>
      </c>
      <c r="AF550" s="41">
        <f>IF(TRIM('Cross-tab'!$B$7&amp;"")="","",IFERROR(TRIM(INDEX($A550:$Z550,MATCH('Cross-tab'!$B$7,$A$1:$Z$1,0))&amp;""),""))</f>
        <v/>
      </c>
      <c r="AG550" s="41">
        <f>IF(ISNUMBER(IFERROR(VALUE(IF(TRIM('Scale score'!$B$5&amp;"")="","",IFERROR(TRIM(INDEX($A550:$Z550,MATCH('Scale score'!$B$5,$A$1:$Z$1,0))&amp;""),""))),"")),IF(AND(IFERROR(VALUE(IF(TRIM('Scale score'!$B$5&amp;"")="","",IFERROR(TRIM(INDEX($A550:$Z550,MATCH('Scale score'!$B$5,$A$1:$Z$1,0))&amp;""),""))),"")&gt;='Scale score'!$B$6,IFERROR(VALUE(IF(TRIM('Scale score'!$B$5&amp;"")="","",IFERROR(TRIM(INDEX($A550:$Z550,MATCH('Scale score'!$B$5,$A$1:$Z$1,0))&amp;""),""))),"")&lt;='Scale score'!$B$7),IFERROR(VALUE(IF(TRIM('Scale score'!$B$5&amp;"")="","",IFERROR(TRIM(INDEX($A550:$Z550,MATCH('Scale score'!$B$5,$A$1:$Z$1,0))&amp;""),""))),""),""),"")</f>
        <v/>
      </c>
      <c r="AH550" s="41">
        <f>IF(TRIM('Open answers'!$B$5&amp;"")="","",IFERROR(TRIM(INDEX($A550:$Z550,MATCH('Open answers'!$B$5,$A$1:$Z$1,0))&amp;""),""))</f>
        <v/>
      </c>
      <c r="AI550" s="41">
        <f>IF(LEN(AH550)&gt;0,MAX($AI$1:AI549)+1,"")</f>
        <v/>
      </c>
    </row>
    <row r="551">
      <c r="AA551" s="40" t="n"/>
      <c r="AB551" s="41">
        <f>IF(TRIM('Counts'!$B$8&amp;"")="","",IFERROR(TRIM(INDEX($A551:$Z551,MATCH('Counts'!$B$8,$A$1:$Z$1,0))&amp;""),""))</f>
        <v/>
      </c>
      <c r="AC551" s="41">
        <f>IF(TRIM('Counts'!$B$26&amp;"")="","",IFERROR(TRIM(INDEX($A551:$Z551,MATCH('Counts'!$B$26,$A$1:$Z$1,0))&amp;""),""))</f>
        <v/>
      </c>
      <c r="AD551" s="41">
        <f>IF(TRIM('Counts'!$B$44&amp;"")="","",IFERROR(TRIM(INDEX($A551:$Z551,MATCH('Counts'!$B$44,$A$1:$Z$1,0))&amp;""),""))</f>
        <v/>
      </c>
      <c r="AE551" s="41">
        <f>IF(TRIM('Cross-tab'!$B$5&amp;"")="","",IFERROR(TRIM(INDEX($A551:$Z551,MATCH('Cross-tab'!$B$5,$A$1:$Z$1,0))&amp;""),""))</f>
        <v/>
      </c>
      <c r="AF551" s="41">
        <f>IF(TRIM('Cross-tab'!$B$7&amp;"")="","",IFERROR(TRIM(INDEX($A551:$Z551,MATCH('Cross-tab'!$B$7,$A$1:$Z$1,0))&amp;""),""))</f>
        <v/>
      </c>
      <c r="AG551" s="41">
        <f>IF(ISNUMBER(IFERROR(VALUE(IF(TRIM('Scale score'!$B$5&amp;"")="","",IFERROR(TRIM(INDEX($A551:$Z551,MATCH('Scale score'!$B$5,$A$1:$Z$1,0))&amp;""),""))),"")),IF(AND(IFERROR(VALUE(IF(TRIM('Scale score'!$B$5&amp;"")="","",IFERROR(TRIM(INDEX($A551:$Z551,MATCH('Scale score'!$B$5,$A$1:$Z$1,0))&amp;""),""))),"")&gt;='Scale score'!$B$6,IFERROR(VALUE(IF(TRIM('Scale score'!$B$5&amp;"")="","",IFERROR(TRIM(INDEX($A551:$Z551,MATCH('Scale score'!$B$5,$A$1:$Z$1,0))&amp;""),""))),"")&lt;='Scale score'!$B$7),IFERROR(VALUE(IF(TRIM('Scale score'!$B$5&amp;"")="","",IFERROR(TRIM(INDEX($A551:$Z551,MATCH('Scale score'!$B$5,$A$1:$Z$1,0))&amp;""),""))),""),""),"")</f>
        <v/>
      </c>
      <c r="AH551" s="41">
        <f>IF(TRIM('Open answers'!$B$5&amp;"")="","",IFERROR(TRIM(INDEX($A551:$Z551,MATCH('Open answers'!$B$5,$A$1:$Z$1,0))&amp;""),""))</f>
        <v/>
      </c>
      <c r="AI551" s="41">
        <f>IF(LEN(AH551)&gt;0,MAX($AI$1:AI550)+1,"")</f>
        <v/>
      </c>
    </row>
    <row r="552">
      <c r="AA552" s="40" t="n"/>
      <c r="AB552" s="41">
        <f>IF(TRIM('Counts'!$B$8&amp;"")="","",IFERROR(TRIM(INDEX($A552:$Z552,MATCH('Counts'!$B$8,$A$1:$Z$1,0))&amp;""),""))</f>
        <v/>
      </c>
      <c r="AC552" s="41">
        <f>IF(TRIM('Counts'!$B$26&amp;"")="","",IFERROR(TRIM(INDEX($A552:$Z552,MATCH('Counts'!$B$26,$A$1:$Z$1,0))&amp;""),""))</f>
        <v/>
      </c>
      <c r="AD552" s="41">
        <f>IF(TRIM('Counts'!$B$44&amp;"")="","",IFERROR(TRIM(INDEX($A552:$Z552,MATCH('Counts'!$B$44,$A$1:$Z$1,0))&amp;""),""))</f>
        <v/>
      </c>
      <c r="AE552" s="41">
        <f>IF(TRIM('Cross-tab'!$B$5&amp;"")="","",IFERROR(TRIM(INDEX($A552:$Z552,MATCH('Cross-tab'!$B$5,$A$1:$Z$1,0))&amp;""),""))</f>
        <v/>
      </c>
      <c r="AF552" s="41">
        <f>IF(TRIM('Cross-tab'!$B$7&amp;"")="","",IFERROR(TRIM(INDEX($A552:$Z552,MATCH('Cross-tab'!$B$7,$A$1:$Z$1,0))&amp;""),""))</f>
        <v/>
      </c>
      <c r="AG552" s="41">
        <f>IF(ISNUMBER(IFERROR(VALUE(IF(TRIM('Scale score'!$B$5&amp;"")="","",IFERROR(TRIM(INDEX($A552:$Z552,MATCH('Scale score'!$B$5,$A$1:$Z$1,0))&amp;""),""))),"")),IF(AND(IFERROR(VALUE(IF(TRIM('Scale score'!$B$5&amp;"")="","",IFERROR(TRIM(INDEX($A552:$Z552,MATCH('Scale score'!$B$5,$A$1:$Z$1,0))&amp;""),""))),"")&gt;='Scale score'!$B$6,IFERROR(VALUE(IF(TRIM('Scale score'!$B$5&amp;"")="","",IFERROR(TRIM(INDEX($A552:$Z552,MATCH('Scale score'!$B$5,$A$1:$Z$1,0))&amp;""),""))),"")&lt;='Scale score'!$B$7),IFERROR(VALUE(IF(TRIM('Scale score'!$B$5&amp;"")="","",IFERROR(TRIM(INDEX($A552:$Z552,MATCH('Scale score'!$B$5,$A$1:$Z$1,0))&amp;""),""))),""),""),"")</f>
        <v/>
      </c>
      <c r="AH552" s="41">
        <f>IF(TRIM('Open answers'!$B$5&amp;"")="","",IFERROR(TRIM(INDEX($A552:$Z552,MATCH('Open answers'!$B$5,$A$1:$Z$1,0))&amp;""),""))</f>
        <v/>
      </c>
      <c r="AI552" s="41">
        <f>IF(LEN(AH552)&gt;0,MAX($AI$1:AI551)+1,"")</f>
        <v/>
      </c>
    </row>
    <row r="553">
      <c r="AA553" s="40" t="n"/>
      <c r="AB553" s="41">
        <f>IF(TRIM('Counts'!$B$8&amp;"")="","",IFERROR(TRIM(INDEX($A553:$Z553,MATCH('Counts'!$B$8,$A$1:$Z$1,0))&amp;""),""))</f>
        <v/>
      </c>
      <c r="AC553" s="41">
        <f>IF(TRIM('Counts'!$B$26&amp;"")="","",IFERROR(TRIM(INDEX($A553:$Z553,MATCH('Counts'!$B$26,$A$1:$Z$1,0))&amp;""),""))</f>
        <v/>
      </c>
      <c r="AD553" s="41">
        <f>IF(TRIM('Counts'!$B$44&amp;"")="","",IFERROR(TRIM(INDEX($A553:$Z553,MATCH('Counts'!$B$44,$A$1:$Z$1,0))&amp;""),""))</f>
        <v/>
      </c>
      <c r="AE553" s="41">
        <f>IF(TRIM('Cross-tab'!$B$5&amp;"")="","",IFERROR(TRIM(INDEX($A553:$Z553,MATCH('Cross-tab'!$B$5,$A$1:$Z$1,0))&amp;""),""))</f>
        <v/>
      </c>
      <c r="AF553" s="41">
        <f>IF(TRIM('Cross-tab'!$B$7&amp;"")="","",IFERROR(TRIM(INDEX($A553:$Z553,MATCH('Cross-tab'!$B$7,$A$1:$Z$1,0))&amp;""),""))</f>
        <v/>
      </c>
      <c r="AG553" s="41">
        <f>IF(ISNUMBER(IFERROR(VALUE(IF(TRIM('Scale score'!$B$5&amp;"")="","",IFERROR(TRIM(INDEX($A553:$Z553,MATCH('Scale score'!$B$5,$A$1:$Z$1,0))&amp;""),""))),"")),IF(AND(IFERROR(VALUE(IF(TRIM('Scale score'!$B$5&amp;"")="","",IFERROR(TRIM(INDEX($A553:$Z553,MATCH('Scale score'!$B$5,$A$1:$Z$1,0))&amp;""),""))),"")&gt;='Scale score'!$B$6,IFERROR(VALUE(IF(TRIM('Scale score'!$B$5&amp;"")="","",IFERROR(TRIM(INDEX($A553:$Z553,MATCH('Scale score'!$B$5,$A$1:$Z$1,0))&amp;""),""))),"")&lt;='Scale score'!$B$7),IFERROR(VALUE(IF(TRIM('Scale score'!$B$5&amp;"")="","",IFERROR(TRIM(INDEX($A553:$Z553,MATCH('Scale score'!$B$5,$A$1:$Z$1,0))&amp;""),""))),""),""),"")</f>
        <v/>
      </c>
      <c r="AH553" s="41">
        <f>IF(TRIM('Open answers'!$B$5&amp;"")="","",IFERROR(TRIM(INDEX($A553:$Z553,MATCH('Open answers'!$B$5,$A$1:$Z$1,0))&amp;""),""))</f>
        <v/>
      </c>
      <c r="AI553" s="41">
        <f>IF(LEN(AH553)&gt;0,MAX($AI$1:AI552)+1,"")</f>
        <v/>
      </c>
    </row>
    <row r="554">
      <c r="AA554" s="40" t="n"/>
      <c r="AB554" s="41">
        <f>IF(TRIM('Counts'!$B$8&amp;"")="","",IFERROR(TRIM(INDEX($A554:$Z554,MATCH('Counts'!$B$8,$A$1:$Z$1,0))&amp;""),""))</f>
        <v/>
      </c>
      <c r="AC554" s="41">
        <f>IF(TRIM('Counts'!$B$26&amp;"")="","",IFERROR(TRIM(INDEX($A554:$Z554,MATCH('Counts'!$B$26,$A$1:$Z$1,0))&amp;""),""))</f>
        <v/>
      </c>
      <c r="AD554" s="41">
        <f>IF(TRIM('Counts'!$B$44&amp;"")="","",IFERROR(TRIM(INDEX($A554:$Z554,MATCH('Counts'!$B$44,$A$1:$Z$1,0))&amp;""),""))</f>
        <v/>
      </c>
      <c r="AE554" s="41">
        <f>IF(TRIM('Cross-tab'!$B$5&amp;"")="","",IFERROR(TRIM(INDEX($A554:$Z554,MATCH('Cross-tab'!$B$5,$A$1:$Z$1,0))&amp;""),""))</f>
        <v/>
      </c>
      <c r="AF554" s="41">
        <f>IF(TRIM('Cross-tab'!$B$7&amp;"")="","",IFERROR(TRIM(INDEX($A554:$Z554,MATCH('Cross-tab'!$B$7,$A$1:$Z$1,0))&amp;""),""))</f>
        <v/>
      </c>
      <c r="AG554" s="41">
        <f>IF(ISNUMBER(IFERROR(VALUE(IF(TRIM('Scale score'!$B$5&amp;"")="","",IFERROR(TRIM(INDEX($A554:$Z554,MATCH('Scale score'!$B$5,$A$1:$Z$1,0))&amp;""),""))),"")),IF(AND(IFERROR(VALUE(IF(TRIM('Scale score'!$B$5&amp;"")="","",IFERROR(TRIM(INDEX($A554:$Z554,MATCH('Scale score'!$B$5,$A$1:$Z$1,0))&amp;""),""))),"")&gt;='Scale score'!$B$6,IFERROR(VALUE(IF(TRIM('Scale score'!$B$5&amp;"")="","",IFERROR(TRIM(INDEX($A554:$Z554,MATCH('Scale score'!$B$5,$A$1:$Z$1,0))&amp;""),""))),"")&lt;='Scale score'!$B$7),IFERROR(VALUE(IF(TRIM('Scale score'!$B$5&amp;"")="","",IFERROR(TRIM(INDEX($A554:$Z554,MATCH('Scale score'!$B$5,$A$1:$Z$1,0))&amp;""),""))),""),""),"")</f>
        <v/>
      </c>
      <c r="AH554" s="41">
        <f>IF(TRIM('Open answers'!$B$5&amp;"")="","",IFERROR(TRIM(INDEX($A554:$Z554,MATCH('Open answers'!$B$5,$A$1:$Z$1,0))&amp;""),""))</f>
        <v/>
      </c>
      <c r="AI554" s="41">
        <f>IF(LEN(AH554)&gt;0,MAX($AI$1:AI553)+1,"")</f>
        <v/>
      </c>
    </row>
    <row r="555">
      <c r="AA555" s="40" t="n"/>
      <c r="AB555" s="41">
        <f>IF(TRIM('Counts'!$B$8&amp;"")="","",IFERROR(TRIM(INDEX($A555:$Z555,MATCH('Counts'!$B$8,$A$1:$Z$1,0))&amp;""),""))</f>
        <v/>
      </c>
      <c r="AC555" s="41">
        <f>IF(TRIM('Counts'!$B$26&amp;"")="","",IFERROR(TRIM(INDEX($A555:$Z555,MATCH('Counts'!$B$26,$A$1:$Z$1,0))&amp;""),""))</f>
        <v/>
      </c>
      <c r="AD555" s="41">
        <f>IF(TRIM('Counts'!$B$44&amp;"")="","",IFERROR(TRIM(INDEX($A555:$Z555,MATCH('Counts'!$B$44,$A$1:$Z$1,0))&amp;""),""))</f>
        <v/>
      </c>
      <c r="AE555" s="41">
        <f>IF(TRIM('Cross-tab'!$B$5&amp;"")="","",IFERROR(TRIM(INDEX($A555:$Z555,MATCH('Cross-tab'!$B$5,$A$1:$Z$1,0))&amp;""),""))</f>
        <v/>
      </c>
      <c r="AF555" s="41">
        <f>IF(TRIM('Cross-tab'!$B$7&amp;"")="","",IFERROR(TRIM(INDEX($A555:$Z555,MATCH('Cross-tab'!$B$7,$A$1:$Z$1,0))&amp;""),""))</f>
        <v/>
      </c>
      <c r="AG555" s="41">
        <f>IF(ISNUMBER(IFERROR(VALUE(IF(TRIM('Scale score'!$B$5&amp;"")="","",IFERROR(TRIM(INDEX($A555:$Z555,MATCH('Scale score'!$B$5,$A$1:$Z$1,0))&amp;""),""))),"")),IF(AND(IFERROR(VALUE(IF(TRIM('Scale score'!$B$5&amp;"")="","",IFERROR(TRIM(INDEX($A555:$Z555,MATCH('Scale score'!$B$5,$A$1:$Z$1,0))&amp;""),""))),"")&gt;='Scale score'!$B$6,IFERROR(VALUE(IF(TRIM('Scale score'!$B$5&amp;"")="","",IFERROR(TRIM(INDEX($A555:$Z555,MATCH('Scale score'!$B$5,$A$1:$Z$1,0))&amp;""),""))),"")&lt;='Scale score'!$B$7),IFERROR(VALUE(IF(TRIM('Scale score'!$B$5&amp;"")="","",IFERROR(TRIM(INDEX($A555:$Z555,MATCH('Scale score'!$B$5,$A$1:$Z$1,0))&amp;""),""))),""),""),"")</f>
        <v/>
      </c>
      <c r="AH555" s="41">
        <f>IF(TRIM('Open answers'!$B$5&amp;"")="","",IFERROR(TRIM(INDEX($A555:$Z555,MATCH('Open answers'!$B$5,$A$1:$Z$1,0))&amp;""),""))</f>
        <v/>
      </c>
      <c r="AI555" s="41">
        <f>IF(LEN(AH555)&gt;0,MAX($AI$1:AI554)+1,"")</f>
        <v/>
      </c>
    </row>
    <row r="556">
      <c r="AA556" s="40" t="n"/>
      <c r="AB556" s="41">
        <f>IF(TRIM('Counts'!$B$8&amp;"")="","",IFERROR(TRIM(INDEX($A556:$Z556,MATCH('Counts'!$B$8,$A$1:$Z$1,0))&amp;""),""))</f>
        <v/>
      </c>
      <c r="AC556" s="41">
        <f>IF(TRIM('Counts'!$B$26&amp;"")="","",IFERROR(TRIM(INDEX($A556:$Z556,MATCH('Counts'!$B$26,$A$1:$Z$1,0))&amp;""),""))</f>
        <v/>
      </c>
      <c r="AD556" s="41">
        <f>IF(TRIM('Counts'!$B$44&amp;"")="","",IFERROR(TRIM(INDEX($A556:$Z556,MATCH('Counts'!$B$44,$A$1:$Z$1,0))&amp;""),""))</f>
        <v/>
      </c>
      <c r="AE556" s="41">
        <f>IF(TRIM('Cross-tab'!$B$5&amp;"")="","",IFERROR(TRIM(INDEX($A556:$Z556,MATCH('Cross-tab'!$B$5,$A$1:$Z$1,0))&amp;""),""))</f>
        <v/>
      </c>
      <c r="AF556" s="41">
        <f>IF(TRIM('Cross-tab'!$B$7&amp;"")="","",IFERROR(TRIM(INDEX($A556:$Z556,MATCH('Cross-tab'!$B$7,$A$1:$Z$1,0))&amp;""),""))</f>
        <v/>
      </c>
      <c r="AG556" s="41">
        <f>IF(ISNUMBER(IFERROR(VALUE(IF(TRIM('Scale score'!$B$5&amp;"")="","",IFERROR(TRIM(INDEX($A556:$Z556,MATCH('Scale score'!$B$5,$A$1:$Z$1,0))&amp;""),""))),"")),IF(AND(IFERROR(VALUE(IF(TRIM('Scale score'!$B$5&amp;"")="","",IFERROR(TRIM(INDEX($A556:$Z556,MATCH('Scale score'!$B$5,$A$1:$Z$1,0))&amp;""),""))),"")&gt;='Scale score'!$B$6,IFERROR(VALUE(IF(TRIM('Scale score'!$B$5&amp;"")="","",IFERROR(TRIM(INDEX($A556:$Z556,MATCH('Scale score'!$B$5,$A$1:$Z$1,0))&amp;""),""))),"")&lt;='Scale score'!$B$7),IFERROR(VALUE(IF(TRIM('Scale score'!$B$5&amp;"")="","",IFERROR(TRIM(INDEX($A556:$Z556,MATCH('Scale score'!$B$5,$A$1:$Z$1,0))&amp;""),""))),""),""),"")</f>
        <v/>
      </c>
      <c r="AH556" s="41">
        <f>IF(TRIM('Open answers'!$B$5&amp;"")="","",IFERROR(TRIM(INDEX($A556:$Z556,MATCH('Open answers'!$B$5,$A$1:$Z$1,0))&amp;""),""))</f>
        <v/>
      </c>
      <c r="AI556" s="41">
        <f>IF(LEN(AH556)&gt;0,MAX($AI$1:AI555)+1,"")</f>
        <v/>
      </c>
    </row>
    <row r="557">
      <c r="AA557" s="40" t="n"/>
      <c r="AB557" s="41">
        <f>IF(TRIM('Counts'!$B$8&amp;"")="","",IFERROR(TRIM(INDEX($A557:$Z557,MATCH('Counts'!$B$8,$A$1:$Z$1,0))&amp;""),""))</f>
        <v/>
      </c>
      <c r="AC557" s="41">
        <f>IF(TRIM('Counts'!$B$26&amp;"")="","",IFERROR(TRIM(INDEX($A557:$Z557,MATCH('Counts'!$B$26,$A$1:$Z$1,0))&amp;""),""))</f>
        <v/>
      </c>
      <c r="AD557" s="41">
        <f>IF(TRIM('Counts'!$B$44&amp;"")="","",IFERROR(TRIM(INDEX($A557:$Z557,MATCH('Counts'!$B$44,$A$1:$Z$1,0))&amp;""),""))</f>
        <v/>
      </c>
      <c r="AE557" s="41">
        <f>IF(TRIM('Cross-tab'!$B$5&amp;"")="","",IFERROR(TRIM(INDEX($A557:$Z557,MATCH('Cross-tab'!$B$5,$A$1:$Z$1,0))&amp;""),""))</f>
        <v/>
      </c>
      <c r="AF557" s="41">
        <f>IF(TRIM('Cross-tab'!$B$7&amp;"")="","",IFERROR(TRIM(INDEX($A557:$Z557,MATCH('Cross-tab'!$B$7,$A$1:$Z$1,0))&amp;""),""))</f>
        <v/>
      </c>
      <c r="AG557" s="41">
        <f>IF(ISNUMBER(IFERROR(VALUE(IF(TRIM('Scale score'!$B$5&amp;"")="","",IFERROR(TRIM(INDEX($A557:$Z557,MATCH('Scale score'!$B$5,$A$1:$Z$1,0))&amp;""),""))),"")),IF(AND(IFERROR(VALUE(IF(TRIM('Scale score'!$B$5&amp;"")="","",IFERROR(TRIM(INDEX($A557:$Z557,MATCH('Scale score'!$B$5,$A$1:$Z$1,0))&amp;""),""))),"")&gt;='Scale score'!$B$6,IFERROR(VALUE(IF(TRIM('Scale score'!$B$5&amp;"")="","",IFERROR(TRIM(INDEX($A557:$Z557,MATCH('Scale score'!$B$5,$A$1:$Z$1,0))&amp;""),""))),"")&lt;='Scale score'!$B$7),IFERROR(VALUE(IF(TRIM('Scale score'!$B$5&amp;"")="","",IFERROR(TRIM(INDEX($A557:$Z557,MATCH('Scale score'!$B$5,$A$1:$Z$1,0))&amp;""),""))),""),""),"")</f>
        <v/>
      </c>
      <c r="AH557" s="41">
        <f>IF(TRIM('Open answers'!$B$5&amp;"")="","",IFERROR(TRIM(INDEX($A557:$Z557,MATCH('Open answers'!$B$5,$A$1:$Z$1,0))&amp;""),""))</f>
        <v/>
      </c>
      <c r="AI557" s="41">
        <f>IF(LEN(AH557)&gt;0,MAX($AI$1:AI556)+1,"")</f>
        <v/>
      </c>
    </row>
    <row r="558">
      <c r="AA558" s="40" t="n"/>
      <c r="AB558" s="41">
        <f>IF(TRIM('Counts'!$B$8&amp;"")="","",IFERROR(TRIM(INDEX($A558:$Z558,MATCH('Counts'!$B$8,$A$1:$Z$1,0))&amp;""),""))</f>
        <v/>
      </c>
      <c r="AC558" s="41">
        <f>IF(TRIM('Counts'!$B$26&amp;"")="","",IFERROR(TRIM(INDEX($A558:$Z558,MATCH('Counts'!$B$26,$A$1:$Z$1,0))&amp;""),""))</f>
        <v/>
      </c>
      <c r="AD558" s="41">
        <f>IF(TRIM('Counts'!$B$44&amp;"")="","",IFERROR(TRIM(INDEX($A558:$Z558,MATCH('Counts'!$B$44,$A$1:$Z$1,0))&amp;""),""))</f>
        <v/>
      </c>
      <c r="AE558" s="41">
        <f>IF(TRIM('Cross-tab'!$B$5&amp;"")="","",IFERROR(TRIM(INDEX($A558:$Z558,MATCH('Cross-tab'!$B$5,$A$1:$Z$1,0))&amp;""),""))</f>
        <v/>
      </c>
      <c r="AF558" s="41">
        <f>IF(TRIM('Cross-tab'!$B$7&amp;"")="","",IFERROR(TRIM(INDEX($A558:$Z558,MATCH('Cross-tab'!$B$7,$A$1:$Z$1,0))&amp;""),""))</f>
        <v/>
      </c>
      <c r="AG558" s="41">
        <f>IF(ISNUMBER(IFERROR(VALUE(IF(TRIM('Scale score'!$B$5&amp;"")="","",IFERROR(TRIM(INDEX($A558:$Z558,MATCH('Scale score'!$B$5,$A$1:$Z$1,0))&amp;""),""))),"")),IF(AND(IFERROR(VALUE(IF(TRIM('Scale score'!$B$5&amp;"")="","",IFERROR(TRIM(INDEX($A558:$Z558,MATCH('Scale score'!$B$5,$A$1:$Z$1,0))&amp;""),""))),"")&gt;='Scale score'!$B$6,IFERROR(VALUE(IF(TRIM('Scale score'!$B$5&amp;"")="","",IFERROR(TRIM(INDEX($A558:$Z558,MATCH('Scale score'!$B$5,$A$1:$Z$1,0))&amp;""),""))),"")&lt;='Scale score'!$B$7),IFERROR(VALUE(IF(TRIM('Scale score'!$B$5&amp;"")="","",IFERROR(TRIM(INDEX($A558:$Z558,MATCH('Scale score'!$B$5,$A$1:$Z$1,0))&amp;""),""))),""),""),"")</f>
        <v/>
      </c>
      <c r="AH558" s="41">
        <f>IF(TRIM('Open answers'!$B$5&amp;"")="","",IFERROR(TRIM(INDEX($A558:$Z558,MATCH('Open answers'!$B$5,$A$1:$Z$1,0))&amp;""),""))</f>
        <v/>
      </c>
      <c r="AI558" s="41">
        <f>IF(LEN(AH558)&gt;0,MAX($AI$1:AI557)+1,"")</f>
        <v/>
      </c>
    </row>
    <row r="559">
      <c r="AA559" s="40" t="n"/>
      <c r="AB559" s="41">
        <f>IF(TRIM('Counts'!$B$8&amp;"")="","",IFERROR(TRIM(INDEX($A559:$Z559,MATCH('Counts'!$B$8,$A$1:$Z$1,0))&amp;""),""))</f>
        <v/>
      </c>
      <c r="AC559" s="41">
        <f>IF(TRIM('Counts'!$B$26&amp;"")="","",IFERROR(TRIM(INDEX($A559:$Z559,MATCH('Counts'!$B$26,$A$1:$Z$1,0))&amp;""),""))</f>
        <v/>
      </c>
      <c r="AD559" s="41">
        <f>IF(TRIM('Counts'!$B$44&amp;"")="","",IFERROR(TRIM(INDEX($A559:$Z559,MATCH('Counts'!$B$44,$A$1:$Z$1,0))&amp;""),""))</f>
        <v/>
      </c>
      <c r="AE559" s="41">
        <f>IF(TRIM('Cross-tab'!$B$5&amp;"")="","",IFERROR(TRIM(INDEX($A559:$Z559,MATCH('Cross-tab'!$B$5,$A$1:$Z$1,0))&amp;""),""))</f>
        <v/>
      </c>
      <c r="AF559" s="41">
        <f>IF(TRIM('Cross-tab'!$B$7&amp;"")="","",IFERROR(TRIM(INDEX($A559:$Z559,MATCH('Cross-tab'!$B$7,$A$1:$Z$1,0))&amp;""),""))</f>
        <v/>
      </c>
      <c r="AG559" s="41">
        <f>IF(ISNUMBER(IFERROR(VALUE(IF(TRIM('Scale score'!$B$5&amp;"")="","",IFERROR(TRIM(INDEX($A559:$Z559,MATCH('Scale score'!$B$5,$A$1:$Z$1,0))&amp;""),""))),"")),IF(AND(IFERROR(VALUE(IF(TRIM('Scale score'!$B$5&amp;"")="","",IFERROR(TRIM(INDEX($A559:$Z559,MATCH('Scale score'!$B$5,$A$1:$Z$1,0))&amp;""),""))),"")&gt;='Scale score'!$B$6,IFERROR(VALUE(IF(TRIM('Scale score'!$B$5&amp;"")="","",IFERROR(TRIM(INDEX($A559:$Z559,MATCH('Scale score'!$B$5,$A$1:$Z$1,0))&amp;""),""))),"")&lt;='Scale score'!$B$7),IFERROR(VALUE(IF(TRIM('Scale score'!$B$5&amp;"")="","",IFERROR(TRIM(INDEX($A559:$Z559,MATCH('Scale score'!$B$5,$A$1:$Z$1,0))&amp;""),""))),""),""),"")</f>
        <v/>
      </c>
      <c r="AH559" s="41">
        <f>IF(TRIM('Open answers'!$B$5&amp;"")="","",IFERROR(TRIM(INDEX($A559:$Z559,MATCH('Open answers'!$B$5,$A$1:$Z$1,0))&amp;""),""))</f>
        <v/>
      </c>
      <c r="AI559" s="41">
        <f>IF(LEN(AH559)&gt;0,MAX($AI$1:AI558)+1,"")</f>
        <v/>
      </c>
    </row>
    <row r="560">
      <c r="AA560" s="40" t="n"/>
      <c r="AB560" s="41">
        <f>IF(TRIM('Counts'!$B$8&amp;"")="","",IFERROR(TRIM(INDEX($A560:$Z560,MATCH('Counts'!$B$8,$A$1:$Z$1,0))&amp;""),""))</f>
        <v/>
      </c>
      <c r="AC560" s="41">
        <f>IF(TRIM('Counts'!$B$26&amp;"")="","",IFERROR(TRIM(INDEX($A560:$Z560,MATCH('Counts'!$B$26,$A$1:$Z$1,0))&amp;""),""))</f>
        <v/>
      </c>
      <c r="AD560" s="41">
        <f>IF(TRIM('Counts'!$B$44&amp;"")="","",IFERROR(TRIM(INDEX($A560:$Z560,MATCH('Counts'!$B$44,$A$1:$Z$1,0))&amp;""),""))</f>
        <v/>
      </c>
      <c r="AE560" s="41">
        <f>IF(TRIM('Cross-tab'!$B$5&amp;"")="","",IFERROR(TRIM(INDEX($A560:$Z560,MATCH('Cross-tab'!$B$5,$A$1:$Z$1,0))&amp;""),""))</f>
        <v/>
      </c>
      <c r="AF560" s="41">
        <f>IF(TRIM('Cross-tab'!$B$7&amp;"")="","",IFERROR(TRIM(INDEX($A560:$Z560,MATCH('Cross-tab'!$B$7,$A$1:$Z$1,0))&amp;""),""))</f>
        <v/>
      </c>
      <c r="AG560" s="41">
        <f>IF(ISNUMBER(IFERROR(VALUE(IF(TRIM('Scale score'!$B$5&amp;"")="","",IFERROR(TRIM(INDEX($A560:$Z560,MATCH('Scale score'!$B$5,$A$1:$Z$1,0))&amp;""),""))),"")),IF(AND(IFERROR(VALUE(IF(TRIM('Scale score'!$B$5&amp;"")="","",IFERROR(TRIM(INDEX($A560:$Z560,MATCH('Scale score'!$B$5,$A$1:$Z$1,0))&amp;""),""))),"")&gt;='Scale score'!$B$6,IFERROR(VALUE(IF(TRIM('Scale score'!$B$5&amp;"")="","",IFERROR(TRIM(INDEX($A560:$Z560,MATCH('Scale score'!$B$5,$A$1:$Z$1,0))&amp;""),""))),"")&lt;='Scale score'!$B$7),IFERROR(VALUE(IF(TRIM('Scale score'!$B$5&amp;"")="","",IFERROR(TRIM(INDEX($A560:$Z560,MATCH('Scale score'!$B$5,$A$1:$Z$1,0))&amp;""),""))),""),""),"")</f>
        <v/>
      </c>
      <c r="AH560" s="41">
        <f>IF(TRIM('Open answers'!$B$5&amp;"")="","",IFERROR(TRIM(INDEX($A560:$Z560,MATCH('Open answers'!$B$5,$A$1:$Z$1,0))&amp;""),""))</f>
        <v/>
      </c>
      <c r="AI560" s="41">
        <f>IF(LEN(AH560)&gt;0,MAX($AI$1:AI559)+1,"")</f>
        <v/>
      </c>
    </row>
    <row r="561">
      <c r="AA561" s="40" t="n"/>
      <c r="AB561" s="41">
        <f>IF(TRIM('Counts'!$B$8&amp;"")="","",IFERROR(TRIM(INDEX($A561:$Z561,MATCH('Counts'!$B$8,$A$1:$Z$1,0))&amp;""),""))</f>
        <v/>
      </c>
      <c r="AC561" s="41">
        <f>IF(TRIM('Counts'!$B$26&amp;"")="","",IFERROR(TRIM(INDEX($A561:$Z561,MATCH('Counts'!$B$26,$A$1:$Z$1,0))&amp;""),""))</f>
        <v/>
      </c>
      <c r="AD561" s="41">
        <f>IF(TRIM('Counts'!$B$44&amp;"")="","",IFERROR(TRIM(INDEX($A561:$Z561,MATCH('Counts'!$B$44,$A$1:$Z$1,0))&amp;""),""))</f>
        <v/>
      </c>
      <c r="AE561" s="41">
        <f>IF(TRIM('Cross-tab'!$B$5&amp;"")="","",IFERROR(TRIM(INDEX($A561:$Z561,MATCH('Cross-tab'!$B$5,$A$1:$Z$1,0))&amp;""),""))</f>
        <v/>
      </c>
      <c r="AF561" s="41">
        <f>IF(TRIM('Cross-tab'!$B$7&amp;"")="","",IFERROR(TRIM(INDEX($A561:$Z561,MATCH('Cross-tab'!$B$7,$A$1:$Z$1,0))&amp;""),""))</f>
        <v/>
      </c>
      <c r="AG561" s="41">
        <f>IF(ISNUMBER(IFERROR(VALUE(IF(TRIM('Scale score'!$B$5&amp;"")="","",IFERROR(TRIM(INDEX($A561:$Z561,MATCH('Scale score'!$B$5,$A$1:$Z$1,0))&amp;""),""))),"")),IF(AND(IFERROR(VALUE(IF(TRIM('Scale score'!$B$5&amp;"")="","",IFERROR(TRIM(INDEX($A561:$Z561,MATCH('Scale score'!$B$5,$A$1:$Z$1,0))&amp;""),""))),"")&gt;='Scale score'!$B$6,IFERROR(VALUE(IF(TRIM('Scale score'!$B$5&amp;"")="","",IFERROR(TRIM(INDEX($A561:$Z561,MATCH('Scale score'!$B$5,$A$1:$Z$1,0))&amp;""),""))),"")&lt;='Scale score'!$B$7),IFERROR(VALUE(IF(TRIM('Scale score'!$B$5&amp;"")="","",IFERROR(TRIM(INDEX($A561:$Z561,MATCH('Scale score'!$B$5,$A$1:$Z$1,0))&amp;""),""))),""),""),"")</f>
        <v/>
      </c>
      <c r="AH561" s="41">
        <f>IF(TRIM('Open answers'!$B$5&amp;"")="","",IFERROR(TRIM(INDEX($A561:$Z561,MATCH('Open answers'!$B$5,$A$1:$Z$1,0))&amp;""),""))</f>
        <v/>
      </c>
      <c r="AI561" s="41">
        <f>IF(LEN(AH561)&gt;0,MAX($AI$1:AI560)+1,"")</f>
        <v/>
      </c>
    </row>
    <row r="562">
      <c r="AA562" s="40" t="n"/>
      <c r="AB562" s="41">
        <f>IF(TRIM('Counts'!$B$8&amp;"")="","",IFERROR(TRIM(INDEX($A562:$Z562,MATCH('Counts'!$B$8,$A$1:$Z$1,0))&amp;""),""))</f>
        <v/>
      </c>
      <c r="AC562" s="41">
        <f>IF(TRIM('Counts'!$B$26&amp;"")="","",IFERROR(TRIM(INDEX($A562:$Z562,MATCH('Counts'!$B$26,$A$1:$Z$1,0))&amp;""),""))</f>
        <v/>
      </c>
      <c r="AD562" s="41">
        <f>IF(TRIM('Counts'!$B$44&amp;"")="","",IFERROR(TRIM(INDEX($A562:$Z562,MATCH('Counts'!$B$44,$A$1:$Z$1,0))&amp;""),""))</f>
        <v/>
      </c>
      <c r="AE562" s="41">
        <f>IF(TRIM('Cross-tab'!$B$5&amp;"")="","",IFERROR(TRIM(INDEX($A562:$Z562,MATCH('Cross-tab'!$B$5,$A$1:$Z$1,0))&amp;""),""))</f>
        <v/>
      </c>
      <c r="AF562" s="41">
        <f>IF(TRIM('Cross-tab'!$B$7&amp;"")="","",IFERROR(TRIM(INDEX($A562:$Z562,MATCH('Cross-tab'!$B$7,$A$1:$Z$1,0))&amp;""),""))</f>
        <v/>
      </c>
      <c r="AG562" s="41">
        <f>IF(ISNUMBER(IFERROR(VALUE(IF(TRIM('Scale score'!$B$5&amp;"")="","",IFERROR(TRIM(INDEX($A562:$Z562,MATCH('Scale score'!$B$5,$A$1:$Z$1,0))&amp;""),""))),"")),IF(AND(IFERROR(VALUE(IF(TRIM('Scale score'!$B$5&amp;"")="","",IFERROR(TRIM(INDEX($A562:$Z562,MATCH('Scale score'!$B$5,$A$1:$Z$1,0))&amp;""),""))),"")&gt;='Scale score'!$B$6,IFERROR(VALUE(IF(TRIM('Scale score'!$B$5&amp;"")="","",IFERROR(TRIM(INDEX($A562:$Z562,MATCH('Scale score'!$B$5,$A$1:$Z$1,0))&amp;""),""))),"")&lt;='Scale score'!$B$7),IFERROR(VALUE(IF(TRIM('Scale score'!$B$5&amp;"")="","",IFERROR(TRIM(INDEX($A562:$Z562,MATCH('Scale score'!$B$5,$A$1:$Z$1,0))&amp;""),""))),""),""),"")</f>
        <v/>
      </c>
      <c r="AH562" s="41">
        <f>IF(TRIM('Open answers'!$B$5&amp;"")="","",IFERROR(TRIM(INDEX($A562:$Z562,MATCH('Open answers'!$B$5,$A$1:$Z$1,0))&amp;""),""))</f>
        <v/>
      </c>
      <c r="AI562" s="41">
        <f>IF(LEN(AH562)&gt;0,MAX($AI$1:AI561)+1,"")</f>
        <v/>
      </c>
    </row>
    <row r="563">
      <c r="AA563" s="40" t="n"/>
      <c r="AB563" s="41">
        <f>IF(TRIM('Counts'!$B$8&amp;"")="","",IFERROR(TRIM(INDEX($A563:$Z563,MATCH('Counts'!$B$8,$A$1:$Z$1,0))&amp;""),""))</f>
        <v/>
      </c>
      <c r="AC563" s="41">
        <f>IF(TRIM('Counts'!$B$26&amp;"")="","",IFERROR(TRIM(INDEX($A563:$Z563,MATCH('Counts'!$B$26,$A$1:$Z$1,0))&amp;""),""))</f>
        <v/>
      </c>
      <c r="AD563" s="41">
        <f>IF(TRIM('Counts'!$B$44&amp;"")="","",IFERROR(TRIM(INDEX($A563:$Z563,MATCH('Counts'!$B$44,$A$1:$Z$1,0))&amp;""),""))</f>
        <v/>
      </c>
      <c r="AE563" s="41">
        <f>IF(TRIM('Cross-tab'!$B$5&amp;"")="","",IFERROR(TRIM(INDEX($A563:$Z563,MATCH('Cross-tab'!$B$5,$A$1:$Z$1,0))&amp;""),""))</f>
        <v/>
      </c>
      <c r="AF563" s="41">
        <f>IF(TRIM('Cross-tab'!$B$7&amp;"")="","",IFERROR(TRIM(INDEX($A563:$Z563,MATCH('Cross-tab'!$B$7,$A$1:$Z$1,0))&amp;""),""))</f>
        <v/>
      </c>
      <c r="AG563" s="41">
        <f>IF(ISNUMBER(IFERROR(VALUE(IF(TRIM('Scale score'!$B$5&amp;"")="","",IFERROR(TRIM(INDEX($A563:$Z563,MATCH('Scale score'!$B$5,$A$1:$Z$1,0))&amp;""),""))),"")),IF(AND(IFERROR(VALUE(IF(TRIM('Scale score'!$B$5&amp;"")="","",IFERROR(TRIM(INDEX($A563:$Z563,MATCH('Scale score'!$B$5,$A$1:$Z$1,0))&amp;""),""))),"")&gt;='Scale score'!$B$6,IFERROR(VALUE(IF(TRIM('Scale score'!$B$5&amp;"")="","",IFERROR(TRIM(INDEX($A563:$Z563,MATCH('Scale score'!$B$5,$A$1:$Z$1,0))&amp;""),""))),"")&lt;='Scale score'!$B$7),IFERROR(VALUE(IF(TRIM('Scale score'!$B$5&amp;"")="","",IFERROR(TRIM(INDEX($A563:$Z563,MATCH('Scale score'!$B$5,$A$1:$Z$1,0))&amp;""),""))),""),""),"")</f>
        <v/>
      </c>
      <c r="AH563" s="41">
        <f>IF(TRIM('Open answers'!$B$5&amp;"")="","",IFERROR(TRIM(INDEX($A563:$Z563,MATCH('Open answers'!$B$5,$A$1:$Z$1,0))&amp;""),""))</f>
        <v/>
      </c>
      <c r="AI563" s="41">
        <f>IF(LEN(AH563)&gt;0,MAX($AI$1:AI562)+1,"")</f>
        <v/>
      </c>
    </row>
    <row r="564">
      <c r="AA564" s="40" t="n"/>
      <c r="AB564" s="41">
        <f>IF(TRIM('Counts'!$B$8&amp;"")="","",IFERROR(TRIM(INDEX($A564:$Z564,MATCH('Counts'!$B$8,$A$1:$Z$1,0))&amp;""),""))</f>
        <v/>
      </c>
      <c r="AC564" s="41">
        <f>IF(TRIM('Counts'!$B$26&amp;"")="","",IFERROR(TRIM(INDEX($A564:$Z564,MATCH('Counts'!$B$26,$A$1:$Z$1,0))&amp;""),""))</f>
        <v/>
      </c>
      <c r="AD564" s="41">
        <f>IF(TRIM('Counts'!$B$44&amp;"")="","",IFERROR(TRIM(INDEX($A564:$Z564,MATCH('Counts'!$B$44,$A$1:$Z$1,0))&amp;""),""))</f>
        <v/>
      </c>
      <c r="AE564" s="41">
        <f>IF(TRIM('Cross-tab'!$B$5&amp;"")="","",IFERROR(TRIM(INDEX($A564:$Z564,MATCH('Cross-tab'!$B$5,$A$1:$Z$1,0))&amp;""),""))</f>
        <v/>
      </c>
      <c r="AF564" s="41">
        <f>IF(TRIM('Cross-tab'!$B$7&amp;"")="","",IFERROR(TRIM(INDEX($A564:$Z564,MATCH('Cross-tab'!$B$7,$A$1:$Z$1,0))&amp;""),""))</f>
        <v/>
      </c>
      <c r="AG564" s="41">
        <f>IF(ISNUMBER(IFERROR(VALUE(IF(TRIM('Scale score'!$B$5&amp;"")="","",IFERROR(TRIM(INDEX($A564:$Z564,MATCH('Scale score'!$B$5,$A$1:$Z$1,0))&amp;""),""))),"")),IF(AND(IFERROR(VALUE(IF(TRIM('Scale score'!$B$5&amp;"")="","",IFERROR(TRIM(INDEX($A564:$Z564,MATCH('Scale score'!$B$5,$A$1:$Z$1,0))&amp;""),""))),"")&gt;='Scale score'!$B$6,IFERROR(VALUE(IF(TRIM('Scale score'!$B$5&amp;"")="","",IFERROR(TRIM(INDEX($A564:$Z564,MATCH('Scale score'!$B$5,$A$1:$Z$1,0))&amp;""),""))),"")&lt;='Scale score'!$B$7),IFERROR(VALUE(IF(TRIM('Scale score'!$B$5&amp;"")="","",IFERROR(TRIM(INDEX($A564:$Z564,MATCH('Scale score'!$B$5,$A$1:$Z$1,0))&amp;""),""))),""),""),"")</f>
        <v/>
      </c>
      <c r="AH564" s="41">
        <f>IF(TRIM('Open answers'!$B$5&amp;"")="","",IFERROR(TRIM(INDEX($A564:$Z564,MATCH('Open answers'!$B$5,$A$1:$Z$1,0))&amp;""),""))</f>
        <v/>
      </c>
      <c r="AI564" s="41">
        <f>IF(LEN(AH564)&gt;0,MAX($AI$1:AI563)+1,"")</f>
        <v/>
      </c>
    </row>
    <row r="565">
      <c r="AA565" s="40" t="n"/>
      <c r="AB565" s="41">
        <f>IF(TRIM('Counts'!$B$8&amp;"")="","",IFERROR(TRIM(INDEX($A565:$Z565,MATCH('Counts'!$B$8,$A$1:$Z$1,0))&amp;""),""))</f>
        <v/>
      </c>
      <c r="AC565" s="41">
        <f>IF(TRIM('Counts'!$B$26&amp;"")="","",IFERROR(TRIM(INDEX($A565:$Z565,MATCH('Counts'!$B$26,$A$1:$Z$1,0))&amp;""),""))</f>
        <v/>
      </c>
      <c r="AD565" s="41">
        <f>IF(TRIM('Counts'!$B$44&amp;"")="","",IFERROR(TRIM(INDEX($A565:$Z565,MATCH('Counts'!$B$44,$A$1:$Z$1,0))&amp;""),""))</f>
        <v/>
      </c>
      <c r="AE565" s="41">
        <f>IF(TRIM('Cross-tab'!$B$5&amp;"")="","",IFERROR(TRIM(INDEX($A565:$Z565,MATCH('Cross-tab'!$B$5,$A$1:$Z$1,0))&amp;""),""))</f>
        <v/>
      </c>
      <c r="AF565" s="41">
        <f>IF(TRIM('Cross-tab'!$B$7&amp;"")="","",IFERROR(TRIM(INDEX($A565:$Z565,MATCH('Cross-tab'!$B$7,$A$1:$Z$1,0))&amp;""),""))</f>
        <v/>
      </c>
      <c r="AG565" s="41">
        <f>IF(ISNUMBER(IFERROR(VALUE(IF(TRIM('Scale score'!$B$5&amp;"")="","",IFERROR(TRIM(INDEX($A565:$Z565,MATCH('Scale score'!$B$5,$A$1:$Z$1,0))&amp;""),""))),"")),IF(AND(IFERROR(VALUE(IF(TRIM('Scale score'!$B$5&amp;"")="","",IFERROR(TRIM(INDEX($A565:$Z565,MATCH('Scale score'!$B$5,$A$1:$Z$1,0))&amp;""),""))),"")&gt;='Scale score'!$B$6,IFERROR(VALUE(IF(TRIM('Scale score'!$B$5&amp;"")="","",IFERROR(TRIM(INDEX($A565:$Z565,MATCH('Scale score'!$B$5,$A$1:$Z$1,0))&amp;""),""))),"")&lt;='Scale score'!$B$7),IFERROR(VALUE(IF(TRIM('Scale score'!$B$5&amp;"")="","",IFERROR(TRIM(INDEX($A565:$Z565,MATCH('Scale score'!$B$5,$A$1:$Z$1,0))&amp;""),""))),""),""),"")</f>
        <v/>
      </c>
      <c r="AH565" s="41">
        <f>IF(TRIM('Open answers'!$B$5&amp;"")="","",IFERROR(TRIM(INDEX($A565:$Z565,MATCH('Open answers'!$B$5,$A$1:$Z$1,0))&amp;""),""))</f>
        <v/>
      </c>
      <c r="AI565" s="41">
        <f>IF(LEN(AH565)&gt;0,MAX($AI$1:AI564)+1,"")</f>
        <v/>
      </c>
    </row>
    <row r="566">
      <c r="AA566" s="40" t="n"/>
      <c r="AB566" s="41">
        <f>IF(TRIM('Counts'!$B$8&amp;"")="","",IFERROR(TRIM(INDEX($A566:$Z566,MATCH('Counts'!$B$8,$A$1:$Z$1,0))&amp;""),""))</f>
        <v/>
      </c>
      <c r="AC566" s="41">
        <f>IF(TRIM('Counts'!$B$26&amp;"")="","",IFERROR(TRIM(INDEX($A566:$Z566,MATCH('Counts'!$B$26,$A$1:$Z$1,0))&amp;""),""))</f>
        <v/>
      </c>
      <c r="AD566" s="41">
        <f>IF(TRIM('Counts'!$B$44&amp;"")="","",IFERROR(TRIM(INDEX($A566:$Z566,MATCH('Counts'!$B$44,$A$1:$Z$1,0))&amp;""),""))</f>
        <v/>
      </c>
      <c r="AE566" s="41">
        <f>IF(TRIM('Cross-tab'!$B$5&amp;"")="","",IFERROR(TRIM(INDEX($A566:$Z566,MATCH('Cross-tab'!$B$5,$A$1:$Z$1,0))&amp;""),""))</f>
        <v/>
      </c>
      <c r="AF566" s="41">
        <f>IF(TRIM('Cross-tab'!$B$7&amp;"")="","",IFERROR(TRIM(INDEX($A566:$Z566,MATCH('Cross-tab'!$B$7,$A$1:$Z$1,0))&amp;""),""))</f>
        <v/>
      </c>
      <c r="AG566" s="41">
        <f>IF(ISNUMBER(IFERROR(VALUE(IF(TRIM('Scale score'!$B$5&amp;"")="","",IFERROR(TRIM(INDEX($A566:$Z566,MATCH('Scale score'!$B$5,$A$1:$Z$1,0))&amp;""),""))),"")),IF(AND(IFERROR(VALUE(IF(TRIM('Scale score'!$B$5&amp;"")="","",IFERROR(TRIM(INDEX($A566:$Z566,MATCH('Scale score'!$B$5,$A$1:$Z$1,0))&amp;""),""))),"")&gt;='Scale score'!$B$6,IFERROR(VALUE(IF(TRIM('Scale score'!$B$5&amp;"")="","",IFERROR(TRIM(INDEX($A566:$Z566,MATCH('Scale score'!$B$5,$A$1:$Z$1,0))&amp;""),""))),"")&lt;='Scale score'!$B$7),IFERROR(VALUE(IF(TRIM('Scale score'!$B$5&amp;"")="","",IFERROR(TRIM(INDEX($A566:$Z566,MATCH('Scale score'!$B$5,$A$1:$Z$1,0))&amp;""),""))),""),""),"")</f>
        <v/>
      </c>
      <c r="AH566" s="41">
        <f>IF(TRIM('Open answers'!$B$5&amp;"")="","",IFERROR(TRIM(INDEX($A566:$Z566,MATCH('Open answers'!$B$5,$A$1:$Z$1,0))&amp;""),""))</f>
        <v/>
      </c>
      <c r="AI566" s="41">
        <f>IF(LEN(AH566)&gt;0,MAX($AI$1:AI565)+1,"")</f>
        <v/>
      </c>
    </row>
    <row r="567">
      <c r="AA567" s="40" t="n"/>
      <c r="AB567" s="41">
        <f>IF(TRIM('Counts'!$B$8&amp;"")="","",IFERROR(TRIM(INDEX($A567:$Z567,MATCH('Counts'!$B$8,$A$1:$Z$1,0))&amp;""),""))</f>
        <v/>
      </c>
      <c r="AC567" s="41">
        <f>IF(TRIM('Counts'!$B$26&amp;"")="","",IFERROR(TRIM(INDEX($A567:$Z567,MATCH('Counts'!$B$26,$A$1:$Z$1,0))&amp;""),""))</f>
        <v/>
      </c>
      <c r="AD567" s="41">
        <f>IF(TRIM('Counts'!$B$44&amp;"")="","",IFERROR(TRIM(INDEX($A567:$Z567,MATCH('Counts'!$B$44,$A$1:$Z$1,0))&amp;""),""))</f>
        <v/>
      </c>
      <c r="AE567" s="41">
        <f>IF(TRIM('Cross-tab'!$B$5&amp;"")="","",IFERROR(TRIM(INDEX($A567:$Z567,MATCH('Cross-tab'!$B$5,$A$1:$Z$1,0))&amp;""),""))</f>
        <v/>
      </c>
      <c r="AF567" s="41">
        <f>IF(TRIM('Cross-tab'!$B$7&amp;"")="","",IFERROR(TRIM(INDEX($A567:$Z567,MATCH('Cross-tab'!$B$7,$A$1:$Z$1,0))&amp;""),""))</f>
        <v/>
      </c>
      <c r="AG567" s="41">
        <f>IF(ISNUMBER(IFERROR(VALUE(IF(TRIM('Scale score'!$B$5&amp;"")="","",IFERROR(TRIM(INDEX($A567:$Z567,MATCH('Scale score'!$B$5,$A$1:$Z$1,0))&amp;""),""))),"")),IF(AND(IFERROR(VALUE(IF(TRIM('Scale score'!$B$5&amp;"")="","",IFERROR(TRIM(INDEX($A567:$Z567,MATCH('Scale score'!$B$5,$A$1:$Z$1,0))&amp;""),""))),"")&gt;='Scale score'!$B$6,IFERROR(VALUE(IF(TRIM('Scale score'!$B$5&amp;"")="","",IFERROR(TRIM(INDEX($A567:$Z567,MATCH('Scale score'!$B$5,$A$1:$Z$1,0))&amp;""),""))),"")&lt;='Scale score'!$B$7),IFERROR(VALUE(IF(TRIM('Scale score'!$B$5&amp;"")="","",IFERROR(TRIM(INDEX($A567:$Z567,MATCH('Scale score'!$B$5,$A$1:$Z$1,0))&amp;""),""))),""),""),"")</f>
        <v/>
      </c>
      <c r="AH567" s="41">
        <f>IF(TRIM('Open answers'!$B$5&amp;"")="","",IFERROR(TRIM(INDEX($A567:$Z567,MATCH('Open answers'!$B$5,$A$1:$Z$1,0))&amp;""),""))</f>
        <v/>
      </c>
      <c r="AI567" s="41">
        <f>IF(LEN(AH567)&gt;0,MAX($AI$1:AI566)+1,"")</f>
        <v/>
      </c>
    </row>
    <row r="568">
      <c r="AA568" s="40" t="n"/>
      <c r="AB568" s="41">
        <f>IF(TRIM('Counts'!$B$8&amp;"")="","",IFERROR(TRIM(INDEX($A568:$Z568,MATCH('Counts'!$B$8,$A$1:$Z$1,0))&amp;""),""))</f>
        <v/>
      </c>
      <c r="AC568" s="41">
        <f>IF(TRIM('Counts'!$B$26&amp;"")="","",IFERROR(TRIM(INDEX($A568:$Z568,MATCH('Counts'!$B$26,$A$1:$Z$1,0))&amp;""),""))</f>
        <v/>
      </c>
      <c r="AD568" s="41">
        <f>IF(TRIM('Counts'!$B$44&amp;"")="","",IFERROR(TRIM(INDEX($A568:$Z568,MATCH('Counts'!$B$44,$A$1:$Z$1,0))&amp;""),""))</f>
        <v/>
      </c>
      <c r="AE568" s="41">
        <f>IF(TRIM('Cross-tab'!$B$5&amp;"")="","",IFERROR(TRIM(INDEX($A568:$Z568,MATCH('Cross-tab'!$B$5,$A$1:$Z$1,0))&amp;""),""))</f>
        <v/>
      </c>
      <c r="AF568" s="41">
        <f>IF(TRIM('Cross-tab'!$B$7&amp;"")="","",IFERROR(TRIM(INDEX($A568:$Z568,MATCH('Cross-tab'!$B$7,$A$1:$Z$1,0))&amp;""),""))</f>
        <v/>
      </c>
      <c r="AG568" s="41">
        <f>IF(ISNUMBER(IFERROR(VALUE(IF(TRIM('Scale score'!$B$5&amp;"")="","",IFERROR(TRIM(INDEX($A568:$Z568,MATCH('Scale score'!$B$5,$A$1:$Z$1,0))&amp;""),""))),"")),IF(AND(IFERROR(VALUE(IF(TRIM('Scale score'!$B$5&amp;"")="","",IFERROR(TRIM(INDEX($A568:$Z568,MATCH('Scale score'!$B$5,$A$1:$Z$1,0))&amp;""),""))),"")&gt;='Scale score'!$B$6,IFERROR(VALUE(IF(TRIM('Scale score'!$B$5&amp;"")="","",IFERROR(TRIM(INDEX($A568:$Z568,MATCH('Scale score'!$B$5,$A$1:$Z$1,0))&amp;""),""))),"")&lt;='Scale score'!$B$7),IFERROR(VALUE(IF(TRIM('Scale score'!$B$5&amp;"")="","",IFERROR(TRIM(INDEX($A568:$Z568,MATCH('Scale score'!$B$5,$A$1:$Z$1,0))&amp;""),""))),""),""),"")</f>
        <v/>
      </c>
      <c r="AH568" s="41">
        <f>IF(TRIM('Open answers'!$B$5&amp;"")="","",IFERROR(TRIM(INDEX($A568:$Z568,MATCH('Open answers'!$B$5,$A$1:$Z$1,0))&amp;""),""))</f>
        <v/>
      </c>
      <c r="AI568" s="41">
        <f>IF(LEN(AH568)&gt;0,MAX($AI$1:AI567)+1,"")</f>
        <v/>
      </c>
    </row>
    <row r="569">
      <c r="AA569" s="40" t="n"/>
      <c r="AB569" s="41">
        <f>IF(TRIM('Counts'!$B$8&amp;"")="","",IFERROR(TRIM(INDEX($A569:$Z569,MATCH('Counts'!$B$8,$A$1:$Z$1,0))&amp;""),""))</f>
        <v/>
      </c>
      <c r="AC569" s="41">
        <f>IF(TRIM('Counts'!$B$26&amp;"")="","",IFERROR(TRIM(INDEX($A569:$Z569,MATCH('Counts'!$B$26,$A$1:$Z$1,0))&amp;""),""))</f>
        <v/>
      </c>
      <c r="AD569" s="41">
        <f>IF(TRIM('Counts'!$B$44&amp;"")="","",IFERROR(TRIM(INDEX($A569:$Z569,MATCH('Counts'!$B$44,$A$1:$Z$1,0))&amp;""),""))</f>
        <v/>
      </c>
      <c r="AE569" s="41">
        <f>IF(TRIM('Cross-tab'!$B$5&amp;"")="","",IFERROR(TRIM(INDEX($A569:$Z569,MATCH('Cross-tab'!$B$5,$A$1:$Z$1,0))&amp;""),""))</f>
        <v/>
      </c>
      <c r="AF569" s="41">
        <f>IF(TRIM('Cross-tab'!$B$7&amp;"")="","",IFERROR(TRIM(INDEX($A569:$Z569,MATCH('Cross-tab'!$B$7,$A$1:$Z$1,0))&amp;""),""))</f>
        <v/>
      </c>
      <c r="AG569" s="41">
        <f>IF(ISNUMBER(IFERROR(VALUE(IF(TRIM('Scale score'!$B$5&amp;"")="","",IFERROR(TRIM(INDEX($A569:$Z569,MATCH('Scale score'!$B$5,$A$1:$Z$1,0))&amp;""),""))),"")),IF(AND(IFERROR(VALUE(IF(TRIM('Scale score'!$B$5&amp;"")="","",IFERROR(TRIM(INDEX($A569:$Z569,MATCH('Scale score'!$B$5,$A$1:$Z$1,0))&amp;""),""))),"")&gt;='Scale score'!$B$6,IFERROR(VALUE(IF(TRIM('Scale score'!$B$5&amp;"")="","",IFERROR(TRIM(INDEX($A569:$Z569,MATCH('Scale score'!$B$5,$A$1:$Z$1,0))&amp;""),""))),"")&lt;='Scale score'!$B$7),IFERROR(VALUE(IF(TRIM('Scale score'!$B$5&amp;"")="","",IFERROR(TRIM(INDEX($A569:$Z569,MATCH('Scale score'!$B$5,$A$1:$Z$1,0))&amp;""),""))),""),""),"")</f>
        <v/>
      </c>
      <c r="AH569" s="41">
        <f>IF(TRIM('Open answers'!$B$5&amp;"")="","",IFERROR(TRIM(INDEX($A569:$Z569,MATCH('Open answers'!$B$5,$A$1:$Z$1,0))&amp;""),""))</f>
        <v/>
      </c>
      <c r="AI569" s="41">
        <f>IF(LEN(AH569)&gt;0,MAX($AI$1:AI568)+1,"")</f>
        <v/>
      </c>
    </row>
    <row r="570">
      <c r="AA570" s="40" t="n"/>
      <c r="AB570" s="41">
        <f>IF(TRIM('Counts'!$B$8&amp;"")="","",IFERROR(TRIM(INDEX($A570:$Z570,MATCH('Counts'!$B$8,$A$1:$Z$1,0))&amp;""),""))</f>
        <v/>
      </c>
      <c r="AC570" s="41">
        <f>IF(TRIM('Counts'!$B$26&amp;"")="","",IFERROR(TRIM(INDEX($A570:$Z570,MATCH('Counts'!$B$26,$A$1:$Z$1,0))&amp;""),""))</f>
        <v/>
      </c>
      <c r="AD570" s="41">
        <f>IF(TRIM('Counts'!$B$44&amp;"")="","",IFERROR(TRIM(INDEX($A570:$Z570,MATCH('Counts'!$B$44,$A$1:$Z$1,0))&amp;""),""))</f>
        <v/>
      </c>
      <c r="AE570" s="41">
        <f>IF(TRIM('Cross-tab'!$B$5&amp;"")="","",IFERROR(TRIM(INDEX($A570:$Z570,MATCH('Cross-tab'!$B$5,$A$1:$Z$1,0))&amp;""),""))</f>
        <v/>
      </c>
      <c r="AF570" s="41">
        <f>IF(TRIM('Cross-tab'!$B$7&amp;"")="","",IFERROR(TRIM(INDEX($A570:$Z570,MATCH('Cross-tab'!$B$7,$A$1:$Z$1,0))&amp;""),""))</f>
        <v/>
      </c>
      <c r="AG570" s="41">
        <f>IF(ISNUMBER(IFERROR(VALUE(IF(TRIM('Scale score'!$B$5&amp;"")="","",IFERROR(TRIM(INDEX($A570:$Z570,MATCH('Scale score'!$B$5,$A$1:$Z$1,0))&amp;""),""))),"")),IF(AND(IFERROR(VALUE(IF(TRIM('Scale score'!$B$5&amp;"")="","",IFERROR(TRIM(INDEX($A570:$Z570,MATCH('Scale score'!$B$5,$A$1:$Z$1,0))&amp;""),""))),"")&gt;='Scale score'!$B$6,IFERROR(VALUE(IF(TRIM('Scale score'!$B$5&amp;"")="","",IFERROR(TRIM(INDEX($A570:$Z570,MATCH('Scale score'!$B$5,$A$1:$Z$1,0))&amp;""),""))),"")&lt;='Scale score'!$B$7),IFERROR(VALUE(IF(TRIM('Scale score'!$B$5&amp;"")="","",IFERROR(TRIM(INDEX($A570:$Z570,MATCH('Scale score'!$B$5,$A$1:$Z$1,0))&amp;""),""))),""),""),"")</f>
        <v/>
      </c>
      <c r="AH570" s="41">
        <f>IF(TRIM('Open answers'!$B$5&amp;"")="","",IFERROR(TRIM(INDEX($A570:$Z570,MATCH('Open answers'!$B$5,$A$1:$Z$1,0))&amp;""),""))</f>
        <v/>
      </c>
      <c r="AI570" s="41">
        <f>IF(LEN(AH570)&gt;0,MAX($AI$1:AI569)+1,"")</f>
        <v/>
      </c>
    </row>
    <row r="571">
      <c r="AA571" s="40" t="n"/>
      <c r="AB571" s="41">
        <f>IF(TRIM('Counts'!$B$8&amp;"")="","",IFERROR(TRIM(INDEX($A571:$Z571,MATCH('Counts'!$B$8,$A$1:$Z$1,0))&amp;""),""))</f>
        <v/>
      </c>
      <c r="AC571" s="41">
        <f>IF(TRIM('Counts'!$B$26&amp;"")="","",IFERROR(TRIM(INDEX($A571:$Z571,MATCH('Counts'!$B$26,$A$1:$Z$1,0))&amp;""),""))</f>
        <v/>
      </c>
      <c r="AD571" s="41">
        <f>IF(TRIM('Counts'!$B$44&amp;"")="","",IFERROR(TRIM(INDEX($A571:$Z571,MATCH('Counts'!$B$44,$A$1:$Z$1,0))&amp;""),""))</f>
        <v/>
      </c>
      <c r="AE571" s="41">
        <f>IF(TRIM('Cross-tab'!$B$5&amp;"")="","",IFERROR(TRIM(INDEX($A571:$Z571,MATCH('Cross-tab'!$B$5,$A$1:$Z$1,0))&amp;""),""))</f>
        <v/>
      </c>
      <c r="AF571" s="41">
        <f>IF(TRIM('Cross-tab'!$B$7&amp;"")="","",IFERROR(TRIM(INDEX($A571:$Z571,MATCH('Cross-tab'!$B$7,$A$1:$Z$1,0))&amp;""),""))</f>
        <v/>
      </c>
      <c r="AG571" s="41">
        <f>IF(ISNUMBER(IFERROR(VALUE(IF(TRIM('Scale score'!$B$5&amp;"")="","",IFERROR(TRIM(INDEX($A571:$Z571,MATCH('Scale score'!$B$5,$A$1:$Z$1,0))&amp;""),""))),"")),IF(AND(IFERROR(VALUE(IF(TRIM('Scale score'!$B$5&amp;"")="","",IFERROR(TRIM(INDEX($A571:$Z571,MATCH('Scale score'!$B$5,$A$1:$Z$1,0))&amp;""),""))),"")&gt;='Scale score'!$B$6,IFERROR(VALUE(IF(TRIM('Scale score'!$B$5&amp;"")="","",IFERROR(TRIM(INDEX($A571:$Z571,MATCH('Scale score'!$B$5,$A$1:$Z$1,0))&amp;""),""))),"")&lt;='Scale score'!$B$7),IFERROR(VALUE(IF(TRIM('Scale score'!$B$5&amp;"")="","",IFERROR(TRIM(INDEX($A571:$Z571,MATCH('Scale score'!$B$5,$A$1:$Z$1,0))&amp;""),""))),""),""),"")</f>
        <v/>
      </c>
      <c r="AH571" s="41">
        <f>IF(TRIM('Open answers'!$B$5&amp;"")="","",IFERROR(TRIM(INDEX($A571:$Z571,MATCH('Open answers'!$B$5,$A$1:$Z$1,0))&amp;""),""))</f>
        <v/>
      </c>
      <c r="AI571" s="41">
        <f>IF(LEN(AH571)&gt;0,MAX($AI$1:AI570)+1,"")</f>
        <v/>
      </c>
    </row>
    <row r="572">
      <c r="AA572" s="40" t="n"/>
      <c r="AB572" s="41">
        <f>IF(TRIM('Counts'!$B$8&amp;"")="","",IFERROR(TRIM(INDEX($A572:$Z572,MATCH('Counts'!$B$8,$A$1:$Z$1,0))&amp;""),""))</f>
        <v/>
      </c>
      <c r="AC572" s="41">
        <f>IF(TRIM('Counts'!$B$26&amp;"")="","",IFERROR(TRIM(INDEX($A572:$Z572,MATCH('Counts'!$B$26,$A$1:$Z$1,0))&amp;""),""))</f>
        <v/>
      </c>
      <c r="AD572" s="41">
        <f>IF(TRIM('Counts'!$B$44&amp;"")="","",IFERROR(TRIM(INDEX($A572:$Z572,MATCH('Counts'!$B$44,$A$1:$Z$1,0))&amp;""),""))</f>
        <v/>
      </c>
      <c r="AE572" s="41">
        <f>IF(TRIM('Cross-tab'!$B$5&amp;"")="","",IFERROR(TRIM(INDEX($A572:$Z572,MATCH('Cross-tab'!$B$5,$A$1:$Z$1,0))&amp;""),""))</f>
        <v/>
      </c>
      <c r="AF572" s="41">
        <f>IF(TRIM('Cross-tab'!$B$7&amp;"")="","",IFERROR(TRIM(INDEX($A572:$Z572,MATCH('Cross-tab'!$B$7,$A$1:$Z$1,0))&amp;""),""))</f>
        <v/>
      </c>
      <c r="AG572" s="41">
        <f>IF(ISNUMBER(IFERROR(VALUE(IF(TRIM('Scale score'!$B$5&amp;"")="","",IFERROR(TRIM(INDEX($A572:$Z572,MATCH('Scale score'!$B$5,$A$1:$Z$1,0))&amp;""),""))),"")),IF(AND(IFERROR(VALUE(IF(TRIM('Scale score'!$B$5&amp;"")="","",IFERROR(TRIM(INDEX($A572:$Z572,MATCH('Scale score'!$B$5,$A$1:$Z$1,0))&amp;""),""))),"")&gt;='Scale score'!$B$6,IFERROR(VALUE(IF(TRIM('Scale score'!$B$5&amp;"")="","",IFERROR(TRIM(INDEX($A572:$Z572,MATCH('Scale score'!$B$5,$A$1:$Z$1,0))&amp;""),""))),"")&lt;='Scale score'!$B$7),IFERROR(VALUE(IF(TRIM('Scale score'!$B$5&amp;"")="","",IFERROR(TRIM(INDEX($A572:$Z572,MATCH('Scale score'!$B$5,$A$1:$Z$1,0))&amp;""),""))),""),""),"")</f>
        <v/>
      </c>
      <c r="AH572" s="41">
        <f>IF(TRIM('Open answers'!$B$5&amp;"")="","",IFERROR(TRIM(INDEX($A572:$Z572,MATCH('Open answers'!$B$5,$A$1:$Z$1,0))&amp;""),""))</f>
        <v/>
      </c>
      <c r="AI572" s="41">
        <f>IF(LEN(AH572)&gt;0,MAX($AI$1:AI571)+1,"")</f>
        <v/>
      </c>
    </row>
    <row r="573">
      <c r="AA573" s="40" t="n"/>
      <c r="AB573" s="41">
        <f>IF(TRIM('Counts'!$B$8&amp;"")="","",IFERROR(TRIM(INDEX($A573:$Z573,MATCH('Counts'!$B$8,$A$1:$Z$1,0))&amp;""),""))</f>
        <v/>
      </c>
      <c r="AC573" s="41">
        <f>IF(TRIM('Counts'!$B$26&amp;"")="","",IFERROR(TRIM(INDEX($A573:$Z573,MATCH('Counts'!$B$26,$A$1:$Z$1,0))&amp;""),""))</f>
        <v/>
      </c>
      <c r="AD573" s="41">
        <f>IF(TRIM('Counts'!$B$44&amp;"")="","",IFERROR(TRIM(INDEX($A573:$Z573,MATCH('Counts'!$B$44,$A$1:$Z$1,0))&amp;""),""))</f>
        <v/>
      </c>
      <c r="AE573" s="41">
        <f>IF(TRIM('Cross-tab'!$B$5&amp;"")="","",IFERROR(TRIM(INDEX($A573:$Z573,MATCH('Cross-tab'!$B$5,$A$1:$Z$1,0))&amp;""),""))</f>
        <v/>
      </c>
      <c r="AF573" s="41">
        <f>IF(TRIM('Cross-tab'!$B$7&amp;"")="","",IFERROR(TRIM(INDEX($A573:$Z573,MATCH('Cross-tab'!$B$7,$A$1:$Z$1,0))&amp;""),""))</f>
        <v/>
      </c>
      <c r="AG573" s="41">
        <f>IF(ISNUMBER(IFERROR(VALUE(IF(TRIM('Scale score'!$B$5&amp;"")="","",IFERROR(TRIM(INDEX($A573:$Z573,MATCH('Scale score'!$B$5,$A$1:$Z$1,0))&amp;""),""))),"")),IF(AND(IFERROR(VALUE(IF(TRIM('Scale score'!$B$5&amp;"")="","",IFERROR(TRIM(INDEX($A573:$Z573,MATCH('Scale score'!$B$5,$A$1:$Z$1,0))&amp;""),""))),"")&gt;='Scale score'!$B$6,IFERROR(VALUE(IF(TRIM('Scale score'!$B$5&amp;"")="","",IFERROR(TRIM(INDEX($A573:$Z573,MATCH('Scale score'!$B$5,$A$1:$Z$1,0))&amp;""),""))),"")&lt;='Scale score'!$B$7),IFERROR(VALUE(IF(TRIM('Scale score'!$B$5&amp;"")="","",IFERROR(TRIM(INDEX($A573:$Z573,MATCH('Scale score'!$B$5,$A$1:$Z$1,0))&amp;""),""))),""),""),"")</f>
        <v/>
      </c>
      <c r="AH573" s="41">
        <f>IF(TRIM('Open answers'!$B$5&amp;"")="","",IFERROR(TRIM(INDEX($A573:$Z573,MATCH('Open answers'!$B$5,$A$1:$Z$1,0))&amp;""),""))</f>
        <v/>
      </c>
      <c r="AI573" s="41">
        <f>IF(LEN(AH573)&gt;0,MAX($AI$1:AI572)+1,"")</f>
        <v/>
      </c>
    </row>
    <row r="574">
      <c r="AA574" s="40" t="n"/>
      <c r="AB574" s="41">
        <f>IF(TRIM('Counts'!$B$8&amp;"")="","",IFERROR(TRIM(INDEX($A574:$Z574,MATCH('Counts'!$B$8,$A$1:$Z$1,0))&amp;""),""))</f>
        <v/>
      </c>
      <c r="AC574" s="41">
        <f>IF(TRIM('Counts'!$B$26&amp;"")="","",IFERROR(TRIM(INDEX($A574:$Z574,MATCH('Counts'!$B$26,$A$1:$Z$1,0))&amp;""),""))</f>
        <v/>
      </c>
      <c r="AD574" s="41">
        <f>IF(TRIM('Counts'!$B$44&amp;"")="","",IFERROR(TRIM(INDEX($A574:$Z574,MATCH('Counts'!$B$44,$A$1:$Z$1,0))&amp;""),""))</f>
        <v/>
      </c>
      <c r="AE574" s="41">
        <f>IF(TRIM('Cross-tab'!$B$5&amp;"")="","",IFERROR(TRIM(INDEX($A574:$Z574,MATCH('Cross-tab'!$B$5,$A$1:$Z$1,0))&amp;""),""))</f>
        <v/>
      </c>
      <c r="AF574" s="41">
        <f>IF(TRIM('Cross-tab'!$B$7&amp;"")="","",IFERROR(TRIM(INDEX($A574:$Z574,MATCH('Cross-tab'!$B$7,$A$1:$Z$1,0))&amp;""),""))</f>
        <v/>
      </c>
      <c r="AG574" s="41">
        <f>IF(ISNUMBER(IFERROR(VALUE(IF(TRIM('Scale score'!$B$5&amp;"")="","",IFERROR(TRIM(INDEX($A574:$Z574,MATCH('Scale score'!$B$5,$A$1:$Z$1,0))&amp;""),""))),"")),IF(AND(IFERROR(VALUE(IF(TRIM('Scale score'!$B$5&amp;"")="","",IFERROR(TRIM(INDEX($A574:$Z574,MATCH('Scale score'!$B$5,$A$1:$Z$1,0))&amp;""),""))),"")&gt;='Scale score'!$B$6,IFERROR(VALUE(IF(TRIM('Scale score'!$B$5&amp;"")="","",IFERROR(TRIM(INDEX($A574:$Z574,MATCH('Scale score'!$B$5,$A$1:$Z$1,0))&amp;""),""))),"")&lt;='Scale score'!$B$7),IFERROR(VALUE(IF(TRIM('Scale score'!$B$5&amp;"")="","",IFERROR(TRIM(INDEX($A574:$Z574,MATCH('Scale score'!$B$5,$A$1:$Z$1,0))&amp;""),""))),""),""),"")</f>
        <v/>
      </c>
      <c r="AH574" s="41">
        <f>IF(TRIM('Open answers'!$B$5&amp;"")="","",IFERROR(TRIM(INDEX($A574:$Z574,MATCH('Open answers'!$B$5,$A$1:$Z$1,0))&amp;""),""))</f>
        <v/>
      </c>
      <c r="AI574" s="41">
        <f>IF(LEN(AH574)&gt;0,MAX($AI$1:AI573)+1,"")</f>
        <v/>
      </c>
    </row>
    <row r="575">
      <c r="AA575" s="40" t="n"/>
      <c r="AB575" s="41">
        <f>IF(TRIM('Counts'!$B$8&amp;"")="","",IFERROR(TRIM(INDEX($A575:$Z575,MATCH('Counts'!$B$8,$A$1:$Z$1,0))&amp;""),""))</f>
        <v/>
      </c>
      <c r="AC575" s="41">
        <f>IF(TRIM('Counts'!$B$26&amp;"")="","",IFERROR(TRIM(INDEX($A575:$Z575,MATCH('Counts'!$B$26,$A$1:$Z$1,0))&amp;""),""))</f>
        <v/>
      </c>
      <c r="AD575" s="41">
        <f>IF(TRIM('Counts'!$B$44&amp;"")="","",IFERROR(TRIM(INDEX($A575:$Z575,MATCH('Counts'!$B$44,$A$1:$Z$1,0))&amp;""),""))</f>
        <v/>
      </c>
      <c r="AE575" s="41">
        <f>IF(TRIM('Cross-tab'!$B$5&amp;"")="","",IFERROR(TRIM(INDEX($A575:$Z575,MATCH('Cross-tab'!$B$5,$A$1:$Z$1,0))&amp;""),""))</f>
        <v/>
      </c>
      <c r="AF575" s="41">
        <f>IF(TRIM('Cross-tab'!$B$7&amp;"")="","",IFERROR(TRIM(INDEX($A575:$Z575,MATCH('Cross-tab'!$B$7,$A$1:$Z$1,0))&amp;""),""))</f>
        <v/>
      </c>
      <c r="AG575" s="41">
        <f>IF(ISNUMBER(IFERROR(VALUE(IF(TRIM('Scale score'!$B$5&amp;"")="","",IFERROR(TRIM(INDEX($A575:$Z575,MATCH('Scale score'!$B$5,$A$1:$Z$1,0))&amp;""),""))),"")),IF(AND(IFERROR(VALUE(IF(TRIM('Scale score'!$B$5&amp;"")="","",IFERROR(TRIM(INDEX($A575:$Z575,MATCH('Scale score'!$B$5,$A$1:$Z$1,0))&amp;""),""))),"")&gt;='Scale score'!$B$6,IFERROR(VALUE(IF(TRIM('Scale score'!$B$5&amp;"")="","",IFERROR(TRIM(INDEX($A575:$Z575,MATCH('Scale score'!$B$5,$A$1:$Z$1,0))&amp;""),""))),"")&lt;='Scale score'!$B$7),IFERROR(VALUE(IF(TRIM('Scale score'!$B$5&amp;"")="","",IFERROR(TRIM(INDEX($A575:$Z575,MATCH('Scale score'!$B$5,$A$1:$Z$1,0))&amp;""),""))),""),""),"")</f>
        <v/>
      </c>
      <c r="AH575" s="41">
        <f>IF(TRIM('Open answers'!$B$5&amp;"")="","",IFERROR(TRIM(INDEX($A575:$Z575,MATCH('Open answers'!$B$5,$A$1:$Z$1,0))&amp;""),""))</f>
        <v/>
      </c>
      <c r="AI575" s="41">
        <f>IF(LEN(AH575)&gt;0,MAX($AI$1:AI574)+1,"")</f>
        <v/>
      </c>
    </row>
    <row r="576">
      <c r="AA576" s="40" t="n"/>
      <c r="AB576" s="41">
        <f>IF(TRIM('Counts'!$B$8&amp;"")="","",IFERROR(TRIM(INDEX($A576:$Z576,MATCH('Counts'!$B$8,$A$1:$Z$1,0))&amp;""),""))</f>
        <v/>
      </c>
      <c r="AC576" s="41">
        <f>IF(TRIM('Counts'!$B$26&amp;"")="","",IFERROR(TRIM(INDEX($A576:$Z576,MATCH('Counts'!$B$26,$A$1:$Z$1,0))&amp;""),""))</f>
        <v/>
      </c>
      <c r="AD576" s="41">
        <f>IF(TRIM('Counts'!$B$44&amp;"")="","",IFERROR(TRIM(INDEX($A576:$Z576,MATCH('Counts'!$B$44,$A$1:$Z$1,0))&amp;""),""))</f>
        <v/>
      </c>
      <c r="AE576" s="41">
        <f>IF(TRIM('Cross-tab'!$B$5&amp;"")="","",IFERROR(TRIM(INDEX($A576:$Z576,MATCH('Cross-tab'!$B$5,$A$1:$Z$1,0))&amp;""),""))</f>
        <v/>
      </c>
      <c r="AF576" s="41">
        <f>IF(TRIM('Cross-tab'!$B$7&amp;"")="","",IFERROR(TRIM(INDEX($A576:$Z576,MATCH('Cross-tab'!$B$7,$A$1:$Z$1,0))&amp;""),""))</f>
        <v/>
      </c>
      <c r="AG576" s="41">
        <f>IF(ISNUMBER(IFERROR(VALUE(IF(TRIM('Scale score'!$B$5&amp;"")="","",IFERROR(TRIM(INDEX($A576:$Z576,MATCH('Scale score'!$B$5,$A$1:$Z$1,0))&amp;""),""))),"")),IF(AND(IFERROR(VALUE(IF(TRIM('Scale score'!$B$5&amp;"")="","",IFERROR(TRIM(INDEX($A576:$Z576,MATCH('Scale score'!$B$5,$A$1:$Z$1,0))&amp;""),""))),"")&gt;='Scale score'!$B$6,IFERROR(VALUE(IF(TRIM('Scale score'!$B$5&amp;"")="","",IFERROR(TRIM(INDEX($A576:$Z576,MATCH('Scale score'!$B$5,$A$1:$Z$1,0))&amp;""),""))),"")&lt;='Scale score'!$B$7),IFERROR(VALUE(IF(TRIM('Scale score'!$B$5&amp;"")="","",IFERROR(TRIM(INDEX($A576:$Z576,MATCH('Scale score'!$B$5,$A$1:$Z$1,0))&amp;""),""))),""),""),"")</f>
        <v/>
      </c>
      <c r="AH576" s="41">
        <f>IF(TRIM('Open answers'!$B$5&amp;"")="","",IFERROR(TRIM(INDEX($A576:$Z576,MATCH('Open answers'!$B$5,$A$1:$Z$1,0))&amp;""),""))</f>
        <v/>
      </c>
      <c r="AI576" s="41">
        <f>IF(LEN(AH576)&gt;0,MAX($AI$1:AI575)+1,"")</f>
        <v/>
      </c>
    </row>
    <row r="577">
      <c r="AA577" s="40" t="n"/>
      <c r="AB577" s="41">
        <f>IF(TRIM('Counts'!$B$8&amp;"")="","",IFERROR(TRIM(INDEX($A577:$Z577,MATCH('Counts'!$B$8,$A$1:$Z$1,0))&amp;""),""))</f>
        <v/>
      </c>
      <c r="AC577" s="41">
        <f>IF(TRIM('Counts'!$B$26&amp;"")="","",IFERROR(TRIM(INDEX($A577:$Z577,MATCH('Counts'!$B$26,$A$1:$Z$1,0))&amp;""),""))</f>
        <v/>
      </c>
      <c r="AD577" s="41">
        <f>IF(TRIM('Counts'!$B$44&amp;"")="","",IFERROR(TRIM(INDEX($A577:$Z577,MATCH('Counts'!$B$44,$A$1:$Z$1,0))&amp;""),""))</f>
        <v/>
      </c>
      <c r="AE577" s="41">
        <f>IF(TRIM('Cross-tab'!$B$5&amp;"")="","",IFERROR(TRIM(INDEX($A577:$Z577,MATCH('Cross-tab'!$B$5,$A$1:$Z$1,0))&amp;""),""))</f>
        <v/>
      </c>
      <c r="AF577" s="41">
        <f>IF(TRIM('Cross-tab'!$B$7&amp;"")="","",IFERROR(TRIM(INDEX($A577:$Z577,MATCH('Cross-tab'!$B$7,$A$1:$Z$1,0))&amp;""),""))</f>
        <v/>
      </c>
      <c r="AG577" s="41">
        <f>IF(ISNUMBER(IFERROR(VALUE(IF(TRIM('Scale score'!$B$5&amp;"")="","",IFERROR(TRIM(INDEX($A577:$Z577,MATCH('Scale score'!$B$5,$A$1:$Z$1,0))&amp;""),""))),"")),IF(AND(IFERROR(VALUE(IF(TRIM('Scale score'!$B$5&amp;"")="","",IFERROR(TRIM(INDEX($A577:$Z577,MATCH('Scale score'!$B$5,$A$1:$Z$1,0))&amp;""),""))),"")&gt;='Scale score'!$B$6,IFERROR(VALUE(IF(TRIM('Scale score'!$B$5&amp;"")="","",IFERROR(TRIM(INDEX($A577:$Z577,MATCH('Scale score'!$B$5,$A$1:$Z$1,0))&amp;""),""))),"")&lt;='Scale score'!$B$7),IFERROR(VALUE(IF(TRIM('Scale score'!$B$5&amp;"")="","",IFERROR(TRIM(INDEX($A577:$Z577,MATCH('Scale score'!$B$5,$A$1:$Z$1,0))&amp;""),""))),""),""),"")</f>
        <v/>
      </c>
      <c r="AH577" s="41">
        <f>IF(TRIM('Open answers'!$B$5&amp;"")="","",IFERROR(TRIM(INDEX($A577:$Z577,MATCH('Open answers'!$B$5,$A$1:$Z$1,0))&amp;""),""))</f>
        <v/>
      </c>
      <c r="AI577" s="41">
        <f>IF(LEN(AH577)&gt;0,MAX($AI$1:AI576)+1,"")</f>
        <v/>
      </c>
    </row>
    <row r="578">
      <c r="AA578" s="40" t="n"/>
      <c r="AB578" s="41">
        <f>IF(TRIM('Counts'!$B$8&amp;"")="","",IFERROR(TRIM(INDEX($A578:$Z578,MATCH('Counts'!$B$8,$A$1:$Z$1,0))&amp;""),""))</f>
        <v/>
      </c>
      <c r="AC578" s="41">
        <f>IF(TRIM('Counts'!$B$26&amp;"")="","",IFERROR(TRIM(INDEX($A578:$Z578,MATCH('Counts'!$B$26,$A$1:$Z$1,0))&amp;""),""))</f>
        <v/>
      </c>
      <c r="AD578" s="41">
        <f>IF(TRIM('Counts'!$B$44&amp;"")="","",IFERROR(TRIM(INDEX($A578:$Z578,MATCH('Counts'!$B$44,$A$1:$Z$1,0))&amp;""),""))</f>
        <v/>
      </c>
      <c r="AE578" s="41">
        <f>IF(TRIM('Cross-tab'!$B$5&amp;"")="","",IFERROR(TRIM(INDEX($A578:$Z578,MATCH('Cross-tab'!$B$5,$A$1:$Z$1,0))&amp;""),""))</f>
        <v/>
      </c>
      <c r="AF578" s="41">
        <f>IF(TRIM('Cross-tab'!$B$7&amp;"")="","",IFERROR(TRIM(INDEX($A578:$Z578,MATCH('Cross-tab'!$B$7,$A$1:$Z$1,0))&amp;""),""))</f>
        <v/>
      </c>
      <c r="AG578" s="41">
        <f>IF(ISNUMBER(IFERROR(VALUE(IF(TRIM('Scale score'!$B$5&amp;"")="","",IFERROR(TRIM(INDEX($A578:$Z578,MATCH('Scale score'!$B$5,$A$1:$Z$1,0))&amp;""),""))),"")),IF(AND(IFERROR(VALUE(IF(TRIM('Scale score'!$B$5&amp;"")="","",IFERROR(TRIM(INDEX($A578:$Z578,MATCH('Scale score'!$B$5,$A$1:$Z$1,0))&amp;""),""))),"")&gt;='Scale score'!$B$6,IFERROR(VALUE(IF(TRIM('Scale score'!$B$5&amp;"")="","",IFERROR(TRIM(INDEX($A578:$Z578,MATCH('Scale score'!$B$5,$A$1:$Z$1,0))&amp;""),""))),"")&lt;='Scale score'!$B$7),IFERROR(VALUE(IF(TRIM('Scale score'!$B$5&amp;"")="","",IFERROR(TRIM(INDEX($A578:$Z578,MATCH('Scale score'!$B$5,$A$1:$Z$1,0))&amp;""),""))),""),""),"")</f>
        <v/>
      </c>
      <c r="AH578" s="41">
        <f>IF(TRIM('Open answers'!$B$5&amp;"")="","",IFERROR(TRIM(INDEX($A578:$Z578,MATCH('Open answers'!$B$5,$A$1:$Z$1,0))&amp;""),""))</f>
        <v/>
      </c>
      <c r="AI578" s="41">
        <f>IF(LEN(AH578)&gt;0,MAX($AI$1:AI577)+1,"")</f>
        <v/>
      </c>
    </row>
    <row r="579">
      <c r="AA579" s="40" t="n"/>
      <c r="AB579" s="41">
        <f>IF(TRIM('Counts'!$B$8&amp;"")="","",IFERROR(TRIM(INDEX($A579:$Z579,MATCH('Counts'!$B$8,$A$1:$Z$1,0))&amp;""),""))</f>
        <v/>
      </c>
      <c r="AC579" s="41">
        <f>IF(TRIM('Counts'!$B$26&amp;"")="","",IFERROR(TRIM(INDEX($A579:$Z579,MATCH('Counts'!$B$26,$A$1:$Z$1,0))&amp;""),""))</f>
        <v/>
      </c>
      <c r="AD579" s="41">
        <f>IF(TRIM('Counts'!$B$44&amp;"")="","",IFERROR(TRIM(INDEX($A579:$Z579,MATCH('Counts'!$B$44,$A$1:$Z$1,0))&amp;""),""))</f>
        <v/>
      </c>
      <c r="AE579" s="41">
        <f>IF(TRIM('Cross-tab'!$B$5&amp;"")="","",IFERROR(TRIM(INDEX($A579:$Z579,MATCH('Cross-tab'!$B$5,$A$1:$Z$1,0))&amp;""),""))</f>
        <v/>
      </c>
      <c r="AF579" s="41">
        <f>IF(TRIM('Cross-tab'!$B$7&amp;"")="","",IFERROR(TRIM(INDEX($A579:$Z579,MATCH('Cross-tab'!$B$7,$A$1:$Z$1,0))&amp;""),""))</f>
        <v/>
      </c>
      <c r="AG579" s="41">
        <f>IF(ISNUMBER(IFERROR(VALUE(IF(TRIM('Scale score'!$B$5&amp;"")="","",IFERROR(TRIM(INDEX($A579:$Z579,MATCH('Scale score'!$B$5,$A$1:$Z$1,0))&amp;""),""))),"")),IF(AND(IFERROR(VALUE(IF(TRIM('Scale score'!$B$5&amp;"")="","",IFERROR(TRIM(INDEX($A579:$Z579,MATCH('Scale score'!$B$5,$A$1:$Z$1,0))&amp;""),""))),"")&gt;='Scale score'!$B$6,IFERROR(VALUE(IF(TRIM('Scale score'!$B$5&amp;"")="","",IFERROR(TRIM(INDEX($A579:$Z579,MATCH('Scale score'!$B$5,$A$1:$Z$1,0))&amp;""),""))),"")&lt;='Scale score'!$B$7),IFERROR(VALUE(IF(TRIM('Scale score'!$B$5&amp;"")="","",IFERROR(TRIM(INDEX($A579:$Z579,MATCH('Scale score'!$B$5,$A$1:$Z$1,0))&amp;""),""))),""),""),"")</f>
        <v/>
      </c>
      <c r="AH579" s="41">
        <f>IF(TRIM('Open answers'!$B$5&amp;"")="","",IFERROR(TRIM(INDEX($A579:$Z579,MATCH('Open answers'!$B$5,$A$1:$Z$1,0))&amp;""),""))</f>
        <v/>
      </c>
      <c r="AI579" s="41">
        <f>IF(LEN(AH579)&gt;0,MAX($AI$1:AI578)+1,"")</f>
        <v/>
      </c>
    </row>
    <row r="580">
      <c r="AA580" s="40" t="n"/>
      <c r="AB580" s="41">
        <f>IF(TRIM('Counts'!$B$8&amp;"")="","",IFERROR(TRIM(INDEX($A580:$Z580,MATCH('Counts'!$B$8,$A$1:$Z$1,0))&amp;""),""))</f>
        <v/>
      </c>
      <c r="AC580" s="41">
        <f>IF(TRIM('Counts'!$B$26&amp;"")="","",IFERROR(TRIM(INDEX($A580:$Z580,MATCH('Counts'!$B$26,$A$1:$Z$1,0))&amp;""),""))</f>
        <v/>
      </c>
      <c r="AD580" s="41">
        <f>IF(TRIM('Counts'!$B$44&amp;"")="","",IFERROR(TRIM(INDEX($A580:$Z580,MATCH('Counts'!$B$44,$A$1:$Z$1,0))&amp;""),""))</f>
        <v/>
      </c>
      <c r="AE580" s="41">
        <f>IF(TRIM('Cross-tab'!$B$5&amp;"")="","",IFERROR(TRIM(INDEX($A580:$Z580,MATCH('Cross-tab'!$B$5,$A$1:$Z$1,0))&amp;""),""))</f>
        <v/>
      </c>
      <c r="AF580" s="41">
        <f>IF(TRIM('Cross-tab'!$B$7&amp;"")="","",IFERROR(TRIM(INDEX($A580:$Z580,MATCH('Cross-tab'!$B$7,$A$1:$Z$1,0))&amp;""),""))</f>
        <v/>
      </c>
      <c r="AG580" s="41">
        <f>IF(ISNUMBER(IFERROR(VALUE(IF(TRIM('Scale score'!$B$5&amp;"")="","",IFERROR(TRIM(INDEX($A580:$Z580,MATCH('Scale score'!$B$5,$A$1:$Z$1,0))&amp;""),""))),"")),IF(AND(IFERROR(VALUE(IF(TRIM('Scale score'!$B$5&amp;"")="","",IFERROR(TRIM(INDEX($A580:$Z580,MATCH('Scale score'!$B$5,$A$1:$Z$1,0))&amp;""),""))),"")&gt;='Scale score'!$B$6,IFERROR(VALUE(IF(TRIM('Scale score'!$B$5&amp;"")="","",IFERROR(TRIM(INDEX($A580:$Z580,MATCH('Scale score'!$B$5,$A$1:$Z$1,0))&amp;""),""))),"")&lt;='Scale score'!$B$7),IFERROR(VALUE(IF(TRIM('Scale score'!$B$5&amp;"")="","",IFERROR(TRIM(INDEX($A580:$Z580,MATCH('Scale score'!$B$5,$A$1:$Z$1,0))&amp;""),""))),""),""),"")</f>
        <v/>
      </c>
      <c r="AH580" s="41">
        <f>IF(TRIM('Open answers'!$B$5&amp;"")="","",IFERROR(TRIM(INDEX($A580:$Z580,MATCH('Open answers'!$B$5,$A$1:$Z$1,0))&amp;""),""))</f>
        <v/>
      </c>
      <c r="AI580" s="41">
        <f>IF(LEN(AH580)&gt;0,MAX($AI$1:AI579)+1,"")</f>
        <v/>
      </c>
    </row>
    <row r="581">
      <c r="AA581" s="40" t="n"/>
      <c r="AB581" s="41">
        <f>IF(TRIM('Counts'!$B$8&amp;"")="","",IFERROR(TRIM(INDEX($A581:$Z581,MATCH('Counts'!$B$8,$A$1:$Z$1,0))&amp;""),""))</f>
        <v/>
      </c>
      <c r="AC581" s="41">
        <f>IF(TRIM('Counts'!$B$26&amp;"")="","",IFERROR(TRIM(INDEX($A581:$Z581,MATCH('Counts'!$B$26,$A$1:$Z$1,0))&amp;""),""))</f>
        <v/>
      </c>
      <c r="AD581" s="41">
        <f>IF(TRIM('Counts'!$B$44&amp;"")="","",IFERROR(TRIM(INDEX($A581:$Z581,MATCH('Counts'!$B$44,$A$1:$Z$1,0))&amp;""),""))</f>
        <v/>
      </c>
      <c r="AE581" s="41">
        <f>IF(TRIM('Cross-tab'!$B$5&amp;"")="","",IFERROR(TRIM(INDEX($A581:$Z581,MATCH('Cross-tab'!$B$5,$A$1:$Z$1,0))&amp;""),""))</f>
        <v/>
      </c>
      <c r="AF581" s="41">
        <f>IF(TRIM('Cross-tab'!$B$7&amp;"")="","",IFERROR(TRIM(INDEX($A581:$Z581,MATCH('Cross-tab'!$B$7,$A$1:$Z$1,0))&amp;""),""))</f>
        <v/>
      </c>
      <c r="AG581" s="41">
        <f>IF(ISNUMBER(IFERROR(VALUE(IF(TRIM('Scale score'!$B$5&amp;"")="","",IFERROR(TRIM(INDEX($A581:$Z581,MATCH('Scale score'!$B$5,$A$1:$Z$1,0))&amp;""),""))),"")),IF(AND(IFERROR(VALUE(IF(TRIM('Scale score'!$B$5&amp;"")="","",IFERROR(TRIM(INDEX($A581:$Z581,MATCH('Scale score'!$B$5,$A$1:$Z$1,0))&amp;""),""))),"")&gt;='Scale score'!$B$6,IFERROR(VALUE(IF(TRIM('Scale score'!$B$5&amp;"")="","",IFERROR(TRIM(INDEX($A581:$Z581,MATCH('Scale score'!$B$5,$A$1:$Z$1,0))&amp;""),""))),"")&lt;='Scale score'!$B$7),IFERROR(VALUE(IF(TRIM('Scale score'!$B$5&amp;"")="","",IFERROR(TRIM(INDEX($A581:$Z581,MATCH('Scale score'!$B$5,$A$1:$Z$1,0))&amp;""),""))),""),""),"")</f>
        <v/>
      </c>
      <c r="AH581" s="41">
        <f>IF(TRIM('Open answers'!$B$5&amp;"")="","",IFERROR(TRIM(INDEX($A581:$Z581,MATCH('Open answers'!$B$5,$A$1:$Z$1,0))&amp;""),""))</f>
        <v/>
      </c>
      <c r="AI581" s="41">
        <f>IF(LEN(AH581)&gt;0,MAX($AI$1:AI580)+1,"")</f>
        <v/>
      </c>
    </row>
    <row r="582">
      <c r="AA582" s="40" t="n"/>
      <c r="AB582" s="41">
        <f>IF(TRIM('Counts'!$B$8&amp;"")="","",IFERROR(TRIM(INDEX($A582:$Z582,MATCH('Counts'!$B$8,$A$1:$Z$1,0))&amp;""),""))</f>
        <v/>
      </c>
      <c r="AC582" s="41">
        <f>IF(TRIM('Counts'!$B$26&amp;"")="","",IFERROR(TRIM(INDEX($A582:$Z582,MATCH('Counts'!$B$26,$A$1:$Z$1,0))&amp;""),""))</f>
        <v/>
      </c>
      <c r="AD582" s="41">
        <f>IF(TRIM('Counts'!$B$44&amp;"")="","",IFERROR(TRIM(INDEX($A582:$Z582,MATCH('Counts'!$B$44,$A$1:$Z$1,0))&amp;""),""))</f>
        <v/>
      </c>
      <c r="AE582" s="41">
        <f>IF(TRIM('Cross-tab'!$B$5&amp;"")="","",IFERROR(TRIM(INDEX($A582:$Z582,MATCH('Cross-tab'!$B$5,$A$1:$Z$1,0))&amp;""),""))</f>
        <v/>
      </c>
      <c r="AF582" s="41">
        <f>IF(TRIM('Cross-tab'!$B$7&amp;"")="","",IFERROR(TRIM(INDEX($A582:$Z582,MATCH('Cross-tab'!$B$7,$A$1:$Z$1,0))&amp;""),""))</f>
        <v/>
      </c>
      <c r="AG582" s="41">
        <f>IF(ISNUMBER(IFERROR(VALUE(IF(TRIM('Scale score'!$B$5&amp;"")="","",IFERROR(TRIM(INDEX($A582:$Z582,MATCH('Scale score'!$B$5,$A$1:$Z$1,0))&amp;""),""))),"")),IF(AND(IFERROR(VALUE(IF(TRIM('Scale score'!$B$5&amp;"")="","",IFERROR(TRIM(INDEX($A582:$Z582,MATCH('Scale score'!$B$5,$A$1:$Z$1,0))&amp;""),""))),"")&gt;='Scale score'!$B$6,IFERROR(VALUE(IF(TRIM('Scale score'!$B$5&amp;"")="","",IFERROR(TRIM(INDEX($A582:$Z582,MATCH('Scale score'!$B$5,$A$1:$Z$1,0))&amp;""),""))),"")&lt;='Scale score'!$B$7),IFERROR(VALUE(IF(TRIM('Scale score'!$B$5&amp;"")="","",IFERROR(TRIM(INDEX($A582:$Z582,MATCH('Scale score'!$B$5,$A$1:$Z$1,0))&amp;""),""))),""),""),"")</f>
        <v/>
      </c>
      <c r="AH582" s="41">
        <f>IF(TRIM('Open answers'!$B$5&amp;"")="","",IFERROR(TRIM(INDEX($A582:$Z582,MATCH('Open answers'!$B$5,$A$1:$Z$1,0))&amp;""),""))</f>
        <v/>
      </c>
      <c r="AI582" s="41">
        <f>IF(LEN(AH582)&gt;0,MAX($AI$1:AI581)+1,"")</f>
        <v/>
      </c>
    </row>
    <row r="583">
      <c r="AA583" s="40" t="n"/>
      <c r="AB583" s="41">
        <f>IF(TRIM('Counts'!$B$8&amp;"")="","",IFERROR(TRIM(INDEX($A583:$Z583,MATCH('Counts'!$B$8,$A$1:$Z$1,0))&amp;""),""))</f>
        <v/>
      </c>
      <c r="AC583" s="41">
        <f>IF(TRIM('Counts'!$B$26&amp;"")="","",IFERROR(TRIM(INDEX($A583:$Z583,MATCH('Counts'!$B$26,$A$1:$Z$1,0))&amp;""),""))</f>
        <v/>
      </c>
      <c r="AD583" s="41">
        <f>IF(TRIM('Counts'!$B$44&amp;"")="","",IFERROR(TRIM(INDEX($A583:$Z583,MATCH('Counts'!$B$44,$A$1:$Z$1,0))&amp;""),""))</f>
        <v/>
      </c>
      <c r="AE583" s="41">
        <f>IF(TRIM('Cross-tab'!$B$5&amp;"")="","",IFERROR(TRIM(INDEX($A583:$Z583,MATCH('Cross-tab'!$B$5,$A$1:$Z$1,0))&amp;""),""))</f>
        <v/>
      </c>
      <c r="AF583" s="41">
        <f>IF(TRIM('Cross-tab'!$B$7&amp;"")="","",IFERROR(TRIM(INDEX($A583:$Z583,MATCH('Cross-tab'!$B$7,$A$1:$Z$1,0))&amp;""),""))</f>
        <v/>
      </c>
      <c r="AG583" s="41">
        <f>IF(ISNUMBER(IFERROR(VALUE(IF(TRIM('Scale score'!$B$5&amp;"")="","",IFERROR(TRIM(INDEX($A583:$Z583,MATCH('Scale score'!$B$5,$A$1:$Z$1,0))&amp;""),""))),"")),IF(AND(IFERROR(VALUE(IF(TRIM('Scale score'!$B$5&amp;"")="","",IFERROR(TRIM(INDEX($A583:$Z583,MATCH('Scale score'!$B$5,$A$1:$Z$1,0))&amp;""),""))),"")&gt;='Scale score'!$B$6,IFERROR(VALUE(IF(TRIM('Scale score'!$B$5&amp;"")="","",IFERROR(TRIM(INDEX($A583:$Z583,MATCH('Scale score'!$B$5,$A$1:$Z$1,0))&amp;""),""))),"")&lt;='Scale score'!$B$7),IFERROR(VALUE(IF(TRIM('Scale score'!$B$5&amp;"")="","",IFERROR(TRIM(INDEX($A583:$Z583,MATCH('Scale score'!$B$5,$A$1:$Z$1,0))&amp;""),""))),""),""),"")</f>
        <v/>
      </c>
      <c r="AH583" s="41">
        <f>IF(TRIM('Open answers'!$B$5&amp;"")="","",IFERROR(TRIM(INDEX($A583:$Z583,MATCH('Open answers'!$B$5,$A$1:$Z$1,0))&amp;""),""))</f>
        <v/>
      </c>
      <c r="AI583" s="41">
        <f>IF(LEN(AH583)&gt;0,MAX($AI$1:AI582)+1,"")</f>
        <v/>
      </c>
    </row>
    <row r="584">
      <c r="AA584" s="40" t="n"/>
      <c r="AB584" s="41">
        <f>IF(TRIM('Counts'!$B$8&amp;"")="","",IFERROR(TRIM(INDEX($A584:$Z584,MATCH('Counts'!$B$8,$A$1:$Z$1,0))&amp;""),""))</f>
        <v/>
      </c>
      <c r="AC584" s="41">
        <f>IF(TRIM('Counts'!$B$26&amp;"")="","",IFERROR(TRIM(INDEX($A584:$Z584,MATCH('Counts'!$B$26,$A$1:$Z$1,0))&amp;""),""))</f>
        <v/>
      </c>
      <c r="AD584" s="41">
        <f>IF(TRIM('Counts'!$B$44&amp;"")="","",IFERROR(TRIM(INDEX($A584:$Z584,MATCH('Counts'!$B$44,$A$1:$Z$1,0))&amp;""),""))</f>
        <v/>
      </c>
      <c r="AE584" s="41">
        <f>IF(TRIM('Cross-tab'!$B$5&amp;"")="","",IFERROR(TRIM(INDEX($A584:$Z584,MATCH('Cross-tab'!$B$5,$A$1:$Z$1,0))&amp;""),""))</f>
        <v/>
      </c>
      <c r="AF584" s="41">
        <f>IF(TRIM('Cross-tab'!$B$7&amp;"")="","",IFERROR(TRIM(INDEX($A584:$Z584,MATCH('Cross-tab'!$B$7,$A$1:$Z$1,0))&amp;""),""))</f>
        <v/>
      </c>
      <c r="AG584" s="41">
        <f>IF(ISNUMBER(IFERROR(VALUE(IF(TRIM('Scale score'!$B$5&amp;"")="","",IFERROR(TRIM(INDEX($A584:$Z584,MATCH('Scale score'!$B$5,$A$1:$Z$1,0))&amp;""),""))),"")),IF(AND(IFERROR(VALUE(IF(TRIM('Scale score'!$B$5&amp;"")="","",IFERROR(TRIM(INDEX($A584:$Z584,MATCH('Scale score'!$B$5,$A$1:$Z$1,0))&amp;""),""))),"")&gt;='Scale score'!$B$6,IFERROR(VALUE(IF(TRIM('Scale score'!$B$5&amp;"")="","",IFERROR(TRIM(INDEX($A584:$Z584,MATCH('Scale score'!$B$5,$A$1:$Z$1,0))&amp;""),""))),"")&lt;='Scale score'!$B$7),IFERROR(VALUE(IF(TRIM('Scale score'!$B$5&amp;"")="","",IFERROR(TRIM(INDEX($A584:$Z584,MATCH('Scale score'!$B$5,$A$1:$Z$1,0))&amp;""),""))),""),""),"")</f>
        <v/>
      </c>
      <c r="AH584" s="41">
        <f>IF(TRIM('Open answers'!$B$5&amp;"")="","",IFERROR(TRIM(INDEX($A584:$Z584,MATCH('Open answers'!$B$5,$A$1:$Z$1,0))&amp;""),""))</f>
        <v/>
      </c>
      <c r="AI584" s="41">
        <f>IF(LEN(AH584)&gt;0,MAX($AI$1:AI583)+1,"")</f>
        <v/>
      </c>
    </row>
    <row r="585">
      <c r="AA585" s="40" t="n"/>
      <c r="AB585" s="41">
        <f>IF(TRIM('Counts'!$B$8&amp;"")="","",IFERROR(TRIM(INDEX($A585:$Z585,MATCH('Counts'!$B$8,$A$1:$Z$1,0))&amp;""),""))</f>
        <v/>
      </c>
      <c r="AC585" s="41">
        <f>IF(TRIM('Counts'!$B$26&amp;"")="","",IFERROR(TRIM(INDEX($A585:$Z585,MATCH('Counts'!$B$26,$A$1:$Z$1,0))&amp;""),""))</f>
        <v/>
      </c>
      <c r="AD585" s="41">
        <f>IF(TRIM('Counts'!$B$44&amp;"")="","",IFERROR(TRIM(INDEX($A585:$Z585,MATCH('Counts'!$B$44,$A$1:$Z$1,0))&amp;""),""))</f>
        <v/>
      </c>
      <c r="AE585" s="41">
        <f>IF(TRIM('Cross-tab'!$B$5&amp;"")="","",IFERROR(TRIM(INDEX($A585:$Z585,MATCH('Cross-tab'!$B$5,$A$1:$Z$1,0))&amp;""),""))</f>
        <v/>
      </c>
      <c r="AF585" s="41">
        <f>IF(TRIM('Cross-tab'!$B$7&amp;"")="","",IFERROR(TRIM(INDEX($A585:$Z585,MATCH('Cross-tab'!$B$7,$A$1:$Z$1,0))&amp;""),""))</f>
        <v/>
      </c>
      <c r="AG585" s="41">
        <f>IF(ISNUMBER(IFERROR(VALUE(IF(TRIM('Scale score'!$B$5&amp;"")="","",IFERROR(TRIM(INDEX($A585:$Z585,MATCH('Scale score'!$B$5,$A$1:$Z$1,0))&amp;""),""))),"")),IF(AND(IFERROR(VALUE(IF(TRIM('Scale score'!$B$5&amp;"")="","",IFERROR(TRIM(INDEX($A585:$Z585,MATCH('Scale score'!$B$5,$A$1:$Z$1,0))&amp;""),""))),"")&gt;='Scale score'!$B$6,IFERROR(VALUE(IF(TRIM('Scale score'!$B$5&amp;"")="","",IFERROR(TRIM(INDEX($A585:$Z585,MATCH('Scale score'!$B$5,$A$1:$Z$1,0))&amp;""),""))),"")&lt;='Scale score'!$B$7),IFERROR(VALUE(IF(TRIM('Scale score'!$B$5&amp;"")="","",IFERROR(TRIM(INDEX($A585:$Z585,MATCH('Scale score'!$B$5,$A$1:$Z$1,0))&amp;""),""))),""),""),"")</f>
        <v/>
      </c>
      <c r="AH585" s="41">
        <f>IF(TRIM('Open answers'!$B$5&amp;"")="","",IFERROR(TRIM(INDEX($A585:$Z585,MATCH('Open answers'!$B$5,$A$1:$Z$1,0))&amp;""),""))</f>
        <v/>
      </c>
      <c r="AI585" s="41">
        <f>IF(LEN(AH585)&gt;0,MAX($AI$1:AI584)+1,"")</f>
        <v/>
      </c>
    </row>
    <row r="586">
      <c r="AA586" s="40" t="n"/>
      <c r="AB586" s="41">
        <f>IF(TRIM('Counts'!$B$8&amp;"")="","",IFERROR(TRIM(INDEX($A586:$Z586,MATCH('Counts'!$B$8,$A$1:$Z$1,0))&amp;""),""))</f>
        <v/>
      </c>
      <c r="AC586" s="41">
        <f>IF(TRIM('Counts'!$B$26&amp;"")="","",IFERROR(TRIM(INDEX($A586:$Z586,MATCH('Counts'!$B$26,$A$1:$Z$1,0))&amp;""),""))</f>
        <v/>
      </c>
      <c r="AD586" s="41">
        <f>IF(TRIM('Counts'!$B$44&amp;"")="","",IFERROR(TRIM(INDEX($A586:$Z586,MATCH('Counts'!$B$44,$A$1:$Z$1,0))&amp;""),""))</f>
        <v/>
      </c>
      <c r="AE586" s="41">
        <f>IF(TRIM('Cross-tab'!$B$5&amp;"")="","",IFERROR(TRIM(INDEX($A586:$Z586,MATCH('Cross-tab'!$B$5,$A$1:$Z$1,0))&amp;""),""))</f>
        <v/>
      </c>
      <c r="AF586" s="41">
        <f>IF(TRIM('Cross-tab'!$B$7&amp;"")="","",IFERROR(TRIM(INDEX($A586:$Z586,MATCH('Cross-tab'!$B$7,$A$1:$Z$1,0))&amp;""),""))</f>
        <v/>
      </c>
      <c r="AG586" s="41">
        <f>IF(ISNUMBER(IFERROR(VALUE(IF(TRIM('Scale score'!$B$5&amp;"")="","",IFERROR(TRIM(INDEX($A586:$Z586,MATCH('Scale score'!$B$5,$A$1:$Z$1,0))&amp;""),""))),"")),IF(AND(IFERROR(VALUE(IF(TRIM('Scale score'!$B$5&amp;"")="","",IFERROR(TRIM(INDEX($A586:$Z586,MATCH('Scale score'!$B$5,$A$1:$Z$1,0))&amp;""),""))),"")&gt;='Scale score'!$B$6,IFERROR(VALUE(IF(TRIM('Scale score'!$B$5&amp;"")="","",IFERROR(TRIM(INDEX($A586:$Z586,MATCH('Scale score'!$B$5,$A$1:$Z$1,0))&amp;""),""))),"")&lt;='Scale score'!$B$7),IFERROR(VALUE(IF(TRIM('Scale score'!$B$5&amp;"")="","",IFERROR(TRIM(INDEX($A586:$Z586,MATCH('Scale score'!$B$5,$A$1:$Z$1,0))&amp;""),""))),""),""),"")</f>
        <v/>
      </c>
      <c r="AH586" s="41">
        <f>IF(TRIM('Open answers'!$B$5&amp;"")="","",IFERROR(TRIM(INDEX($A586:$Z586,MATCH('Open answers'!$B$5,$A$1:$Z$1,0))&amp;""),""))</f>
        <v/>
      </c>
      <c r="AI586" s="41">
        <f>IF(LEN(AH586)&gt;0,MAX($AI$1:AI585)+1,"")</f>
        <v/>
      </c>
    </row>
    <row r="587">
      <c r="AA587" s="40" t="n"/>
      <c r="AB587" s="41">
        <f>IF(TRIM('Counts'!$B$8&amp;"")="","",IFERROR(TRIM(INDEX($A587:$Z587,MATCH('Counts'!$B$8,$A$1:$Z$1,0))&amp;""),""))</f>
        <v/>
      </c>
      <c r="AC587" s="41">
        <f>IF(TRIM('Counts'!$B$26&amp;"")="","",IFERROR(TRIM(INDEX($A587:$Z587,MATCH('Counts'!$B$26,$A$1:$Z$1,0))&amp;""),""))</f>
        <v/>
      </c>
      <c r="AD587" s="41">
        <f>IF(TRIM('Counts'!$B$44&amp;"")="","",IFERROR(TRIM(INDEX($A587:$Z587,MATCH('Counts'!$B$44,$A$1:$Z$1,0))&amp;""),""))</f>
        <v/>
      </c>
      <c r="AE587" s="41">
        <f>IF(TRIM('Cross-tab'!$B$5&amp;"")="","",IFERROR(TRIM(INDEX($A587:$Z587,MATCH('Cross-tab'!$B$5,$A$1:$Z$1,0))&amp;""),""))</f>
        <v/>
      </c>
      <c r="AF587" s="41">
        <f>IF(TRIM('Cross-tab'!$B$7&amp;"")="","",IFERROR(TRIM(INDEX($A587:$Z587,MATCH('Cross-tab'!$B$7,$A$1:$Z$1,0))&amp;""),""))</f>
        <v/>
      </c>
      <c r="AG587" s="41">
        <f>IF(ISNUMBER(IFERROR(VALUE(IF(TRIM('Scale score'!$B$5&amp;"")="","",IFERROR(TRIM(INDEX($A587:$Z587,MATCH('Scale score'!$B$5,$A$1:$Z$1,0))&amp;""),""))),"")),IF(AND(IFERROR(VALUE(IF(TRIM('Scale score'!$B$5&amp;"")="","",IFERROR(TRIM(INDEX($A587:$Z587,MATCH('Scale score'!$B$5,$A$1:$Z$1,0))&amp;""),""))),"")&gt;='Scale score'!$B$6,IFERROR(VALUE(IF(TRIM('Scale score'!$B$5&amp;"")="","",IFERROR(TRIM(INDEX($A587:$Z587,MATCH('Scale score'!$B$5,$A$1:$Z$1,0))&amp;""),""))),"")&lt;='Scale score'!$B$7),IFERROR(VALUE(IF(TRIM('Scale score'!$B$5&amp;"")="","",IFERROR(TRIM(INDEX($A587:$Z587,MATCH('Scale score'!$B$5,$A$1:$Z$1,0))&amp;""),""))),""),""),"")</f>
        <v/>
      </c>
      <c r="AH587" s="41">
        <f>IF(TRIM('Open answers'!$B$5&amp;"")="","",IFERROR(TRIM(INDEX($A587:$Z587,MATCH('Open answers'!$B$5,$A$1:$Z$1,0))&amp;""),""))</f>
        <v/>
      </c>
      <c r="AI587" s="41">
        <f>IF(LEN(AH587)&gt;0,MAX($AI$1:AI586)+1,"")</f>
        <v/>
      </c>
    </row>
    <row r="588">
      <c r="AA588" s="40" t="n"/>
      <c r="AB588" s="41">
        <f>IF(TRIM('Counts'!$B$8&amp;"")="","",IFERROR(TRIM(INDEX($A588:$Z588,MATCH('Counts'!$B$8,$A$1:$Z$1,0))&amp;""),""))</f>
        <v/>
      </c>
      <c r="AC588" s="41">
        <f>IF(TRIM('Counts'!$B$26&amp;"")="","",IFERROR(TRIM(INDEX($A588:$Z588,MATCH('Counts'!$B$26,$A$1:$Z$1,0))&amp;""),""))</f>
        <v/>
      </c>
      <c r="AD588" s="41">
        <f>IF(TRIM('Counts'!$B$44&amp;"")="","",IFERROR(TRIM(INDEX($A588:$Z588,MATCH('Counts'!$B$44,$A$1:$Z$1,0))&amp;""),""))</f>
        <v/>
      </c>
      <c r="AE588" s="41">
        <f>IF(TRIM('Cross-tab'!$B$5&amp;"")="","",IFERROR(TRIM(INDEX($A588:$Z588,MATCH('Cross-tab'!$B$5,$A$1:$Z$1,0))&amp;""),""))</f>
        <v/>
      </c>
      <c r="AF588" s="41">
        <f>IF(TRIM('Cross-tab'!$B$7&amp;"")="","",IFERROR(TRIM(INDEX($A588:$Z588,MATCH('Cross-tab'!$B$7,$A$1:$Z$1,0))&amp;""),""))</f>
        <v/>
      </c>
      <c r="AG588" s="41">
        <f>IF(ISNUMBER(IFERROR(VALUE(IF(TRIM('Scale score'!$B$5&amp;"")="","",IFERROR(TRIM(INDEX($A588:$Z588,MATCH('Scale score'!$B$5,$A$1:$Z$1,0))&amp;""),""))),"")),IF(AND(IFERROR(VALUE(IF(TRIM('Scale score'!$B$5&amp;"")="","",IFERROR(TRIM(INDEX($A588:$Z588,MATCH('Scale score'!$B$5,$A$1:$Z$1,0))&amp;""),""))),"")&gt;='Scale score'!$B$6,IFERROR(VALUE(IF(TRIM('Scale score'!$B$5&amp;"")="","",IFERROR(TRIM(INDEX($A588:$Z588,MATCH('Scale score'!$B$5,$A$1:$Z$1,0))&amp;""),""))),"")&lt;='Scale score'!$B$7),IFERROR(VALUE(IF(TRIM('Scale score'!$B$5&amp;"")="","",IFERROR(TRIM(INDEX($A588:$Z588,MATCH('Scale score'!$B$5,$A$1:$Z$1,0))&amp;""),""))),""),""),"")</f>
        <v/>
      </c>
      <c r="AH588" s="41">
        <f>IF(TRIM('Open answers'!$B$5&amp;"")="","",IFERROR(TRIM(INDEX($A588:$Z588,MATCH('Open answers'!$B$5,$A$1:$Z$1,0))&amp;""),""))</f>
        <v/>
      </c>
      <c r="AI588" s="41">
        <f>IF(LEN(AH588)&gt;0,MAX($AI$1:AI587)+1,"")</f>
        <v/>
      </c>
    </row>
    <row r="589">
      <c r="AA589" s="40" t="n"/>
      <c r="AB589" s="41">
        <f>IF(TRIM('Counts'!$B$8&amp;"")="","",IFERROR(TRIM(INDEX($A589:$Z589,MATCH('Counts'!$B$8,$A$1:$Z$1,0))&amp;""),""))</f>
        <v/>
      </c>
      <c r="AC589" s="41">
        <f>IF(TRIM('Counts'!$B$26&amp;"")="","",IFERROR(TRIM(INDEX($A589:$Z589,MATCH('Counts'!$B$26,$A$1:$Z$1,0))&amp;""),""))</f>
        <v/>
      </c>
      <c r="AD589" s="41">
        <f>IF(TRIM('Counts'!$B$44&amp;"")="","",IFERROR(TRIM(INDEX($A589:$Z589,MATCH('Counts'!$B$44,$A$1:$Z$1,0))&amp;""),""))</f>
        <v/>
      </c>
      <c r="AE589" s="41">
        <f>IF(TRIM('Cross-tab'!$B$5&amp;"")="","",IFERROR(TRIM(INDEX($A589:$Z589,MATCH('Cross-tab'!$B$5,$A$1:$Z$1,0))&amp;""),""))</f>
        <v/>
      </c>
      <c r="AF589" s="41">
        <f>IF(TRIM('Cross-tab'!$B$7&amp;"")="","",IFERROR(TRIM(INDEX($A589:$Z589,MATCH('Cross-tab'!$B$7,$A$1:$Z$1,0))&amp;""),""))</f>
        <v/>
      </c>
      <c r="AG589" s="41">
        <f>IF(ISNUMBER(IFERROR(VALUE(IF(TRIM('Scale score'!$B$5&amp;"")="","",IFERROR(TRIM(INDEX($A589:$Z589,MATCH('Scale score'!$B$5,$A$1:$Z$1,0))&amp;""),""))),"")),IF(AND(IFERROR(VALUE(IF(TRIM('Scale score'!$B$5&amp;"")="","",IFERROR(TRIM(INDEX($A589:$Z589,MATCH('Scale score'!$B$5,$A$1:$Z$1,0))&amp;""),""))),"")&gt;='Scale score'!$B$6,IFERROR(VALUE(IF(TRIM('Scale score'!$B$5&amp;"")="","",IFERROR(TRIM(INDEX($A589:$Z589,MATCH('Scale score'!$B$5,$A$1:$Z$1,0))&amp;""),""))),"")&lt;='Scale score'!$B$7),IFERROR(VALUE(IF(TRIM('Scale score'!$B$5&amp;"")="","",IFERROR(TRIM(INDEX($A589:$Z589,MATCH('Scale score'!$B$5,$A$1:$Z$1,0))&amp;""),""))),""),""),"")</f>
        <v/>
      </c>
      <c r="AH589" s="41">
        <f>IF(TRIM('Open answers'!$B$5&amp;"")="","",IFERROR(TRIM(INDEX($A589:$Z589,MATCH('Open answers'!$B$5,$A$1:$Z$1,0))&amp;""),""))</f>
        <v/>
      </c>
      <c r="AI589" s="41">
        <f>IF(LEN(AH589)&gt;0,MAX($AI$1:AI588)+1,"")</f>
        <v/>
      </c>
    </row>
    <row r="590">
      <c r="AA590" s="40" t="n"/>
      <c r="AB590" s="41">
        <f>IF(TRIM('Counts'!$B$8&amp;"")="","",IFERROR(TRIM(INDEX($A590:$Z590,MATCH('Counts'!$B$8,$A$1:$Z$1,0))&amp;""),""))</f>
        <v/>
      </c>
      <c r="AC590" s="41">
        <f>IF(TRIM('Counts'!$B$26&amp;"")="","",IFERROR(TRIM(INDEX($A590:$Z590,MATCH('Counts'!$B$26,$A$1:$Z$1,0))&amp;""),""))</f>
        <v/>
      </c>
      <c r="AD590" s="41">
        <f>IF(TRIM('Counts'!$B$44&amp;"")="","",IFERROR(TRIM(INDEX($A590:$Z590,MATCH('Counts'!$B$44,$A$1:$Z$1,0))&amp;""),""))</f>
        <v/>
      </c>
      <c r="AE590" s="41">
        <f>IF(TRIM('Cross-tab'!$B$5&amp;"")="","",IFERROR(TRIM(INDEX($A590:$Z590,MATCH('Cross-tab'!$B$5,$A$1:$Z$1,0))&amp;""),""))</f>
        <v/>
      </c>
      <c r="AF590" s="41">
        <f>IF(TRIM('Cross-tab'!$B$7&amp;"")="","",IFERROR(TRIM(INDEX($A590:$Z590,MATCH('Cross-tab'!$B$7,$A$1:$Z$1,0))&amp;""),""))</f>
        <v/>
      </c>
      <c r="AG590" s="41">
        <f>IF(ISNUMBER(IFERROR(VALUE(IF(TRIM('Scale score'!$B$5&amp;"")="","",IFERROR(TRIM(INDEX($A590:$Z590,MATCH('Scale score'!$B$5,$A$1:$Z$1,0))&amp;""),""))),"")),IF(AND(IFERROR(VALUE(IF(TRIM('Scale score'!$B$5&amp;"")="","",IFERROR(TRIM(INDEX($A590:$Z590,MATCH('Scale score'!$B$5,$A$1:$Z$1,0))&amp;""),""))),"")&gt;='Scale score'!$B$6,IFERROR(VALUE(IF(TRIM('Scale score'!$B$5&amp;"")="","",IFERROR(TRIM(INDEX($A590:$Z590,MATCH('Scale score'!$B$5,$A$1:$Z$1,0))&amp;""),""))),"")&lt;='Scale score'!$B$7),IFERROR(VALUE(IF(TRIM('Scale score'!$B$5&amp;"")="","",IFERROR(TRIM(INDEX($A590:$Z590,MATCH('Scale score'!$B$5,$A$1:$Z$1,0))&amp;""),""))),""),""),"")</f>
        <v/>
      </c>
      <c r="AH590" s="41">
        <f>IF(TRIM('Open answers'!$B$5&amp;"")="","",IFERROR(TRIM(INDEX($A590:$Z590,MATCH('Open answers'!$B$5,$A$1:$Z$1,0))&amp;""),""))</f>
        <v/>
      </c>
      <c r="AI590" s="41">
        <f>IF(LEN(AH590)&gt;0,MAX($AI$1:AI589)+1,"")</f>
        <v/>
      </c>
    </row>
    <row r="591">
      <c r="AA591" s="40" t="n"/>
      <c r="AB591" s="41">
        <f>IF(TRIM('Counts'!$B$8&amp;"")="","",IFERROR(TRIM(INDEX($A591:$Z591,MATCH('Counts'!$B$8,$A$1:$Z$1,0))&amp;""),""))</f>
        <v/>
      </c>
      <c r="AC591" s="41">
        <f>IF(TRIM('Counts'!$B$26&amp;"")="","",IFERROR(TRIM(INDEX($A591:$Z591,MATCH('Counts'!$B$26,$A$1:$Z$1,0))&amp;""),""))</f>
        <v/>
      </c>
      <c r="AD591" s="41">
        <f>IF(TRIM('Counts'!$B$44&amp;"")="","",IFERROR(TRIM(INDEX($A591:$Z591,MATCH('Counts'!$B$44,$A$1:$Z$1,0))&amp;""),""))</f>
        <v/>
      </c>
      <c r="AE591" s="41">
        <f>IF(TRIM('Cross-tab'!$B$5&amp;"")="","",IFERROR(TRIM(INDEX($A591:$Z591,MATCH('Cross-tab'!$B$5,$A$1:$Z$1,0))&amp;""),""))</f>
        <v/>
      </c>
      <c r="AF591" s="41">
        <f>IF(TRIM('Cross-tab'!$B$7&amp;"")="","",IFERROR(TRIM(INDEX($A591:$Z591,MATCH('Cross-tab'!$B$7,$A$1:$Z$1,0))&amp;""),""))</f>
        <v/>
      </c>
      <c r="AG591" s="41">
        <f>IF(ISNUMBER(IFERROR(VALUE(IF(TRIM('Scale score'!$B$5&amp;"")="","",IFERROR(TRIM(INDEX($A591:$Z591,MATCH('Scale score'!$B$5,$A$1:$Z$1,0))&amp;""),""))),"")),IF(AND(IFERROR(VALUE(IF(TRIM('Scale score'!$B$5&amp;"")="","",IFERROR(TRIM(INDEX($A591:$Z591,MATCH('Scale score'!$B$5,$A$1:$Z$1,0))&amp;""),""))),"")&gt;='Scale score'!$B$6,IFERROR(VALUE(IF(TRIM('Scale score'!$B$5&amp;"")="","",IFERROR(TRIM(INDEX($A591:$Z591,MATCH('Scale score'!$B$5,$A$1:$Z$1,0))&amp;""),""))),"")&lt;='Scale score'!$B$7),IFERROR(VALUE(IF(TRIM('Scale score'!$B$5&amp;"")="","",IFERROR(TRIM(INDEX($A591:$Z591,MATCH('Scale score'!$B$5,$A$1:$Z$1,0))&amp;""),""))),""),""),"")</f>
        <v/>
      </c>
      <c r="AH591" s="41">
        <f>IF(TRIM('Open answers'!$B$5&amp;"")="","",IFERROR(TRIM(INDEX($A591:$Z591,MATCH('Open answers'!$B$5,$A$1:$Z$1,0))&amp;""),""))</f>
        <v/>
      </c>
      <c r="AI591" s="41">
        <f>IF(LEN(AH591)&gt;0,MAX($AI$1:AI590)+1,"")</f>
        <v/>
      </c>
    </row>
    <row r="592">
      <c r="AA592" s="40" t="n"/>
      <c r="AB592" s="41">
        <f>IF(TRIM('Counts'!$B$8&amp;"")="","",IFERROR(TRIM(INDEX($A592:$Z592,MATCH('Counts'!$B$8,$A$1:$Z$1,0))&amp;""),""))</f>
        <v/>
      </c>
      <c r="AC592" s="41">
        <f>IF(TRIM('Counts'!$B$26&amp;"")="","",IFERROR(TRIM(INDEX($A592:$Z592,MATCH('Counts'!$B$26,$A$1:$Z$1,0))&amp;""),""))</f>
        <v/>
      </c>
      <c r="AD592" s="41">
        <f>IF(TRIM('Counts'!$B$44&amp;"")="","",IFERROR(TRIM(INDEX($A592:$Z592,MATCH('Counts'!$B$44,$A$1:$Z$1,0))&amp;""),""))</f>
        <v/>
      </c>
      <c r="AE592" s="41">
        <f>IF(TRIM('Cross-tab'!$B$5&amp;"")="","",IFERROR(TRIM(INDEX($A592:$Z592,MATCH('Cross-tab'!$B$5,$A$1:$Z$1,0))&amp;""),""))</f>
        <v/>
      </c>
      <c r="AF592" s="41">
        <f>IF(TRIM('Cross-tab'!$B$7&amp;"")="","",IFERROR(TRIM(INDEX($A592:$Z592,MATCH('Cross-tab'!$B$7,$A$1:$Z$1,0))&amp;""),""))</f>
        <v/>
      </c>
      <c r="AG592" s="41">
        <f>IF(ISNUMBER(IFERROR(VALUE(IF(TRIM('Scale score'!$B$5&amp;"")="","",IFERROR(TRIM(INDEX($A592:$Z592,MATCH('Scale score'!$B$5,$A$1:$Z$1,0))&amp;""),""))),"")),IF(AND(IFERROR(VALUE(IF(TRIM('Scale score'!$B$5&amp;"")="","",IFERROR(TRIM(INDEX($A592:$Z592,MATCH('Scale score'!$B$5,$A$1:$Z$1,0))&amp;""),""))),"")&gt;='Scale score'!$B$6,IFERROR(VALUE(IF(TRIM('Scale score'!$B$5&amp;"")="","",IFERROR(TRIM(INDEX($A592:$Z592,MATCH('Scale score'!$B$5,$A$1:$Z$1,0))&amp;""),""))),"")&lt;='Scale score'!$B$7),IFERROR(VALUE(IF(TRIM('Scale score'!$B$5&amp;"")="","",IFERROR(TRIM(INDEX($A592:$Z592,MATCH('Scale score'!$B$5,$A$1:$Z$1,0))&amp;""),""))),""),""),"")</f>
        <v/>
      </c>
      <c r="AH592" s="41">
        <f>IF(TRIM('Open answers'!$B$5&amp;"")="","",IFERROR(TRIM(INDEX($A592:$Z592,MATCH('Open answers'!$B$5,$A$1:$Z$1,0))&amp;""),""))</f>
        <v/>
      </c>
      <c r="AI592" s="41">
        <f>IF(LEN(AH592)&gt;0,MAX($AI$1:AI591)+1,"")</f>
        <v/>
      </c>
    </row>
    <row r="593">
      <c r="AA593" s="40" t="n"/>
      <c r="AB593" s="41">
        <f>IF(TRIM('Counts'!$B$8&amp;"")="","",IFERROR(TRIM(INDEX($A593:$Z593,MATCH('Counts'!$B$8,$A$1:$Z$1,0))&amp;""),""))</f>
        <v/>
      </c>
      <c r="AC593" s="41">
        <f>IF(TRIM('Counts'!$B$26&amp;"")="","",IFERROR(TRIM(INDEX($A593:$Z593,MATCH('Counts'!$B$26,$A$1:$Z$1,0))&amp;""),""))</f>
        <v/>
      </c>
      <c r="AD593" s="41">
        <f>IF(TRIM('Counts'!$B$44&amp;"")="","",IFERROR(TRIM(INDEX($A593:$Z593,MATCH('Counts'!$B$44,$A$1:$Z$1,0))&amp;""),""))</f>
        <v/>
      </c>
      <c r="AE593" s="41">
        <f>IF(TRIM('Cross-tab'!$B$5&amp;"")="","",IFERROR(TRIM(INDEX($A593:$Z593,MATCH('Cross-tab'!$B$5,$A$1:$Z$1,0))&amp;""),""))</f>
        <v/>
      </c>
      <c r="AF593" s="41">
        <f>IF(TRIM('Cross-tab'!$B$7&amp;"")="","",IFERROR(TRIM(INDEX($A593:$Z593,MATCH('Cross-tab'!$B$7,$A$1:$Z$1,0))&amp;""),""))</f>
        <v/>
      </c>
      <c r="AG593" s="41">
        <f>IF(ISNUMBER(IFERROR(VALUE(IF(TRIM('Scale score'!$B$5&amp;"")="","",IFERROR(TRIM(INDEX($A593:$Z593,MATCH('Scale score'!$B$5,$A$1:$Z$1,0))&amp;""),""))),"")),IF(AND(IFERROR(VALUE(IF(TRIM('Scale score'!$B$5&amp;"")="","",IFERROR(TRIM(INDEX($A593:$Z593,MATCH('Scale score'!$B$5,$A$1:$Z$1,0))&amp;""),""))),"")&gt;='Scale score'!$B$6,IFERROR(VALUE(IF(TRIM('Scale score'!$B$5&amp;"")="","",IFERROR(TRIM(INDEX($A593:$Z593,MATCH('Scale score'!$B$5,$A$1:$Z$1,0))&amp;""),""))),"")&lt;='Scale score'!$B$7),IFERROR(VALUE(IF(TRIM('Scale score'!$B$5&amp;"")="","",IFERROR(TRIM(INDEX($A593:$Z593,MATCH('Scale score'!$B$5,$A$1:$Z$1,0))&amp;""),""))),""),""),"")</f>
        <v/>
      </c>
      <c r="AH593" s="41">
        <f>IF(TRIM('Open answers'!$B$5&amp;"")="","",IFERROR(TRIM(INDEX($A593:$Z593,MATCH('Open answers'!$B$5,$A$1:$Z$1,0))&amp;""),""))</f>
        <v/>
      </c>
      <c r="AI593" s="41">
        <f>IF(LEN(AH593)&gt;0,MAX($AI$1:AI592)+1,"")</f>
        <v/>
      </c>
    </row>
    <row r="594">
      <c r="AA594" s="40" t="n"/>
      <c r="AB594" s="41">
        <f>IF(TRIM('Counts'!$B$8&amp;"")="","",IFERROR(TRIM(INDEX($A594:$Z594,MATCH('Counts'!$B$8,$A$1:$Z$1,0))&amp;""),""))</f>
        <v/>
      </c>
      <c r="AC594" s="41">
        <f>IF(TRIM('Counts'!$B$26&amp;"")="","",IFERROR(TRIM(INDEX($A594:$Z594,MATCH('Counts'!$B$26,$A$1:$Z$1,0))&amp;""),""))</f>
        <v/>
      </c>
      <c r="AD594" s="41">
        <f>IF(TRIM('Counts'!$B$44&amp;"")="","",IFERROR(TRIM(INDEX($A594:$Z594,MATCH('Counts'!$B$44,$A$1:$Z$1,0))&amp;""),""))</f>
        <v/>
      </c>
      <c r="AE594" s="41">
        <f>IF(TRIM('Cross-tab'!$B$5&amp;"")="","",IFERROR(TRIM(INDEX($A594:$Z594,MATCH('Cross-tab'!$B$5,$A$1:$Z$1,0))&amp;""),""))</f>
        <v/>
      </c>
      <c r="AF594" s="41">
        <f>IF(TRIM('Cross-tab'!$B$7&amp;"")="","",IFERROR(TRIM(INDEX($A594:$Z594,MATCH('Cross-tab'!$B$7,$A$1:$Z$1,0))&amp;""),""))</f>
        <v/>
      </c>
      <c r="AG594" s="41">
        <f>IF(ISNUMBER(IFERROR(VALUE(IF(TRIM('Scale score'!$B$5&amp;"")="","",IFERROR(TRIM(INDEX($A594:$Z594,MATCH('Scale score'!$B$5,$A$1:$Z$1,0))&amp;""),""))),"")),IF(AND(IFERROR(VALUE(IF(TRIM('Scale score'!$B$5&amp;"")="","",IFERROR(TRIM(INDEX($A594:$Z594,MATCH('Scale score'!$B$5,$A$1:$Z$1,0))&amp;""),""))),"")&gt;='Scale score'!$B$6,IFERROR(VALUE(IF(TRIM('Scale score'!$B$5&amp;"")="","",IFERROR(TRIM(INDEX($A594:$Z594,MATCH('Scale score'!$B$5,$A$1:$Z$1,0))&amp;""),""))),"")&lt;='Scale score'!$B$7),IFERROR(VALUE(IF(TRIM('Scale score'!$B$5&amp;"")="","",IFERROR(TRIM(INDEX($A594:$Z594,MATCH('Scale score'!$B$5,$A$1:$Z$1,0))&amp;""),""))),""),""),"")</f>
        <v/>
      </c>
      <c r="AH594" s="41">
        <f>IF(TRIM('Open answers'!$B$5&amp;"")="","",IFERROR(TRIM(INDEX($A594:$Z594,MATCH('Open answers'!$B$5,$A$1:$Z$1,0))&amp;""),""))</f>
        <v/>
      </c>
      <c r="AI594" s="41">
        <f>IF(LEN(AH594)&gt;0,MAX($AI$1:AI593)+1,"")</f>
        <v/>
      </c>
    </row>
    <row r="595">
      <c r="AA595" s="40" t="n"/>
      <c r="AB595" s="41">
        <f>IF(TRIM('Counts'!$B$8&amp;"")="","",IFERROR(TRIM(INDEX($A595:$Z595,MATCH('Counts'!$B$8,$A$1:$Z$1,0))&amp;""),""))</f>
        <v/>
      </c>
      <c r="AC595" s="41">
        <f>IF(TRIM('Counts'!$B$26&amp;"")="","",IFERROR(TRIM(INDEX($A595:$Z595,MATCH('Counts'!$B$26,$A$1:$Z$1,0))&amp;""),""))</f>
        <v/>
      </c>
      <c r="AD595" s="41">
        <f>IF(TRIM('Counts'!$B$44&amp;"")="","",IFERROR(TRIM(INDEX($A595:$Z595,MATCH('Counts'!$B$44,$A$1:$Z$1,0))&amp;""),""))</f>
        <v/>
      </c>
      <c r="AE595" s="41">
        <f>IF(TRIM('Cross-tab'!$B$5&amp;"")="","",IFERROR(TRIM(INDEX($A595:$Z595,MATCH('Cross-tab'!$B$5,$A$1:$Z$1,0))&amp;""),""))</f>
        <v/>
      </c>
      <c r="AF595" s="41">
        <f>IF(TRIM('Cross-tab'!$B$7&amp;"")="","",IFERROR(TRIM(INDEX($A595:$Z595,MATCH('Cross-tab'!$B$7,$A$1:$Z$1,0))&amp;""),""))</f>
        <v/>
      </c>
      <c r="AG595" s="41">
        <f>IF(ISNUMBER(IFERROR(VALUE(IF(TRIM('Scale score'!$B$5&amp;"")="","",IFERROR(TRIM(INDEX($A595:$Z595,MATCH('Scale score'!$B$5,$A$1:$Z$1,0))&amp;""),""))),"")),IF(AND(IFERROR(VALUE(IF(TRIM('Scale score'!$B$5&amp;"")="","",IFERROR(TRIM(INDEX($A595:$Z595,MATCH('Scale score'!$B$5,$A$1:$Z$1,0))&amp;""),""))),"")&gt;='Scale score'!$B$6,IFERROR(VALUE(IF(TRIM('Scale score'!$B$5&amp;"")="","",IFERROR(TRIM(INDEX($A595:$Z595,MATCH('Scale score'!$B$5,$A$1:$Z$1,0))&amp;""),""))),"")&lt;='Scale score'!$B$7),IFERROR(VALUE(IF(TRIM('Scale score'!$B$5&amp;"")="","",IFERROR(TRIM(INDEX($A595:$Z595,MATCH('Scale score'!$B$5,$A$1:$Z$1,0))&amp;""),""))),""),""),"")</f>
        <v/>
      </c>
      <c r="AH595" s="41">
        <f>IF(TRIM('Open answers'!$B$5&amp;"")="","",IFERROR(TRIM(INDEX($A595:$Z595,MATCH('Open answers'!$B$5,$A$1:$Z$1,0))&amp;""),""))</f>
        <v/>
      </c>
      <c r="AI595" s="41">
        <f>IF(LEN(AH595)&gt;0,MAX($AI$1:AI594)+1,"")</f>
        <v/>
      </c>
    </row>
    <row r="596">
      <c r="AA596" s="40" t="n"/>
      <c r="AB596" s="41">
        <f>IF(TRIM('Counts'!$B$8&amp;"")="","",IFERROR(TRIM(INDEX($A596:$Z596,MATCH('Counts'!$B$8,$A$1:$Z$1,0))&amp;""),""))</f>
        <v/>
      </c>
      <c r="AC596" s="41">
        <f>IF(TRIM('Counts'!$B$26&amp;"")="","",IFERROR(TRIM(INDEX($A596:$Z596,MATCH('Counts'!$B$26,$A$1:$Z$1,0))&amp;""),""))</f>
        <v/>
      </c>
      <c r="AD596" s="41">
        <f>IF(TRIM('Counts'!$B$44&amp;"")="","",IFERROR(TRIM(INDEX($A596:$Z596,MATCH('Counts'!$B$44,$A$1:$Z$1,0))&amp;""),""))</f>
        <v/>
      </c>
      <c r="AE596" s="41">
        <f>IF(TRIM('Cross-tab'!$B$5&amp;"")="","",IFERROR(TRIM(INDEX($A596:$Z596,MATCH('Cross-tab'!$B$5,$A$1:$Z$1,0))&amp;""),""))</f>
        <v/>
      </c>
      <c r="AF596" s="41">
        <f>IF(TRIM('Cross-tab'!$B$7&amp;"")="","",IFERROR(TRIM(INDEX($A596:$Z596,MATCH('Cross-tab'!$B$7,$A$1:$Z$1,0))&amp;""),""))</f>
        <v/>
      </c>
      <c r="AG596" s="41">
        <f>IF(ISNUMBER(IFERROR(VALUE(IF(TRIM('Scale score'!$B$5&amp;"")="","",IFERROR(TRIM(INDEX($A596:$Z596,MATCH('Scale score'!$B$5,$A$1:$Z$1,0))&amp;""),""))),"")),IF(AND(IFERROR(VALUE(IF(TRIM('Scale score'!$B$5&amp;"")="","",IFERROR(TRIM(INDEX($A596:$Z596,MATCH('Scale score'!$B$5,$A$1:$Z$1,0))&amp;""),""))),"")&gt;='Scale score'!$B$6,IFERROR(VALUE(IF(TRIM('Scale score'!$B$5&amp;"")="","",IFERROR(TRIM(INDEX($A596:$Z596,MATCH('Scale score'!$B$5,$A$1:$Z$1,0))&amp;""),""))),"")&lt;='Scale score'!$B$7),IFERROR(VALUE(IF(TRIM('Scale score'!$B$5&amp;"")="","",IFERROR(TRIM(INDEX($A596:$Z596,MATCH('Scale score'!$B$5,$A$1:$Z$1,0))&amp;""),""))),""),""),"")</f>
        <v/>
      </c>
      <c r="AH596" s="41">
        <f>IF(TRIM('Open answers'!$B$5&amp;"")="","",IFERROR(TRIM(INDEX($A596:$Z596,MATCH('Open answers'!$B$5,$A$1:$Z$1,0))&amp;""),""))</f>
        <v/>
      </c>
      <c r="AI596" s="41">
        <f>IF(LEN(AH596)&gt;0,MAX($AI$1:AI595)+1,"")</f>
        <v/>
      </c>
    </row>
    <row r="597">
      <c r="AA597" s="40" t="n"/>
      <c r="AB597" s="41">
        <f>IF(TRIM('Counts'!$B$8&amp;"")="","",IFERROR(TRIM(INDEX($A597:$Z597,MATCH('Counts'!$B$8,$A$1:$Z$1,0))&amp;""),""))</f>
        <v/>
      </c>
      <c r="AC597" s="41">
        <f>IF(TRIM('Counts'!$B$26&amp;"")="","",IFERROR(TRIM(INDEX($A597:$Z597,MATCH('Counts'!$B$26,$A$1:$Z$1,0))&amp;""),""))</f>
        <v/>
      </c>
      <c r="AD597" s="41">
        <f>IF(TRIM('Counts'!$B$44&amp;"")="","",IFERROR(TRIM(INDEX($A597:$Z597,MATCH('Counts'!$B$44,$A$1:$Z$1,0))&amp;""),""))</f>
        <v/>
      </c>
      <c r="AE597" s="41">
        <f>IF(TRIM('Cross-tab'!$B$5&amp;"")="","",IFERROR(TRIM(INDEX($A597:$Z597,MATCH('Cross-tab'!$B$5,$A$1:$Z$1,0))&amp;""),""))</f>
        <v/>
      </c>
      <c r="AF597" s="41">
        <f>IF(TRIM('Cross-tab'!$B$7&amp;"")="","",IFERROR(TRIM(INDEX($A597:$Z597,MATCH('Cross-tab'!$B$7,$A$1:$Z$1,0))&amp;""),""))</f>
        <v/>
      </c>
      <c r="AG597" s="41">
        <f>IF(ISNUMBER(IFERROR(VALUE(IF(TRIM('Scale score'!$B$5&amp;"")="","",IFERROR(TRIM(INDEX($A597:$Z597,MATCH('Scale score'!$B$5,$A$1:$Z$1,0))&amp;""),""))),"")),IF(AND(IFERROR(VALUE(IF(TRIM('Scale score'!$B$5&amp;"")="","",IFERROR(TRIM(INDEX($A597:$Z597,MATCH('Scale score'!$B$5,$A$1:$Z$1,0))&amp;""),""))),"")&gt;='Scale score'!$B$6,IFERROR(VALUE(IF(TRIM('Scale score'!$B$5&amp;"")="","",IFERROR(TRIM(INDEX($A597:$Z597,MATCH('Scale score'!$B$5,$A$1:$Z$1,0))&amp;""),""))),"")&lt;='Scale score'!$B$7),IFERROR(VALUE(IF(TRIM('Scale score'!$B$5&amp;"")="","",IFERROR(TRIM(INDEX($A597:$Z597,MATCH('Scale score'!$B$5,$A$1:$Z$1,0))&amp;""),""))),""),""),"")</f>
        <v/>
      </c>
      <c r="AH597" s="41">
        <f>IF(TRIM('Open answers'!$B$5&amp;"")="","",IFERROR(TRIM(INDEX($A597:$Z597,MATCH('Open answers'!$B$5,$A$1:$Z$1,0))&amp;""),""))</f>
        <v/>
      </c>
      <c r="AI597" s="41">
        <f>IF(LEN(AH597)&gt;0,MAX($AI$1:AI596)+1,"")</f>
        <v/>
      </c>
    </row>
    <row r="598">
      <c r="AA598" s="40" t="n"/>
      <c r="AB598" s="41">
        <f>IF(TRIM('Counts'!$B$8&amp;"")="","",IFERROR(TRIM(INDEX($A598:$Z598,MATCH('Counts'!$B$8,$A$1:$Z$1,0))&amp;""),""))</f>
        <v/>
      </c>
      <c r="AC598" s="41">
        <f>IF(TRIM('Counts'!$B$26&amp;"")="","",IFERROR(TRIM(INDEX($A598:$Z598,MATCH('Counts'!$B$26,$A$1:$Z$1,0))&amp;""),""))</f>
        <v/>
      </c>
      <c r="AD598" s="41">
        <f>IF(TRIM('Counts'!$B$44&amp;"")="","",IFERROR(TRIM(INDEX($A598:$Z598,MATCH('Counts'!$B$44,$A$1:$Z$1,0))&amp;""),""))</f>
        <v/>
      </c>
      <c r="AE598" s="41">
        <f>IF(TRIM('Cross-tab'!$B$5&amp;"")="","",IFERROR(TRIM(INDEX($A598:$Z598,MATCH('Cross-tab'!$B$5,$A$1:$Z$1,0))&amp;""),""))</f>
        <v/>
      </c>
      <c r="AF598" s="41">
        <f>IF(TRIM('Cross-tab'!$B$7&amp;"")="","",IFERROR(TRIM(INDEX($A598:$Z598,MATCH('Cross-tab'!$B$7,$A$1:$Z$1,0))&amp;""),""))</f>
        <v/>
      </c>
      <c r="AG598" s="41">
        <f>IF(ISNUMBER(IFERROR(VALUE(IF(TRIM('Scale score'!$B$5&amp;"")="","",IFERROR(TRIM(INDEX($A598:$Z598,MATCH('Scale score'!$B$5,$A$1:$Z$1,0))&amp;""),""))),"")),IF(AND(IFERROR(VALUE(IF(TRIM('Scale score'!$B$5&amp;"")="","",IFERROR(TRIM(INDEX($A598:$Z598,MATCH('Scale score'!$B$5,$A$1:$Z$1,0))&amp;""),""))),"")&gt;='Scale score'!$B$6,IFERROR(VALUE(IF(TRIM('Scale score'!$B$5&amp;"")="","",IFERROR(TRIM(INDEX($A598:$Z598,MATCH('Scale score'!$B$5,$A$1:$Z$1,0))&amp;""),""))),"")&lt;='Scale score'!$B$7),IFERROR(VALUE(IF(TRIM('Scale score'!$B$5&amp;"")="","",IFERROR(TRIM(INDEX($A598:$Z598,MATCH('Scale score'!$B$5,$A$1:$Z$1,0))&amp;""),""))),""),""),"")</f>
        <v/>
      </c>
      <c r="AH598" s="41">
        <f>IF(TRIM('Open answers'!$B$5&amp;"")="","",IFERROR(TRIM(INDEX($A598:$Z598,MATCH('Open answers'!$B$5,$A$1:$Z$1,0))&amp;""),""))</f>
        <v/>
      </c>
      <c r="AI598" s="41">
        <f>IF(LEN(AH598)&gt;0,MAX($AI$1:AI597)+1,"")</f>
        <v/>
      </c>
    </row>
    <row r="599">
      <c r="AA599" s="40" t="n"/>
      <c r="AB599" s="41">
        <f>IF(TRIM('Counts'!$B$8&amp;"")="","",IFERROR(TRIM(INDEX($A599:$Z599,MATCH('Counts'!$B$8,$A$1:$Z$1,0))&amp;""),""))</f>
        <v/>
      </c>
      <c r="AC599" s="41">
        <f>IF(TRIM('Counts'!$B$26&amp;"")="","",IFERROR(TRIM(INDEX($A599:$Z599,MATCH('Counts'!$B$26,$A$1:$Z$1,0))&amp;""),""))</f>
        <v/>
      </c>
      <c r="AD599" s="41">
        <f>IF(TRIM('Counts'!$B$44&amp;"")="","",IFERROR(TRIM(INDEX($A599:$Z599,MATCH('Counts'!$B$44,$A$1:$Z$1,0))&amp;""),""))</f>
        <v/>
      </c>
      <c r="AE599" s="41">
        <f>IF(TRIM('Cross-tab'!$B$5&amp;"")="","",IFERROR(TRIM(INDEX($A599:$Z599,MATCH('Cross-tab'!$B$5,$A$1:$Z$1,0))&amp;""),""))</f>
        <v/>
      </c>
      <c r="AF599" s="41">
        <f>IF(TRIM('Cross-tab'!$B$7&amp;"")="","",IFERROR(TRIM(INDEX($A599:$Z599,MATCH('Cross-tab'!$B$7,$A$1:$Z$1,0))&amp;""),""))</f>
        <v/>
      </c>
      <c r="AG599" s="41">
        <f>IF(ISNUMBER(IFERROR(VALUE(IF(TRIM('Scale score'!$B$5&amp;"")="","",IFERROR(TRIM(INDEX($A599:$Z599,MATCH('Scale score'!$B$5,$A$1:$Z$1,0))&amp;""),""))),"")),IF(AND(IFERROR(VALUE(IF(TRIM('Scale score'!$B$5&amp;"")="","",IFERROR(TRIM(INDEX($A599:$Z599,MATCH('Scale score'!$B$5,$A$1:$Z$1,0))&amp;""),""))),"")&gt;='Scale score'!$B$6,IFERROR(VALUE(IF(TRIM('Scale score'!$B$5&amp;"")="","",IFERROR(TRIM(INDEX($A599:$Z599,MATCH('Scale score'!$B$5,$A$1:$Z$1,0))&amp;""),""))),"")&lt;='Scale score'!$B$7),IFERROR(VALUE(IF(TRIM('Scale score'!$B$5&amp;"")="","",IFERROR(TRIM(INDEX($A599:$Z599,MATCH('Scale score'!$B$5,$A$1:$Z$1,0))&amp;""),""))),""),""),"")</f>
        <v/>
      </c>
      <c r="AH599" s="41">
        <f>IF(TRIM('Open answers'!$B$5&amp;"")="","",IFERROR(TRIM(INDEX($A599:$Z599,MATCH('Open answers'!$B$5,$A$1:$Z$1,0))&amp;""),""))</f>
        <v/>
      </c>
      <c r="AI599" s="41">
        <f>IF(LEN(AH599)&gt;0,MAX($AI$1:AI598)+1,"")</f>
        <v/>
      </c>
    </row>
    <row r="600">
      <c r="AA600" s="40" t="n"/>
      <c r="AB600" s="41">
        <f>IF(TRIM('Counts'!$B$8&amp;"")="","",IFERROR(TRIM(INDEX($A600:$Z600,MATCH('Counts'!$B$8,$A$1:$Z$1,0))&amp;""),""))</f>
        <v/>
      </c>
      <c r="AC600" s="41">
        <f>IF(TRIM('Counts'!$B$26&amp;"")="","",IFERROR(TRIM(INDEX($A600:$Z600,MATCH('Counts'!$B$26,$A$1:$Z$1,0))&amp;""),""))</f>
        <v/>
      </c>
      <c r="AD600" s="41">
        <f>IF(TRIM('Counts'!$B$44&amp;"")="","",IFERROR(TRIM(INDEX($A600:$Z600,MATCH('Counts'!$B$44,$A$1:$Z$1,0))&amp;""),""))</f>
        <v/>
      </c>
      <c r="AE600" s="41">
        <f>IF(TRIM('Cross-tab'!$B$5&amp;"")="","",IFERROR(TRIM(INDEX($A600:$Z600,MATCH('Cross-tab'!$B$5,$A$1:$Z$1,0))&amp;""),""))</f>
        <v/>
      </c>
      <c r="AF600" s="41">
        <f>IF(TRIM('Cross-tab'!$B$7&amp;"")="","",IFERROR(TRIM(INDEX($A600:$Z600,MATCH('Cross-tab'!$B$7,$A$1:$Z$1,0))&amp;""),""))</f>
        <v/>
      </c>
      <c r="AG600" s="41">
        <f>IF(ISNUMBER(IFERROR(VALUE(IF(TRIM('Scale score'!$B$5&amp;"")="","",IFERROR(TRIM(INDEX($A600:$Z600,MATCH('Scale score'!$B$5,$A$1:$Z$1,0))&amp;""),""))),"")),IF(AND(IFERROR(VALUE(IF(TRIM('Scale score'!$B$5&amp;"")="","",IFERROR(TRIM(INDEX($A600:$Z600,MATCH('Scale score'!$B$5,$A$1:$Z$1,0))&amp;""),""))),"")&gt;='Scale score'!$B$6,IFERROR(VALUE(IF(TRIM('Scale score'!$B$5&amp;"")="","",IFERROR(TRIM(INDEX($A600:$Z600,MATCH('Scale score'!$B$5,$A$1:$Z$1,0))&amp;""),""))),"")&lt;='Scale score'!$B$7),IFERROR(VALUE(IF(TRIM('Scale score'!$B$5&amp;"")="","",IFERROR(TRIM(INDEX($A600:$Z600,MATCH('Scale score'!$B$5,$A$1:$Z$1,0))&amp;""),""))),""),""),"")</f>
        <v/>
      </c>
      <c r="AH600" s="41">
        <f>IF(TRIM('Open answers'!$B$5&amp;"")="","",IFERROR(TRIM(INDEX($A600:$Z600,MATCH('Open answers'!$B$5,$A$1:$Z$1,0))&amp;""),""))</f>
        <v/>
      </c>
      <c r="AI600" s="41">
        <f>IF(LEN(AH600)&gt;0,MAX($AI$1:AI599)+1,"")</f>
        <v/>
      </c>
    </row>
    <row r="601">
      <c r="AA601" s="40" t="n"/>
      <c r="AB601" s="41">
        <f>IF(TRIM('Counts'!$B$8&amp;"")="","",IFERROR(TRIM(INDEX($A601:$Z601,MATCH('Counts'!$B$8,$A$1:$Z$1,0))&amp;""),""))</f>
        <v/>
      </c>
      <c r="AC601" s="41">
        <f>IF(TRIM('Counts'!$B$26&amp;"")="","",IFERROR(TRIM(INDEX($A601:$Z601,MATCH('Counts'!$B$26,$A$1:$Z$1,0))&amp;""),""))</f>
        <v/>
      </c>
      <c r="AD601" s="41">
        <f>IF(TRIM('Counts'!$B$44&amp;"")="","",IFERROR(TRIM(INDEX($A601:$Z601,MATCH('Counts'!$B$44,$A$1:$Z$1,0))&amp;""),""))</f>
        <v/>
      </c>
      <c r="AE601" s="41">
        <f>IF(TRIM('Cross-tab'!$B$5&amp;"")="","",IFERROR(TRIM(INDEX($A601:$Z601,MATCH('Cross-tab'!$B$5,$A$1:$Z$1,0))&amp;""),""))</f>
        <v/>
      </c>
      <c r="AF601" s="41">
        <f>IF(TRIM('Cross-tab'!$B$7&amp;"")="","",IFERROR(TRIM(INDEX($A601:$Z601,MATCH('Cross-tab'!$B$7,$A$1:$Z$1,0))&amp;""),""))</f>
        <v/>
      </c>
      <c r="AG601" s="41">
        <f>IF(ISNUMBER(IFERROR(VALUE(IF(TRIM('Scale score'!$B$5&amp;"")="","",IFERROR(TRIM(INDEX($A601:$Z601,MATCH('Scale score'!$B$5,$A$1:$Z$1,0))&amp;""),""))),"")),IF(AND(IFERROR(VALUE(IF(TRIM('Scale score'!$B$5&amp;"")="","",IFERROR(TRIM(INDEX($A601:$Z601,MATCH('Scale score'!$B$5,$A$1:$Z$1,0))&amp;""),""))),"")&gt;='Scale score'!$B$6,IFERROR(VALUE(IF(TRIM('Scale score'!$B$5&amp;"")="","",IFERROR(TRIM(INDEX($A601:$Z601,MATCH('Scale score'!$B$5,$A$1:$Z$1,0))&amp;""),""))),"")&lt;='Scale score'!$B$7),IFERROR(VALUE(IF(TRIM('Scale score'!$B$5&amp;"")="","",IFERROR(TRIM(INDEX($A601:$Z601,MATCH('Scale score'!$B$5,$A$1:$Z$1,0))&amp;""),""))),""),""),"")</f>
        <v/>
      </c>
      <c r="AH601" s="41">
        <f>IF(TRIM('Open answers'!$B$5&amp;"")="","",IFERROR(TRIM(INDEX($A601:$Z601,MATCH('Open answers'!$B$5,$A$1:$Z$1,0))&amp;""),""))</f>
        <v/>
      </c>
      <c r="AI601" s="41">
        <f>IF(LEN(AH601)&gt;0,MAX($AI$1:AI600)+1,"")</f>
        <v/>
      </c>
    </row>
    <row r="602">
      <c r="AA602" s="40" t="n"/>
      <c r="AB602" s="41">
        <f>IF(TRIM('Counts'!$B$8&amp;"")="","",IFERROR(TRIM(INDEX($A602:$Z602,MATCH('Counts'!$B$8,$A$1:$Z$1,0))&amp;""),""))</f>
        <v/>
      </c>
      <c r="AC602" s="41">
        <f>IF(TRIM('Counts'!$B$26&amp;"")="","",IFERROR(TRIM(INDEX($A602:$Z602,MATCH('Counts'!$B$26,$A$1:$Z$1,0))&amp;""),""))</f>
        <v/>
      </c>
      <c r="AD602" s="41">
        <f>IF(TRIM('Counts'!$B$44&amp;"")="","",IFERROR(TRIM(INDEX($A602:$Z602,MATCH('Counts'!$B$44,$A$1:$Z$1,0))&amp;""),""))</f>
        <v/>
      </c>
      <c r="AE602" s="41">
        <f>IF(TRIM('Cross-tab'!$B$5&amp;"")="","",IFERROR(TRIM(INDEX($A602:$Z602,MATCH('Cross-tab'!$B$5,$A$1:$Z$1,0))&amp;""),""))</f>
        <v/>
      </c>
      <c r="AF602" s="41">
        <f>IF(TRIM('Cross-tab'!$B$7&amp;"")="","",IFERROR(TRIM(INDEX($A602:$Z602,MATCH('Cross-tab'!$B$7,$A$1:$Z$1,0))&amp;""),""))</f>
        <v/>
      </c>
      <c r="AG602" s="41">
        <f>IF(ISNUMBER(IFERROR(VALUE(IF(TRIM('Scale score'!$B$5&amp;"")="","",IFERROR(TRIM(INDEX($A602:$Z602,MATCH('Scale score'!$B$5,$A$1:$Z$1,0))&amp;""),""))),"")),IF(AND(IFERROR(VALUE(IF(TRIM('Scale score'!$B$5&amp;"")="","",IFERROR(TRIM(INDEX($A602:$Z602,MATCH('Scale score'!$B$5,$A$1:$Z$1,0))&amp;""),""))),"")&gt;='Scale score'!$B$6,IFERROR(VALUE(IF(TRIM('Scale score'!$B$5&amp;"")="","",IFERROR(TRIM(INDEX($A602:$Z602,MATCH('Scale score'!$B$5,$A$1:$Z$1,0))&amp;""),""))),"")&lt;='Scale score'!$B$7),IFERROR(VALUE(IF(TRIM('Scale score'!$B$5&amp;"")="","",IFERROR(TRIM(INDEX($A602:$Z602,MATCH('Scale score'!$B$5,$A$1:$Z$1,0))&amp;""),""))),""),""),"")</f>
        <v/>
      </c>
      <c r="AH602" s="41">
        <f>IF(TRIM('Open answers'!$B$5&amp;"")="","",IFERROR(TRIM(INDEX($A602:$Z602,MATCH('Open answers'!$B$5,$A$1:$Z$1,0))&amp;""),""))</f>
        <v/>
      </c>
      <c r="AI602" s="41">
        <f>IF(LEN(AH602)&gt;0,MAX($AI$1:AI601)+1,"")</f>
        <v/>
      </c>
    </row>
    <row r="603">
      <c r="AA603" s="40" t="n"/>
      <c r="AB603" s="41">
        <f>IF(TRIM('Counts'!$B$8&amp;"")="","",IFERROR(TRIM(INDEX($A603:$Z603,MATCH('Counts'!$B$8,$A$1:$Z$1,0))&amp;""),""))</f>
        <v/>
      </c>
      <c r="AC603" s="41">
        <f>IF(TRIM('Counts'!$B$26&amp;"")="","",IFERROR(TRIM(INDEX($A603:$Z603,MATCH('Counts'!$B$26,$A$1:$Z$1,0))&amp;""),""))</f>
        <v/>
      </c>
      <c r="AD603" s="41">
        <f>IF(TRIM('Counts'!$B$44&amp;"")="","",IFERROR(TRIM(INDEX($A603:$Z603,MATCH('Counts'!$B$44,$A$1:$Z$1,0))&amp;""),""))</f>
        <v/>
      </c>
      <c r="AE603" s="41">
        <f>IF(TRIM('Cross-tab'!$B$5&amp;"")="","",IFERROR(TRIM(INDEX($A603:$Z603,MATCH('Cross-tab'!$B$5,$A$1:$Z$1,0))&amp;""),""))</f>
        <v/>
      </c>
      <c r="AF603" s="41">
        <f>IF(TRIM('Cross-tab'!$B$7&amp;"")="","",IFERROR(TRIM(INDEX($A603:$Z603,MATCH('Cross-tab'!$B$7,$A$1:$Z$1,0))&amp;""),""))</f>
        <v/>
      </c>
      <c r="AG603" s="41">
        <f>IF(ISNUMBER(IFERROR(VALUE(IF(TRIM('Scale score'!$B$5&amp;"")="","",IFERROR(TRIM(INDEX($A603:$Z603,MATCH('Scale score'!$B$5,$A$1:$Z$1,0))&amp;""),""))),"")),IF(AND(IFERROR(VALUE(IF(TRIM('Scale score'!$B$5&amp;"")="","",IFERROR(TRIM(INDEX($A603:$Z603,MATCH('Scale score'!$B$5,$A$1:$Z$1,0))&amp;""),""))),"")&gt;='Scale score'!$B$6,IFERROR(VALUE(IF(TRIM('Scale score'!$B$5&amp;"")="","",IFERROR(TRIM(INDEX($A603:$Z603,MATCH('Scale score'!$B$5,$A$1:$Z$1,0))&amp;""),""))),"")&lt;='Scale score'!$B$7),IFERROR(VALUE(IF(TRIM('Scale score'!$B$5&amp;"")="","",IFERROR(TRIM(INDEX($A603:$Z603,MATCH('Scale score'!$B$5,$A$1:$Z$1,0))&amp;""),""))),""),""),"")</f>
        <v/>
      </c>
      <c r="AH603" s="41">
        <f>IF(TRIM('Open answers'!$B$5&amp;"")="","",IFERROR(TRIM(INDEX($A603:$Z603,MATCH('Open answers'!$B$5,$A$1:$Z$1,0))&amp;""),""))</f>
        <v/>
      </c>
      <c r="AI603" s="41">
        <f>IF(LEN(AH603)&gt;0,MAX($AI$1:AI602)+1,"")</f>
        <v/>
      </c>
    </row>
    <row r="604">
      <c r="AA604" s="40" t="n"/>
      <c r="AB604" s="41">
        <f>IF(TRIM('Counts'!$B$8&amp;"")="","",IFERROR(TRIM(INDEX($A604:$Z604,MATCH('Counts'!$B$8,$A$1:$Z$1,0))&amp;""),""))</f>
        <v/>
      </c>
      <c r="AC604" s="41">
        <f>IF(TRIM('Counts'!$B$26&amp;"")="","",IFERROR(TRIM(INDEX($A604:$Z604,MATCH('Counts'!$B$26,$A$1:$Z$1,0))&amp;""),""))</f>
        <v/>
      </c>
      <c r="AD604" s="41">
        <f>IF(TRIM('Counts'!$B$44&amp;"")="","",IFERROR(TRIM(INDEX($A604:$Z604,MATCH('Counts'!$B$44,$A$1:$Z$1,0))&amp;""),""))</f>
        <v/>
      </c>
      <c r="AE604" s="41">
        <f>IF(TRIM('Cross-tab'!$B$5&amp;"")="","",IFERROR(TRIM(INDEX($A604:$Z604,MATCH('Cross-tab'!$B$5,$A$1:$Z$1,0))&amp;""),""))</f>
        <v/>
      </c>
      <c r="AF604" s="41">
        <f>IF(TRIM('Cross-tab'!$B$7&amp;"")="","",IFERROR(TRIM(INDEX($A604:$Z604,MATCH('Cross-tab'!$B$7,$A$1:$Z$1,0))&amp;""),""))</f>
        <v/>
      </c>
      <c r="AG604" s="41">
        <f>IF(ISNUMBER(IFERROR(VALUE(IF(TRIM('Scale score'!$B$5&amp;"")="","",IFERROR(TRIM(INDEX($A604:$Z604,MATCH('Scale score'!$B$5,$A$1:$Z$1,0))&amp;""),""))),"")),IF(AND(IFERROR(VALUE(IF(TRIM('Scale score'!$B$5&amp;"")="","",IFERROR(TRIM(INDEX($A604:$Z604,MATCH('Scale score'!$B$5,$A$1:$Z$1,0))&amp;""),""))),"")&gt;='Scale score'!$B$6,IFERROR(VALUE(IF(TRIM('Scale score'!$B$5&amp;"")="","",IFERROR(TRIM(INDEX($A604:$Z604,MATCH('Scale score'!$B$5,$A$1:$Z$1,0))&amp;""),""))),"")&lt;='Scale score'!$B$7),IFERROR(VALUE(IF(TRIM('Scale score'!$B$5&amp;"")="","",IFERROR(TRIM(INDEX($A604:$Z604,MATCH('Scale score'!$B$5,$A$1:$Z$1,0))&amp;""),""))),""),""),"")</f>
        <v/>
      </c>
      <c r="AH604" s="41">
        <f>IF(TRIM('Open answers'!$B$5&amp;"")="","",IFERROR(TRIM(INDEX($A604:$Z604,MATCH('Open answers'!$B$5,$A$1:$Z$1,0))&amp;""),""))</f>
        <v/>
      </c>
      <c r="AI604" s="41">
        <f>IF(LEN(AH604)&gt;0,MAX($AI$1:AI603)+1,"")</f>
        <v/>
      </c>
    </row>
    <row r="605">
      <c r="AA605" s="40" t="n"/>
      <c r="AB605" s="41">
        <f>IF(TRIM('Counts'!$B$8&amp;"")="","",IFERROR(TRIM(INDEX($A605:$Z605,MATCH('Counts'!$B$8,$A$1:$Z$1,0))&amp;""),""))</f>
        <v/>
      </c>
      <c r="AC605" s="41">
        <f>IF(TRIM('Counts'!$B$26&amp;"")="","",IFERROR(TRIM(INDEX($A605:$Z605,MATCH('Counts'!$B$26,$A$1:$Z$1,0))&amp;""),""))</f>
        <v/>
      </c>
      <c r="AD605" s="41">
        <f>IF(TRIM('Counts'!$B$44&amp;"")="","",IFERROR(TRIM(INDEX($A605:$Z605,MATCH('Counts'!$B$44,$A$1:$Z$1,0))&amp;""),""))</f>
        <v/>
      </c>
      <c r="AE605" s="41">
        <f>IF(TRIM('Cross-tab'!$B$5&amp;"")="","",IFERROR(TRIM(INDEX($A605:$Z605,MATCH('Cross-tab'!$B$5,$A$1:$Z$1,0))&amp;""),""))</f>
        <v/>
      </c>
      <c r="AF605" s="41">
        <f>IF(TRIM('Cross-tab'!$B$7&amp;"")="","",IFERROR(TRIM(INDEX($A605:$Z605,MATCH('Cross-tab'!$B$7,$A$1:$Z$1,0))&amp;""),""))</f>
        <v/>
      </c>
      <c r="AG605" s="41">
        <f>IF(ISNUMBER(IFERROR(VALUE(IF(TRIM('Scale score'!$B$5&amp;"")="","",IFERROR(TRIM(INDEX($A605:$Z605,MATCH('Scale score'!$B$5,$A$1:$Z$1,0))&amp;""),""))),"")),IF(AND(IFERROR(VALUE(IF(TRIM('Scale score'!$B$5&amp;"")="","",IFERROR(TRIM(INDEX($A605:$Z605,MATCH('Scale score'!$B$5,$A$1:$Z$1,0))&amp;""),""))),"")&gt;='Scale score'!$B$6,IFERROR(VALUE(IF(TRIM('Scale score'!$B$5&amp;"")="","",IFERROR(TRIM(INDEX($A605:$Z605,MATCH('Scale score'!$B$5,$A$1:$Z$1,0))&amp;""),""))),"")&lt;='Scale score'!$B$7),IFERROR(VALUE(IF(TRIM('Scale score'!$B$5&amp;"")="","",IFERROR(TRIM(INDEX($A605:$Z605,MATCH('Scale score'!$B$5,$A$1:$Z$1,0))&amp;""),""))),""),""),"")</f>
        <v/>
      </c>
      <c r="AH605" s="41">
        <f>IF(TRIM('Open answers'!$B$5&amp;"")="","",IFERROR(TRIM(INDEX($A605:$Z605,MATCH('Open answers'!$B$5,$A$1:$Z$1,0))&amp;""),""))</f>
        <v/>
      </c>
      <c r="AI605" s="41">
        <f>IF(LEN(AH605)&gt;0,MAX($AI$1:AI604)+1,"")</f>
        <v/>
      </c>
    </row>
    <row r="606">
      <c r="AA606" s="40" t="n"/>
      <c r="AB606" s="41">
        <f>IF(TRIM('Counts'!$B$8&amp;"")="","",IFERROR(TRIM(INDEX($A606:$Z606,MATCH('Counts'!$B$8,$A$1:$Z$1,0))&amp;""),""))</f>
        <v/>
      </c>
      <c r="AC606" s="41">
        <f>IF(TRIM('Counts'!$B$26&amp;"")="","",IFERROR(TRIM(INDEX($A606:$Z606,MATCH('Counts'!$B$26,$A$1:$Z$1,0))&amp;""),""))</f>
        <v/>
      </c>
      <c r="AD606" s="41">
        <f>IF(TRIM('Counts'!$B$44&amp;"")="","",IFERROR(TRIM(INDEX($A606:$Z606,MATCH('Counts'!$B$44,$A$1:$Z$1,0))&amp;""),""))</f>
        <v/>
      </c>
      <c r="AE606" s="41">
        <f>IF(TRIM('Cross-tab'!$B$5&amp;"")="","",IFERROR(TRIM(INDEX($A606:$Z606,MATCH('Cross-tab'!$B$5,$A$1:$Z$1,0))&amp;""),""))</f>
        <v/>
      </c>
      <c r="AF606" s="41">
        <f>IF(TRIM('Cross-tab'!$B$7&amp;"")="","",IFERROR(TRIM(INDEX($A606:$Z606,MATCH('Cross-tab'!$B$7,$A$1:$Z$1,0))&amp;""),""))</f>
        <v/>
      </c>
      <c r="AG606" s="41">
        <f>IF(ISNUMBER(IFERROR(VALUE(IF(TRIM('Scale score'!$B$5&amp;"")="","",IFERROR(TRIM(INDEX($A606:$Z606,MATCH('Scale score'!$B$5,$A$1:$Z$1,0))&amp;""),""))),"")),IF(AND(IFERROR(VALUE(IF(TRIM('Scale score'!$B$5&amp;"")="","",IFERROR(TRIM(INDEX($A606:$Z606,MATCH('Scale score'!$B$5,$A$1:$Z$1,0))&amp;""),""))),"")&gt;='Scale score'!$B$6,IFERROR(VALUE(IF(TRIM('Scale score'!$B$5&amp;"")="","",IFERROR(TRIM(INDEX($A606:$Z606,MATCH('Scale score'!$B$5,$A$1:$Z$1,0))&amp;""),""))),"")&lt;='Scale score'!$B$7),IFERROR(VALUE(IF(TRIM('Scale score'!$B$5&amp;"")="","",IFERROR(TRIM(INDEX($A606:$Z606,MATCH('Scale score'!$B$5,$A$1:$Z$1,0))&amp;""),""))),""),""),"")</f>
        <v/>
      </c>
      <c r="AH606" s="41">
        <f>IF(TRIM('Open answers'!$B$5&amp;"")="","",IFERROR(TRIM(INDEX($A606:$Z606,MATCH('Open answers'!$B$5,$A$1:$Z$1,0))&amp;""),""))</f>
        <v/>
      </c>
      <c r="AI606" s="41">
        <f>IF(LEN(AH606)&gt;0,MAX($AI$1:AI605)+1,"")</f>
        <v/>
      </c>
    </row>
    <row r="607">
      <c r="AA607" s="40" t="n"/>
      <c r="AB607" s="41">
        <f>IF(TRIM('Counts'!$B$8&amp;"")="","",IFERROR(TRIM(INDEX($A607:$Z607,MATCH('Counts'!$B$8,$A$1:$Z$1,0))&amp;""),""))</f>
        <v/>
      </c>
      <c r="AC607" s="41">
        <f>IF(TRIM('Counts'!$B$26&amp;"")="","",IFERROR(TRIM(INDEX($A607:$Z607,MATCH('Counts'!$B$26,$A$1:$Z$1,0))&amp;""),""))</f>
        <v/>
      </c>
      <c r="AD607" s="41">
        <f>IF(TRIM('Counts'!$B$44&amp;"")="","",IFERROR(TRIM(INDEX($A607:$Z607,MATCH('Counts'!$B$44,$A$1:$Z$1,0))&amp;""),""))</f>
        <v/>
      </c>
      <c r="AE607" s="41">
        <f>IF(TRIM('Cross-tab'!$B$5&amp;"")="","",IFERROR(TRIM(INDEX($A607:$Z607,MATCH('Cross-tab'!$B$5,$A$1:$Z$1,0))&amp;""),""))</f>
        <v/>
      </c>
      <c r="AF607" s="41">
        <f>IF(TRIM('Cross-tab'!$B$7&amp;"")="","",IFERROR(TRIM(INDEX($A607:$Z607,MATCH('Cross-tab'!$B$7,$A$1:$Z$1,0))&amp;""),""))</f>
        <v/>
      </c>
      <c r="AG607" s="41">
        <f>IF(ISNUMBER(IFERROR(VALUE(IF(TRIM('Scale score'!$B$5&amp;"")="","",IFERROR(TRIM(INDEX($A607:$Z607,MATCH('Scale score'!$B$5,$A$1:$Z$1,0))&amp;""),""))),"")),IF(AND(IFERROR(VALUE(IF(TRIM('Scale score'!$B$5&amp;"")="","",IFERROR(TRIM(INDEX($A607:$Z607,MATCH('Scale score'!$B$5,$A$1:$Z$1,0))&amp;""),""))),"")&gt;='Scale score'!$B$6,IFERROR(VALUE(IF(TRIM('Scale score'!$B$5&amp;"")="","",IFERROR(TRIM(INDEX($A607:$Z607,MATCH('Scale score'!$B$5,$A$1:$Z$1,0))&amp;""),""))),"")&lt;='Scale score'!$B$7),IFERROR(VALUE(IF(TRIM('Scale score'!$B$5&amp;"")="","",IFERROR(TRIM(INDEX($A607:$Z607,MATCH('Scale score'!$B$5,$A$1:$Z$1,0))&amp;""),""))),""),""),"")</f>
        <v/>
      </c>
      <c r="AH607" s="41">
        <f>IF(TRIM('Open answers'!$B$5&amp;"")="","",IFERROR(TRIM(INDEX($A607:$Z607,MATCH('Open answers'!$B$5,$A$1:$Z$1,0))&amp;""),""))</f>
        <v/>
      </c>
      <c r="AI607" s="41">
        <f>IF(LEN(AH607)&gt;0,MAX($AI$1:AI606)+1,"")</f>
        <v/>
      </c>
    </row>
    <row r="608">
      <c r="AA608" s="40" t="n"/>
      <c r="AB608" s="41">
        <f>IF(TRIM('Counts'!$B$8&amp;"")="","",IFERROR(TRIM(INDEX($A608:$Z608,MATCH('Counts'!$B$8,$A$1:$Z$1,0))&amp;""),""))</f>
        <v/>
      </c>
      <c r="AC608" s="41">
        <f>IF(TRIM('Counts'!$B$26&amp;"")="","",IFERROR(TRIM(INDEX($A608:$Z608,MATCH('Counts'!$B$26,$A$1:$Z$1,0))&amp;""),""))</f>
        <v/>
      </c>
      <c r="AD608" s="41">
        <f>IF(TRIM('Counts'!$B$44&amp;"")="","",IFERROR(TRIM(INDEX($A608:$Z608,MATCH('Counts'!$B$44,$A$1:$Z$1,0))&amp;""),""))</f>
        <v/>
      </c>
      <c r="AE608" s="41">
        <f>IF(TRIM('Cross-tab'!$B$5&amp;"")="","",IFERROR(TRIM(INDEX($A608:$Z608,MATCH('Cross-tab'!$B$5,$A$1:$Z$1,0))&amp;""),""))</f>
        <v/>
      </c>
      <c r="AF608" s="41">
        <f>IF(TRIM('Cross-tab'!$B$7&amp;"")="","",IFERROR(TRIM(INDEX($A608:$Z608,MATCH('Cross-tab'!$B$7,$A$1:$Z$1,0))&amp;""),""))</f>
        <v/>
      </c>
      <c r="AG608" s="41">
        <f>IF(ISNUMBER(IFERROR(VALUE(IF(TRIM('Scale score'!$B$5&amp;"")="","",IFERROR(TRIM(INDEX($A608:$Z608,MATCH('Scale score'!$B$5,$A$1:$Z$1,0))&amp;""),""))),"")),IF(AND(IFERROR(VALUE(IF(TRIM('Scale score'!$B$5&amp;"")="","",IFERROR(TRIM(INDEX($A608:$Z608,MATCH('Scale score'!$B$5,$A$1:$Z$1,0))&amp;""),""))),"")&gt;='Scale score'!$B$6,IFERROR(VALUE(IF(TRIM('Scale score'!$B$5&amp;"")="","",IFERROR(TRIM(INDEX($A608:$Z608,MATCH('Scale score'!$B$5,$A$1:$Z$1,0))&amp;""),""))),"")&lt;='Scale score'!$B$7),IFERROR(VALUE(IF(TRIM('Scale score'!$B$5&amp;"")="","",IFERROR(TRIM(INDEX($A608:$Z608,MATCH('Scale score'!$B$5,$A$1:$Z$1,0))&amp;""),""))),""),""),"")</f>
        <v/>
      </c>
      <c r="AH608" s="41">
        <f>IF(TRIM('Open answers'!$B$5&amp;"")="","",IFERROR(TRIM(INDEX($A608:$Z608,MATCH('Open answers'!$B$5,$A$1:$Z$1,0))&amp;""),""))</f>
        <v/>
      </c>
      <c r="AI608" s="41">
        <f>IF(LEN(AH608)&gt;0,MAX($AI$1:AI607)+1,"")</f>
        <v/>
      </c>
    </row>
    <row r="609">
      <c r="AA609" s="40" t="n"/>
      <c r="AB609" s="41">
        <f>IF(TRIM('Counts'!$B$8&amp;"")="","",IFERROR(TRIM(INDEX($A609:$Z609,MATCH('Counts'!$B$8,$A$1:$Z$1,0))&amp;""),""))</f>
        <v/>
      </c>
      <c r="AC609" s="41">
        <f>IF(TRIM('Counts'!$B$26&amp;"")="","",IFERROR(TRIM(INDEX($A609:$Z609,MATCH('Counts'!$B$26,$A$1:$Z$1,0))&amp;""),""))</f>
        <v/>
      </c>
      <c r="AD609" s="41">
        <f>IF(TRIM('Counts'!$B$44&amp;"")="","",IFERROR(TRIM(INDEX($A609:$Z609,MATCH('Counts'!$B$44,$A$1:$Z$1,0))&amp;""),""))</f>
        <v/>
      </c>
      <c r="AE609" s="41">
        <f>IF(TRIM('Cross-tab'!$B$5&amp;"")="","",IFERROR(TRIM(INDEX($A609:$Z609,MATCH('Cross-tab'!$B$5,$A$1:$Z$1,0))&amp;""),""))</f>
        <v/>
      </c>
      <c r="AF609" s="41">
        <f>IF(TRIM('Cross-tab'!$B$7&amp;"")="","",IFERROR(TRIM(INDEX($A609:$Z609,MATCH('Cross-tab'!$B$7,$A$1:$Z$1,0))&amp;""),""))</f>
        <v/>
      </c>
      <c r="AG609" s="41">
        <f>IF(ISNUMBER(IFERROR(VALUE(IF(TRIM('Scale score'!$B$5&amp;"")="","",IFERROR(TRIM(INDEX($A609:$Z609,MATCH('Scale score'!$B$5,$A$1:$Z$1,0))&amp;""),""))),"")),IF(AND(IFERROR(VALUE(IF(TRIM('Scale score'!$B$5&amp;"")="","",IFERROR(TRIM(INDEX($A609:$Z609,MATCH('Scale score'!$B$5,$A$1:$Z$1,0))&amp;""),""))),"")&gt;='Scale score'!$B$6,IFERROR(VALUE(IF(TRIM('Scale score'!$B$5&amp;"")="","",IFERROR(TRIM(INDEX($A609:$Z609,MATCH('Scale score'!$B$5,$A$1:$Z$1,0))&amp;""),""))),"")&lt;='Scale score'!$B$7),IFERROR(VALUE(IF(TRIM('Scale score'!$B$5&amp;"")="","",IFERROR(TRIM(INDEX($A609:$Z609,MATCH('Scale score'!$B$5,$A$1:$Z$1,0))&amp;""),""))),""),""),"")</f>
        <v/>
      </c>
      <c r="AH609" s="41">
        <f>IF(TRIM('Open answers'!$B$5&amp;"")="","",IFERROR(TRIM(INDEX($A609:$Z609,MATCH('Open answers'!$B$5,$A$1:$Z$1,0))&amp;""),""))</f>
        <v/>
      </c>
      <c r="AI609" s="41">
        <f>IF(LEN(AH609)&gt;0,MAX($AI$1:AI608)+1,"")</f>
        <v/>
      </c>
    </row>
    <row r="610">
      <c r="AA610" s="40" t="n"/>
      <c r="AB610" s="41">
        <f>IF(TRIM('Counts'!$B$8&amp;"")="","",IFERROR(TRIM(INDEX($A610:$Z610,MATCH('Counts'!$B$8,$A$1:$Z$1,0))&amp;""),""))</f>
        <v/>
      </c>
      <c r="AC610" s="41">
        <f>IF(TRIM('Counts'!$B$26&amp;"")="","",IFERROR(TRIM(INDEX($A610:$Z610,MATCH('Counts'!$B$26,$A$1:$Z$1,0))&amp;""),""))</f>
        <v/>
      </c>
      <c r="AD610" s="41">
        <f>IF(TRIM('Counts'!$B$44&amp;"")="","",IFERROR(TRIM(INDEX($A610:$Z610,MATCH('Counts'!$B$44,$A$1:$Z$1,0))&amp;""),""))</f>
        <v/>
      </c>
      <c r="AE610" s="41">
        <f>IF(TRIM('Cross-tab'!$B$5&amp;"")="","",IFERROR(TRIM(INDEX($A610:$Z610,MATCH('Cross-tab'!$B$5,$A$1:$Z$1,0))&amp;""),""))</f>
        <v/>
      </c>
      <c r="AF610" s="41">
        <f>IF(TRIM('Cross-tab'!$B$7&amp;"")="","",IFERROR(TRIM(INDEX($A610:$Z610,MATCH('Cross-tab'!$B$7,$A$1:$Z$1,0))&amp;""),""))</f>
        <v/>
      </c>
      <c r="AG610" s="41">
        <f>IF(ISNUMBER(IFERROR(VALUE(IF(TRIM('Scale score'!$B$5&amp;"")="","",IFERROR(TRIM(INDEX($A610:$Z610,MATCH('Scale score'!$B$5,$A$1:$Z$1,0))&amp;""),""))),"")),IF(AND(IFERROR(VALUE(IF(TRIM('Scale score'!$B$5&amp;"")="","",IFERROR(TRIM(INDEX($A610:$Z610,MATCH('Scale score'!$B$5,$A$1:$Z$1,0))&amp;""),""))),"")&gt;='Scale score'!$B$6,IFERROR(VALUE(IF(TRIM('Scale score'!$B$5&amp;"")="","",IFERROR(TRIM(INDEX($A610:$Z610,MATCH('Scale score'!$B$5,$A$1:$Z$1,0))&amp;""),""))),"")&lt;='Scale score'!$B$7),IFERROR(VALUE(IF(TRIM('Scale score'!$B$5&amp;"")="","",IFERROR(TRIM(INDEX($A610:$Z610,MATCH('Scale score'!$B$5,$A$1:$Z$1,0))&amp;""),""))),""),""),"")</f>
        <v/>
      </c>
      <c r="AH610" s="41">
        <f>IF(TRIM('Open answers'!$B$5&amp;"")="","",IFERROR(TRIM(INDEX($A610:$Z610,MATCH('Open answers'!$B$5,$A$1:$Z$1,0))&amp;""),""))</f>
        <v/>
      </c>
      <c r="AI610" s="41">
        <f>IF(LEN(AH610)&gt;0,MAX($AI$1:AI609)+1,"")</f>
        <v/>
      </c>
    </row>
    <row r="611">
      <c r="AA611" s="40" t="n"/>
      <c r="AB611" s="41">
        <f>IF(TRIM('Counts'!$B$8&amp;"")="","",IFERROR(TRIM(INDEX($A611:$Z611,MATCH('Counts'!$B$8,$A$1:$Z$1,0))&amp;""),""))</f>
        <v/>
      </c>
      <c r="AC611" s="41">
        <f>IF(TRIM('Counts'!$B$26&amp;"")="","",IFERROR(TRIM(INDEX($A611:$Z611,MATCH('Counts'!$B$26,$A$1:$Z$1,0))&amp;""),""))</f>
        <v/>
      </c>
      <c r="AD611" s="41">
        <f>IF(TRIM('Counts'!$B$44&amp;"")="","",IFERROR(TRIM(INDEX($A611:$Z611,MATCH('Counts'!$B$44,$A$1:$Z$1,0))&amp;""),""))</f>
        <v/>
      </c>
      <c r="AE611" s="41">
        <f>IF(TRIM('Cross-tab'!$B$5&amp;"")="","",IFERROR(TRIM(INDEX($A611:$Z611,MATCH('Cross-tab'!$B$5,$A$1:$Z$1,0))&amp;""),""))</f>
        <v/>
      </c>
      <c r="AF611" s="41">
        <f>IF(TRIM('Cross-tab'!$B$7&amp;"")="","",IFERROR(TRIM(INDEX($A611:$Z611,MATCH('Cross-tab'!$B$7,$A$1:$Z$1,0))&amp;""),""))</f>
        <v/>
      </c>
      <c r="AG611" s="41">
        <f>IF(ISNUMBER(IFERROR(VALUE(IF(TRIM('Scale score'!$B$5&amp;"")="","",IFERROR(TRIM(INDEX($A611:$Z611,MATCH('Scale score'!$B$5,$A$1:$Z$1,0))&amp;""),""))),"")),IF(AND(IFERROR(VALUE(IF(TRIM('Scale score'!$B$5&amp;"")="","",IFERROR(TRIM(INDEX($A611:$Z611,MATCH('Scale score'!$B$5,$A$1:$Z$1,0))&amp;""),""))),"")&gt;='Scale score'!$B$6,IFERROR(VALUE(IF(TRIM('Scale score'!$B$5&amp;"")="","",IFERROR(TRIM(INDEX($A611:$Z611,MATCH('Scale score'!$B$5,$A$1:$Z$1,0))&amp;""),""))),"")&lt;='Scale score'!$B$7),IFERROR(VALUE(IF(TRIM('Scale score'!$B$5&amp;"")="","",IFERROR(TRIM(INDEX($A611:$Z611,MATCH('Scale score'!$B$5,$A$1:$Z$1,0))&amp;""),""))),""),""),"")</f>
        <v/>
      </c>
      <c r="AH611" s="41">
        <f>IF(TRIM('Open answers'!$B$5&amp;"")="","",IFERROR(TRIM(INDEX($A611:$Z611,MATCH('Open answers'!$B$5,$A$1:$Z$1,0))&amp;""),""))</f>
        <v/>
      </c>
      <c r="AI611" s="41">
        <f>IF(LEN(AH611)&gt;0,MAX($AI$1:AI610)+1,"")</f>
        <v/>
      </c>
    </row>
    <row r="612">
      <c r="AA612" s="40" t="n"/>
      <c r="AB612" s="41">
        <f>IF(TRIM('Counts'!$B$8&amp;"")="","",IFERROR(TRIM(INDEX($A612:$Z612,MATCH('Counts'!$B$8,$A$1:$Z$1,0))&amp;""),""))</f>
        <v/>
      </c>
      <c r="AC612" s="41">
        <f>IF(TRIM('Counts'!$B$26&amp;"")="","",IFERROR(TRIM(INDEX($A612:$Z612,MATCH('Counts'!$B$26,$A$1:$Z$1,0))&amp;""),""))</f>
        <v/>
      </c>
      <c r="AD612" s="41">
        <f>IF(TRIM('Counts'!$B$44&amp;"")="","",IFERROR(TRIM(INDEX($A612:$Z612,MATCH('Counts'!$B$44,$A$1:$Z$1,0))&amp;""),""))</f>
        <v/>
      </c>
      <c r="AE612" s="41">
        <f>IF(TRIM('Cross-tab'!$B$5&amp;"")="","",IFERROR(TRIM(INDEX($A612:$Z612,MATCH('Cross-tab'!$B$5,$A$1:$Z$1,0))&amp;""),""))</f>
        <v/>
      </c>
      <c r="AF612" s="41">
        <f>IF(TRIM('Cross-tab'!$B$7&amp;"")="","",IFERROR(TRIM(INDEX($A612:$Z612,MATCH('Cross-tab'!$B$7,$A$1:$Z$1,0))&amp;""),""))</f>
        <v/>
      </c>
      <c r="AG612" s="41">
        <f>IF(ISNUMBER(IFERROR(VALUE(IF(TRIM('Scale score'!$B$5&amp;"")="","",IFERROR(TRIM(INDEX($A612:$Z612,MATCH('Scale score'!$B$5,$A$1:$Z$1,0))&amp;""),""))),"")),IF(AND(IFERROR(VALUE(IF(TRIM('Scale score'!$B$5&amp;"")="","",IFERROR(TRIM(INDEX($A612:$Z612,MATCH('Scale score'!$B$5,$A$1:$Z$1,0))&amp;""),""))),"")&gt;='Scale score'!$B$6,IFERROR(VALUE(IF(TRIM('Scale score'!$B$5&amp;"")="","",IFERROR(TRIM(INDEX($A612:$Z612,MATCH('Scale score'!$B$5,$A$1:$Z$1,0))&amp;""),""))),"")&lt;='Scale score'!$B$7),IFERROR(VALUE(IF(TRIM('Scale score'!$B$5&amp;"")="","",IFERROR(TRIM(INDEX($A612:$Z612,MATCH('Scale score'!$B$5,$A$1:$Z$1,0))&amp;""),""))),""),""),"")</f>
        <v/>
      </c>
      <c r="AH612" s="41">
        <f>IF(TRIM('Open answers'!$B$5&amp;"")="","",IFERROR(TRIM(INDEX($A612:$Z612,MATCH('Open answers'!$B$5,$A$1:$Z$1,0))&amp;""),""))</f>
        <v/>
      </c>
      <c r="AI612" s="41">
        <f>IF(LEN(AH612)&gt;0,MAX($AI$1:AI611)+1,"")</f>
        <v/>
      </c>
    </row>
    <row r="613">
      <c r="AA613" s="40" t="n"/>
      <c r="AB613" s="41">
        <f>IF(TRIM('Counts'!$B$8&amp;"")="","",IFERROR(TRIM(INDEX($A613:$Z613,MATCH('Counts'!$B$8,$A$1:$Z$1,0))&amp;""),""))</f>
        <v/>
      </c>
      <c r="AC613" s="41">
        <f>IF(TRIM('Counts'!$B$26&amp;"")="","",IFERROR(TRIM(INDEX($A613:$Z613,MATCH('Counts'!$B$26,$A$1:$Z$1,0))&amp;""),""))</f>
        <v/>
      </c>
      <c r="AD613" s="41">
        <f>IF(TRIM('Counts'!$B$44&amp;"")="","",IFERROR(TRIM(INDEX($A613:$Z613,MATCH('Counts'!$B$44,$A$1:$Z$1,0))&amp;""),""))</f>
        <v/>
      </c>
      <c r="AE613" s="41">
        <f>IF(TRIM('Cross-tab'!$B$5&amp;"")="","",IFERROR(TRIM(INDEX($A613:$Z613,MATCH('Cross-tab'!$B$5,$A$1:$Z$1,0))&amp;""),""))</f>
        <v/>
      </c>
      <c r="AF613" s="41">
        <f>IF(TRIM('Cross-tab'!$B$7&amp;"")="","",IFERROR(TRIM(INDEX($A613:$Z613,MATCH('Cross-tab'!$B$7,$A$1:$Z$1,0))&amp;""),""))</f>
        <v/>
      </c>
      <c r="AG613" s="41">
        <f>IF(ISNUMBER(IFERROR(VALUE(IF(TRIM('Scale score'!$B$5&amp;"")="","",IFERROR(TRIM(INDEX($A613:$Z613,MATCH('Scale score'!$B$5,$A$1:$Z$1,0))&amp;""),""))),"")),IF(AND(IFERROR(VALUE(IF(TRIM('Scale score'!$B$5&amp;"")="","",IFERROR(TRIM(INDEX($A613:$Z613,MATCH('Scale score'!$B$5,$A$1:$Z$1,0))&amp;""),""))),"")&gt;='Scale score'!$B$6,IFERROR(VALUE(IF(TRIM('Scale score'!$B$5&amp;"")="","",IFERROR(TRIM(INDEX($A613:$Z613,MATCH('Scale score'!$B$5,$A$1:$Z$1,0))&amp;""),""))),"")&lt;='Scale score'!$B$7),IFERROR(VALUE(IF(TRIM('Scale score'!$B$5&amp;"")="","",IFERROR(TRIM(INDEX($A613:$Z613,MATCH('Scale score'!$B$5,$A$1:$Z$1,0))&amp;""),""))),""),""),"")</f>
        <v/>
      </c>
      <c r="AH613" s="41">
        <f>IF(TRIM('Open answers'!$B$5&amp;"")="","",IFERROR(TRIM(INDEX($A613:$Z613,MATCH('Open answers'!$B$5,$A$1:$Z$1,0))&amp;""),""))</f>
        <v/>
      </c>
      <c r="AI613" s="41">
        <f>IF(LEN(AH613)&gt;0,MAX($AI$1:AI612)+1,"")</f>
        <v/>
      </c>
    </row>
    <row r="614">
      <c r="AA614" s="40" t="n"/>
      <c r="AB614" s="41">
        <f>IF(TRIM('Counts'!$B$8&amp;"")="","",IFERROR(TRIM(INDEX($A614:$Z614,MATCH('Counts'!$B$8,$A$1:$Z$1,0))&amp;""),""))</f>
        <v/>
      </c>
      <c r="AC614" s="41">
        <f>IF(TRIM('Counts'!$B$26&amp;"")="","",IFERROR(TRIM(INDEX($A614:$Z614,MATCH('Counts'!$B$26,$A$1:$Z$1,0))&amp;""),""))</f>
        <v/>
      </c>
      <c r="AD614" s="41">
        <f>IF(TRIM('Counts'!$B$44&amp;"")="","",IFERROR(TRIM(INDEX($A614:$Z614,MATCH('Counts'!$B$44,$A$1:$Z$1,0))&amp;""),""))</f>
        <v/>
      </c>
      <c r="AE614" s="41">
        <f>IF(TRIM('Cross-tab'!$B$5&amp;"")="","",IFERROR(TRIM(INDEX($A614:$Z614,MATCH('Cross-tab'!$B$5,$A$1:$Z$1,0))&amp;""),""))</f>
        <v/>
      </c>
      <c r="AF614" s="41">
        <f>IF(TRIM('Cross-tab'!$B$7&amp;"")="","",IFERROR(TRIM(INDEX($A614:$Z614,MATCH('Cross-tab'!$B$7,$A$1:$Z$1,0))&amp;""),""))</f>
        <v/>
      </c>
      <c r="AG614" s="41">
        <f>IF(ISNUMBER(IFERROR(VALUE(IF(TRIM('Scale score'!$B$5&amp;"")="","",IFERROR(TRIM(INDEX($A614:$Z614,MATCH('Scale score'!$B$5,$A$1:$Z$1,0))&amp;""),""))),"")),IF(AND(IFERROR(VALUE(IF(TRIM('Scale score'!$B$5&amp;"")="","",IFERROR(TRIM(INDEX($A614:$Z614,MATCH('Scale score'!$B$5,$A$1:$Z$1,0))&amp;""),""))),"")&gt;='Scale score'!$B$6,IFERROR(VALUE(IF(TRIM('Scale score'!$B$5&amp;"")="","",IFERROR(TRIM(INDEX($A614:$Z614,MATCH('Scale score'!$B$5,$A$1:$Z$1,0))&amp;""),""))),"")&lt;='Scale score'!$B$7),IFERROR(VALUE(IF(TRIM('Scale score'!$B$5&amp;"")="","",IFERROR(TRIM(INDEX($A614:$Z614,MATCH('Scale score'!$B$5,$A$1:$Z$1,0))&amp;""),""))),""),""),"")</f>
        <v/>
      </c>
      <c r="AH614" s="41">
        <f>IF(TRIM('Open answers'!$B$5&amp;"")="","",IFERROR(TRIM(INDEX($A614:$Z614,MATCH('Open answers'!$B$5,$A$1:$Z$1,0))&amp;""),""))</f>
        <v/>
      </c>
      <c r="AI614" s="41">
        <f>IF(LEN(AH614)&gt;0,MAX($AI$1:AI613)+1,"")</f>
        <v/>
      </c>
    </row>
    <row r="615">
      <c r="AA615" s="40" t="n"/>
      <c r="AB615" s="41">
        <f>IF(TRIM('Counts'!$B$8&amp;"")="","",IFERROR(TRIM(INDEX($A615:$Z615,MATCH('Counts'!$B$8,$A$1:$Z$1,0))&amp;""),""))</f>
        <v/>
      </c>
      <c r="AC615" s="41">
        <f>IF(TRIM('Counts'!$B$26&amp;"")="","",IFERROR(TRIM(INDEX($A615:$Z615,MATCH('Counts'!$B$26,$A$1:$Z$1,0))&amp;""),""))</f>
        <v/>
      </c>
      <c r="AD615" s="41">
        <f>IF(TRIM('Counts'!$B$44&amp;"")="","",IFERROR(TRIM(INDEX($A615:$Z615,MATCH('Counts'!$B$44,$A$1:$Z$1,0))&amp;""),""))</f>
        <v/>
      </c>
      <c r="AE615" s="41">
        <f>IF(TRIM('Cross-tab'!$B$5&amp;"")="","",IFERROR(TRIM(INDEX($A615:$Z615,MATCH('Cross-tab'!$B$5,$A$1:$Z$1,0))&amp;""),""))</f>
        <v/>
      </c>
      <c r="AF615" s="41">
        <f>IF(TRIM('Cross-tab'!$B$7&amp;"")="","",IFERROR(TRIM(INDEX($A615:$Z615,MATCH('Cross-tab'!$B$7,$A$1:$Z$1,0))&amp;""),""))</f>
        <v/>
      </c>
      <c r="AG615" s="41">
        <f>IF(ISNUMBER(IFERROR(VALUE(IF(TRIM('Scale score'!$B$5&amp;"")="","",IFERROR(TRIM(INDEX($A615:$Z615,MATCH('Scale score'!$B$5,$A$1:$Z$1,0))&amp;""),""))),"")),IF(AND(IFERROR(VALUE(IF(TRIM('Scale score'!$B$5&amp;"")="","",IFERROR(TRIM(INDEX($A615:$Z615,MATCH('Scale score'!$B$5,$A$1:$Z$1,0))&amp;""),""))),"")&gt;='Scale score'!$B$6,IFERROR(VALUE(IF(TRIM('Scale score'!$B$5&amp;"")="","",IFERROR(TRIM(INDEX($A615:$Z615,MATCH('Scale score'!$B$5,$A$1:$Z$1,0))&amp;""),""))),"")&lt;='Scale score'!$B$7),IFERROR(VALUE(IF(TRIM('Scale score'!$B$5&amp;"")="","",IFERROR(TRIM(INDEX($A615:$Z615,MATCH('Scale score'!$B$5,$A$1:$Z$1,0))&amp;""),""))),""),""),"")</f>
        <v/>
      </c>
      <c r="AH615" s="41">
        <f>IF(TRIM('Open answers'!$B$5&amp;"")="","",IFERROR(TRIM(INDEX($A615:$Z615,MATCH('Open answers'!$B$5,$A$1:$Z$1,0))&amp;""),""))</f>
        <v/>
      </c>
      <c r="AI615" s="41">
        <f>IF(LEN(AH615)&gt;0,MAX($AI$1:AI614)+1,"")</f>
        <v/>
      </c>
    </row>
    <row r="616">
      <c r="AA616" s="40" t="n"/>
      <c r="AB616" s="41">
        <f>IF(TRIM('Counts'!$B$8&amp;"")="","",IFERROR(TRIM(INDEX($A616:$Z616,MATCH('Counts'!$B$8,$A$1:$Z$1,0))&amp;""),""))</f>
        <v/>
      </c>
      <c r="AC616" s="41">
        <f>IF(TRIM('Counts'!$B$26&amp;"")="","",IFERROR(TRIM(INDEX($A616:$Z616,MATCH('Counts'!$B$26,$A$1:$Z$1,0))&amp;""),""))</f>
        <v/>
      </c>
      <c r="AD616" s="41">
        <f>IF(TRIM('Counts'!$B$44&amp;"")="","",IFERROR(TRIM(INDEX($A616:$Z616,MATCH('Counts'!$B$44,$A$1:$Z$1,0))&amp;""),""))</f>
        <v/>
      </c>
      <c r="AE616" s="41">
        <f>IF(TRIM('Cross-tab'!$B$5&amp;"")="","",IFERROR(TRIM(INDEX($A616:$Z616,MATCH('Cross-tab'!$B$5,$A$1:$Z$1,0))&amp;""),""))</f>
        <v/>
      </c>
      <c r="AF616" s="41">
        <f>IF(TRIM('Cross-tab'!$B$7&amp;"")="","",IFERROR(TRIM(INDEX($A616:$Z616,MATCH('Cross-tab'!$B$7,$A$1:$Z$1,0))&amp;""),""))</f>
        <v/>
      </c>
      <c r="AG616" s="41">
        <f>IF(ISNUMBER(IFERROR(VALUE(IF(TRIM('Scale score'!$B$5&amp;"")="","",IFERROR(TRIM(INDEX($A616:$Z616,MATCH('Scale score'!$B$5,$A$1:$Z$1,0))&amp;""),""))),"")),IF(AND(IFERROR(VALUE(IF(TRIM('Scale score'!$B$5&amp;"")="","",IFERROR(TRIM(INDEX($A616:$Z616,MATCH('Scale score'!$B$5,$A$1:$Z$1,0))&amp;""),""))),"")&gt;='Scale score'!$B$6,IFERROR(VALUE(IF(TRIM('Scale score'!$B$5&amp;"")="","",IFERROR(TRIM(INDEX($A616:$Z616,MATCH('Scale score'!$B$5,$A$1:$Z$1,0))&amp;""),""))),"")&lt;='Scale score'!$B$7),IFERROR(VALUE(IF(TRIM('Scale score'!$B$5&amp;"")="","",IFERROR(TRIM(INDEX($A616:$Z616,MATCH('Scale score'!$B$5,$A$1:$Z$1,0))&amp;""),""))),""),""),"")</f>
        <v/>
      </c>
      <c r="AH616" s="41">
        <f>IF(TRIM('Open answers'!$B$5&amp;"")="","",IFERROR(TRIM(INDEX($A616:$Z616,MATCH('Open answers'!$B$5,$A$1:$Z$1,0))&amp;""),""))</f>
        <v/>
      </c>
      <c r="AI616" s="41">
        <f>IF(LEN(AH616)&gt;0,MAX($AI$1:AI615)+1,"")</f>
        <v/>
      </c>
    </row>
    <row r="617">
      <c r="AA617" s="40" t="n"/>
      <c r="AB617" s="41">
        <f>IF(TRIM('Counts'!$B$8&amp;"")="","",IFERROR(TRIM(INDEX($A617:$Z617,MATCH('Counts'!$B$8,$A$1:$Z$1,0))&amp;""),""))</f>
        <v/>
      </c>
      <c r="AC617" s="41">
        <f>IF(TRIM('Counts'!$B$26&amp;"")="","",IFERROR(TRIM(INDEX($A617:$Z617,MATCH('Counts'!$B$26,$A$1:$Z$1,0))&amp;""),""))</f>
        <v/>
      </c>
      <c r="AD617" s="41">
        <f>IF(TRIM('Counts'!$B$44&amp;"")="","",IFERROR(TRIM(INDEX($A617:$Z617,MATCH('Counts'!$B$44,$A$1:$Z$1,0))&amp;""),""))</f>
        <v/>
      </c>
      <c r="AE617" s="41">
        <f>IF(TRIM('Cross-tab'!$B$5&amp;"")="","",IFERROR(TRIM(INDEX($A617:$Z617,MATCH('Cross-tab'!$B$5,$A$1:$Z$1,0))&amp;""),""))</f>
        <v/>
      </c>
      <c r="AF617" s="41">
        <f>IF(TRIM('Cross-tab'!$B$7&amp;"")="","",IFERROR(TRIM(INDEX($A617:$Z617,MATCH('Cross-tab'!$B$7,$A$1:$Z$1,0))&amp;""),""))</f>
        <v/>
      </c>
      <c r="AG617" s="41">
        <f>IF(ISNUMBER(IFERROR(VALUE(IF(TRIM('Scale score'!$B$5&amp;"")="","",IFERROR(TRIM(INDEX($A617:$Z617,MATCH('Scale score'!$B$5,$A$1:$Z$1,0))&amp;""),""))),"")),IF(AND(IFERROR(VALUE(IF(TRIM('Scale score'!$B$5&amp;"")="","",IFERROR(TRIM(INDEX($A617:$Z617,MATCH('Scale score'!$B$5,$A$1:$Z$1,0))&amp;""),""))),"")&gt;='Scale score'!$B$6,IFERROR(VALUE(IF(TRIM('Scale score'!$B$5&amp;"")="","",IFERROR(TRIM(INDEX($A617:$Z617,MATCH('Scale score'!$B$5,$A$1:$Z$1,0))&amp;""),""))),"")&lt;='Scale score'!$B$7),IFERROR(VALUE(IF(TRIM('Scale score'!$B$5&amp;"")="","",IFERROR(TRIM(INDEX($A617:$Z617,MATCH('Scale score'!$B$5,$A$1:$Z$1,0))&amp;""),""))),""),""),"")</f>
        <v/>
      </c>
      <c r="AH617" s="41">
        <f>IF(TRIM('Open answers'!$B$5&amp;"")="","",IFERROR(TRIM(INDEX($A617:$Z617,MATCH('Open answers'!$B$5,$A$1:$Z$1,0))&amp;""),""))</f>
        <v/>
      </c>
      <c r="AI617" s="41">
        <f>IF(LEN(AH617)&gt;0,MAX($AI$1:AI616)+1,"")</f>
        <v/>
      </c>
    </row>
    <row r="618">
      <c r="AA618" s="40" t="n"/>
      <c r="AB618" s="41">
        <f>IF(TRIM('Counts'!$B$8&amp;"")="","",IFERROR(TRIM(INDEX($A618:$Z618,MATCH('Counts'!$B$8,$A$1:$Z$1,0))&amp;""),""))</f>
        <v/>
      </c>
      <c r="AC618" s="41">
        <f>IF(TRIM('Counts'!$B$26&amp;"")="","",IFERROR(TRIM(INDEX($A618:$Z618,MATCH('Counts'!$B$26,$A$1:$Z$1,0))&amp;""),""))</f>
        <v/>
      </c>
      <c r="AD618" s="41">
        <f>IF(TRIM('Counts'!$B$44&amp;"")="","",IFERROR(TRIM(INDEX($A618:$Z618,MATCH('Counts'!$B$44,$A$1:$Z$1,0))&amp;""),""))</f>
        <v/>
      </c>
      <c r="AE618" s="41">
        <f>IF(TRIM('Cross-tab'!$B$5&amp;"")="","",IFERROR(TRIM(INDEX($A618:$Z618,MATCH('Cross-tab'!$B$5,$A$1:$Z$1,0))&amp;""),""))</f>
        <v/>
      </c>
      <c r="AF618" s="41">
        <f>IF(TRIM('Cross-tab'!$B$7&amp;"")="","",IFERROR(TRIM(INDEX($A618:$Z618,MATCH('Cross-tab'!$B$7,$A$1:$Z$1,0))&amp;""),""))</f>
        <v/>
      </c>
      <c r="AG618" s="41">
        <f>IF(ISNUMBER(IFERROR(VALUE(IF(TRIM('Scale score'!$B$5&amp;"")="","",IFERROR(TRIM(INDEX($A618:$Z618,MATCH('Scale score'!$B$5,$A$1:$Z$1,0))&amp;""),""))),"")),IF(AND(IFERROR(VALUE(IF(TRIM('Scale score'!$B$5&amp;"")="","",IFERROR(TRIM(INDEX($A618:$Z618,MATCH('Scale score'!$B$5,$A$1:$Z$1,0))&amp;""),""))),"")&gt;='Scale score'!$B$6,IFERROR(VALUE(IF(TRIM('Scale score'!$B$5&amp;"")="","",IFERROR(TRIM(INDEX($A618:$Z618,MATCH('Scale score'!$B$5,$A$1:$Z$1,0))&amp;""),""))),"")&lt;='Scale score'!$B$7),IFERROR(VALUE(IF(TRIM('Scale score'!$B$5&amp;"")="","",IFERROR(TRIM(INDEX($A618:$Z618,MATCH('Scale score'!$B$5,$A$1:$Z$1,0))&amp;""),""))),""),""),"")</f>
        <v/>
      </c>
      <c r="AH618" s="41">
        <f>IF(TRIM('Open answers'!$B$5&amp;"")="","",IFERROR(TRIM(INDEX($A618:$Z618,MATCH('Open answers'!$B$5,$A$1:$Z$1,0))&amp;""),""))</f>
        <v/>
      </c>
      <c r="AI618" s="41">
        <f>IF(LEN(AH618)&gt;0,MAX($AI$1:AI617)+1,"")</f>
        <v/>
      </c>
    </row>
    <row r="619">
      <c r="AA619" s="40" t="n"/>
      <c r="AB619" s="41">
        <f>IF(TRIM('Counts'!$B$8&amp;"")="","",IFERROR(TRIM(INDEX($A619:$Z619,MATCH('Counts'!$B$8,$A$1:$Z$1,0))&amp;""),""))</f>
        <v/>
      </c>
      <c r="AC619" s="41">
        <f>IF(TRIM('Counts'!$B$26&amp;"")="","",IFERROR(TRIM(INDEX($A619:$Z619,MATCH('Counts'!$B$26,$A$1:$Z$1,0))&amp;""),""))</f>
        <v/>
      </c>
      <c r="AD619" s="41">
        <f>IF(TRIM('Counts'!$B$44&amp;"")="","",IFERROR(TRIM(INDEX($A619:$Z619,MATCH('Counts'!$B$44,$A$1:$Z$1,0))&amp;""),""))</f>
        <v/>
      </c>
      <c r="AE619" s="41">
        <f>IF(TRIM('Cross-tab'!$B$5&amp;"")="","",IFERROR(TRIM(INDEX($A619:$Z619,MATCH('Cross-tab'!$B$5,$A$1:$Z$1,0))&amp;""),""))</f>
        <v/>
      </c>
      <c r="AF619" s="41">
        <f>IF(TRIM('Cross-tab'!$B$7&amp;"")="","",IFERROR(TRIM(INDEX($A619:$Z619,MATCH('Cross-tab'!$B$7,$A$1:$Z$1,0))&amp;""),""))</f>
        <v/>
      </c>
      <c r="AG619" s="41">
        <f>IF(ISNUMBER(IFERROR(VALUE(IF(TRIM('Scale score'!$B$5&amp;"")="","",IFERROR(TRIM(INDEX($A619:$Z619,MATCH('Scale score'!$B$5,$A$1:$Z$1,0))&amp;""),""))),"")),IF(AND(IFERROR(VALUE(IF(TRIM('Scale score'!$B$5&amp;"")="","",IFERROR(TRIM(INDEX($A619:$Z619,MATCH('Scale score'!$B$5,$A$1:$Z$1,0))&amp;""),""))),"")&gt;='Scale score'!$B$6,IFERROR(VALUE(IF(TRIM('Scale score'!$B$5&amp;"")="","",IFERROR(TRIM(INDEX($A619:$Z619,MATCH('Scale score'!$B$5,$A$1:$Z$1,0))&amp;""),""))),"")&lt;='Scale score'!$B$7),IFERROR(VALUE(IF(TRIM('Scale score'!$B$5&amp;"")="","",IFERROR(TRIM(INDEX($A619:$Z619,MATCH('Scale score'!$B$5,$A$1:$Z$1,0))&amp;""),""))),""),""),"")</f>
        <v/>
      </c>
      <c r="AH619" s="41">
        <f>IF(TRIM('Open answers'!$B$5&amp;"")="","",IFERROR(TRIM(INDEX($A619:$Z619,MATCH('Open answers'!$B$5,$A$1:$Z$1,0))&amp;""),""))</f>
        <v/>
      </c>
      <c r="AI619" s="41">
        <f>IF(LEN(AH619)&gt;0,MAX($AI$1:AI618)+1,"")</f>
        <v/>
      </c>
    </row>
    <row r="620">
      <c r="AA620" s="40" t="n"/>
      <c r="AB620" s="41">
        <f>IF(TRIM('Counts'!$B$8&amp;"")="","",IFERROR(TRIM(INDEX($A620:$Z620,MATCH('Counts'!$B$8,$A$1:$Z$1,0))&amp;""),""))</f>
        <v/>
      </c>
      <c r="AC620" s="41">
        <f>IF(TRIM('Counts'!$B$26&amp;"")="","",IFERROR(TRIM(INDEX($A620:$Z620,MATCH('Counts'!$B$26,$A$1:$Z$1,0))&amp;""),""))</f>
        <v/>
      </c>
      <c r="AD620" s="41">
        <f>IF(TRIM('Counts'!$B$44&amp;"")="","",IFERROR(TRIM(INDEX($A620:$Z620,MATCH('Counts'!$B$44,$A$1:$Z$1,0))&amp;""),""))</f>
        <v/>
      </c>
      <c r="AE620" s="41">
        <f>IF(TRIM('Cross-tab'!$B$5&amp;"")="","",IFERROR(TRIM(INDEX($A620:$Z620,MATCH('Cross-tab'!$B$5,$A$1:$Z$1,0))&amp;""),""))</f>
        <v/>
      </c>
      <c r="AF620" s="41">
        <f>IF(TRIM('Cross-tab'!$B$7&amp;"")="","",IFERROR(TRIM(INDEX($A620:$Z620,MATCH('Cross-tab'!$B$7,$A$1:$Z$1,0))&amp;""),""))</f>
        <v/>
      </c>
      <c r="AG620" s="41">
        <f>IF(ISNUMBER(IFERROR(VALUE(IF(TRIM('Scale score'!$B$5&amp;"")="","",IFERROR(TRIM(INDEX($A620:$Z620,MATCH('Scale score'!$B$5,$A$1:$Z$1,0))&amp;""),""))),"")),IF(AND(IFERROR(VALUE(IF(TRIM('Scale score'!$B$5&amp;"")="","",IFERROR(TRIM(INDEX($A620:$Z620,MATCH('Scale score'!$B$5,$A$1:$Z$1,0))&amp;""),""))),"")&gt;='Scale score'!$B$6,IFERROR(VALUE(IF(TRIM('Scale score'!$B$5&amp;"")="","",IFERROR(TRIM(INDEX($A620:$Z620,MATCH('Scale score'!$B$5,$A$1:$Z$1,0))&amp;""),""))),"")&lt;='Scale score'!$B$7),IFERROR(VALUE(IF(TRIM('Scale score'!$B$5&amp;"")="","",IFERROR(TRIM(INDEX($A620:$Z620,MATCH('Scale score'!$B$5,$A$1:$Z$1,0))&amp;""),""))),""),""),"")</f>
        <v/>
      </c>
      <c r="AH620" s="41">
        <f>IF(TRIM('Open answers'!$B$5&amp;"")="","",IFERROR(TRIM(INDEX($A620:$Z620,MATCH('Open answers'!$B$5,$A$1:$Z$1,0))&amp;""),""))</f>
        <v/>
      </c>
      <c r="AI620" s="41">
        <f>IF(LEN(AH620)&gt;0,MAX($AI$1:AI619)+1,"")</f>
        <v/>
      </c>
    </row>
    <row r="621">
      <c r="AA621" s="40" t="n"/>
      <c r="AB621" s="41">
        <f>IF(TRIM('Counts'!$B$8&amp;"")="","",IFERROR(TRIM(INDEX($A621:$Z621,MATCH('Counts'!$B$8,$A$1:$Z$1,0))&amp;""),""))</f>
        <v/>
      </c>
      <c r="AC621" s="41">
        <f>IF(TRIM('Counts'!$B$26&amp;"")="","",IFERROR(TRIM(INDEX($A621:$Z621,MATCH('Counts'!$B$26,$A$1:$Z$1,0))&amp;""),""))</f>
        <v/>
      </c>
      <c r="AD621" s="41">
        <f>IF(TRIM('Counts'!$B$44&amp;"")="","",IFERROR(TRIM(INDEX($A621:$Z621,MATCH('Counts'!$B$44,$A$1:$Z$1,0))&amp;""),""))</f>
        <v/>
      </c>
      <c r="AE621" s="41">
        <f>IF(TRIM('Cross-tab'!$B$5&amp;"")="","",IFERROR(TRIM(INDEX($A621:$Z621,MATCH('Cross-tab'!$B$5,$A$1:$Z$1,0))&amp;""),""))</f>
        <v/>
      </c>
      <c r="AF621" s="41">
        <f>IF(TRIM('Cross-tab'!$B$7&amp;"")="","",IFERROR(TRIM(INDEX($A621:$Z621,MATCH('Cross-tab'!$B$7,$A$1:$Z$1,0))&amp;""),""))</f>
        <v/>
      </c>
      <c r="AG621" s="41">
        <f>IF(ISNUMBER(IFERROR(VALUE(IF(TRIM('Scale score'!$B$5&amp;"")="","",IFERROR(TRIM(INDEX($A621:$Z621,MATCH('Scale score'!$B$5,$A$1:$Z$1,0))&amp;""),""))),"")),IF(AND(IFERROR(VALUE(IF(TRIM('Scale score'!$B$5&amp;"")="","",IFERROR(TRIM(INDEX($A621:$Z621,MATCH('Scale score'!$B$5,$A$1:$Z$1,0))&amp;""),""))),"")&gt;='Scale score'!$B$6,IFERROR(VALUE(IF(TRIM('Scale score'!$B$5&amp;"")="","",IFERROR(TRIM(INDEX($A621:$Z621,MATCH('Scale score'!$B$5,$A$1:$Z$1,0))&amp;""),""))),"")&lt;='Scale score'!$B$7),IFERROR(VALUE(IF(TRIM('Scale score'!$B$5&amp;"")="","",IFERROR(TRIM(INDEX($A621:$Z621,MATCH('Scale score'!$B$5,$A$1:$Z$1,0))&amp;""),""))),""),""),"")</f>
        <v/>
      </c>
      <c r="AH621" s="41">
        <f>IF(TRIM('Open answers'!$B$5&amp;"")="","",IFERROR(TRIM(INDEX($A621:$Z621,MATCH('Open answers'!$B$5,$A$1:$Z$1,0))&amp;""),""))</f>
        <v/>
      </c>
      <c r="AI621" s="41">
        <f>IF(LEN(AH621)&gt;0,MAX($AI$1:AI620)+1,"")</f>
        <v/>
      </c>
    </row>
    <row r="622">
      <c r="AA622" s="40" t="n"/>
      <c r="AB622" s="41">
        <f>IF(TRIM('Counts'!$B$8&amp;"")="","",IFERROR(TRIM(INDEX($A622:$Z622,MATCH('Counts'!$B$8,$A$1:$Z$1,0))&amp;""),""))</f>
        <v/>
      </c>
      <c r="AC622" s="41">
        <f>IF(TRIM('Counts'!$B$26&amp;"")="","",IFERROR(TRIM(INDEX($A622:$Z622,MATCH('Counts'!$B$26,$A$1:$Z$1,0))&amp;""),""))</f>
        <v/>
      </c>
      <c r="AD622" s="41">
        <f>IF(TRIM('Counts'!$B$44&amp;"")="","",IFERROR(TRIM(INDEX($A622:$Z622,MATCH('Counts'!$B$44,$A$1:$Z$1,0))&amp;""),""))</f>
        <v/>
      </c>
      <c r="AE622" s="41">
        <f>IF(TRIM('Cross-tab'!$B$5&amp;"")="","",IFERROR(TRIM(INDEX($A622:$Z622,MATCH('Cross-tab'!$B$5,$A$1:$Z$1,0))&amp;""),""))</f>
        <v/>
      </c>
      <c r="AF622" s="41">
        <f>IF(TRIM('Cross-tab'!$B$7&amp;"")="","",IFERROR(TRIM(INDEX($A622:$Z622,MATCH('Cross-tab'!$B$7,$A$1:$Z$1,0))&amp;""),""))</f>
        <v/>
      </c>
      <c r="AG622" s="41">
        <f>IF(ISNUMBER(IFERROR(VALUE(IF(TRIM('Scale score'!$B$5&amp;"")="","",IFERROR(TRIM(INDEX($A622:$Z622,MATCH('Scale score'!$B$5,$A$1:$Z$1,0))&amp;""),""))),"")),IF(AND(IFERROR(VALUE(IF(TRIM('Scale score'!$B$5&amp;"")="","",IFERROR(TRIM(INDEX($A622:$Z622,MATCH('Scale score'!$B$5,$A$1:$Z$1,0))&amp;""),""))),"")&gt;='Scale score'!$B$6,IFERROR(VALUE(IF(TRIM('Scale score'!$B$5&amp;"")="","",IFERROR(TRIM(INDEX($A622:$Z622,MATCH('Scale score'!$B$5,$A$1:$Z$1,0))&amp;""),""))),"")&lt;='Scale score'!$B$7),IFERROR(VALUE(IF(TRIM('Scale score'!$B$5&amp;"")="","",IFERROR(TRIM(INDEX($A622:$Z622,MATCH('Scale score'!$B$5,$A$1:$Z$1,0))&amp;""),""))),""),""),"")</f>
        <v/>
      </c>
      <c r="AH622" s="41">
        <f>IF(TRIM('Open answers'!$B$5&amp;"")="","",IFERROR(TRIM(INDEX($A622:$Z622,MATCH('Open answers'!$B$5,$A$1:$Z$1,0))&amp;""),""))</f>
        <v/>
      </c>
      <c r="AI622" s="41">
        <f>IF(LEN(AH622)&gt;0,MAX($AI$1:AI621)+1,"")</f>
        <v/>
      </c>
    </row>
    <row r="623">
      <c r="AA623" s="40" t="n"/>
      <c r="AB623" s="41">
        <f>IF(TRIM('Counts'!$B$8&amp;"")="","",IFERROR(TRIM(INDEX($A623:$Z623,MATCH('Counts'!$B$8,$A$1:$Z$1,0))&amp;""),""))</f>
        <v/>
      </c>
      <c r="AC623" s="41">
        <f>IF(TRIM('Counts'!$B$26&amp;"")="","",IFERROR(TRIM(INDEX($A623:$Z623,MATCH('Counts'!$B$26,$A$1:$Z$1,0))&amp;""),""))</f>
        <v/>
      </c>
      <c r="AD623" s="41">
        <f>IF(TRIM('Counts'!$B$44&amp;"")="","",IFERROR(TRIM(INDEX($A623:$Z623,MATCH('Counts'!$B$44,$A$1:$Z$1,0))&amp;""),""))</f>
        <v/>
      </c>
      <c r="AE623" s="41">
        <f>IF(TRIM('Cross-tab'!$B$5&amp;"")="","",IFERROR(TRIM(INDEX($A623:$Z623,MATCH('Cross-tab'!$B$5,$A$1:$Z$1,0))&amp;""),""))</f>
        <v/>
      </c>
      <c r="AF623" s="41">
        <f>IF(TRIM('Cross-tab'!$B$7&amp;"")="","",IFERROR(TRIM(INDEX($A623:$Z623,MATCH('Cross-tab'!$B$7,$A$1:$Z$1,0))&amp;""),""))</f>
        <v/>
      </c>
      <c r="AG623" s="41">
        <f>IF(ISNUMBER(IFERROR(VALUE(IF(TRIM('Scale score'!$B$5&amp;"")="","",IFERROR(TRIM(INDEX($A623:$Z623,MATCH('Scale score'!$B$5,$A$1:$Z$1,0))&amp;""),""))),"")),IF(AND(IFERROR(VALUE(IF(TRIM('Scale score'!$B$5&amp;"")="","",IFERROR(TRIM(INDEX($A623:$Z623,MATCH('Scale score'!$B$5,$A$1:$Z$1,0))&amp;""),""))),"")&gt;='Scale score'!$B$6,IFERROR(VALUE(IF(TRIM('Scale score'!$B$5&amp;"")="","",IFERROR(TRIM(INDEX($A623:$Z623,MATCH('Scale score'!$B$5,$A$1:$Z$1,0))&amp;""),""))),"")&lt;='Scale score'!$B$7),IFERROR(VALUE(IF(TRIM('Scale score'!$B$5&amp;"")="","",IFERROR(TRIM(INDEX($A623:$Z623,MATCH('Scale score'!$B$5,$A$1:$Z$1,0))&amp;""),""))),""),""),"")</f>
        <v/>
      </c>
      <c r="AH623" s="41">
        <f>IF(TRIM('Open answers'!$B$5&amp;"")="","",IFERROR(TRIM(INDEX($A623:$Z623,MATCH('Open answers'!$B$5,$A$1:$Z$1,0))&amp;""),""))</f>
        <v/>
      </c>
      <c r="AI623" s="41">
        <f>IF(LEN(AH623)&gt;0,MAX($AI$1:AI622)+1,"")</f>
        <v/>
      </c>
    </row>
    <row r="624">
      <c r="AA624" s="40" t="n"/>
      <c r="AB624" s="41">
        <f>IF(TRIM('Counts'!$B$8&amp;"")="","",IFERROR(TRIM(INDEX($A624:$Z624,MATCH('Counts'!$B$8,$A$1:$Z$1,0))&amp;""),""))</f>
        <v/>
      </c>
      <c r="AC624" s="41">
        <f>IF(TRIM('Counts'!$B$26&amp;"")="","",IFERROR(TRIM(INDEX($A624:$Z624,MATCH('Counts'!$B$26,$A$1:$Z$1,0))&amp;""),""))</f>
        <v/>
      </c>
      <c r="AD624" s="41">
        <f>IF(TRIM('Counts'!$B$44&amp;"")="","",IFERROR(TRIM(INDEX($A624:$Z624,MATCH('Counts'!$B$44,$A$1:$Z$1,0))&amp;""),""))</f>
        <v/>
      </c>
      <c r="AE624" s="41">
        <f>IF(TRIM('Cross-tab'!$B$5&amp;"")="","",IFERROR(TRIM(INDEX($A624:$Z624,MATCH('Cross-tab'!$B$5,$A$1:$Z$1,0))&amp;""),""))</f>
        <v/>
      </c>
      <c r="AF624" s="41">
        <f>IF(TRIM('Cross-tab'!$B$7&amp;"")="","",IFERROR(TRIM(INDEX($A624:$Z624,MATCH('Cross-tab'!$B$7,$A$1:$Z$1,0))&amp;""),""))</f>
        <v/>
      </c>
      <c r="AG624" s="41">
        <f>IF(ISNUMBER(IFERROR(VALUE(IF(TRIM('Scale score'!$B$5&amp;"")="","",IFERROR(TRIM(INDEX($A624:$Z624,MATCH('Scale score'!$B$5,$A$1:$Z$1,0))&amp;""),""))),"")),IF(AND(IFERROR(VALUE(IF(TRIM('Scale score'!$B$5&amp;"")="","",IFERROR(TRIM(INDEX($A624:$Z624,MATCH('Scale score'!$B$5,$A$1:$Z$1,0))&amp;""),""))),"")&gt;='Scale score'!$B$6,IFERROR(VALUE(IF(TRIM('Scale score'!$B$5&amp;"")="","",IFERROR(TRIM(INDEX($A624:$Z624,MATCH('Scale score'!$B$5,$A$1:$Z$1,0))&amp;""),""))),"")&lt;='Scale score'!$B$7),IFERROR(VALUE(IF(TRIM('Scale score'!$B$5&amp;"")="","",IFERROR(TRIM(INDEX($A624:$Z624,MATCH('Scale score'!$B$5,$A$1:$Z$1,0))&amp;""),""))),""),""),"")</f>
        <v/>
      </c>
      <c r="AH624" s="41">
        <f>IF(TRIM('Open answers'!$B$5&amp;"")="","",IFERROR(TRIM(INDEX($A624:$Z624,MATCH('Open answers'!$B$5,$A$1:$Z$1,0))&amp;""),""))</f>
        <v/>
      </c>
      <c r="AI624" s="41">
        <f>IF(LEN(AH624)&gt;0,MAX($AI$1:AI623)+1,"")</f>
        <v/>
      </c>
    </row>
    <row r="625">
      <c r="AA625" s="40" t="n"/>
      <c r="AB625" s="41">
        <f>IF(TRIM('Counts'!$B$8&amp;"")="","",IFERROR(TRIM(INDEX($A625:$Z625,MATCH('Counts'!$B$8,$A$1:$Z$1,0))&amp;""),""))</f>
        <v/>
      </c>
      <c r="AC625" s="41">
        <f>IF(TRIM('Counts'!$B$26&amp;"")="","",IFERROR(TRIM(INDEX($A625:$Z625,MATCH('Counts'!$B$26,$A$1:$Z$1,0))&amp;""),""))</f>
        <v/>
      </c>
      <c r="AD625" s="41">
        <f>IF(TRIM('Counts'!$B$44&amp;"")="","",IFERROR(TRIM(INDEX($A625:$Z625,MATCH('Counts'!$B$44,$A$1:$Z$1,0))&amp;""),""))</f>
        <v/>
      </c>
      <c r="AE625" s="41">
        <f>IF(TRIM('Cross-tab'!$B$5&amp;"")="","",IFERROR(TRIM(INDEX($A625:$Z625,MATCH('Cross-tab'!$B$5,$A$1:$Z$1,0))&amp;""),""))</f>
        <v/>
      </c>
      <c r="AF625" s="41">
        <f>IF(TRIM('Cross-tab'!$B$7&amp;"")="","",IFERROR(TRIM(INDEX($A625:$Z625,MATCH('Cross-tab'!$B$7,$A$1:$Z$1,0))&amp;""),""))</f>
        <v/>
      </c>
      <c r="AG625" s="41">
        <f>IF(ISNUMBER(IFERROR(VALUE(IF(TRIM('Scale score'!$B$5&amp;"")="","",IFERROR(TRIM(INDEX($A625:$Z625,MATCH('Scale score'!$B$5,$A$1:$Z$1,0))&amp;""),""))),"")),IF(AND(IFERROR(VALUE(IF(TRIM('Scale score'!$B$5&amp;"")="","",IFERROR(TRIM(INDEX($A625:$Z625,MATCH('Scale score'!$B$5,$A$1:$Z$1,0))&amp;""),""))),"")&gt;='Scale score'!$B$6,IFERROR(VALUE(IF(TRIM('Scale score'!$B$5&amp;"")="","",IFERROR(TRIM(INDEX($A625:$Z625,MATCH('Scale score'!$B$5,$A$1:$Z$1,0))&amp;""),""))),"")&lt;='Scale score'!$B$7),IFERROR(VALUE(IF(TRIM('Scale score'!$B$5&amp;"")="","",IFERROR(TRIM(INDEX($A625:$Z625,MATCH('Scale score'!$B$5,$A$1:$Z$1,0))&amp;""),""))),""),""),"")</f>
        <v/>
      </c>
      <c r="AH625" s="41">
        <f>IF(TRIM('Open answers'!$B$5&amp;"")="","",IFERROR(TRIM(INDEX($A625:$Z625,MATCH('Open answers'!$B$5,$A$1:$Z$1,0))&amp;""),""))</f>
        <v/>
      </c>
      <c r="AI625" s="41">
        <f>IF(LEN(AH625)&gt;0,MAX($AI$1:AI624)+1,"")</f>
        <v/>
      </c>
    </row>
    <row r="626">
      <c r="AA626" s="40" t="n"/>
      <c r="AB626" s="41">
        <f>IF(TRIM('Counts'!$B$8&amp;"")="","",IFERROR(TRIM(INDEX($A626:$Z626,MATCH('Counts'!$B$8,$A$1:$Z$1,0))&amp;""),""))</f>
        <v/>
      </c>
      <c r="AC626" s="41">
        <f>IF(TRIM('Counts'!$B$26&amp;"")="","",IFERROR(TRIM(INDEX($A626:$Z626,MATCH('Counts'!$B$26,$A$1:$Z$1,0))&amp;""),""))</f>
        <v/>
      </c>
      <c r="AD626" s="41">
        <f>IF(TRIM('Counts'!$B$44&amp;"")="","",IFERROR(TRIM(INDEX($A626:$Z626,MATCH('Counts'!$B$44,$A$1:$Z$1,0))&amp;""),""))</f>
        <v/>
      </c>
      <c r="AE626" s="41">
        <f>IF(TRIM('Cross-tab'!$B$5&amp;"")="","",IFERROR(TRIM(INDEX($A626:$Z626,MATCH('Cross-tab'!$B$5,$A$1:$Z$1,0))&amp;""),""))</f>
        <v/>
      </c>
      <c r="AF626" s="41">
        <f>IF(TRIM('Cross-tab'!$B$7&amp;"")="","",IFERROR(TRIM(INDEX($A626:$Z626,MATCH('Cross-tab'!$B$7,$A$1:$Z$1,0))&amp;""),""))</f>
        <v/>
      </c>
      <c r="AG626" s="41">
        <f>IF(ISNUMBER(IFERROR(VALUE(IF(TRIM('Scale score'!$B$5&amp;"")="","",IFERROR(TRIM(INDEX($A626:$Z626,MATCH('Scale score'!$B$5,$A$1:$Z$1,0))&amp;""),""))),"")),IF(AND(IFERROR(VALUE(IF(TRIM('Scale score'!$B$5&amp;"")="","",IFERROR(TRIM(INDEX($A626:$Z626,MATCH('Scale score'!$B$5,$A$1:$Z$1,0))&amp;""),""))),"")&gt;='Scale score'!$B$6,IFERROR(VALUE(IF(TRIM('Scale score'!$B$5&amp;"")="","",IFERROR(TRIM(INDEX($A626:$Z626,MATCH('Scale score'!$B$5,$A$1:$Z$1,0))&amp;""),""))),"")&lt;='Scale score'!$B$7),IFERROR(VALUE(IF(TRIM('Scale score'!$B$5&amp;"")="","",IFERROR(TRIM(INDEX($A626:$Z626,MATCH('Scale score'!$B$5,$A$1:$Z$1,0))&amp;""),""))),""),""),"")</f>
        <v/>
      </c>
      <c r="AH626" s="41">
        <f>IF(TRIM('Open answers'!$B$5&amp;"")="","",IFERROR(TRIM(INDEX($A626:$Z626,MATCH('Open answers'!$B$5,$A$1:$Z$1,0))&amp;""),""))</f>
        <v/>
      </c>
      <c r="AI626" s="41">
        <f>IF(LEN(AH626)&gt;0,MAX($AI$1:AI625)+1,"")</f>
        <v/>
      </c>
    </row>
    <row r="627">
      <c r="AA627" s="40" t="n"/>
      <c r="AB627" s="41">
        <f>IF(TRIM('Counts'!$B$8&amp;"")="","",IFERROR(TRIM(INDEX($A627:$Z627,MATCH('Counts'!$B$8,$A$1:$Z$1,0))&amp;""),""))</f>
        <v/>
      </c>
      <c r="AC627" s="41">
        <f>IF(TRIM('Counts'!$B$26&amp;"")="","",IFERROR(TRIM(INDEX($A627:$Z627,MATCH('Counts'!$B$26,$A$1:$Z$1,0))&amp;""),""))</f>
        <v/>
      </c>
      <c r="AD627" s="41">
        <f>IF(TRIM('Counts'!$B$44&amp;"")="","",IFERROR(TRIM(INDEX($A627:$Z627,MATCH('Counts'!$B$44,$A$1:$Z$1,0))&amp;""),""))</f>
        <v/>
      </c>
      <c r="AE627" s="41">
        <f>IF(TRIM('Cross-tab'!$B$5&amp;"")="","",IFERROR(TRIM(INDEX($A627:$Z627,MATCH('Cross-tab'!$B$5,$A$1:$Z$1,0))&amp;""),""))</f>
        <v/>
      </c>
      <c r="AF627" s="41">
        <f>IF(TRIM('Cross-tab'!$B$7&amp;"")="","",IFERROR(TRIM(INDEX($A627:$Z627,MATCH('Cross-tab'!$B$7,$A$1:$Z$1,0))&amp;""),""))</f>
        <v/>
      </c>
      <c r="AG627" s="41">
        <f>IF(ISNUMBER(IFERROR(VALUE(IF(TRIM('Scale score'!$B$5&amp;"")="","",IFERROR(TRIM(INDEX($A627:$Z627,MATCH('Scale score'!$B$5,$A$1:$Z$1,0))&amp;""),""))),"")),IF(AND(IFERROR(VALUE(IF(TRIM('Scale score'!$B$5&amp;"")="","",IFERROR(TRIM(INDEX($A627:$Z627,MATCH('Scale score'!$B$5,$A$1:$Z$1,0))&amp;""),""))),"")&gt;='Scale score'!$B$6,IFERROR(VALUE(IF(TRIM('Scale score'!$B$5&amp;"")="","",IFERROR(TRIM(INDEX($A627:$Z627,MATCH('Scale score'!$B$5,$A$1:$Z$1,0))&amp;""),""))),"")&lt;='Scale score'!$B$7),IFERROR(VALUE(IF(TRIM('Scale score'!$B$5&amp;"")="","",IFERROR(TRIM(INDEX($A627:$Z627,MATCH('Scale score'!$B$5,$A$1:$Z$1,0))&amp;""),""))),""),""),"")</f>
        <v/>
      </c>
      <c r="AH627" s="41">
        <f>IF(TRIM('Open answers'!$B$5&amp;"")="","",IFERROR(TRIM(INDEX($A627:$Z627,MATCH('Open answers'!$B$5,$A$1:$Z$1,0))&amp;""),""))</f>
        <v/>
      </c>
      <c r="AI627" s="41">
        <f>IF(LEN(AH627)&gt;0,MAX($AI$1:AI626)+1,"")</f>
        <v/>
      </c>
    </row>
    <row r="628">
      <c r="AA628" s="40" t="n"/>
      <c r="AB628" s="41">
        <f>IF(TRIM('Counts'!$B$8&amp;"")="","",IFERROR(TRIM(INDEX($A628:$Z628,MATCH('Counts'!$B$8,$A$1:$Z$1,0))&amp;""),""))</f>
        <v/>
      </c>
      <c r="AC628" s="41">
        <f>IF(TRIM('Counts'!$B$26&amp;"")="","",IFERROR(TRIM(INDEX($A628:$Z628,MATCH('Counts'!$B$26,$A$1:$Z$1,0))&amp;""),""))</f>
        <v/>
      </c>
      <c r="AD628" s="41">
        <f>IF(TRIM('Counts'!$B$44&amp;"")="","",IFERROR(TRIM(INDEX($A628:$Z628,MATCH('Counts'!$B$44,$A$1:$Z$1,0))&amp;""),""))</f>
        <v/>
      </c>
      <c r="AE628" s="41">
        <f>IF(TRIM('Cross-tab'!$B$5&amp;"")="","",IFERROR(TRIM(INDEX($A628:$Z628,MATCH('Cross-tab'!$B$5,$A$1:$Z$1,0))&amp;""),""))</f>
        <v/>
      </c>
      <c r="AF628" s="41">
        <f>IF(TRIM('Cross-tab'!$B$7&amp;"")="","",IFERROR(TRIM(INDEX($A628:$Z628,MATCH('Cross-tab'!$B$7,$A$1:$Z$1,0))&amp;""),""))</f>
        <v/>
      </c>
      <c r="AG628" s="41">
        <f>IF(ISNUMBER(IFERROR(VALUE(IF(TRIM('Scale score'!$B$5&amp;"")="","",IFERROR(TRIM(INDEX($A628:$Z628,MATCH('Scale score'!$B$5,$A$1:$Z$1,0))&amp;""),""))),"")),IF(AND(IFERROR(VALUE(IF(TRIM('Scale score'!$B$5&amp;"")="","",IFERROR(TRIM(INDEX($A628:$Z628,MATCH('Scale score'!$B$5,$A$1:$Z$1,0))&amp;""),""))),"")&gt;='Scale score'!$B$6,IFERROR(VALUE(IF(TRIM('Scale score'!$B$5&amp;"")="","",IFERROR(TRIM(INDEX($A628:$Z628,MATCH('Scale score'!$B$5,$A$1:$Z$1,0))&amp;""),""))),"")&lt;='Scale score'!$B$7),IFERROR(VALUE(IF(TRIM('Scale score'!$B$5&amp;"")="","",IFERROR(TRIM(INDEX($A628:$Z628,MATCH('Scale score'!$B$5,$A$1:$Z$1,0))&amp;""),""))),""),""),"")</f>
        <v/>
      </c>
      <c r="AH628" s="41">
        <f>IF(TRIM('Open answers'!$B$5&amp;"")="","",IFERROR(TRIM(INDEX($A628:$Z628,MATCH('Open answers'!$B$5,$A$1:$Z$1,0))&amp;""),""))</f>
        <v/>
      </c>
      <c r="AI628" s="41">
        <f>IF(LEN(AH628)&gt;0,MAX($AI$1:AI627)+1,"")</f>
        <v/>
      </c>
    </row>
    <row r="629">
      <c r="AA629" s="40" t="n"/>
      <c r="AB629" s="41">
        <f>IF(TRIM('Counts'!$B$8&amp;"")="","",IFERROR(TRIM(INDEX($A629:$Z629,MATCH('Counts'!$B$8,$A$1:$Z$1,0))&amp;""),""))</f>
        <v/>
      </c>
      <c r="AC629" s="41">
        <f>IF(TRIM('Counts'!$B$26&amp;"")="","",IFERROR(TRIM(INDEX($A629:$Z629,MATCH('Counts'!$B$26,$A$1:$Z$1,0))&amp;""),""))</f>
        <v/>
      </c>
      <c r="AD629" s="41">
        <f>IF(TRIM('Counts'!$B$44&amp;"")="","",IFERROR(TRIM(INDEX($A629:$Z629,MATCH('Counts'!$B$44,$A$1:$Z$1,0))&amp;""),""))</f>
        <v/>
      </c>
      <c r="AE629" s="41">
        <f>IF(TRIM('Cross-tab'!$B$5&amp;"")="","",IFERROR(TRIM(INDEX($A629:$Z629,MATCH('Cross-tab'!$B$5,$A$1:$Z$1,0))&amp;""),""))</f>
        <v/>
      </c>
      <c r="AF629" s="41">
        <f>IF(TRIM('Cross-tab'!$B$7&amp;"")="","",IFERROR(TRIM(INDEX($A629:$Z629,MATCH('Cross-tab'!$B$7,$A$1:$Z$1,0))&amp;""),""))</f>
        <v/>
      </c>
      <c r="AG629" s="41">
        <f>IF(ISNUMBER(IFERROR(VALUE(IF(TRIM('Scale score'!$B$5&amp;"")="","",IFERROR(TRIM(INDEX($A629:$Z629,MATCH('Scale score'!$B$5,$A$1:$Z$1,0))&amp;""),""))),"")),IF(AND(IFERROR(VALUE(IF(TRIM('Scale score'!$B$5&amp;"")="","",IFERROR(TRIM(INDEX($A629:$Z629,MATCH('Scale score'!$B$5,$A$1:$Z$1,0))&amp;""),""))),"")&gt;='Scale score'!$B$6,IFERROR(VALUE(IF(TRIM('Scale score'!$B$5&amp;"")="","",IFERROR(TRIM(INDEX($A629:$Z629,MATCH('Scale score'!$B$5,$A$1:$Z$1,0))&amp;""),""))),"")&lt;='Scale score'!$B$7),IFERROR(VALUE(IF(TRIM('Scale score'!$B$5&amp;"")="","",IFERROR(TRIM(INDEX($A629:$Z629,MATCH('Scale score'!$B$5,$A$1:$Z$1,0))&amp;""),""))),""),""),"")</f>
        <v/>
      </c>
      <c r="AH629" s="41">
        <f>IF(TRIM('Open answers'!$B$5&amp;"")="","",IFERROR(TRIM(INDEX($A629:$Z629,MATCH('Open answers'!$B$5,$A$1:$Z$1,0))&amp;""),""))</f>
        <v/>
      </c>
      <c r="AI629" s="41">
        <f>IF(LEN(AH629)&gt;0,MAX($AI$1:AI628)+1,"")</f>
        <v/>
      </c>
    </row>
    <row r="630">
      <c r="AA630" s="40" t="n"/>
      <c r="AB630" s="41">
        <f>IF(TRIM('Counts'!$B$8&amp;"")="","",IFERROR(TRIM(INDEX($A630:$Z630,MATCH('Counts'!$B$8,$A$1:$Z$1,0))&amp;""),""))</f>
        <v/>
      </c>
      <c r="AC630" s="41">
        <f>IF(TRIM('Counts'!$B$26&amp;"")="","",IFERROR(TRIM(INDEX($A630:$Z630,MATCH('Counts'!$B$26,$A$1:$Z$1,0))&amp;""),""))</f>
        <v/>
      </c>
      <c r="AD630" s="41">
        <f>IF(TRIM('Counts'!$B$44&amp;"")="","",IFERROR(TRIM(INDEX($A630:$Z630,MATCH('Counts'!$B$44,$A$1:$Z$1,0))&amp;""),""))</f>
        <v/>
      </c>
      <c r="AE630" s="41">
        <f>IF(TRIM('Cross-tab'!$B$5&amp;"")="","",IFERROR(TRIM(INDEX($A630:$Z630,MATCH('Cross-tab'!$B$5,$A$1:$Z$1,0))&amp;""),""))</f>
        <v/>
      </c>
      <c r="AF630" s="41">
        <f>IF(TRIM('Cross-tab'!$B$7&amp;"")="","",IFERROR(TRIM(INDEX($A630:$Z630,MATCH('Cross-tab'!$B$7,$A$1:$Z$1,0))&amp;""),""))</f>
        <v/>
      </c>
      <c r="AG630" s="41">
        <f>IF(ISNUMBER(IFERROR(VALUE(IF(TRIM('Scale score'!$B$5&amp;"")="","",IFERROR(TRIM(INDEX($A630:$Z630,MATCH('Scale score'!$B$5,$A$1:$Z$1,0))&amp;""),""))),"")),IF(AND(IFERROR(VALUE(IF(TRIM('Scale score'!$B$5&amp;"")="","",IFERROR(TRIM(INDEX($A630:$Z630,MATCH('Scale score'!$B$5,$A$1:$Z$1,0))&amp;""),""))),"")&gt;='Scale score'!$B$6,IFERROR(VALUE(IF(TRIM('Scale score'!$B$5&amp;"")="","",IFERROR(TRIM(INDEX($A630:$Z630,MATCH('Scale score'!$B$5,$A$1:$Z$1,0))&amp;""),""))),"")&lt;='Scale score'!$B$7),IFERROR(VALUE(IF(TRIM('Scale score'!$B$5&amp;"")="","",IFERROR(TRIM(INDEX($A630:$Z630,MATCH('Scale score'!$B$5,$A$1:$Z$1,0))&amp;""),""))),""),""),"")</f>
        <v/>
      </c>
      <c r="AH630" s="41">
        <f>IF(TRIM('Open answers'!$B$5&amp;"")="","",IFERROR(TRIM(INDEX($A630:$Z630,MATCH('Open answers'!$B$5,$A$1:$Z$1,0))&amp;""),""))</f>
        <v/>
      </c>
      <c r="AI630" s="41">
        <f>IF(LEN(AH630)&gt;0,MAX($AI$1:AI629)+1,"")</f>
        <v/>
      </c>
    </row>
    <row r="631">
      <c r="AA631" s="40" t="n"/>
      <c r="AB631" s="41">
        <f>IF(TRIM('Counts'!$B$8&amp;"")="","",IFERROR(TRIM(INDEX($A631:$Z631,MATCH('Counts'!$B$8,$A$1:$Z$1,0))&amp;""),""))</f>
        <v/>
      </c>
      <c r="AC631" s="41">
        <f>IF(TRIM('Counts'!$B$26&amp;"")="","",IFERROR(TRIM(INDEX($A631:$Z631,MATCH('Counts'!$B$26,$A$1:$Z$1,0))&amp;""),""))</f>
        <v/>
      </c>
      <c r="AD631" s="41">
        <f>IF(TRIM('Counts'!$B$44&amp;"")="","",IFERROR(TRIM(INDEX($A631:$Z631,MATCH('Counts'!$B$44,$A$1:$Z$1,0))&amp;""),""))</f>
        <v/>
      </c>
      <c r="AE631" s="41">
        <f>IF(TRIM('Cross-tab'!$B$5&amp;"")="","",IFERROR(TRIM(INDEX($A631:$Z631,MATCH('Cross-tab'!$B$5,$A$1:$Z$1,0))&amp;""),""))</f>
        <v/>
      </c>
      <c r="AF631" s="41">
        <f>IF(TRIM('Cross-tab'!$B$7&amp;"")="","",IFERROR(TRIM(INDEX($A631:$Z631,MATCH('Cross-tab'!$B$7,$A$1:$Z$1,0))&amp;""),""))</f>
        <v/>
      </c>
      <c r="AG631" s="41">
        <f>IF(ISNUMBER(IFERROR(VALUE(IF(TRIM('Scale score'!$B$5&amp;"")="","",IFERROR(TRIM(INDEX($A631:$Z631,MATCH('Scale score'!$B$5,$A$1:$Z$1,0))&amp;""),""))),"")),IF(AND(IFERROR(VALUE(IF(TRIM('Scale score'!$B$5&amp;"")="","",IFERROR(TRIM(INDEX($A631:$Z631,MATCH('Scale score'!$B$5,$A$1:$Z$1,0))&amp;""),""))),"")&gt;='Scale score'!$B$6,IFERROR(VALUE(IF(TRIM('Scale score'!$B$5&amp;"")="","",IFERROR(TRIM(INDEX($A631:$Z631,MATCH('Scale score'!$B$5,$A$1:$Z$1,0))&amp;""),""))),"")&lt;='Scale score'!$B$7),IFERROR(VALUE(IF(TRIM('Scale score'!$B$5&amp;"")="","",IFERROR(TRIM(INDEX($A631:$Z631,MATCH('Scale score'!$B$5,$A$1:$Z$1,0))&amp;""),""))),""),""),"")</f>
        <v/>
      </c>
      <c r="AH631" s="41">
        <f>IF(TRIM('Open answers'!$B$5&amp;"")="","",IFERROR(TRIM(INDEX($A631:$Z631,MATCH('Open answers'!$B$5,$A$1:$Z$1,0))&amp;""),""))</f>
        <v/>
      </c>
      <c r="AI631" s="41">
        <f>IF(LEN(AH631)&gt;0,MAX($AI$1:AI630)+1,"")</f>
        <v/>
      </c>
    </row>
    <row r="632">
      <c r="AA632" s="40" t="n"/>
      <c r="AB632" s="41">
        <f>IF(TRIM('Counts'!$B$8&amp;"")="","",IFERROR(TRIM(INDEX($A632:$Z632,MATCH('Counts'!$B$8,$A$1:$Z$1,0))&amp;""),""))</f>
        <v/>
      </c>
      <c r="AC632" s="41">
        <f>IF(TRIM('Counts'!$B$26&amp;"")="","",IFERROR(TRIM(INDEX($A632:$Z632,MATCH('Counts'!$B$26,$A$1:$Z$1,0))&amp;""),""))</f>
        <v/>
      </c>
      <c r="AD632" s="41">
        <f>IF(TRIM('Counts'!$B$44&amp;"")="","",IFERROR(TRIM(INDEX($A632:$Z632,MATCH('Counts'!$B$44,$A$1:$Z$1,0))&amp;""),""))</f>
        <v/>
      </c>
      <c r="AE632" s="41">
        <f>IF(TRIM('Cross-tab'!$B$5&amp;"")="","",IFERROR(TRIM(INDEX($A632:$Z632,MATCH('Cross-tab'!$B$5,$A$1:$Z$1,0))&amp;""),""))</f>
        <v/>
      </c>
      <c r="AF632" s="41">
        <f>IF(TRIM('Cross-tab'!$B$7&amp;"")="","",IFERROR(TRIM(INDEX($A632:$Z632,MATCH('Cross-tab'!$B$7,$A$1:$Z$1,0))&amp;""),""))</f>
        <v/>
      </c>
      <c r="AG632" s="41">
        <f>IF(ISNUMBER(IFERROR(VALUE(IF(TRIM('Scale score'!$B$5&amp;"")="","",IFERROR(TRIM(INDEX($A632:$Z632,MATCH('Scale score'!$B$5,$A$1:$Z$1,0))&amp;""),""))),"")),IF(AND(IFERROR(VALUE(IF(TRIM('Scale score'!$B$5&amp;"")="","",IFERROR(TRIM(INDEX($A632:$Z632,MATCH('Scale score'!$B$5,$A$1:$Z$1,0))&amp;""),""))),"")&gt;='Scale score'!$B$6,IFERROR(VALUE(IF(TRIM('Scale score'!$B$5&amp;"")="","",IFERROR(TRIM(INDEX($A632:$Z632,MATCH('Scale score'!$B$5,$A$1:$Z$1,0))&amp;""),""))),"")&lt;='Scale score'!$B$7),IFERROR(VALUE(IF(TRIM('Scale score'!$B$5&amp;"")="","",IFERROR(TRIM(INDEX($A632:$Z632,MATCH('Scale score'!$B$5,$A$1:$Z$1,0))&amp;""),""))),""),""),"")</f>
        <v/>
      </c>
      <c r="AH632" s="41">
        <f>IF(TRIM('Open answers'!$B$5&amp;"")="","",IFERROR(TRIM(INDEX($A632:$Z632,MATCH('Open answers'!$B$5,$A$1:$Z$1,0))&amp;""),""))</f>
        <v/>
      </c>
      <c r="AI632" s="41">
        <f>IF(LEN(AH632)&gt;0,MAX($AI$1:AI631)+1,"")</f>
        <v/>
      </c>
    </row>
    <row r="633">
      <c r="AA633" s="40" t="n"/>
      <c r="AB633" s="41">
        <f>IF(TRIM('Counts'!$B$8&amp;"")="","",IFERROR(TRIM(INDEX($A633:$Z633,MATCH('Counts'!$B$8,$A$1:$Z$1,0))&amp;""),""))</f>
        <v/>
      </c>
      <c r="AC633" s="41">
        <f>IF(TRIM('Counts'!$B$26&amp;"")="","",IFERROR(TRIM(INDEX($A633:$Z633,MATCH('Counts'!$B$26,$A$1:$Z$1,0))&amp;""),""))</f>
        <v/>
      </c>
      <c r="AD633" s="41">
        <f>IF(TRIM('Counts'!$B$44&amp;"")="","",IFERROR(TRIM(INDEX($A633:$Z633,MATCH('Counts'!$B$44,$A$1:$Z$1,0))&amp;""),""))</f>
        <v/>
      </c>
      <c r="AE633" s="41">
        <f>IF(TRIM('Cross-tab'!$B$5&amp;"")="","",IFERROR(TRIM(INDEX($A633:$Z633,MATCH('Cross-tab'!$B$5,$A$1:$Z$1,0))&amp;""),""))</f>
        <v/>
      </c>
      <c r="AF633" s="41">
        <f>IF(TRIM('Cross-tab'!$B$7&amp;"")="","",IFERROR(TRIM(INDEX($A633:$Z633,MATCH('Cross-tab'!$B$7,$A$1:$Z$1,0))&amp;""),""))</f>
        <v/>
      </c>
      <c r="AG633" s="41">
        <f>IF(ISNUMBER(IFERROR(VALUE(IF(TRIM('Scale score'!$B$5&amp;"")="","",IFERROR(TRIM(INDEX($A633:$Z633,MATCH('Scale score'!$B$5,$A$1:$Z$1,0))&amp;""),""))),"")),IF(AND(IFERROR(VALUE(IF(TRIM('Scale score'!$B$5&amp;"")="","",IFERROR(TRIM(INDEX($A633:$Z633,MATCH('Scale score'!$B$5,$A$1:$Z$1,0))&amp;""),""))),"")&gt;='Scale score'!$B$6,IFERROR(VALUE(IF(TRIM('Scale score'!$B$5&amp;"")="","",IFERROR(TRIM(INDEX($A633:$Z633,MATCH('Scale score'!$B$5,$A$1:$Z$1,0))&amp;""),""))),"")&lt;='Scale score'!$B$7),IFERROR(VALUE(IF(TRIM('Scale score'!$B$5&amp;"")="","",IFERROR(TRIM(INDEX($A633:$Z633,MATCH('Scale score'!$B$5,$A$1:$Z$1,0))&amp;""),""))),""),""),"")</f>
        <v/>
      </c>
      <c r="AH633" s="41">
        <f>IF(TRIM('Open answers'!$B$5&amp;"")="","",IFERROR(TRIM(INDEX($A633:$Z633,MATCH('Open answers'!$B$5,$A$1:$Z$1,0))&amp;""),""))</f>
        <v/>
      </c>
      <c r="AI633" s="41">
        <f>IF(LEN(AH633)&gt;0,MAX($AI$1:AI632)+1,"")</f>
        <v/>
      </c>
    </row>
    <row r="634">
      <c r="AA634" s="40" t="n"/>
      <c r="AB634" s="41">
        <f>IF(TRIM('Counts'!$B$8&amp;"")="","",IFERROR(TRIM(INDEX($A634:$Z634,MATCH('Counts'!$B$8,$A$1:$Z$1,0))&amp;""),""))</f>
        <v/>
      </c>
      <c r="AC634" s="41">
        <f>IF(TRIM('Counts'!$B$26&amp;"")="","",IFERROR(TRIM(INDEX($A634:$Z634,MATCH('Counts'!$B$26,$A$1:$Z$1,0))&amp;""),""))</f>
        <v/>
      </c>
      <c r="AD634" s="41">
        <f>IF(TRIM('Counts'!$B$44&amp;"")="","",IFERROR(TRIM(INDEX($A634:$Z634,MATCH('Counts'!$B$44,$A$1:$Z$1,0))&amp;""),""))</f>
        <v/>
      </c>
      <c r="AE634" s="41">
        <f>IF(TRIM('Cross-tab'!$B$5&amp;"")="","",IFERROR(TRIM(INDEX($A634:$Z634,MATCH('Cross-tab'!$B$5,$A$1:$Z$1,0))&amp;""),""))</f>
        <v/>
      </c>
      <c r="AF634" s="41">
        <f>IF(TRIM('Cross-tab'!$B$7&amp;"")="","",IFERROR(TRIM(INDEX($A634:$Z634,MATCH('Cross-tab'!$B$7,$A$1:$Z$1,0))&amp;""),""))</f>
        <v/>
      </c>
      <c r="AG634" s="41">
        <f>IF(ISNUMBER(IFERROR(VALUE(IF(TRIM('Scale score'!$B$5&amp;"")="","",IFERROR(TRIM(INDEX($A634:$Z634,MATCH('Scale score'!$B$5,$A$1:$Z$1,0))&amp;""),""))),"")),IF(AND(IFERROR(VALUE(IF(TRIM('Scale score'!$B$5&amp;"")="","",IFERROR(TRIM(INDEX($A634:$Z634,MATCH('Scale score'!$B$5,$A$1:$Z$1,0))&amp;""),""))),"")&gt;='Scale score'!$B$6,IFERROR(VALUE(IF(TRIM('Scale score'!$B$5&amp;"")="","",IFERROR(TRIM(INDEX($A634:$Z634,MATCH('Scale score'!$B$5,$A$1:$Z$1,0))&amp;""),""))),"")&lt;='Scale score'!$B$7),IFERROR(VALUE(IF(TRIM('Scale score'!$B$5&amp;"")="","",IFERROR(TRIM(INDEX($A634:$Z634,MATCH('Scale score'!$B$5,$A$1:$Z$1,0))&amp;""),""))),""),""),"")</f>
        <v/>
      </c>
      <c r="AH634" s="41">
        <f>IF(TRIM('Open answers'!$B$5&amp;"")="","",IFERROR(TRIM(INDEX($A634:$Z634,MATCH('Open answers'!$B$5,$A$1:$Z$1,0))&amp;""),""))</f>
        <v/>
      </c>
      <c r="AI634" s="41">
        <f>IF(LEN(AH634)&gt;0,MAX($AI$1:AI633)+1,"")</f>
        <v/>
      </c>
    </row>
    <row r="635">
      <c r="AA635" s="40" t="n"/>
      <c r="AB635" s="41">
        <f>IF(TRIM('Counts'!$B$8&amp;"")="","",IFERROR(TRIM(INDEX($A635:$Z635,MATCH('Counts'!$B$8,$A$1:$Z$1,0))&amp;""),""))</f>
        <v/>
      </c>
      <c r="AC635" s="41">
        <f>IF(TRIM('Counts'!$B$26&amp;"")="","",IFERROR(TRIM(INDEX($A635:$Z635,MATCH('Counts'!$B$26,$A$1:$Z$1,0))&amp;""),""))</f>
        <v/>
      </c>
      <c r="AD635" s="41">
        <f>IF(TRIM('Counts'!$B$44&amp;"")="","",IFERROR(TRIM(INDEX($A635:$Z635,MATCH('Counts'!$B$44,$A$1:$Z$1,0))&amp;""),""))</f>
        <v/>
      </c>
      <c r="AE635" s="41">
        <f>IF(TRIM('Cross-tab'!$B$5&amp;"")="","",IFERROR(TRIM(INDEX($A635:$Z635,MATCH('Cross-tab'!$B$5,$A$1:$Z$1,0))&amp;""),""))</f>
        <v/>
      </c>
      <c r="AF635" s="41">
        <f>IF(TRIM('Cross-tab'!$B$7&amp;"")="","",IFERROR(TRIM(INDEX($A635:$Z635,MATCH('Cross-tab'!$B$7,$A$1:$Z$1,0))&amp;""),""))</f>
        <v/>
      </c>
      <c r="AG635" s="41">
        <f>IF(ISNUMBER(IFERROR(VALUE(IF(TRIM('Scale score'!$B$5&amp;"")="","",IFERROR(TRIM(INDEX($A635:$Z635,MATCH('Scale score'!$B$5,$A$1:$Z$1,0))&amp;""),""))),"")),IF(AND(IFERROR(VALUE(IF(TRIM('Scale score'!$B$5&amp;"")="","",IFERROR(TRIM(INDEX($A635:$Z635,MATCH('Scale score'!$B$5,$A$1:$Z$1,0))&amp;""),""))),"")&gt;='Scale score'!$B$6,IFERROR(VALUE(IF(TRIM('Scale score'!$B$5&amp;"")="","",IFERROR(TRIM(INDEX($A635:$Z635,MATCH('Scale score'!$B$5,$A$1:$Z$1,0))&amp;""),""))),"")&lt;='Scale score'!$B$7),IFERROR(VALUE(IF(TRIM('Scale score'!$B$5&amp;"")="","",IFERROR(TRIM(INDEX($A635:$Z635,MATCH('Scale score'!$B$5,$A$1:$Z$1,0))&amp;""),""))),""),""),"")</f>
        <v/>
      </c>
      <c r="AH635" s="41">
        <f>IF(TRIM('Open answers'!$B$5&amp;"")="","",IFERROR(TRIM(INDEX($A635:$Z635,MATCH('Open answers'!$B$5,$A$1:$Z$1,0))&amp;""),""))</f>
        <v/>
      </c>
      <c r="AI635" s="41">
        <f>IF(LEN(AH635)&gt;0,MAX($AI$1:AI634)+1,"")</f>
        <v/>
      </c>
    </row>
    <row r="636">
      <c r="AA636" s="40" t="n"/>
      <c r="AB636" s="41">
        <f>IF(TRIM('Counts'!$B$8&amp;"")="","",IFERROR(TRIM(INDEX($A636:$Z636,MATCH('Counts'!$B$8,$A$1:$Z$1,0))&amp;""),""))</f>
        <v/>
      </c>
      <c r="AC636" s="41">
        <f>IF(TRIM('Counts'!$B$26&amp;"")="","",IFERROR(TRIM(INDEX($A636:$Z636,MATCH('Counts'!$B$26,$A$1:$Z$1,0))&amp;""),""))</f>
        <v/>
      </c>
      <c r="AD636" s="41">
        <f>IF(TRIM('Counts'!$B$44&amp;"")="","",IFERROR(TRIM(INDEX($A636:$Z636,MATCH('Counts'!$B$44,$A$1:$Z$1,0))&amp;""),""))</f>
        <v/>
      </c>
      <c r="AE636" s="41">
        <f>IF(TRIM('Cross-tab'!$B$5&amp;"")="","",IFERROR(TRIM(INDEX($A636:$Z636,MATCH('Cross-tab'!$B$5,$A$1:$Z$1,0))&amp;""),""))</f>
        <v/>
      </c>
      <c r="AF636" s="41">
        <f>IF(TRIM('Cross-tab'!$B$7&amp;"")="","",IFERROR(TRIM(INDEX($A636:$Z636,MATCH('Cross-tab'!$B$7,$A$1:$Z$1,0))&amp;""),""))</f>
        <v/>
      </c>
      <c r="AG636" s="41">
        <f>IF(ISNUMBER(IFERROR(VALUE(IF(TRIM('Scale score'!$B$5&amp;"")="","",IFERROR(TRIM(INDEX($A636:$Z636,MATCH('Scale score'!$B$5,$A$1:$Z$1,0))&amp;""),""))),"")),IF(AND(IFERROR(VALUE(IF(TRIM('Scale score'!$B$5&amp;"")="","",IFERROR(TRIM(INDEX($A636:$Z636,MATCH('Scale score'!$B$5,$A$1:$Z$1,0))&amp;""),""))),"")&gt;='Scale score'!$B$6,IFERROR(VALUE(IF(TRIM('Scale score'!$B$5&amp;"")="","",IFERROR(TRIM(INDEX($A636:$Z636,MATCH('Scale score'!$B$5,$A$1:$Z$1,0))&amp;""),""))),"")&lt;='Scale score'!$B$7),IFERROR(VALUE(IF(TRIM('Scale score'!$B$5&amp;"")="","",IFERROR(TRIM(INDEX($A636:$Z636,MATCH('Scale score'!$B$5,$A$1:$Z$1,0))&amp;""),""))),""),""),"")</f>
        <v/>
      </c>
      <c r="AH636" s="41">
        <f>IF(TRIM('Open answers'!$B$5&amp;"")="","",IFERROR(TRIM(INDEX($A636:$Z636,MATCH('Open answers'!$B$5,$A$1:$Z$1,0))&amp;""),""))</f>
        <v/>
      </c>
      <c r="AI636" s="41">
        <f>IF(LEN(AH636)&gt;0,MAX($AI$1:AI635)+1,"")</f>
        <v/>
      </c>
    </row>
    <row r="637">
      <c r="AA637" s="40" t="n"/>
      <c r="AB637" s="41">
        <f>IF(TRIM('Counts'!$B$8&amp;"")="","",IFERROR(TRIM(INDEX($A637:$Z637,MATCH('Counts'!$B$8,$A$1:$Z$1,0))&amp;""),""))</f>
        <v/>
      </c>
      <c r="AC637" s="41">
        <f>IF(TRIM('Counts'!$B$26&amp;"")="","",IFERROR(TRIM(INDEX($A637:$Z637,MATCH('Counts'!$B$26,$A$1:$Z$1,0))&amp;""),""))</f>
        <v/>
      </c>
      <c r="AD637" s="41">
        <f>IF(TRIM('Counts'!$B$44&amp;"")="","",IFERROR(TRIM(INDEX($A637:$Z637,MATCH('Counts'!$B$44,$A$1:$Z$1,0))&amp;""),""))</f>
        <v/>
      </c>
      <c r="AE637" s="41">
        <f>IF(TRIM('Cross-tab'!$B$5&amp;"")="","",IFERROR(TRIM(INDEX($A637:$Z637,MATCH('Cross-tab'!$B$5,$A$1:$Z$1,0))&amp;""),""))</f>
        <v/>
      </c>
      <c r="AF637" s="41">
        <f>IF(TRIM('Cross-tab'!$B$7&amp;"")="","",IFERROR(TRIM(INDEX($A637:$Z637,MATCH('Cross-tab'!$B$7,$A$1:$Z$1,0))&amp;""),""))</f>
        <v/>
      </c>
      <c r="AG637" s="41">
        <f>IF(ISNUMBER(IFERROR(VALUE(IF(TRIM('Scale score'!$B$5&amp;"")="","",IFERROR(TRIM(INDEX($A637:$Z637,MATCH('Scale score'!$B$5,$A$1:$Z$1,0))&amp;""),""))),"")),IF(AND(IFERROR(VALUE(IF(TRIM('Scale score'!$B$5&amp;"")="","",IFERROR(TRIM(INDEX($A637:$Z637,MATCH('Scale score'!$B$5,$A$1:$Z$1,0))&amp;""),""))),"")&gt;='Scale score'!$B$6,IFERROR(VALUE(IF(TRIM('Scale score'!$B$5&amp;"")="","",IFERROR(TRIM(INDEX($A637:$Z637,MATCH('Scale score'!$B$5,$A$1:$Z$1,0))&amp;""),""))),"")&lt;='Scale score'!$B$7),IFERROR(VALUE(IF(TRIM('Scale score'!$B$5&amp;"")="","",IFERROR(TRIM(INDEX($A637:$Z637,MATCH('Scale score'!$B$5,$A$1:$Z$1,0))&amp;""),""))),""),""),"")</f>
        <v/>
      </c>
      <c r="AH637" s="41">
        <f>IF(TRIM('Open answers'!$B$5&amp;"")="","",IFERROR(TRIM(INDEX($A637:$Z637,MATCH('Open answers'!$B$5,$A$1:$Z$1,0))&amp;""),""))</f>
        <v/>
      </c>
      <c r="AI637" s="41">
        <f>IF(LEN(AH637)&gt;0,MAX($AI$1:AI636)+1,"")</f>
        <v/>
      </c>
    </row>
    <row r="638">
      <c r="AA638" s="40" t="n"/>
      <c r="AB638" s="41">
        <f>IF(TRIM('Counts'!$B$8&amp;"")="","",IFERROR(TRIM(INDEX($A638:$Z638,MATCH('Counts'!$B$8,$A$1:$Z$1,0))&amp;""),""))</f>
        <v/>
      </c>
      <c r="AC638" s="41">
        <f>IF(TRIM('Counts'!$B$26&amp;"")="","",IFERROR(TRIM(INDEX($A638:$Z638,MATCH('Counts'!$B$26,$A$1:$Z$1,0))&amp;""),""))</f>
        <v/>
      </c>
      <c r="AD638" s="41">
        <f>IF(TRIM('Counts'!$B$44&amp;"")="","",IFERROR(TRIM(INDEX($A638:$Z638,MATCH('Counts'!$B$44,$A$1:$Z$1,0))&amp;""),""))</f>
        <v/>
      </c>
      <c r="AE638" s="41">
        <f>IF(TRIM('Cross-tab'!$B$5&amp;"")="","",IFERROR(TRIM(INDEX($A638:$Z638,MATCH('Cross-tab'!$B$5,$A$1:$Z$1,0))&amp;""),""))</f>
        <v/>
      </c>
      <c r="AF638" s="41">
        <f>IF(TRIM('Cross-tab'!$B$7&amp;"")="","",IFERROR(TRIM(INDEX($A638:$Z638,MATCH('Cross-tab'!$B$7,$A$1:$Z$1,0))&amp;""),""))</f>
        <v/>
      </c>
      <c r="AG638" s="41">
        <f>IF(ISNUMBER(IFERROR(VALUE(IF(TRIM('Scale score'!$B$5&amp;"")="","",IFERROR(TRIM(INDEX($A638:$Z638,MATCH('Scale score'!$B$5,$A$1:$Z$1,0))&amp;""),""))),"")),IF(AND(IFERROR(VALUE(IF(TRIM('Scale score'!$B$5&amp;"")="","",IFERROR(TRIM(INDEX($A638:$Z638,MATCH('Scale score'!$B$5,$A$1:$Z$1,0))&amp;""),""))),"")&gt;='Scale score'!$B$6,IFERROR(VALUE(IF(TRIM('Scale score'!$B$5&amp;"")="","",IFERROR(TRIM(INDEX($A638:$Z638,MATCH('Scale score'!$B$5,$A$1:$Z$1,0))&amp;""),""))),"")&lt;='Scale score'!$B$7),IFERROR(VALUE(IF(TRIM('Scale score'!$B$5&amp;"")="","",IFERROR(TRIM(INDEX($A638:$Z638,MATCH('Scale score'!$B$5,$A$1:$Z$1,0))&amp;""),""))),""),""),"")</f>
        <v/>
      </c>
      <c r="AH638" s="41">
        <f>IF(TRIM('Open answers'!$B$5&amp;"")="","",IFERROR(TRIM(INDEX($A638:$Z638,MATCH('Open answers'!$B$5,$A$1:$Z$1,0))&amp;""),""))</f>
        <v/>
      </c>
      <c r="AI638" s="41">
        <f>IF(LEN(AH638)&gt;0,MAX($AI$1:AI637)+1,"")</f>
        <v/>
      </c>
    </row>
    <row r="639">
      <c r="AA639" s="40" t="n"/>
      <c r="AB639" s="41">
        <f>IF(TRIM('Counts'!$B$8&amp;"")="","",IFERROR(TRIM(INDEX($A639:$Z639,MATCH('Counts'!$B$8,$A$1:$Z$1,0))&amp;""),""))</f>
        <v/>
      </c>
      <c r="AC639" s="41">
        <f>IF(TRIM('Counts'!$B$26&amp;"")="","",IFERROR(TRIM(INDEX($A639:$Z639,MATCH('Counts'!$B$26,$A$1:$Z$1,0))&amp;""),""))</f>
        <v/>
      </c>
      <c r="AD639" s="41">
        <f>IF(TRIM('Counts'!$B$44&amp;"")="","",IFERROR(TRIM(INDEX($A639:$Z639,MATCH('Counts'!$B$44,$A$1:$Z$1,0))&amp;""),""))</f>
        <v/>
      </c>
      <c r="AE639" s="41">
        <f>IF(TRIM('Cross-tab'!$B$5&amp;"")="","",IFERROR(TRIM(INDEX($A639:$Z639,MATCH('Cross-tab'!$B$5,$A$1:$Z$1,0))&amp;""),""))</f>
        <v/>
      </c>
      <c r="AF639" s="41">
        <f>IF(TRIM('Cross-tab'!$B$7&amp;"")="","",IFERROR(TRIM(INDEX($A639:$Z639,MATCH('Cross-tab'!$B$7,$A$1:$Z$1,0))&amp;""),""))</f>
        <v/>
      </c>
      <c r="AG639" s="41">
        <f>IF(ISNUMBER(IFERROR(VALUE(IF(TRIM('Scale score'!$B$5&amp;"")="","",IFERROR(TRIM(INDEX($A639:$Z639,MATCH('Scale score'!$B$5,$A$1:$Z$1,0))&amp;""),""))),"")),IF(AND(IFERROR(VALUE(IF(TRIM('Scale score'!$B$5&amp;"")="","",IFERROR(TRIM(INDEX($A639:$Z639,MATCH('Scale score'!$B$5,$A$1:$Z$1,0))&amp;""),""))),"")&gt;='Scale score'!$B$6,IFERROR(VALUE(IF(TRIM('Scale score'!$B$5&amp;"")="","",IFERROR(TRIM(INDEX($A639:$Z639,MATCH('Scale score'!$B$5,$A$1:$Z$1,0))&amp;""),""))),"")&lt;='Scale score'!$B$7),IFERROR(VALUE(IF(TRIM('Scale score'!$B$5&amp;"")="","",IFERROR(TRIM(INDEX($A639:$Z639,MATCH('Scale score'!$B$5,$A$1:$Z$1,0))&amp;""),""))),""),""),"")</f>
        <v/>
      </c>
      <c r="AH639" s="41">
        <f>IF(TRIM('Open answers'!$B$5&amp;"")="","",IFERROR(TRIM(INDEX($A639:$Z639,MATCH('Open answers'!$B$5,$A$1:$Z$1,0))&amp;""),""))</f>
        <v/>
      </c>
      <c r="AI639" s="41">
        <f>IF(LEN(AH639)&gt;0,MAX($AI$1:AI638)+1,"")</f>
        <v/>
      </c>
    </row>
    <row r="640">
      <c r="AA640" s="40" t="n"/>
      <c r="AB640" s="41">
        <f>IF(TRIM('Counts'!$B$8&amp;"")="","",IFERROR(TRIM(INDEX($A640:$Z640,MATCH('Counts'!$B$8,$A$1:$Z$1,0))&amp;""),""))</f>
        <v/>
      </c>
      <c r="AC640" s="41">
        <f>IF(TRIM('Counts'!$B$26&amp;"")="","",IFERROR(TRIM(INDEX($A640:$Z640,MATCH('Counts'!$B$26,$A$1:$Z$1,0))&amp;""),""))</f>
        <v/>
      </c>
      <c r="AD640" s="41">
        <f>IF(TRIM('Counts'!$B$44&amp;"")="","",IFERROR(TRIM(INDEX($A640:$Z640,MATCH('Counts'!$B$44,$A$1:$Z$1,0))&amp;""),""))</f>
        <v/>
      </c>
      <c r="AE640" s="41">
        <f>IF(TRIM('Cross-tab'!$B$5&amp;"")="","",IFERROR(TRIM(INDEX($A640:$Z640,MATCH('Cross-tab'!$B$5,$A$1:$Z$1,0))&amp;""),""))</f>
        <v/>
      </c>
      <c r="AF640" s="41">
        <f>IF(TRIM('Cross-tab'!$B$7&amp;"")="","",IFERROR(TRIM(INDEX($A640:$Z640,MATCH('Cross-tab'!$B$7,$A$1:$Z$1,0))&amp;""),""))</f>
        <v/>
      </c>
      <c r="AG640" s="41">
        <f>IF(ISNUMBER(IFERROR(VALUE(IF(TRIM('Scale score'!$B$5&amp;"")="","",IFERROR(TRIM(INDEX($A640:$Z640,MATCH('Scale score'!$B$5,$A$1:$Z$1,0))&amp;""),""))),"")),IF(AND(IFERROR(VALUE(IF(TRIM('Scale score'!$B$5&amp;"")="","",IFERROR(TRIM(INDEX($A640:$Z640,MATCH('Scale score'!$B$5,$A$1:$Z$1,0))&amp;""),""))),"")&gt;='Scale score'!$B$6,IFERROR(VALUE(IF(TRIM('Scale score'!$B$5&amp;"")="","",IFERROR(TRIM(INDEX($A640:$Z640,MATCH('Scale score'!$B$5,$A$1:$Z$1,0))&amp;""),""))),"")&lt;='Scale score'!$B$7),IFERROR(VALUE(IF(TRIM('Scale score'!$B$5&amp;"")="","",IFERROR(TRIM(INDEX($A640:$Z640,MATCH('Scale score'!$B$5,$A$1:$Z$1,0))&amp;""),""))),""),""),"")</f>
        <v/>
      </c>
      <c r="AH640" s="41">
        <f>IF(TRIM('Open answers'!$B$5&amp;"")="","",IFERROR(TRIM(INDEX($A640:$Z640,MATCH('Open answers'!$B$5,$A$1:$Z$1,0))&amp;""),""))</f>
        <v/>
      </c>
      <c r="AI640" s="41">
        <f>IF(LEN(AH640)&gt;0,MAX($AI$1:AI639)+1,"")</f>
        <v/>
      </c>
    </row>
    <row r="641">
      <c r="AA641" s="40" t="n"/>
      <c r="AB641" s="41">
        <f>IF(TRIM('Counts'!$B$8&amp;"")="","",IFERROR(TRIM(INDEX($A641:$Z641,MATCH('Counts'!$B$8,$A$1:$Z$1,0))&amp;""),""))</f>
        <v/>
      </c>
      <c r="AC641" s="41">
        <f>IF(TRIM('Counts'!$B$26&amp;"")="","",IFERROR(TRIM(INDEX($A641:$Z641,MATCH('Counts'!$B$26,$A$1:$Z$1,0))&amp;""),""))</f>
        <v/>
      </c>
      <c r="AD641" s="41">
        <f>IF(TRIM('Counts'!$B$44&amp;"")="","",IFERROR(TRIM(INDEX($A641:$Z641,MATCH('Counts'!$B$44,$A$1:$Z$1,0))&amp;""),""))</f>
        <v/>
      </c>
      <c r="AE641" s="41">
        <f>IF(TRIM('Cross-tab'!$B$5&amp;"")="","",IFERROR(TRIM(INDEX($A641:$Z641,MATCH('Cross-tab'!$B$5,$A$1:$Z$1,0))&amp;""),""))</f>
        <v/>
      </c>
      <c r="AF641" s="41">
        <f>IF(TRIM('Cross-tab'!$B$7&amp;"")="","",IFERROR(TRIM(INDEX($A641:$Z641,MATCH('Cross-tab'!$B$7,$A$1:$Z$1,0))&amp;""),""))</f>
        <v/>
      </c>
      <c r="AG641" s="41">
        <f>IF(ISNUMBER(IFERROR(VALUE(IF(TRIM('Scale score'!$B$5&amp;"")="","",IFERROR(TRIM(INDEX($A641:$Z641,MATCH('Scale score'!$B$5,$A$1:$Z$1,0))&amp;""),""))),"")),IF(AND(IFERROR(VALUE(IF(TRIM('Scale score'!$B$5&amp;"")="","",IFERROR(TRIM(INDEX($A641:$Z641,MATCH('Scale score'!$B$5,$A$1:$Z$1,0))&amp;""),""))),"")&gt;='Scale score'!$B$6,IFERROR(VALUE(IF(TRIM('Scale score'!$B$5&amp;"")="","",IFERROR(TRIM(INDEX($A641:$Z641,MATCH('Scale score'!$B$5,$A$1:$Z$1,0))&amp;""),""))),"")&lt;='Scale score'!$B$7),IFERROR(VALUE(IF(TRIM('Scale score'!$B$5&amp;"")="","",IFERROR(TRIM(INDEX($A641:$Z641,MATCH('Scale score'!$B$5,$A$1:$Z$1,0))&amp;""),""))),""),""),"")</f>
        <v/>
      </c>
      <c r="AH641" s="41">
        <f>IF(TRIM('Open answers'!$B$5&amp;"")="","",IFERROR(TRIM(INDEX($A641:$Z641,MATCH('Open answers'!$B$5,$A$1:$Z$1,0))&amp;""),""))</f>
        <v/>
      </c>
      <c r="AI641" s="41">
        <f>IF(LEN(AH641)&gt;0,MAX($AI$1:AI640)+1,"")</f>
        <v/>
      </c>
    </row>
    <row r="642">
      <c r="AA642" s="40" t="n"/>
      <c r="AB642" s="41">
        <f>IF(TRIM('Counts'!$B$8&amp;"")="","",IFERROR(TRIM(INDEX($A642:$Z642,MATCH('Counts'!$B$8,$A$1:$Z$1,0))&amp;""),""))</f>
        <v/>
      </c>
      <c r="AC642" s="41">
        <f>IF(TRIM('Counts'!$B$26&amp;"")="","",IFERROR(TRIM(INDEX($A642:$Z642,MATCH('Counts'!$B$26,$A$1:$Z$1,0))&amp;""),""))</f>
        <v/>
      </c>
      <c r="AD642" s="41">
        <f>IF(TRIM('Counts'!$B$44&amp;"")="","",IFERROR(TRIM(INDEX($A642:$Z642,MATCH('Counts'!$B$44,$A$1:$Z$1,0))&amp;""),""))</f>
        <v/>
      </c>
      <c r="AE642" s="41">
        <f>IF(TRIM('Cross-tab'!$B$5&amp;"")="","",IFERROR(TRIM(INDEX($A642:$Z642,MATCH('Cross-tab'!$B$5,$A$1:$Z$1,0))&amp;""),""))</f>
        <v/>
      </c>
      <c r="AF642" s="41">
        <f>IF(TRIM('Cross-tab'!$B$7&amp;"")="","",IFERROR(TRIM(INDEX($A642:$Z642,MATCH('Cross-tab'!$B$7,$A$1:$Z$1,0))&amp;""),""))</f>
        <v/>
      </c>
      <c r="AG642" s="41">
        <f>IF(ISNUMBER(IFERROR(VALUE(IF(TRIM('Scale score'!$B$5&amp;"")="","",IFERROR(TRIM(INDEX($A642:$Z642,MATCH('Scale score'!$B$5,$A$1:$Z$1,0))&amp;""),""))),"")),IF(AND(IFERROR(VALUE(IF(TRIM('Scale score'!$B$5&amp;"")="","",IFERROR(TRIM(INDEX($A642:$Z642,MATCH('Scale score'!$B$5,$A$1:$Z$1,0))&amp;""),""))),"")&gt;='Scale score'!$B$6,IFERROR(VALUE(IF(TRIM('Scale score'!$B$5&amp;"")="","",IFERROR(TRIM(INDEX($A642:$Z642,MATCH('Scale score'!$B$5,$A$1:$Z$1,0))&amp;""),""))),"")&lt;='Scale score'!$B$7),IFERROR(VALUE(IF(TRIM('Scale score'!$B$5&amp;"")="","",IFERROR(TRIM(INDEX($A642:$Z642,MATCH('Scale score'!$B$5,$A$1:$Z$1,0))&amp;""),""))),""),""),"")</f>
        <v/>
      </c>
      <c r="AH642" s="41">
        <f>IF(TRIM('Open answers'!$B$5&amp;"")="","",IFERROR(TRIM(INDEX($A642:$Z642,MATCH('Open answers'!$B$5,$A$1:$Z$1,0))&amp;""),""))</f>
        <v/>
      </c>
      <c r="AI642" s="41">
        <f>IF(LEN(AH642)&gt;0,MAX($AI$1:AI641)+1,"")</f>
        <v/>
      </c>
    </row>
    <row r="643">
      <c r="AA643" s="40" t="n"/>
      <c r="AB643" s="41">
        <f>IF(TRIM('Counts'!$B$8&amp;"")="","",IFERROR(TRIM(INDEX($A643:$Z643,MATCH('Counts'!$B$8,$A$1:$Z$1,0))&amp;""),""))</f>
        <v/>
      </c>
      <c r="AC643" s="41">
        <f>IF(TRIM('Counts'!$B$26&amp;"")="","",IFERROR(TRIM(INDEX($A643:$Z643,MATCH('Counts'!$B$26,$A$1:$Z$1,0))&amp;""),""))</f>
        <v/>
      </c>
      <c r="AD643" s="41">
        <f>IF(TRIM('Counts'!$B$44&amp;"")="","",IFERROR(TRIM(INDEX($A643:$Z643,MATCH('Counts'!$B$44,$A$1:$Z$1,0))&amp;""),""))</f>
        <v/>
      </c>
      <c r="AE643" s="41">
        <f>IF(TRIM('Cross-tab'!$B$5&amp;"")="","",IFERROR(TRIM(INDEX($A643:$Z643,MATCH('Cross-tab'!$B$5,$A$1:$Z$1,0))&amp;""),""))</f>
        <v/>
      </c>
      <c r="AF643" s="41">
        <f>IF(TRIM('Cross-tab'!$B$7&amp;"")="","",IFERROR(TRIM(INDEX($A643:$Z643,MATCH('Cross-tab'!$B$7,$A$1:$Z$1,0))&amp;""),""))</f>
        <v/>
      </c>
      <c r="AG643" s="41">
        <f>IF(ISNUMBER(IFERROR(VALUE(IF(TRIM('Scale score'!$B$5&amp;"")="","",IFERROR(TRIM(INDEX($A643:$Z643,MATCH('Scale score'!$B$5,$A$1:$Z$1,0))&amp;""),""))),"")),IF(AND(IFERROR(VALUE(IF(TRIM('Scale score'!$B$5&amp;"")="","",IFERROR(TRIM(INDEX($A643:$Z643,MATCH('Scale score'!$B$5,$A$1:$Z$1,0))&amp;""),""))),"")&gt;='Scale score'!$B$6,IFERROR(VALUE(IF(TRIM('Scale score'!$B$5&amp;"")="","",IFERROR(TRIM(INDEX($A643:$Z643,MATCH('Scale score'!$B$5,$A$1:$Z$1,0))&amp;""),""))),"")&lt;='Scale score'!$B$7),IFERROR(VALUE(IF(TRIM('Scale score'!$B$5&amp;"")="","",IFERROR(TRIM(INDEX($A643:$Z643,MATCH('Scale score'!$B$5,$A$1:$Z$1,0))&amp;""),""))),""),""),"")</f>
        <v/>
      </c>
      <c r="AH643" s="41">
        <f>IF(TRIM('Open answers'!$B$5&amp;"")="","",IFERROR(TRIM(INDEX($A643:$Z643,MATCH('Open answers'!$B$5,$A$1:$Z$1,0))&amp;""),""))</f>
        <v/>
      </c>
      <c r="AI643" s="41">
        <f>IF(LEN(AH643)&gt;0,MAX($AI$1:AI642)+1,"")</f>
        <v/>
      </c>
    </row>
    <row r="644">
      <c r="AA644" s="40" t="n"/>
      <c r="AB644" s="41">
        <f>IF(TRIM('Counts'!$B$8&amp;"")="","",IFERROR(TRIM(INDEX($A644:$Z644,MATCH('Counts'!$B$8,$A$1:$Z$1,0))&amp;""),""))</f>
        <v/>
      </c>
      <c r="AC644" s="41">
        <f>IF(TRIM('Counts'!$B$26&amp;"")="","",IFERROR(TRIM(INDEX($A644:$Z644,MATCH('Counts'!$B$26,$A$1:$Z$1,0))&amp;""),""))</f>
        <v/>
      </c>
      <c r="AD644" s="41">
        <f>IF(TRIM('Counts'!$B$44&amp;"")="","",IFERROR(TRIM(INDEX($A644:$Z644,MATCH('Counts'!$B$44,$A$1:$Z$1,0))&amp;""),""))</f>
        <v/>
      </c>
      <c r="AE644" s="41">
        <f>IF(TRIM('Cross-tab'!$B$5&amp;"")="","",IFERROR(TRIM(INDEX($A644:$Z644,MATCH('Cross-tab'!$B$5,$A$1:$Z$1,0))&amp;""),""))</f>
        <v/>
      </c>
      <c r="AF644" s="41">
        <f>IF(TRIM('Cross-tab'!$B$7&amp;"")="","",IFERROR(TRIM(INDEX($A644:$Z644,MATCH('Cross-tab'!$B$7,$A$1:$Z$1,0))&amp;""),""))</f>
        <v/>
      </c>
      <c r="AG644" s="41">
        <f>IF(ISNUMBER(IFERROR(VALUE(IF(TRIM('Scale score'!$B$5&amp;"")="","",IFERROR(TRIM(INDEX($A644:$Z644,MATCH('Scale score'!$B$5,$A$1:$Z$1,0))&amp;""),""))),"")),IF(AND(IFERROR(VALUE(IF(TRIM('Scale score'!$B$5&amp;"")="","",IFERROR(TRIM(INDEX($A644:$Z644,MATCH('Scale score'!$B$5,$A$1:$Z$1,0))&amp;""),""))),"")&gt;='Scale score'!$B$6,IFERROR(VALUE(IF(TRIM('Scale score'!$B$5&amp;"")="","",IFERROR(TRIM(INDEX($A644:$Z644,MATCH('Scale score'!$B$5,$A$1:$Z$1,0))&amp;""),""))),"")&lt;='Scale score'!$B$7),IFERROR(VALUE(IF(TRIM('Scale score'!$B$5&amp;"")="","",IFERROR(TRIM(INDEX($A644:$Z644,MATCH('Scale score'!$B$5,$A$1:$Z$1,0))&amp;""),""))),""),""),"")</f>
        <v/>
      </c>
      <c r="AH644" s="41">
        <f>IF(TRIM('Open answers'!$B$5&amp;"")="","",IFERROR(TRIM(INDEX($A644:$Z644,MATCH('Open answers'!$B$5,$A$1:$Z$1,0))&amp;""),""))</f>
        <v/>
      </c>
      <c r="AI644" s="41">
        <f>IF(LEN(AH644)&gt;0,MAX($AI$1:AI643)+1,"")</f>
        <v/>
      </c>
    </row>
    <row r="645">
      <c r="AA645" s="40" t="n"/>
      <c r="AB645" s="41">
        <f>IF(TRIM('Counts'!$B$8&amp;"")="","",IFERROR(TRIM(INDEX($A645:$Z645,MATCH('Counts'!$B$8,$A$1:$Z$1,0))&amp;""),""))</f>
        <v/>
      </c>
      <c r="AC645" s="41">
        <f>IF(TRIM('Counts'!$B$26&amp;"")="","",IFERROR(TRIM(INDEX($A645:$Z645,MATCH('Counts'!$B$26,$A$1:$Z$1,0))&amp;""),""))</f>
        <v/>
      </c>
      <c r="AD645" s="41">
        <f>IF(TRIM('Counts'!$B$44&amp;"")="","",IFERROR(TRIM(INDEX($A645:$Z645,MATCH('Counts'!$B$44,$A$1:$Z$1,0))&amp;""),""))</f>
        <v/>
      </c>
      <c r="AE645" s="41">
        <f>IF(TRIM('Cross-tab'!$B$5&amp;"")="","",IFERROR(TRIM(INDEX($A645:$Z645,MATCH('Cross-tab'!$B$5,$A$1:$Z$1,0))&amp;""),""))</f>
        <v/>
      </c>
      <c r="AF645" s="41">
        <f>IF(TRIM('Cross-tab'!$B$7&amp;"")="","",IFERROR(TRIM(INDEX($A645:$Z645,MATCH('Cross-tab'!$B$7,$A$1:$Z$1,0))&amp;""),""))</f>
        <v/>
      </c>
      <c r="AG645" s="41">
        <f>IF(ISNUMBER(IFERROR(VALUE(IF(TRIM('Scale score'!$B$5&amp;"")="","",IFERROR(TRIM(INDEX($A645:$Z645,MATCH('Scale score'!$B$5,$A$1:$Z$1,0))&amp;""),""))),"")),IF(AND(IFERROR(VALUE(IF(TRIM('Scale score'!$B$5&amp;"")="","",IFERROR(TRIM(INDEX($A645:$Z645,MATCH('Scale score'!$B$5,$A$1:$Z$1,0))&amp;""),""))),"")&gt;='Scale score'!$B$6,IFERROR(VALUE(IF(TRIM('Scale score'!$B$5&amp;"")="","",IFERROR(TRIM(INDEX($A645:$Z645,MATCH('Scale score'!$B$5,$A$1:$Z$1,0))&amp;""),""))),"")&lt;='Scale score'!$B$7),IFERROR(VALUE(IF(TRIM('Scale score'!$B$5&amp;"")="","",IFERROR(TRIM(INDEX($A645:$Z645,MATCH('Scale score'!$B$5,$A$1:$Z$1,0))&amp;""),""))),""),""),"")</f>
        <v/>
      </c>
      <c r="AH645" s="41">
        <f>IF(TRIM('Open answers'!$B$5&amp;"")="","",IFERROR(TRIM(INDEX($A645:$Z645,MATCH('Open answers'!$B$5,$A$1:$Z$1,0))&amp;""),""))</f>
        <v/>
      </c>
      <c r="AI645" s="41">
        <f>IF(LEN(AH645)&gt;0,MAX($AI$1:AI644)+1,"")</f>
        <v/>
      </c>
    </row>
    <row r="646">
      <c r="AA646" s="40" t="n"/>
      <c r="AB646" s="41">
        <f>IF(TRIM('Counts'!$B$8&amp;"")="","",IFERROR(TRIM(INDEX($A646:$Z646,MATCH('Counts'!$B$8,$A$1:$Z$1,0))&amp;""),""))</f>
        <v/>
      </c>
      <c r="AC646" s="41">
        <f>IF(TRIM('Counts'!$B$26&amp;"")="","",IFERROR(TRIM(INDEX($A646:$Z646,MATCH('Counts'!$B$26,$A$1:$Z$1,0))&amp;""),""))</f>
        <v/>
      </c>
      <c r="AD646" s="41">
        <f>IF(TRIM('Counts'!$B$44&amp;"")="","",IFERROR(TRIM(INDEX($A646:$Z646,MATCH('Counts'!$B$44,$A$1:$Z$1,0))&amp;""),""))</f>
        <v/>
      </c>
      <c r="AE646" s="41">
        <f>IF(TRIM('Cross-tab'!$B$5&amp;"")="","",IFERROR(TRIM(INDEX($A646:$Z646,MATCH('Cross-tab'!$B$5,$A$1:$Z$1,0))&amp;""),""))</f>
        <v/>
      </c>
      <c r="AF646" s="41">
        <f>IF(TRIM('Cross-tab'!$B$7&amp;"")="","",IFERROR(TRIM(INDEX($A646:$Z646,MATCH('Cross-tab'!$B$7,$A$1:$Z$1,0))&amp;""),""))</f>
        <v/>
      </c>
      <c r="AG646" s="41">
        <f>IF(ISNUMBER(IFERROR(VALUE(IF(TRIM('Scale score'!$B$5&amp;"")="","",IFERROR(TRIM(INDEX($A646:$Z646,MATCH('Scale score'!$B$5,$A$1:$Z$1,0))&amp;""),""))),"")),IF(AND(IFERROR(VALUE(IF(TRIM('Scale score'!$B$5&amp;"")="","",IFERROR(TRIM(INDEX($A646:$Z646,MATCH('Scale score'!$B$5,$A$1:$Z$1,0))&amp;""),""))),"")&gt;='Scale score'!$B$6,IFERROR(VALUE(IF(TRIM('Scale score'!$B$5&amp;"")="","",IFERROR(TRIM(INDEX($A646:$Z646,MATCH('Scale score'!$B$5,$A$1:$Z$1,0))&amp;""),""))),"")&lt;='Scale score'!$B$7),IFERROR(VALUE(IF(TRIM('Scale score'!$B$5&amp;"")="","",IFERROR(TRIM(INDEX($A646:$Z646,MATCH('Scale score'!$B$5,$A$1:$Z$1,0))&amp;""),""))),""),""),"")</f>
        <v/>
      </c>
      <c r="AH646" s="41">
        <f>IF(TRIM('Open answers'!$B$5&amp;"")="","",IFERROR(TRIM(INDEX($A646:$Z646,MATCH('Open answers'!$B$5,$A$1:$Z$1,0))&amp;""),""))</f>
        <v/>
      </c>
      <c r="AI646" s="41">
        <f>IF(LEN(AH646)&gt;0,MAX($AI$1:AI645)+1,"")</f>
        <v/>
      </c>
    </row>
    <row r="647">
      <c r="AA647" s="40" t="n"/>
      <c r="AB647" s="41">
        <f>IF(TRIM('Counts'!$B$8&amp;"")="","",IFERROR(TRIM(INDEX($A647:$Z647,MATCH('Counts'!$B$8,$A$1:$Z$1,0))&amp;""),""))</f>
        <v/>
      </c>
      <c r="AC647" s="41">
        <f>IF(TRIM('Counts'!$B$26&amp;"")="","",IFERROR(TRIM(INDEX($A647:$Z647,MATCH('Counts'!$B$26,$A$1:$Z$1,0))&amp;""),""))</f>
        <v/>
      </c>
      <c r="AD647" s="41">
        <f>IF(TRIM('Counts'!$B$44&amp;"")="","",IFERROR(TRIM(INDEX($A647:$Z647,MATCH('Counts'!$B$44,$A$1:$Z$1,0))&amp;""),""))</f>
        <v/>
      </c>
      <c r="AE647" s="41">
        <f>IF(TRIM('Cross-tab'!$B$5&amp;"")="","",IFERROR(TRIM(INDEX($A647:$Z647,MATCH('Cross-tab'!$B$5,$A$1:$Z$1,0))&amp;""),""))</f>
        <v/>
      </c>
      <c r="AF647" s="41">
        <f>IF(TRIM('Cross-tab'!$B$7&amp;"")="","",IFERROR(TRIM(INDEX($A647:$Z647,MATCH('Cross-tab'!$B$7,$A$1:$Z$1,0))&amp;""),""))</f>
        <v/>
      </c>
      <c r="AG647" s="41">
        <f>IF(ISNUMBER(IFERROR(VALUE(IF(TRIM('Scale score'!$B$5&amp;"")="","",IFERROR(TRIM(INDEX($A647:$Z647,MATCH('Scale score'!$B$5,$A$1:$Z$1,0))&amp;""),""))),"")),IF(AND(IFERROR(VALUE(IF(TRIM('Scale score'!$B$5&amp;"")="","",IFERROR(TRIM(INDEX($A647:$Z647,MATCH('Scale score'!$B$5,$A$1:$Z$1,0))&amp;""),""))),"")&gt;='Scale score'!$B$6,IFERROR(VALUE(IF(TRIM('Scale score'!$B$5&amp;"")="","",IFERROR(TRIM(INDEX($A647:$Z647,MATCH('Scale score'!$B$5,$A$1:$Z$1,0))&amp;""),""))),"")&lt;='Scale score'!$B$7),IFERROR(VALUE(IF(TRIM('Scale score'!$B$5&amp;"")="","",IFERROR(TRIM(INDEX($A647:$Z647,MATCH('Scale score'!$B$5,$A$1:$Z$1,0))&amp;""),""))),""),""),"")</f>
        <v/>
      </c>
      <c r="AH647" s="41">
        <f>IF(TRIM('Open answers'!$B$5&amp;"")="","",IFERROR(TRIM(INDEX($A647:$Z647,MATCH('Open answers'!$B$5,$A$1:$Z$1,0))&amp;""),""))</f>
        <v/>
      </c>
      <c r="AI647" s="41">
        <f>IF(LEN(AH647)&gt;0,MAX($AI$1:AI646)+1,"")</f>
        <v/>
      </c>
    </row>
    <row r="648">
      <c r="AA648" s="40" t="n"/>
      <c r="AB648" s="41">
        <f>IF(TRIM('Counts'!$B$8&amp;"")="","",IFERROR(TRIM(INDEX($A648:$Z648,MATCH('Counts'!$B$8,$A$1:$Z$1,0))&amp;""),""))</f>
        <v/>
      </c>
      <c r="AC648" s="41">
        <f>IF(TRIM('Counts'!$B$26&amp;"")="","",IFERROR(TRIM(INDEX($A648:$Z648,MATCH('Counts'!$B$26,$A$1:$Z$1,0))&amp;""),""))</f>
        <v/>
      </c>
      <c r="AD648" s="41">
        <f>IF(TRIM('Counts'!$B$44&amp;"")="","",IFERROR(TRIM(INDEX($A648:$Z648,MATCH('Counts'!$B$44,$A$1:$Z$1,0))&amp;""),""))</f>
        <v/>
      </c>
      <c r="AE648" s="41">
        <f>IF(TRIM('Cross-tab'!$B$5&amp;"")="","",IFERROR(TRIM(INDEX($A648:$Z648,MATCH('Cross-tab'!$B$5,$A$1:$Z$1,0))&amp;""),""))</f>
        <v/>
      </c>
      <c r="AF648" s="41">
        <f>IF(TRIM('Cross-tab'!$B$7&amp;"")="","",IFERROR(TRIM(INDEX($A648:$Z648,MATCH('Cross-tab'!$B$7,$A$1:$Z$1,0))&amp;""),""))</f>
        <v/>
      </c>
      <c r="AG648" s="41">
        <f>IF(ISNUMBER(IFERROR(VALUE(IF(TRIM('Scale score'!$B$5&amp;"")="","",IFERROR(TRIM(INDEX($A648:$Z648,MATCH('Scale score'!$B$5,$A$1:$Z$1,0))&amp;""),""))),"")),IF(AND(IFERROR(VALUE(IF(TRIM('Scale score'!$B$5&amp;"")="","",IFERROR(TRIM(INDEX($A648:$Z648,MATCH('Scale score'!$B$5,$A$1:$Z$1,0))&amp;""),""))),"")&gt;='Scale score'!$B$6,IFERROR(VALUE(IF(TRIM('Scale score'!$B$5&amp;"")="","",IFERROR(TRIM(INDEX($A648:$Z648,MATCH('Scale score'!$B$5,$A$1:$Z$1,0))&amp;""),""))),"")&lt;='Scale score'!$B$7),IFERROR(VALUE(IF(TRIM('Scale score'!$B$5&amp;"")="","",IFERROR(TRIM(INDEX($A648:$Z648,MATCH('Scale score'!$B$5,$A$1:$Z$1,0))&amp;""),""))),""),""),"")</f>
        <v/>
      </c>
      <c r="AH648" s="41">
        <f>IF(TRIM('Open answers'!$B$5&amp;"")="","",IFERROR(TRIM(INDEX($A648:$Z648,MATCH('Open answers'!$B$5,$A$1:$Z$1,0))&amp;""),""))</f>
        <v/>
      </c>
      <c r="AI648" s="41">
        <f>IF(LEN(AH648)&gt;0,MAX($AI$1:AI647)+1,"")</f>
        <v/>
      </c>
    </row>
    <row r="649">
      <c r="AA649" s="40" t="n"/>
      <c r="AB649" s="41">
        <f>IF(TRIM('Counts'!$B$8&amp;"")="","",IFERROR(TRIM(INDEX($A649:$Z649,MATCH('Counts'!$B$8,$A$1:$Z$1,0))&amp;""),""))</f>
        <v/>
      </c>
      <c r="AC649" s="41">
        <f>IF(TRIM('Counts'!$B$26&amp;"")="","",IFERROR(TRIM(INDEX($A649:$Z649,MATCH('Counts'!$B$26,$A$1:$Z$1,0))&amp;""),""))</f>
        <v/>
      </c>
      <c r="AD649" s="41">
        <f>IF(TRIM('Counts'!$B$44&amp;"")="","",IFERROR(TRIM(INDEX($A649:$Z649,MATCH('Counts'!$B$44,$A$1:$Z$1,0))&amp;""),""))</f>
        <v/>
      </c>
      <c r="AE649" s="41">
        <f>IF(TRIM('Cross-tab'!$B$5&amp;"")="","",IFERROR(TRIM(INDEX($A649:$Z649,MATCH('Cross-tab'!$B$5,$A$1:$Z$1,0))&amp;""),""))</f>
        <v/>
      </c>
      <c r="AF649" s="41">
        <f>IF(TRIM('Cross-tab'!$B$7&amp;"")="","",IFERROR(TRIM(INDEX($A649:$Z649,MATCH('Cross-tab'!$B$7,$A$1:$Z$1,0))&amp;""),""))</f>
        <v/>
      </c>
      <c r="AG649" s="41">
        <f>IF(ISNUMBER(IFERROR(VALUE(IF(TRIM('Scale score'!$B$5&amp;"")="","",IFERROR(TRIM(INDEX($A649:$Z649,MATCH('Scale score'!$B$5,$A$1:$Z$1,0))&amp;""),""))),"")),IF(AND(IFERROR(VALUE(IF(TRIM('Scale score'!$B$5&amp;"")="","",IFERROR(TRIM(INDEX($A649:$Z649,MATCH('Scale score'!$B$5,$A$1:$Z$1,0))&amp;""),""))),"")&gt;='Scale score'!$B$6,IFERROR(VALUE(IF(TRIM('Scale score'!$B$5&amp;"")="","",IFERROR(TRIM(INDEX($A649:$Z649,MATCH('Scale score'!$B$5,$A$1:$Z$1,0))&amp;""),""))),"")&lt;='Scale score'!$B$7),IFERROR(VALUE(IF(TRIM('Scale score'!$B$5&amp;"")="","",IFERROR(TRIM(INDEX($A649:$Z649,MATCH('Scale score'!$B$5,$A$1:$Z$1,0))&amp;""),""))),""),""),"")</f>
        <v/>
      </c>
      <c r="AH649" s="41">
        <f>IF(TRIM('Open answers'!$B$5&amp;"")="","",IFERROR(TRIM(INDEX($A649:$Z649,MATCH('Open answers'!$B$5,$A$1:$Z$1,0))&amp;""),""))</f>
        <v/>
      </c>
      <c r="AI649" s="41">
        <f>IF(LEN(AH649)&gt;0,MAX($AI$1:AI648)+1,"")</f>
        <v/>
      </c>
    </row>
    <row r="650">
      <c r="AA650" s="40" t="n"/>
      <c r="AB650" s="41">
        <f>IF(TRIM('Counts'!$B$8&amp;"")="","",IFERROR(TRIM(INDEX($A650:$Z650,MATCH('Counts'!$B$8,$A$1:$Z$1,0))&amp;""),""))</f>
        <v/>
      </c>
      <c r="AC650" s="41">
        <f>IF(TRIM('Counts'!$B$26&amp;"")="","",IFERROR(TRIM(INDEX($A650:$Z650,MATCH('Counts'!$B$26,$A$1:$Z$1,0))&amp;""),""))</f>
        <v/>
      </c>
      <c r="AD650" s="41">
        <f>IF(TRIM('Counts'!$B$44&amp;"")="","",IFERROR(TRIM(INDEX($A650:$Z650,MATCH('Counts'!$B$44,$A$1:$Z$1,0))&amp;""),""))</f>
        <v/>
      </c>
      <c r="AE650" s="41">
        <f>IF(TRIM('Cross-tab'!$B$5&amp;"")="","",IFERROR(TRIM(INDEX($A650:$Z650,MATCH('Cross-tab'!$B$5,$A$1:$Z$1,0))&amp;""),""))</f>
        <v/>
      </c>
      <c r="AF650" s="41">
        <f>IF(TRIM('Cross-tab'!$B$7&amp;"")="","",IFERROR(TRIM(INDEX($A650:$Z650,MATCH('Cross-tab'!$B$7,$A$1:$Z$1,0))&amp;""),""))</f>
        <v/>
      </c>
      <c r="AG650" s="41">
        <f>IF(ISNUMBER(IFERROR(VALUE(IF(TRIM('Scale score'!$B$5&amp;"")="","",IFERROR(TRIM(INDEX($A650:$Z650,MATCH('Scale score'!$B$5,$A$1:$Z$1,0))&amp;""),""))),"")),IF(AND(IFERROR(VALUE(IF(TRIM('Scale score'!$B$5&amp;"")="","",IFERROR(TRIM(INDEX($A650:$Z650,MATCH('Scale score'!$B$5,$A$1:$Z$1,0))&amp;""),""))),"")&gt;='Scale score'!$B$6,IFERROR(VALUE(IF(TRIM('Scale score'!$B$5&amp;"")="","",IFERROR(TRIM(INDEX($A650:$Z650,MATCH('Scale score'!$B$5,$A$1:$Z$1,0))&amp;""),""))),"")&lt;='Scale score'!$B$7),IFERROR(VALUE(IF(TRIM('Scale score'!$B$5&amp;"")="","",IFERROR(TRIM(INDEX($A650:$Z650,MATCH('Scale score'!$B$5,$A$1:$Z$1,0))&amp;""),""))),""),""),"")</f>
        <v/>
      </c>
      <c r="AH650" s="41">
        <f>IF(TRIM('Open answers'!$B$5&amp;"")="","",IFERROR(TRIM(INDEX($A650:$Z650,MATCH('Open answers'!$B$5,$A$1:$Z$1,0))&amp;""),""))</f>
        <v/>
      </c>
      <c r="AI650" s="41">
        <f>IF(LEN(AH650)&gt;0,MAX($AI$1:AI649)+1,"")</f>
        <v/>
      </c>
    </row>
    <row r="651">
      <c r="AA651" s="40" t="n"/>
      <c r="AB651" s="41">
        <f>IF(TRIM('Counts'!$B$8&amp;"")="","",IFERROR(TRIM(INDEX($A651:$Z651,MATCH('Counts'!$B$8,$A$1:$Z$1,0))&amp;""),""))</f>
        <v/>
      </c>
      <c r="AC651" s="41">
        <f>IF(TRIM('Counts'!$B$26&amp;"")="","",IFERROR(TRIM(INDEX($A651:$Z651,MATCH('Counts'!$B$26,$A$1:$Z$1,0))&amp;""),""))</f>
        <v/>
      </c>
      <c r="AD651" s="41">
        <f>IF(TRIM('Counts'!$B$44&amp;"")="","",IFERROR(TRIM(INDEX($A651:$Z651,MATCH('Counts'!$B$44,$A$1:$Z$1,0))&amp;""),""))</f>
        <v/>
      </c>
      <c r="AE651" s="41">
        <f>IF(TRIM('Cross-tab'!$B$5&amp;"")="","",IFERROR(TRIM(INDEX($A651:$Z651,MATCH('Cross-tab'!$B$5,$A$1:$Z$1,0))&amp;""),""))</f>
        <v/>
      </c>
      <c r="AF651" s="41">
        <f>IF(TRIM('Cross-tab'!$B$7&amp;"")="","",IFERROR(TRIM(INDEX($A651:$Z651,MATCH('Cross-tab'!$B$7,$A$1:$Z$1,0))&amp;""),""))</f>
        <v/>
      </c>
      <c r="AG651" s="41">
        <f>IF(ISNUMBER(IFERROR(VALUE(IF(TRIM('Scale score'!$B$5&amp;"")="","",IFERROR(TRIM(INDEX($A651:$Z651,MATCH('Scale score'!$B$5,$A$1:$Z$1,0))&amp;""),""))),"")),IF(AND(IFERROR(VALUE(IF(TRIM('Scale score'!$B$5&amp;"")="","",IFERROR(TRIM(INDEX($A651:$Z651,MATCH('Scale score'!$B$5,$A$1:$Z$1,0))&amp;""),""))),"")&gt;='Scale score'!$B$6,IFERROR(VALUE(IF(TRIM('Scale score'!$B$5&amp;"")="","",IFERROR(TRIM(INDEX($A651:$Z651,MATCH('Scale score'!$B$5,$A$1:$Z$1,0))&amp;""),""))),"")&lt;='Scale score'!$B$7),IFERROR(VALUE(IF(TRIM('Scale score'!$B$5&amp;"")="","",IFERROR(TRIM(INDEX($A651:$Z651,MATCH('Scale score'!$B$5,$A$1:$Z$1,0))&amp;""),""))),""),""),"")</f>
        <v/>
      </c>
      <c r="AH651" s="41">
        <f>IF(TRIM('Open answers'!$B$5&amp;"")="","",IFERROR(TRIM(INDEX($A651:$Z651,MATCH('Open answers'!$B$5,$A$1:$Z$1,0))&amp;""),""))</f>
        <v/>
      </c>
      <c r="AI651" s="41">
        <f>IF(LEN(AH651)&gt;0,MAX($AI$1:AI650)+1,"")</f>
        <v/>
      </c>
    </row>
    <row r="652">
      <c r="AA652" s="40" t="n"/>
      <c r="AB652" s="41">
        <f>IF(TRIM('Counts'!$B$8&amp;"")="","",IFERROR(TRIM(INDEX($A652:$Z652,MATCH('Counts'!$B$8,$A$1:$Z$1,0))&amp;""),""))</f>
        <v/>
      </c>
      <c r="AC652" s="41">
        <f>IF(TRIM('Counts'!$B$26&amp;"")="","",IFERROR(TRIM(INDEX($A652:$Z652,MATCH('Counts'!$B$26,$A$1:$Z$1,0))&amp;""),""))</f>
        <v/>
      </c>
      <c r="AD652" s="41">
        <f>IF(TRIM('Counts'!$B$44&amp;"")="","",IFERROR(TRIM(INDEX($A652:$Z652,MATCH('Counts'!$B$44,$A$1:$Z$1,0))&amp;""),""))</f>
        <v/>
      </c>
      <c r="AE652" s="41">
        <f>IF(TRIM('Cross-tab'!$B$5&amp;"")="","",IFERROR(TRIM(INDEX($A652:$Z652,MATCH('Cross-tab'!$B$5,$A$1:$Z$1,0))&amp;""),""))</f>
        <v/>
      </c>
      <c r="AF652" s="41">
        <f>IF(TRIM('Cross-tab'!$B$7&amp;"")="","",IFERROR(TRIM(INDEX($A652:$Z652,MATCH('Cross-tab'!$B$7,$A$1:$Z$1,0))&amp;""),""))</f>
        <v/>
      </c>
      <c r="AG652" s="41">
        <f>IF(ISNUMBER(IFERROR(VALUE(IF(TRIM('Scale score'!$B$5&amp;"")="","",IFERROR(TRIM(INDEX($A652:$Z652,MATCH('Scale score'!$B$5,$A$1:$Z$1,0))&amp;""),""))),"")),IF(AND(IFERROR(VALUE(IF(TRIM('Scale score'!$B$5&amp;"")="","",IFERROR(TRIM(INDEX($A652:$Z652,MATCH('Scale score'!$B$5,$A$1:$Z$1,0))&amp;""),""))),"")&gt;='Scale score'!$B$6,IFERROR(VALUE(IF(TRIM('Scale score'!$B$5&amp;"")="","",IFERROR(TRIM(INDEX($A652:$Z652,MATCH('Scale score'!$B$5,$A$1:$Z$1,0))&amp;""),""))),"")&lt;='Scale score'!$B$7),IFERROR(VALUE(IF(TRIM('Scale score'!$B$5&amp;"")="","",IFERROR(TRIM(INDEX($A652:$Z652,MATCH('Scale score'!$B$5,$A$1:$Z$1,0))&amp;""),""))),""),""),"")</f>
        <v/>
      </c>
      <c r="AH652" s="41">
        <f>IF(TRIM('Open answers'!$B$5&amp;"")="","",IFERROR(TRIM(INDEX($A652:$Z652,MATCH('Open answers'!$B$5,$A$1:$Z$1,0))&amp;""),""))</f>
        <v/>
      </c>
      <c r="AI652" s="41">
        <f>IF(LEN(AH652)&gt;0,MAX($AI$1:AI651)+1,"")</f>
        <v/>
      </c>
    </row>
    <row r="653">
      <c r="AA653" s="40" t="n"/>
      <c r="AB653" s="41">
        <f>IF(TRIM('Counts'!$B$8&amp;"")="","",IFERROR(TRIM(INDEX($A653:$Z653,MATCH('Counts'!$B$8,$A$1:$Z$1,0))&amp;""),""))</f>
        <v/>
      </c>
      <c r="AC653" s="41">
        <f>IF(TRIM('Counts'!$B$26&amp;"")="","",IFERROR(TRIM(INDEX($A653:$Z653,MATCH('Counts'!$B$26,$A$1:$Z$1,0))&amp;""),""))</f>
        <v/>
      </c>
      <c r="AD653" s="41">
        <f>IF(TRIM('Counts'!$B$44&amp;"")="","",IFERROR(TRIM(INDEX($A653:$Z653,MATCH('Counts'!$B$44,$A$1:$Z$1,0))&amp;""),""))</f>
        <v/>
      </c>
      <c r="AE653" s="41">
        <f>IF(TRIM('Cross-tab'!$B$5&amp;"")="","",IFERROR(TRIM(INDEX($A653:$Z653,MATCH('Cross-tab'!$B$5,$A$1:$Z$1,0))&amp;""),""))</f>
        <v/>
      </c>
      <c r="AF653" s="41">
        <f>IF(TRIM('Cross-tab'!$B$7&amp;"")="","",IFERROR(TRIM(INDEX($A653:$Z653,MATCH('Cross-tab'!$B$7,$A$1:$Z$1,0))&amp;""),""))</f>
        <v/>
      </c>
      <c r="AG653" s="41">
        <f>IF(ISNUMBER(IFERROR(VALUE(IF(TRIM('Scale score'!$B$5&amp;"")="","",IFERROR(TRIM(INDEX($A653:$Z653,MATCH('Scale score'!$B$5,$A$1:$Z$1,0))&amp;""),""))),"")),IF(AND(IFERROR(VALUE(IF(TRIM('Scale score'!$B$5&amp;"")="","",IFERROR(TRIM(INDEX($A653:$Z653,MATCH('Scale score'!$B$5,$A$1:$Z$1,0))&amp;""),""))),"")&gt;='Scale score'!$B$6,IFERROR(VALUE(IF(TRIM('Scale score'!$B$5&amp;"")="","",IFERROR(TRIM(INDEX($A653:$Z653,MATCH('Scale score'!$B$5,$A$1:$Z$1,0))&amp;""),""))),"")&lt;='Scale score'!$B$7),IFERROR(VALUE(IF(TRIM('Scale score'!$B$5&amp;"")="","",IFERROR(TRIM(INDEX($A653:$Z653,MATCH('Scale score'!$B$5,$A$1:$Z$1,0))&amp;""),""))),""),""),"")</f>
        <v/>
      </c>
      <c r="AH653" s="41">
        <f>IF(TRIM('Open answers'!$B$5&amp;"")="","",IFERROR(TRIM(INDEX($A653:$Z653,MATCH('Open answers'!$B$5,$A$1:$Z$1,0))&amp;""),""))</f>
        <v/>
      </c>
      <c r="AI653" s="41">
        <f>IF(LEN(AH653)&gt;0,MAX($AI$1:AI652)+1,"")</f>
        <v/>
      </c>
    </row>
    <row r="654">
      <c r="AA654" s="40" t="n"/>
      <c r="AB654" s="41">
        <f>IF(TRIM('Counts'!$B$8&amp;"")="","",IFERROR(TRIM(INDEX($A654:$Z654,MATCH('Counts'!$B$8,$A$1:$Z$1,0))&amp;""),""))</f>
        <v/>
      </c>
      <c r="AC654" s="41">
        <f>IF(TRIM('Counts'!$B$26&amp;"")="","",IFERROR(TRIM(INDEX($A654:$Z654,MATCH('Counts'!$B$26,$A$1:$Z$1,0))&amp;""),""))</f>
        <v/>
      </c>
      <c r="AD654" s="41">
        <f>IF(TRIM('Counts'!$B$44&amp;"")="","",IFERROR(TRIM(INDEX($A654:$Z654,MATCH('Counts'!$B$44,$A$1:$Z$1,0))&amp;""),""))</f>
        <v/>
      </c>
      <c r="AE654" s="41">
        <f>IF(TRIM('Cross-tab'!$B$5&amp;"")="","",IFERROR(TRIM(INDEX($A654:$Z654,MATCH('Cross-tab'!$B$5,$A$1:$Z$1,0))&amp;""),""))</f>
        <v/>
      </c>
      <c r="AF654" s="41">
        <f>IF(TRIM('Cross-tab'!$B$7&amp;"")="","",IFERROR(TRIM(INDEX($A654:$Z654,MATCH('Cross-tab'!$B$7,$A$1:$Z$1,0))&amp;""),""))</f>
        <v/>
      </c>
      <c r="AG654" s="41">
        <f>IF(ISNUMBER(IFERROR(VALUE(IF(TRIM('Scale score'!$B$5&amp;"")="","",IFERROR(TRIM(INDEX($A654:$Z654,MATCH('Scale score'!$B$5,$A$1:$Z$1,0))&amp;""),""))),"")),IF(AND(IFERROR(VALUE(IF(TRIM('Scale score'!$B$5&amp;"")="","",IFERROR(TRIM(INDEX($A654:$Z654,MATCH('Scale score'!$B$5,$A$1:$Z$1,0))&amp;""),""))),"")&gt;='Scale score'!$B$6,IFERROR(VALUE(IF(TRIM('Scale score'!$B$5&amp;"")="","",IFERROR(TRIM(INDEX($A654:$Z654,MATCH('Scale score'!$B$5,$A$1:$Z$1,0))&amp;""),""))),"")&lt;='Scale score'!$B$7),IFERROR(VALUE(IF(TRIM('Scale score'!$B$5&amp;"")="","",IFERROR(TRIM(INDEX($A654:$Z654,MATCH('Scale score'!$B$5,$A$1:$Z$1,0))&amp;""),""))),""),""),"")</f>
        <v/>
      </c>
      <c r="AH654" s="41">
        <f>IF(TRIM('Open answers'!$B$5&amp;"")="","",IFERROR(TRIM(INDEX($A654:$Z654,MATCH('Open answers'!$B$5,$A$1:$Z$1,0))&amp;""),""))</f>
        <v/>
      </c>
      <c r="AI654" s="41">
        <f>IF(LEN(AH654)&gt;0,MAX($AI$1:AI653)+1,"")</f>
        <v/>
      </c>
    </row>
    <row r="655">
      <c r="AA655" s="40" t="n"/>
      <c r="AB655" s="41">
        <f>IF(TRIM('Counts'!$B$8&amp;"")="","",IFERROR(TRIM(INDEX($A655:$Z655,MATCH('Counts'!$B$8,$A$1:$Z$1,0))&amp;""),""))</f>
        <v/>
      </c>
      <c r="AC655" s="41">
        <f>IF(TRIM('Counts'!$B$26&amp;"")="","",IFERROR(TRIM(INDEX($A655:$Z655,MATCH('Counts'!$B$26,$A$1:$Z$1,0))&amp;""),""))</f>
        <v/>
      </c>
      <c r="AD655" s="41">
        <f>IF(TRIM('Counts'!$B$44&amp;"")="","",IFERROR(TRIM(INDEX($A655:$Z655,MATCH('Counts'!$B$44,$A$1:$Z$1,0))&amp;""),""))</f>
        <v/>
      </c>
      <c r="AE655" s="41">
        <f>IF(TRIM('Cross-tab'!$B$5&amp;"")="","",IFERROR(TRIM(INDEX($A655:$Z655,MATCH('Cross-tab'!$B$5,$A$1:$Z$1,0))&amp;""),""))</f>
        <v/>
      </c>
      <c r="AF655" s="41">
        <f>IF(TRIM('Cross-tab'!$B$7&amp;"")="","",IFERROR(TRIM(INDEX($A655:$Z655,MATCH('Cross-tab'!$B$7,$A$1:$Z$1,0))&amp;""),""))</f>
        <v/>
      </c>
      <c r="AG655" s="41">
        <f>IF(ISNUMBER(IFERROR(VALUE(IF(TRIM('Scale score'!$B$5&amp;"")="","",IFERROR(TRIM(INDEX($A655:$Z655,MATCH('Scale score'!$B$5,$A$1:$Z$1,0))&amp;""),""))),"")),IF(AND(IFERROR(VALUE(IF(TRIM('Scale score'!$B$5&amp;"")="","",IFERROR(TRIM(INDEX($A655:$Z655,MATCH('Scale score'!$B$5,$A$1:$Z$1,0))&amp;""),""))),"")&gt;='Scale score'!$B$6,IFERROR(VALUE(IF(TRIM('Scale score'!$B$5&amp;"")="","",IFERROR(TRIM(INDEX($A655:$Z655,MATCH('Scale score'!$B$5,$A$1:$Z$1,0))&amp;""),""))),"")&lt;='Scale score'!$B$7),IFERROR(VALUE(IF(TRIM('Scale score'!$B$5&amp;"")="","",IFERROR(TRIM(INDEX($A655:$Z655,MATCH('Scale score'!$B$5,$A$1:$Z$1,0))&amp;""),""))),""),""),"")</f>
        <v/>
      </c>
      <c r="AH655" s="41">
        <f>IF(TRIM('Open answers'!$B$5&amp;"")="","",IFERROR(TRIM(INDEX($A655:$Z655,MATCH('Open answers'!$B$5,$A$1:$Z$1,0))&amp;""),""))</f>
        <v/>
      </c>
      <c r="AI655" s="41">
        <f>IF(LEN(AH655)&gt;0,MAX($AI$1:AI654)+1,"")</f>
        <v/>
      </c>
    </row>
    <row r="656">
      <c r="AA656" s="40" t="n"/>
      <c r="AB656" s="41">
        <f>IF(TRIM('Counts'!$B$8&amp;"")="","",IFERROR(TRIM(INDEX($A656:$Z656,MATCH('Counts'!$B$8,$A$1:$Z$1,0))&amp;""),""))</f>
        <v/>
      </c>
      <c r="AC656" s="41">
        <f>IF(TRIM('Counts'!$B$26&amp;"")="","",IFERROR(TRIM(INDEX($A656:$Z656,MATCH('Counts'!$B$26,$A$1:$Z$1,0))&amp;""),""))</f>
        <v/>
      </c>
      <c r="AD656" s="41">
        <f>IF(TRIM('Counts'!$B$44&amp;"")="","",IFERROR(TRIM(INDEX($A656:$Z656,MATCH('Counts'!$B$44,$A$1:$Z$1,0))&amp;""),""))</f>
        <v/>
      </c>
      <c r="AE656" s="41">
        <f>IF(TRIM('Cross-tab'!$B$5&amp;"")="","",IFERROR(TRIM(INDEX($A656:$Z656,MATCH('Cross-tab'!$B$5,$A$1:$Z$1,0))&amp;""),""))</f>
        <v/>
      </c>
      <c r="AF656" s="41">
        <f>IF(TRIM('Cross-tab'!$B$7&amp;"")="","",IFERROR(TRIM(INDEX($A656:$Z656,MATCH('Cross-tab'!$B$7,$A$1:$Z$1,0))&amp;""),""))</f>
        <v/>
      </c>
      <c r="AG656" s="41">
        <f>IF(ISNUMBER(IFERROR(VALUE(IF(TRIM('Scale score'!$B$5&amp;"")="","",IFERROR(TRIM(INDEX($A656:$Z656,MATCH('Scale score'!$B$5,$A$1:$Z$1,0))&amp;""),""))),"")),IF(AND(IFERROR(VALUE(IF(TRIM('Scale score'!$B$5&amp;"")="","",IFERROR(TRIM(INDEX($A656:$Z656,MATCH('Scale score'!$B$5,$A$1:$Z$1,0))&amp;""),""))),"")&gt;='Scale score'!$B$6,IFERROR(VALUE(IF(TRIM('Scale score'!$B$5&amp;"")="","",IFERROR(TRIM(INDEX($A656:$Z656,MATCH('Scale score'!$B$5,$A$1:$Z$1,0))&amp;""),""))),"")&lt;='Scale score'!$B$7),IFERROR(VALUE(IF(TRIM('Scale score'!$B$5&amp;"")="","",IFERROR(TRIM(INDEX($A656:$Z656,MATCH('Scale score'!$B$5,$A$1:$Z$1,0))&amp;""),""))),""),""),"")</f>
        <v/>
      </c>
      <c r="AH656" s="41">
        <f>IF(TRIM('Open answers'!$B$5&amp;"")="","",IFERROR(TRIM(INDEX($A656:$Z656,MATCH('Open answers'!$B$5,$A$1:$Z$1,0))&amp;""),""))</f>
        <v/>
      </c>
      <c r="AI656" s="41">
        <f>IF(LEN(AH656)&gt;0,MAX($AI$1:AI655)+1,"")</f>
        <v/>
      </c>
    </row>
    <row r="657">
      <c r="AA657" s="40" t="n"/>
      <c r="AB657" s="41">
        <f>IF(TRIM('Counts'!$B$8&amp;"")="","",IFERROR(TRIM(INDEX($A657:$Z657,MATCH('Counts'!$B$8,$A$1:$Z$1,0))&amp;""),""))</f>
        <v/>
      </c>
      <c r="AC657" s="41">
        <f>IF(TRIM('Counts'!$B$26&amp;"")="","",IFERROR(TRIM(INDEX($A657:$Z657,MATCH('Counts'!$B$26,$A$1:$Z$1,0))&amp;""),""))</f>
        <v/>
      </c>
      <c r="AD657" s="41">
        <f>IF(TRIM('Counts'!$B$44&amp;"")="","",IFERROR(TRIM(INDEX($A657:$Z657,MATCH('Counts'!$B$44,$A$1:$Z$1,0))&amp;""),""))</f>
        <v/>
      </c>
      <c r="AE657" s="41">
        <f>IF(TRIM('Cross-tab'!$B$5&amp;"")="","",IFERROR(TRIM(INDEX($A657:$Z657,MATCH('Cross-tab'!$B$5,$A$1:$Z$1,0))&amp;""),""))</f>
        <v/>
      </c>
      <c r="AF657" s="41">
        <f>IF(TRIM('Cross-tab'!$B$7&amp;"")="","",IFERROR(TRIM(INDEX($A657:$Z657,MATCH('Cross-tab'!$B$7,$A$1:$Z$1,0))&amp;""),""))</f>
        <v/>
      </c>
      <c r="AG657" s="41">
        <f>IF(ISNUMBER(IFERROR(VALUE(IF(TRIM('Scale score'!$B$5&amp;"")="","",IFERROR(TRIM(INDEX($A657:$Z657,MATCH('Scale score'!$B$5,$A$1:$Z$1,0))&amp;""),""))),"")),IF(AND(IFERROR(VALUE(IF(TRIM('Scale score'!$B$5&amp;"")="","",IFERROR(TRIM(INDEX($A657:$Z657,MATCH('Scale score'!$B$5,$A$1:$Z$1,0))&amp;""),""))),"")&gt;='Scale score'!$B$6,IFERROR(VALUE(IF(TRIM('Scale score'!$B$5&amp;"")="","",IFERROR(TRIM(INDEX($A657:$Z657,MATCH('Scale score'!$B$5,$A$1:$Z$1,0))&amp;""),""))),"")&lt;='Scale score'!$B$7),IFERROR(VALUE(IF(TRIM('Scale score'!$B$5&amp;"")="","",IFERROR(TRIM(INDEX($A657:$Z657,MATCH('Scale score'!$B$5,$A$1:$Z$1,0))&amp;""),""))),""),""),"")</f>
        <v/>
      </c>
      <c r="AH657" s="41">
        <f>IF(TRIM('Open answers'!$B$5&amp;"")="","",IFERROR(TRIM(INDEX($A657:$Z657,MATCH('Open answers'!$B$5,$A$1:$Z$1,0))&amp;""),""))</f>
        <v/>
      </c>
      <c r="AI657" s="41">
        <f>IF(LEN(AH657)&gt;0,MAX($AI$1:AI656)+1,"")</f>
        <v/>
      </c>
    </row>
    <row r="658">
      <c r="AA658" s="40" t="n"/>
      <c r="AB658" s="41">
        <f>IF(TRIM('Counts'!$B$8&amp;"")="","",IFERROR(TRIM(INDEX($A658:$Z658,MATCH('Counts'!$B$8,$A$1:$Z$1,0))&amp;""),""))</f>
        <v/>
      </c>
      <c r="AC658" s="41">
        <f>IF(TRIM('Counts'!$B$26&amp;"")="","",IFERROR(TRIM(INDEX($A658:$Z658,MATCH('Counts'!$B$26,$A$1:$Z$1,0))&amp;""),""))</f>
        <v/>
      </c>
      <c r="AD658" s="41">
        <f>IF(TRIM('Counts'!$B$44&amp;"")="","",IFERROR(TRIM(INDEX($A658:$Z658,MATCH('Counts'!$B$44,$A$1:$Z$1,0))&amp;""),""))</f>
        <v/>
      </c>
      <c r="AE658" s="41">
        <f>IF(TRIM('Cross-tab'!$B$5&amp;"")="","",IFERROR(TRIM(INDEX($A658:$Z658,MATCH('Cross-tab'!$B$5,$A$1:$Z$1,0))&amp;""),""))</f>
        <v/>
      </c>
      <c r="AF658" s="41">
        <f>IF(TRIM('Cross-tab'!$B$7&amp;"")="","",IFERROR(TRIM(INDEX($A658:$Z658,MATCH('Cross-tab'!$B$7,$A$1:$Z$1,0))&amp;""),""))</f>
        <v/>
      </c>
      <c r="AG658" s="41">
        <f>IF(ISNUMBER(IFERROR(VALUE(IF(TRIM('Scale score'!$B$5&amp;"")="","",IFERROR(TRIM(INDEX($A658:$Z658,MATCH('Scale score'!$B$5,$A$1:$Z$1,0))&amp;""),""))),"")),IF(AND(IFERROR(VALUE(IF(TRIM('Scale score'!$B$5&amp;"")="","",IFERROR(TRIM(INDEX($A658:$Z658,MATCH('Scale score'!$B$5,$A$1:$Z$1,0))&amp;""),""))),"")&gt;='Scale score'!$B$6,IFERROR(VALUE(IF(TRIM('Scale score'!$B$5&amp;"")="","",IFERROR(TRIM(INDEX($A658:$Z658,MATCH('Scale score'!$B$5,$A$1:$Z$1,0))&amp;""),""))),"")&lt;='Scale score'!$B$7),IFERROR(VALUE(IF(TRIM('Scale score'!$B$5&amp;"")="","",IFERROR(TRIM(INDEX($A658:$Z658,MATCH('Scale score'!$B$5,$A$1:$Z$1,0))&amp;""),""))),""),""),"")</f>
        <v/>
      </c>
      <c r="AH658" s="41">
        <f>IF(TRIM('Open answers'!$B$5&amp;"")="","",IFERROR(TRIM(INDEX($A658:$Z658,MATCH('Open answers'!$B$5,$A$1:$Z$1,0))&amp;""),""))</f>
        <v/>
      </c>
      <c r="AI658" s="41">
        <f>IF(LEN(AH658)&gt;0,MAX($AI$1:AI657)+1,"")</f>
        <v/>
      </c>
    </row>
    <row r="659">
      <c r="AA659" s="40" t="n"/>
      <c r="AB659" s="41">
        <f>IF(TRIM('Counts'!$B$8&amp;"")="","",IFERROR(TRIM(INDEX($A659:$Z659,MATCH('Counts'!$B$8,$A$1:$Z$1,0))&amp;""),""))</f>
        <v/>
      </c>
      <c r="AC659" s="41">
        <f>IF(TRIM('Counts'!$B$26&amp;"")="","",IFERROR(TRIM(INDEX($A659:$Z659,MATCH('Counts'!$B$26,$A$1:$Z$1,0))&amp;""),""))</f>
        <v/>
      </c>
      <c r="AD659" s="41">
        <f>IF(TRIM('Counts'!$B$44&amp;"")="","",IFERROR(TRIM(INDEX($A659:$Z659,MATCH('Counts'!$B$44,$A$1:$Z$1,0))&amp;""),""))</f>
        <v/>
      </c>
      <c r="AE659" s="41">
        <f>IF(TRIM('Cross-tab'!$B$5&amp;"")="","",IFERROR(TRIM(INDEX($A659:$Z659,MATCH('Cross-tab'!$B$5,$A$1:$Z$1,0))&amp;""),""))</f>
        <v/>
      </c>
      <c r="AF659" s="41">
        <f>IF(TRIM('Cross-tab'!$B$7&amp;"")="","",IFERROR(TRIM(INDEX($A659:$Z659,MATCH('Cross-tab'!$B$7,$A$1:$Z$1,0))&amp;""),""))</f>
        <v/>
      </c>
      <c r="AG659" s="41">
        <f>IF(ISNUMBER(IFERROR(VALUE(IF(TRIM('Scale score'!$B$5&amp;"")="","",IFERROR(TRIM(INDEX($A659:$Z659,MATCH('Scale score'!$B$5,$A$1:$Z$1,0))&amp;""),""))),"")),IF(AND(IFERROR(VALUE(IF(TRIM('Scale score'!$B$5&amp;"")="","",IFERROR(TRIM(INDEX($A659:$Z659,MATCH('Scale score'!$B$5,$A$1:$Z$1,0))&amp;""),""))),"")&gt;='Scale score'!$B$6,IFERROR(VALUE(IF(TRIM('Scale score'!$B$5&amp;"")="","",IFERROR(TRIM(INDEX($A659:$Z659,MATCH('Scale score'!$B$5,$A$1:$Z$1,0))&amp;""),""))),"")&lt;='Scale score'!$B$7),IFERROR(VALUE(IF(TRIM('Scale score'!$B$5&amp;"")="","",IFERROR(TRIM(INDEX($A659:$Z659,MATCH('Scale score'!$B$5,$A$1:$Z$1,0))&amp;""),""))),""),""),"")</f>
        <v/>
      </c>
      <c r="AH659" s="41">
        <f>IF(TRIM('Open answers'!$B$5&amp;"")="","",IFERROR(TRIM(INDEX($A659:$Z659,MATCH('Open answers'!$B$5,$A$1:$Z$1,0))&amp;""),""))</f>
        <v/>
      </c>
      <c r="AI659" s="41">
        <f>IF(LEN(AH659)&gt;0,MAX($AI$1:AI658)+1,"")</f>
        <v/>
      </c>
    </row>
    <row r="660">
      <c r="AA660" s="40" t="n"/>
      <c r="AB660" s="41">
        <f>IF(TRIM('Counts'!$B$8&amp;"")="","",IFERROR(TRIM(INDEX($A660:$Z660,MATCH('Counts'!$B$8,$A$1:$Z$1,0))&amp;""),""))</f>
        <v/>
      </c>
      <c r="AC660" s="41">
        <f>IF(TRIM('Counts'!$B$26&amp;"")="","",IFERROR(TRIM(INDEX($A660:$Z660,MATCH('Counts'!$B$26,$A$1:$Z$1,0))&amp;""),""))</f>
        <v/>
      </c>
      <c r="AD660" s="41">
        <f>IF(TRIM('Counts'!$B$44&amp;"")="","",IFERROR(TRIM(INDEX($A660:$Z660,MATCH('Counts'!$B$44,$A$1:$Z$1,0))&amp;""),""))</f>
        <v/>
      </c>
      <c r="AE660" s="41">
        <f>IF(TRIM('Cross-tab'!$B$5&amp;"")="","",IFERROR(TRIM(INDEX($A660:$Z660,MATCH('Cross-tab'!$B$5,$A$1:$Z$1,0))&amp;""),""))</f>
        <v/>
      </c>
      <c r="AF660" s="41">
        <f>IF(TRIM('Cross-tab'!$B$7&amp;"")="","",IFERROR(TRIM(INDEX($A660:$Z660,MATCH('Cross-tab'!$B$7,$A$1:$Z$1,0))&amp;""),""))</f>
        <v/>
      </c>
      <c r="AG660" s="41">
        <f>IF(ISNUMBER(IFERROR(VALUE(IF(TRIM('Scale score'!$B$5&amp;"")="","",IFERROR(TRIM(INDEX($A660:$Z660,MATCH('Scale score'!$B$5,$A$1:$Z$1,0))&amp;""),""))),"")),IF(AND(IFERROR(VALUE(IF(TRIM('Scale score'!$B$5&amp;"")="","",IFERROR(TRIM(INDEX($A660:$Z660,MATCH('Scale score'!$B$5,$A$1:$Z$1,0))&amp;""),""))),"")&gt;='Scale score'!$B$6,IFERROR(VALUE(IF(TRIM('Scale score'!$B$5&amp;"")="","",IFERROR(TRIM(INDEX($A660:$Z660,MATCH('Scale score'!$B$5,$A$1:$Z$1,0))&amp;""),""))),"")&lt;='Scale score'!$B$7),IFERROR(VALUE(IF(TRIM('Scale score'!$B$5&amp;"")="","",IFERROR(TRIM(INDEX($A660:$Z660,MATCH('Scale score'!$B$5,$A$1:$Z$1,0))&amp;""),""))),""),""),"")</f>
        <v/>
      </c>
      <c r="AH660" s="41">
        <f>IF(TRIM('Open answers'!$B$5&amp;"")="","",IFERROR(TRIM(INDEX($A660:$Z660,MATCH('Open answers'!$B$5,$A$1:$Z$1,0))&amp;""),""))</f>
        <v/>
      </c>
      <c r="AI660" s="41">
        <f>IF(LEN(AH660)&gt;0,MAX($AI$1:AI659)+1,"")</f>
        <v/>
      </c>
    </row>
    <row r="661">
      <c r="AA661" s="40" t="n"/>
      <c r="AB661" s="41">
        <f>IF(TRIM('Counts'!$B$8&amp;"")="","",IFERROR(TRIM(INDEX($A661:$Z661,MATCH('Counts'!$B$8,$A$1:$Z$1,0))&amp;""),""))</f>
        <v/>
      </c>
      <c r="AC661" s="41">
        <f>IF(TRIM('Counts'!$B$26&amp;"")="","",IFERROR(TRIM(INDEX($A661:$Z661,MATCH('Counts'!$B$26,$A$1:$Z$1,0))&amp;""),""))</f>
        <v/>
      </c>
      <c r="AD661" s="41">
        <f>IF(TRIM('Counts'!$B$44&amp;"")="","",IFERROR(TRIM(INDEX($A661:$Z661,MATCH('Counts'!$B$44,$A$1:$Z$1,0))&amp;""),""))</f>
        <v/>
      </c>
      <c r="AE661" s="41">
        <f>IF(TRIM('Cross-tab'!$B$5&amp;"")="","",IFERROR(TRIM(INDEX($A661:$Z661,MATCH('Cross-tab'!$B$5,$A$1:$Z$1,0))&amp;""),""))</f>
        <v/>
      </c>
      <c r="AF661" s="41">
        <f>IF(TRIM('Cross-tab'!$B$7&amp;"")="","",IFERROR(TRIM(INDEX($A661:$Z661,MATCH('Cross-tab'!$B$7,$A$1:$Z$1,0))&amp;""),""))</f>
        <v/>
      </c>
      <c r="AG661" s="41">
        <f>IF(ISNUMBER(IFERROR(VALUE(IF(TRIM('Scale score'!$B$5&amp;"")="","",IFERROR(TRIM(INDEX($A661:$Z661,MATCH('Scale score'!$B$5,$A$1:$Z$1,0))&amp;""),""))),"")),IF(AND(IFERROR(VALUE(IF(TRIM('Scale score'!$B$5&amp;"")="","",IFERROR(TRIM(INDEX($A661:$Z661,MATCH('Scale score'!$B$5,$A$1:$Z$1,0))&amp;""),""))),"")&gt;='Scale score'!$B$6,IFERROR(VALUE(IF(TRIM('Scale score'!$B$5&amp;"")="","",IFERROR(TRIM(INDEX($A661:$Z661,MATCH('Scale score'!$B$5,$A$1:$Z$1,0))&amp;""),""))),"")&lt;='Scale score'!$B$7),IFERROR(VALUE(IF(TRIM('Scale score'!$B$5&amp;"")="","",IFERROR(TRIM(INDEX($A661:$Z661,MATCH('Scale score'!$B$5,$A$1:$Z$1,0))&amp;""),""))),""),""),"")</f>
        <v/>
      </c>
      <c r="AH661" s="41">
        <f>IF(TRIM('Open answers'!$B$5&amp;"")="","",IFERROR(TRIM(INDEX($A661:$Z661,MATCH('Open answers'!$B$5,$A$1:$Z$1,0))&amp;""),""))</f>
        <v/>
      </c>
      <c r="AI661" s="41">
        <f>IF(LEN(AH661)&gt;0,MAX($AI$1:AI660)+1,"")</f>
        <v/>
      </c>
    </row>
    <row r="662">
      <c r="AA662" s="40" t="n"/>
      <c r="AB662" s="41">
        <f>IF(TRIM('Counts'!$B$8&amp;"")="","",IFERROR(TRIM(INDEX($A662:$Z662,MATCH('Counts'!$B$8,$A$1:$Z$1,0))&amp;""),""))</f>
        <v/>
      </c>
      <c r="AC662" s="41">
        <f>IF(TRIM('Counts'!$B$26&amp;"")="","",IFERROR(TRIM(INDEX($A662:$Z662,MATCH('Counts'!$B$26,$A$1:$Z$1,0))&amp;""),""))</f>
        <v/>
      </c>
      <c r="AD662" s="41">
        <f>IF(TRIM('Counts'!$B$44&amp;"")="","",IFERROR(TRIM(INDEX($A662:$Z662,MATCH('Counts'!$B$44,$A$1:$Z$1,0))&amp;""),""))</f>
        <v/>
      </c>
      <c r="AE662" s="41">
        <f>IF(TRIM('Cross-tab'!$B$5&amp;"")="","",IFERROR(TRIM(INDEX($A662:$Z662,MATCH('Cross-tab'!$B$5,$A$1:$Z$1,0))&amp;""),""))</f>
        <v/>
      </c>
      <c r="AF662" s="41">
        <f>IF(TRIM('Cross-tab'!$B$7&amp;"")="","",IFERROR(TRIM(INDEX($A662:$Z662,MATCH('Cross-tab'!$B$7,$A$1:$Z$1,0))&amp;""),""))</f>
        <v/>
      </c>
      <c r="AG662" s="41">
        <f>IF(ISNUMBER(IFERROR(VALUE(IF(TRIM('Scale score'!$B$5&amp;"")="","",IFERROR(TRIM(INDEX($A662:$Z662,MATCH('Scale score'!$B$5,$A$1:$Z$1,0))&amp;""),""))),"")),IF(AND(IFERROR(VALUE(IF(TRIM('Scale score'!$B$5&amp;"")="","",IFERROR(TRIM(INDEX($A662:$Z662,MATCH('Scale score'!$B$5,$A$1:$Z$1,0))&amp;""),""))),"")&gt;='Scale score'!$B$6,IFERROR(VALUE(IF(TRIM('Scale score'!$B$5&amp;"")="","",IFERROR(TRIM(INDEX($A662:$Z662,MATCH('Scale score'!$B$5,$A$1:$Z$1,0))&amp;""),""))),"")&lt;='Scale score'!$B$7),IFERROR(VALUE(IF(TRIM('Scale score'!$B$5&amp;"")="","",IFERROR(TRIM(INDEX($A662:$Z662,MATCH('Scale score'!$B$5,$A$1:$Z$1,0))&amp;""),""))),""),""),"")</f>
        <v/>
      </c>
      <c r="AH662" s="41">
        <f>IF(TRIM('Open answers'!$B$5&amp;"")="","",IFERROR(TRIM(INDEX($A662:$Z662,MATCH('Open answers'!$B$5,$A$1:$Z$1,0))&amp;""),""))</f>
        <v/>
      </c>
      <c r="AI662" s="41">
        <f>IF(LEN(AH662)&gt;0,MAX($AI$1:AI661)+1,"")</f>
        <v/>
      </c>
    </row>
    <row r="663">
      <c r="AA663" s="40" t="n"/>
      <c r="AB663" s="41">
        <f>IF(TRIM('Counts'!$B$8&amp;"")="","",IFERROR(TRIM(INDEX($A663:$Z663,MATCH('Counts'!$B$8,$A$1:$Z$1,0))&amp;""),""))</f>
        <v/>
      </c>
      <c r="AC663" s="41">
        <f>IF(TRIM('Counts'!$B$26&amp;"")="","",IFERROR(TRIM(INDEX($A663:$Z663,MATCH('Counts'!$B$26,$A$1:$Z$1,0))&amp;""),""))</f>
        <v/>
      </c>
      <c r="AD663" s="41">
        <f>IF(TRIM('Counts'!$B$44&amp;"")="","",IFERROR(TRIM(INDEX($A663:$Z663,MATCH('Counts'!$B$44,$A$1:$Z$1,0))&amp;""),""))</f>
        <v/>
      </c>
      <c r="AE663" s="41">
        <f>IF(TRIM('Cross-tab'!$B$5&amp;"")="","",IFERROR(TRIM(INDEX($A663:$Z663,MATCH('Cross-tab'!$B$5,$A$1:$Z$1,0))&amp;""),""))</f>
        <v/>
      </c>
      <c r="AF663" s="41">
        <f>IF(TRIM('Cross-tab'!$B$7&amp;"")="","",IFERROR(TRIM(INDEX($A663:$Z663,MATCH('Cross-tab'!$B$7,$A$1:$Z$1,0))&amp;""),""))</f>
        <v/>
      </c>
      <c r="AG663" s="41">
        <f>IF(ISNUMBER(IFERROR(VALUE(IF(TRIM('Scale score'!$B$5&amp;"")="","",IFERROR(TRIM(INDEX($A663:$Z663,MATCH('Scale score'!$B$5,$A$1:$Z$1,0))&amp;""),""))),"")),IF(AND(IFERROR(VALUE(IF(TRIM('Scale score'!$B$5&amp;"")="","",IFERROR(TRIM(INDEX($A663:$Z663,MATCH('Scale score'!$B$5,$A$1:$Z$1,0))&amp;""),""))),"")&gt;='Scale score'!$B$6,IFERROR(VALUE(IF(TRIM('Scale score'!$B$5&amp;"")="","",IFERROR(TRIM(INDEX($A663:$Z663,MATCH('Scale score'!$B$5,$A$1:$Z$1,0))&amp;""),""))),"")&lt;='Scale score'!$B$7),IFERROR(VALUE(IF(TRIM('Scale score'!$B$5&amp;"")="","",IFERROR(TRIM(INDEX($A663:$Z663,MATCH('Scale score'!$B$5,$A$1:$Z$1,0))&amp;""),""))),""),""),"")</f>
        <v/>
      </c>
      <c r="AH663" s="41">
        <f>IF(TRIM('Open answers'!$B$5&amp;"")="","",IFERROR(TRIM(INDEX($A663:$Z663,MATCH('Open answers'!$B$5,$A$1:$Z$1,0))&amp;""),""))</f>
        <v/>
      </c>
      <c r="AI663" s="41">
        <f>IF(LEN(AH663)&gt;0,MAX($AI$1:AI662)+1,"")</f>
        <v/>
      </c>
    </row>
    <row r="664">
      <c r="AA664" s="40" t="n"/>
      <c r="AB664" s="41">
        <f>IF(TRIM('Counts'!$B$8&amp;"")="","",IFERROR(TRIM(INDEX($A664:$Z664,MATCH('Counts'!$B$8,$A$1:$Z$1,0))&amp;""),""))</f>
        <v/>
      </c>
      <c r="AC664" s="41">
        <f>IF(TRIM('Counts'!$B$26&amp;"")="","",IFERROR(TRIM(INDEX($A664:$Z664,MATCH('Counts'!$B$26,$A$1:$Z$1,0))&amp;""),""))</f>
        <v/>
      </c>
      <c r="AD664" s="41">
        <f>IF(TRIM('Counts'!$B$44&amp;"")="","",IFERROR(TRIM(INDEX($A664:$Z664,MATCH('Counts'!$B$44,$A$1:$Z$1,0))&amp;""),""))</f>
        <v/>
      </c>
      <c r="AE664" s="41">
        <f>IF(TRIM('Cross-tab'!$B$5&amp;"")="","",IFERROR(TRIM(INDEX($A664:$Z664,MATCH('Cross-tab'!$B$5,$A$1:$Z$1,0))&amp;""),""))</f>
        <v/>
      </c>
      <c r="AF664" s="41">
        <f>IF(TRIM('Cross-tab'!$B$7&amp;"")="","",IFERROR(TRIM(INDEX($A664:$Z664,MATCH('Cross-tab'!$B$7,$A$1:$Z$1,0))&amp;""),""))</f>
        <v/>
      </c>
      <c r="AG664" s="41">
        <f>IF(ISNUMBER(IFERROR(VALUE(IF(TRIM('Scale score'!$B$5&amp;"")="","",IFERROR(TRIM(INDEX($A664:$Z664,MATCH('Scale score'!$B$5,$A$1:$Z$1,0))&amp;""),""))),"")),IF(AND(IFERROR(VALUE(IF(TRIM('Scale score'!$B$5&amp;"")="","",IFERROR(TRIM(INDEX($A664:$Z664,MATCH('Scale score'!$B$5,$A$1:$Z$1,0))&amp;""),""))),"")&gt;='Scale score'!$B$6,IFERROR(VALUE(IF(TRIM('Scale score'!$B$5&amp;"")="","",IFERROR(TRIM(INDEX($A664:$Z664,MATCH('Scale score'!$B$5,$A$1:$Z$1,0))&amp;""),""))),"")&lt;='Scale score'!$B$7),IFERROR(VALUE(IF(TRIM('Scale score'!$B$5&amp;"")="","",IFERROR(TRIM(INDEX($A664:$Z664,MATCH('Scale score'!$B$5,$A$1:$Z$1,0))&amp;""),""))),""),""),"")</f>
        <v/>
      </c>
      <c r="AH664" s="41">
        <f>IF(TRIM('Open answers'!$B$5&amp;"")="","",IFERROR(TRIM(INDEX($A664:$Z664,MATCH('Open answers'!$B$5,$A$1:$Z$1,0))&amp;""),""))</f>
        <v/>
      </c>
      <c r="AI664" s="41">
        <f>IF(LEN(AH664)&gt;0,MAX($AI$1:AI663)+1,"")</f>
        <v/>
      </c>
    </row>
    <row r="665">
      <c r="AA665" s="40" t="n"/>
      <c r="AB665" s="41">
        <f>IF(TRIM('Counts'!$B$8&amp;"")="","",IFERROR(TRIM(INDEX($A665:$Z665,MATCH('Counts'!$B$8,$A$1:$Z$1,0))&amp;""),""))</f>
        <v/>
      </c>
      <c r="AC665" s="41">
        <f>IF(TRIM('Counts'!$B$26&amp;"")="","",IFERROR(TRIM(INDEX($A665:$Z665,MATCH('Counts'!$B$26,$A$1:$Z$1,0))&amp;""),""))</f>
        <v/>
      </c>
      <c r="AD665" s="41">
        <f>IF(TRIM('Counts'!$B$44&amp;"")="","",IFERROR(TRIM(INDEX($A665:$Z665,MATCH('Counts'!$B$44,$A$1:$Z$1,0))&amp;""),""))</f>
        <v/>
      </c>
      <c r="AE665" s="41">
        <f>IF(TRIM('Cross-tab'!$B$5&amp;"")="","",IFERROR(TRIM(INDEX($A665:$Z665,MATCH('Cross-tab'!$B$5,$A$1:$Z$1,0))&amp;""),""))</f>
        <v/>
      </c>
      <c r="AF665" s="41">
        <f>IF(TRIM('Cross-tab'!$B$7&amp;"")="","",IFERROR(TRIM(INDEX($A665:$Z665,MATCH('Cross-tab'!$B$7,$A$1:$Z$1,0))&amp;""),""))</f>
        <v/>
      </c>
      <c r="AG665" s="41">
        <f>IF(ISNUMBER(IFERROR(VALUE(IF(TRIM('Scale score'!$B$5&amp;"")="","",IFERROR(TRIM(INDEX($A665:$Z665,MATCH('Scale score'!$B$5,$A$1:$Z$1,0))&amp;""),""))),"")),IF(AND(IFERROR(VALUE(IF(TRIM('Scale score'!$B$5&amp;"")="","",IFERROR(TRIM(INDEX($A665:$Z665,MATCH('Scale score'!$B$5,$A$1:$Z$1,0))&amp;""),""))),"")&gt;='Scale score'!$B$6,IFERROR(VALUE(IF(TRIM('Scale score'!$B$5&amp;"")="","",IFERROR(TRIM(INDEX($A665:$Z665,MATCH('Scale score'!$B$5,$A$1:$Z$1,0))&amp;""),""))),"")&lt;='Scale score'!$B$7),IFERROR(VALUE(IF(TRIM('Scale score'!$B$5&amp;"")="","",IFERROR(TRIM(INDEX($A665:$Z665,MATCH('Scale score'!$B$5,$A$1:$Z$1,0))&amp;""),""))),""),""),"")</f>
        <v/>
      </c>
      <c r="AH665" s="41">
        <f>IF(TRIM('Open answers'!$B$5&amp;"")="","",IFERROR(TRIM(INDEX($A665:$Z665,MATCH('Open answers'!$B$5,$A$1:$Z$1,0))&amp;""),""))</f>
        <v/>
      </c>
      <c r="AI665" s="41">
        <f>IF(LEN(AH665)&gt;0,MAX($AI$1:AI664)+1,"")</f>
        <v/>
      </c>
    </row>
    <row r="666">
      <c r="AA666" s="40" t="n"/>
      <c r="AB666" s="41">
        <f>IF(TRIM('Counts'!$B$8&amp;"")="","",IFERROR(TRIM(INDEX($A666:$Z666,MATCH('Counts'!$B$8,$A$1:$Z$1,0))&amp;""),""))</f>
        <v/>
      </c>
      <c r="AC666" s="41">
        <f>IF(TRIM('Counts'!$B$26&amp;"")="","",IFERROR(TRIM(INDEX($A666:$Z666,MATCH('Counts'!$B$26,$A$1:$Z$1,0))&amp;""),""))</f>
        <v/>
      </c>
      <c r="AD666" s="41">
        <f>IF(TRIM('Counts'!$B$44&amp;"")="","",IFERROR(TRIM(INDEX($A666:$Z666,MATCH('Counts'!$B$44,$A$1:$Z$1,0))&amp;""),""))</f>
        <v/>
      </c>
      <c r="AE666" s="41">
        <f>IF(TRIM('Cross-tab'!$B$5&amp;"")="","",IFERROR(TRIM(INDEX($A666:$Z666,MATCH('Cross-tab'!$B$5,$A$1:$Z$1,0))&amp;""),""))</f>
        <v/>
      </c>
      <c r="AF666" s="41">
        <f>IF(TRIM('Cross-tab'!$B$7&amp;"")="","",IFERROR(TRIM(INDEX($A666:$Z666,MATCH('Cross-tab'!$B$7,$A$1:$Z$1,0))&amp;""),""))</f>
        <v/>
      </c>
      <c r="AG666" s="41">
        <f>IF(ISNUMBER(IFERROR(VALUE(IF(TRIM('Scale score'!$B$5&amp;"")="","",IFERROR(TRIM(INDEX($A666:$Z666,MATCH('Scale score'!$B$5,$A$1:$Z$1,0))&amp;""),""))),"")),IF(AND(IFERROR(VALUE(IF(TRIM('Scale score'!$B$5&amp;"")="","",IFERROR(TRIM(INDEX($A666:$Z666,MATCH('Scale score'!$B$5,$A$1:$Z$1,0))&amp;""),""))),"")&gt;='Scale score'!$B$6,IFERROR(VALUE(IF(TRIM('Scale score'!$B$5&amp;"")="","",IFERROR(TRIM(INDEX($A666:$Z666,MATCH('Scale score'!$B$5,$A$1:$Z$1,0))&amp;""),""))),"")&lt;='Scale score'!$B$7),IFERROR(VALUE(IF(TRIM('Scale score'!$B$5&amp;"")="","",IFERROR(TRIM(INDEX($A666:$Z666,MATCH('Scale score'!$B$5,$A$1:$Z$1,0))&amp;""),""))),""),""),"")</f>
        <v/>
      </c>
      <c r="AH666" s="41">
        <f>IF(TRIM('Open answers'!$B$5&amp;"")="","",IFERROR(TRIM(INDEX($A666:$Z666,MATCH('Open answers'!$B$5,$A$1:$Z$1,0))&amp;""),""))</f>
        <v/>
      </c>
      <c r="AI666" s="41">
        <f>IF(LEN(AH666)&gt;0,MAX($AI$1:AI665)+1,"")</f>
        <v/>
      </c>
    </row>
    <row r="667">
      <c r="AA667" s="40" t="n"/>
      <c r="AB667" s="41">
        <f>IF(TRIM('Counts'!$B$8&amp;"")="","",IFERROR(TRIM(INDEX($A667:$Z667,MATCH('Counts'!$B$8,$A$1:$Z$1,0))&amp;""),""))</f>
        <v/>
      </c>
      <c r="AC667" s="41">
        <f>IF(TRIM('Counts'!$B$26&amp;"")="","",IFERROR(TRIM(INDEX($A667:$Z667,MATCH('Counts'!$B$26,$A$1:$Z$1,0))&amp;""),""))</f>
        <v/>
      </c>
      <c r="AD667" s="41">
        <f>IF(TRIM('Counts'!$B$44&amp;"")="","",IFERROR(TRIM(INDEX($A667:$Z667,MATCH('Counts'!$B$44,$A$1:$Z$1,0))&amp;""),""))</f>
        <v/>
      </c>
      <c r="AE667" s="41">
        <f>IF(TRIM('Cross-tab'!$B$5&amp;"")="","",IFERROR(TRIM(INDEX($A667:$Z667,MATCH('Cross-tab'!$B$5,$A$1:$Z$1,0))&amp;""),""))</f>
        <v/>
      </c>
      <c r="AF667" s="41">
        <f>IF(TRIM('Cross-tab'!$B$7&amp;"")="","",IFERROR(TRIM(INDEX($A667:$Z667,MATCH('Cross-tab'!$B$7,$A$1:$Z$1,0))&amp;""),""))</f>
        <v/>
      </c>
      <c r="AG667" s="41">
        <f>IF(ISNUMBER(IFERROR(VALUE(IF(TRIM('Scale score'!$B$5&amp;"")="","",IFERROR(TRIM(INDEX($A667:$Z667,MATCH('Scale score'!$B$5,$A$1:$Z$1,0))&amp;""),""))),"")),IF(AND(IFERROR(VALUE(IF(TRIM('Scale score'!$B$5&amp;"")="","",IFERROR(TRIM(INDEX($A667:$Z667,MATCH('Scale score'!$B$5,$A$1:$Z$1,0))&amp;""),""))),"")&gt;='Scale score'!$B$6,IFERROR(VALUE(IF(TRIM('Scale score'!$B$5&amp;"")="","",IFERROR(TRIM(INDEX($A667:$Z667,MATCH('Scale score'!$B$5,$A$1:$Z$1,0))&amp;""),""))),"")&lt;='Scale score'!$B$7),IFERROR(VALUE(IF(TRIM('Scale score'!$B$5&amp;"")="","",IFERROR(TRIM(INDEX($A667:$Z667,MATCH('Scale score'!$B$5,$A$1:$Z$1,0))&amp;""),""))),""),""),"")</f>
        <v/>
      </c>
      <c r="AH667" s="41">
        <f>IF(TRIM('Open answers'!$B$5&amp;"")="","",IFERROR(TRIM(INDEX($A667:$Z667,MATCH('Open answers'!$B$5,$A$1:$Z$1,0))&amp;""),""))</f>
        <v/>
      </c>
      <c r="AI667" s="41">
        <f>IF(LEN(AH667)&gt;0,MAX($AI$1:AI666)+1,"")</f>
        <v/>
      </c>
    </row>
    <row r="668">
      <c r="AA668" s="40" t="n"/>
      <c r="AB668" s="41">
        <f>IF(TRIM('Counts'!$B$8&amp;"")="","",IFERROR(TRIM(INDEX($A668:$Z668,MATCH('Counts'!$B$8,$A$1:$Z$1,0))&amp;""),""))</f>
        <v/>
      </c>
      <c r="AC668" s="41">
        <f>IF(TRIM('Counts'!$B$26&amp;"")="","",IFERROR(TRIM(INDEX($A668:$Z668,MATCH('Counts'!$B$26,$A$1:$Z$1,0))&amp;""),""))</f>
        <v/>
      </c>
      <c r="AD668" s="41">
        <f>IF(TRIM('Counts'!$B$44&amp;"")="","",IFERROR(TRIM(INDEX($A668:$Z668,MATCH('Counts'!$B$44,$A$1:$Z$1,0))&amp;""),""))</f>
        <v/>
      </c>
      <c r="AE668" s="41">
        <f>IF(TRIM('Cross-tab'!$B$5&amp;"")="","",IFERROR(TRIM(INDEX($A668:$Z668,MATCH('Cross-tab'!$B$5,$A$1:$Z$1,0))&amp;""),""))</f>
        <v/>
      </c>
      <c r="AF668" s="41">
        <f>IF(TRIM('Cross-tab'!$B$7&amp;"")="","",IFERROR(TRIM(INDEX($A668:$Z668,MATCH('Cross-tab'!$B$7,$A$1:$Z$1,0))&amp;""),""))</f>
        <v/>
      </c>
      <c r="AG668" s="41">
        <f>IF(ISNUMBER(IFERROR(VALUE(IF(TRIM('Scale score'!$B$5&amp;"")="","",IFERROR(TRIM(INDEX($A668:$Z668,MATCH('Scale score'!$B$5,$A$1:$Z$1,0))&amp;""),""))),"")),IF(AND(IFERROR(VALUE(IF(TRIM('Scale score'!$B$5&amp;"")="","",IFERROR(TRIM(INDEX($A668:$Z668,MATCH('Scale score'!$B$5,$A$1:$Z$1,0))&amp;""),""))),"")&gt;='Scale score'!$B$6,IFERROR(VALUE(IF(TRIM('Scale score'!$B$5&amp;"")="","",IFERROR(TRIM(INDEX($A668:$Z668,MATCH('Scale score'!$B$5,$A$1:$Z$1,0))&amp;""),""))),"")&lt;='Scale score'!$B$7),IFERROR(VALUE(IF(TRIM('Scale score'!$B$5&amp;"")="","",IFERROR(TRIM(INDEX($A668:$Z668,MATCH('Scale score'!$B$5,$A$1:$Z$1,0))&amp;""),""))),""),""),"")</f>
        <v/>
      </c>
      <c r="AH668" s="41">
        <f>IF(TRIM('Open answers'!$B$5&amp;"")="","",IFERROR(TRIM(INDEX($A668:$Z668,MATCH('Open answers'!$B$5,$A$1:$Z$1,0))&amp;""),""))</f>
        <v/>
      </c>
      <c r="AI668" s="41">
        <f>IF(LEN(AH668)&gt;0,MAX($AI$1:AI667)+1,"")</f>
        <v/>
      </c>
    </row>
    <row r="669">
      <c r="AA669" s="40" t="n"/>
      <c r="AB669" s="41">
        <f>IF(TRIM('Counts'!$B$8&amp;"")="","",IFERROR(TRIM(INDEX($A669:$Z669,MATCH('Counts'!$B$8,$A$1:$Z$1,0))&amp;""),""))</f>
        <v/>
      </c>
      <c r="AC669" s="41">
        <f>IF(TRIM('Counts'!$B$26&amp;"")="","",IFERROR(TRIM(INDEX($A669:$Z669,MATCH('Counts'!$B$26,$A$1:$Z$1,0))&amp;""),""))</f>
        <v/>
      </c>
      <c r="AD669" s="41">
        <f>IF(TRIM('Counts'!$B$44&amp;"")="","",IFERROR(TRIM(INDEX($A669:$Z669,MATCH('Counts'!$B$44,$A$1:$Z$1,0))&amp;""),""))</f>
        <v/>
      </c>
      <c r="AE669" s="41">
        <f>IF(TRIM('Cross-tab'!$B$5&amp;"")="","",IFERROR(TRIM(INDEX($A669:$Z669,MATCH('Cross-tab'!$B$5,$A$1:$Z$1,0))&amp;""),""))</f>
        <v/>
      </c>
      <c r="AF669" s="41">
        <f>IF(TRIM('Cross-tab'!$B$7&amp;"")="","",IFERROR(TRIM(INDEX($A669:$Z669,MATCH('Cross-tab'!$B$7,$A$1:$Z$1,0))&amp;""),""))</f>
        <v/>
      </c>
      <c r="AG669" s="41">
        <f>IF(ISNUMBER(IFERROR(VALUE(IF(TRIM('Scale score'!$B$5&amp;"")="","",IFERROR(TRIM(INDEX($A669:$Z669,MATCH('Scale score'!$B$5,$A$1:$Z$1,0))&amp;""),""))),"")),IF(AND(IFERROR(VALUE(IF(TRIM('Scale score'!$B$5&amp;"")="","",IFERROR(TRIM(INDEX($A669:$Z669,MATCH('Scale score'!$B$5,$A$1:$Z$1,0))&amp;""),""))),"")&gt;='Scale score'!$B$6,IFERROR(VALUE(IF(TRIM('Scale score'!$B$5&amp;"")="","",IFERROR(TRIM(INDEX($A669:$Z669,MATCH('Scale score'!$B$5,$A$1:$Z$1,0))&amp;""),""))),"")&lt;='Scale score'!$B$7),IFERROR(VALUE(IF(TRIM('Scale score'!$B$5&amp;"")="","",IFERROR(TRIM(INDEX($A669:$Z669,MATCH('Scale score'!$B$5,$A$1:$Z$1,0))&amp;""),""))),""),""),"")</f>
        <v/>
      </c>
      <c r="AH669" s="41">
        <f>IF(TRIM('Open answers'!$B$5&amp;"")="","",IFERROR(TRIM(INDEX($A669:$Z669,MATCH('Open answers'!$B$5,$A$1:$Z$1,0))&amp;""),""))</f>
        <v/>
      </c>
      <c r="AI669" s="41">
        <f>IF(LEN(AH669)&gt;0,MAX($AI$1:AI668)+1,"")</f>
        <v/>
      </c>
    </row>
    <row r="670">
      <c r="AA670" s="40" t="n"/>
      <c r="AB670" s="41">
        <f>IF(TRIM('Counts'!$B$8&amp;"")="","",IFERROR(TRIM(INDEX($A670:$Z670,MATCH('Counts'!$B$8,$A$1:$Z$1,0))&amp;""),""))</f>
        <v/>
      </c>
      <c r="AC670" s="41">
        <f>IF(TRIM('Counts'!$B$26&amp;"")="","",IFERROR(TRIM(INDEX($A670:$Z670,MATCH('Counts'!$B$26,$A$1:$Z$1,0))&amp;""),""))</f>
        <v/>
      </c>
      <c r="AD670" s="41">
        <f>IF(TRIM('Counts'!$B$44&amp;"")="","",IFERROR(TRIM(INDEX($A670:$Z670,MATCH('Counts'!$B$44,$A$1:$Z$1,0))&amp;""),""))</f>
        <v/>
      </c>
      <c r="AE670" s="41">
        <f>IF(TRIM('Cross-tab'!$B$5&amp;"")="","",IFERROR(TRIM(INDEX($A670:$Z670,MATCH('Cross-tab'!$B$5,$A$1:$Z$1,0))&amp;""),""))</f>
        <v/>
      </c>
      <c r="AF670" s="41">
        <f>IF(TRIM('Cross-tab'!$B$7&amp;"")="","",IFERROR(TRIM(INDEX($A670:$Z670,MATCH('Cross-tab'!$B$7,$A$1:$Z$1,0))&amp;""),""))</f>
        <v/>
      </c>
      <c r="AG670" s="41">
        <f>IF(ISNUMBER(IFERROR(VALUE(IF(TRIM('Scale score'!$B$5&amp;"")="","",IFERROR(TRIM(INDEX($A670:$Z670,MATCH('Scale score'!$B$5,$A$1:$Z$1,0))&amp;""),""))),"")),IF(AND(IFERROR(VALUE(IF(TRIM('Scale score'!$B$5&amp;"")="","",IFERROR(TRIM(INDEX($A670:$Z670,MATCH('Scale score'!$B$5,$A$1:$Z$1,0))&amp;""),""))),"")&gt;='Scale score'!$B$6,IFERROR(VALUE(IF(TRIM('Scale score'!$B$5&amp;"")="","",IFERROR(TRIM(INDEX($A670:$Z670,MATCH('Scale score'!$B$5,$A$1:$Z$1,0))&amp;""),""))),"")&lt;='Scale score'!$B$7),IFERROR(VALUE(IF(TRIM('Scale score'!$B$5&amp;"")="","",IFERROR(TRIM(INDEX($A670:$Z670,MATCH('Scale score'!$B$5,$A$1:$Z$1,0))&amp;""),""))),""),""),"")</f>
        <v/>
      </c>
      <c r="AH670" s="41">
        <f>IF(TRIM('Open answers'!$B$5&amp;"")="","",IFERROR(TRIM(INDEX($A670:$Z670,MATCH('Open answers'!$B$5,$A$1:$Z$1,0))&amp;""),""))</f>
        <v/>
      </c>
      <c r="AI670" s="41">
        <f>IF(LEN(AH670)&gt;0,MAX($AI$1:AI669)+1,"")</f>
        <v/>
      </c>
    </row>
    <row r="671">
      <c r="AA671" s="40" t="n"/>
      <c r="AB671" s="41">
        <f>IF(TRIM('Counts'!$B$8&amp;"")="","",IFERROR(TRIM(INDEX($A671:$Z671,MATCH('Counts'!$B$8,$A$1:$Z$1,0))&amp;""),""))</f>
        <v/>
      </c>
      <c r="AC671" s="41">
        <f>IF(TRIM('Counts'!$B$26&amp;"")="","",IFERROR(TRIM(INDEX($A671:$Z671,MATCH('Counts'!$B$26,$A$1:$Z$1,0))&amp;""),""))</f>
        <v/>
      </c>
      <c r="AD671" s="41">
        <f>IF(TRIM('Counts'!$B$44&amp;"")="","",IFERROR(TRIM(INDEX($A671:$Z671,MATCH('Counts'!$B$44,$A$1:$Z$1,0))&amp;""),""))</f>
        <v/>
      </c>
      <c r="AE671" s="41">
        <f>IF(TRIM('Cross-tab'!$B$5&amp;"")="","",IFERROR(TRIM(INDEX($A671:$Z671,MATCH('Cross-tab'!$B$5,$A$1:$Z$1,0))&amp;""),""))</f>
        <v/>
      </c>
      <c r="AF671" s="41">
        <f>IF(TRIM('Cross-tab'!$B$7&amp;"")="","",IFERROR(TRIM(INDEX($A671:$Z671,MATCH('Cross-tab'!$B$7,$A$1:$Z$1,0))&amp;""),""))</f>
        <v/>
      </c>
      <c r="AG671" s="41">
        <f>IF(ISNUMBER(IFERROR(VALUE(IF(TRIM('Scale score'!$B$5&amp;"")="","",IFERROR(TRIM(INDEX($A671:$Z671,MATCH('Scale score'!$B$5,$A$1:$Z$1,0))&amp;""),""))),"")),IF(AND(IFERROR(VALUE(IF(TRIM('Scale score'!$B$5&amp;"")="","",IFERROR(TRIM(INDEX($A671:$Z671,MATCH('Scale score'!$B$5,$A$1:$Z$1,0))&amp;""),""))),"")&gt;='Scale score'!$B$6,IFERROR(VALUE(IF(TRIM('Scale score'!$B$5&amp;"")="","",IFERROR(TRIM(INDEX($A671:$Z671,MATCH('Scale score'!$B$5,$A$1:$Z$1,0))&amp;""),""))),"")&lt;='Scale score'!$B$7),IFERROR(VALUE(IF(TRIM('Scale score'!$B$5&amp;"")="","",IFERROR(TRIM(INDEX($A671:$Z671,MATCH('Scale score'!$B$5,$A$1:$Z$1,0))&amp;""),""))),""),""),"")</f>
        <v/>
      </c>
      <c r="AH671" s="41">
        <f>IF(TRIM('Open answers'!$B$5&amp;"")="","",IFERROR(TRIM(INDEX($A671:$Z671,MATCH('Open answers'!$B$5,$A$1:$Z$1,0))&amp;""),""))</f>
        <v/>
      </c>
      <c r="AI671" s="41">
        <f>IF(LEN(AH671)&gt;0,MAX($AI$1:AI670)+1,"")</f>
        <v/>
      </c>
    </row>
    <row r="672">
      <c r="AA672" s="40" t="n"/>
      <c r="AB672" s="41">
        <f>IF(TRIM('Counts'!$B$8&amp;"")="","",IFERROR(TRIM(INDEX($A672:$Z672,MATCH('Counts'!$B$8,$A$1:$Z$1,0))&amp;""),""))</f>
        <v/>
      </c>
      <c r="AC672" s="41">
        <f>IF(TRIM('Counts'!$B$26&amp;"")="","",IFERROR(TRIM(INDEX($A672:$Z672,MATCH('Counts'!$B$26,$A$1:$Z$1,0))&amp;""),""))</f>
        <v/>
      </c>
      <c r="AD672" s="41">
        <f>IF(TRIM('Counts'!$B$44&amp;"")="","",IFERROR(TRIM(INDEX($A672:$Z672,MATCH('Counts'!$B$44,$A$1:$Z$1,0))&amp;""),""))</f>
        <v/>
      </c>
      <c r="AE672" s="41">
        <f>IF(TRIM('Cross-tab'!$B$5&amp;"")="","",IFERROR(TRIM(INDEX($A672:$Z672,MATCH('Cross-tab'!$B$5,$A$1:$Z$1,0))&amp;""),""))</f>
        <v/>
      </c>
      <c r="AF672" s="41">
        <f>IF(TRIM('Cross-tab'!$B$7&amp;"")="","",IFERROR(TRIM(INDEX($A672:$Z672,MATCH('Cross-tab'!$B$7,$A$1:$Z$1,0))&amp;""),""))</f>
        <v/>
      </c>
      <c r="AG672" s="41">
        <f>IF(ISNUMBER(IFERROR(VALUE(IF(TRIM('Scale score'!$B$5&amp;"")="","",IFERROR(TRIM(INDEX($A672:$Z672,MATCH('Scale score'!$B$5,$A$1:$Z$1,0))&amp;""),""))),"")),IF(AND(IFERROR(VALUE(IF(TRIM('Scale score'!$B$5&amp;"")="","",IFERROR(TRIM(INDEX($A672:$Z672,MATCH('Scale score'!$B$5,$A$1:$Z$1,0))&amp;""),""))),"")&gt;='Scale score'!$B$6,IFERROR(VALUE(IF(TRIM('Scale score'!$B$5&amp;"")="","",IFERROR(TRIM(INDEX($A672:$Z672,MATCH('Scale score'!$B$5,$A$1:$Z$1,0))&amp;""),""))),"")&lt;='Scale score'!$B$7),IFERROR(VALUE(IF(TRIM('Scale score'!$B$5&amp;"")="","",IFERROR(TRIM(INDEX($A672:$Z672,MATCH('Scale score'!$B$5,$A$1:$Z$1,0))&amp;""),""))),""),""),"")</f>
        <v/>
      </c>
      <c r="AH672" s="41">
        <f>IF(TRIM('Open answers'!$B$5&amp;"")="","",IFERROR(TRIM(INDEX($A672:$Z672,MATCH('Open answers'!$B$5,$A$1:$Z$1,0))&amp;""),""))</f>
        <v/>
      </c>
      <c r="AI672" s="41">
        <f>IF(LEN(AH672)&gt;0,MAX($AI$1:AI671)+1,"")</f>
        <v/>
      </c>
    </row>
    <row r="673">
      <c r="AA673" s="40" t="n"/>
      <c r="AB673" s="41">
        <f>IF(TRIM('Counts'!$B$8&amp;"")="","",IFERROR(TRIM(INDEX($A673:$Z673,MATCH('Counts'!$B$8,$A$1:$Z$1,0))&amp;""),""))</f>
        <v/>
      </c>
      <c r="AC673" s="41">
        <f>IF(TRIM('Counts'!$B$26&amp;"")="","",IFERROR(TRIM(INDEX($A673:$Z673,MATCH('Counts'!$B$26,$A$1:$Z$1,0))&amp;""),""))</f>
        <v/>
      </c>
      <c r="AD673" s="41">
        <f>IF(TRIM('Counts'!$B$44&amp;"")="","",IFERROR(TRIM(INDEX($A673:$Z673,MATCH('Counts'!$B$44,$A$1:$Z$1,0))&amp;""),""))</f>
        <v/>
      </c>
      <c r="AE673" s="41">
        <f>IF(TRIM('Cross-tab'!$B$5&amp;"")="","",IFERROR(TRIM(INDEX($A673:$Z673,MATCH('Cross-tab'!$B$5,$A$1:$Z$1,0))&amp;""),""))</f>
        <v/>
      </c>
      <c r="AF673" s="41">
        <f>IF(TRIM('Cross-tab'!$B$7&amp;"")="","",IFERROR(TRIM(INDEX($A673:$Z673,MATCH('Cross-tab'!$B$7,$A$1:$Z$1,0))&amp;""),""))</f>
        <v/>
      </c>
      <c r="AG673" s="41">
        <f>IF(ISNUMBER(IFERROR(VALUE(IF(TRIM('Scale score'!$B$5&amp;"")="","",IFERROR(TRIM(INDEX($A673:$Z673,MATCH('Scale score'!$B$5,$A$1:$Z$1,0))&amp;""),""))),"")),IF(AND(IFERROR(VALUE(IF(TRIM('Scale score'!$B$5&amp;"")="","",IFERROR(TRIM(INDEX($A673:$Z673,MATCH('Scale score'!$B$5,$A$1:$Z$1,0))&amp;""),""))),"")&gt;='Scale score'!$B$6,IFERROR(VALUE(IF(TRIM('Scale score'!$B$5&amp;"")="","",IFERROR(TRIM(INDEX($A673:$Z673,MATCH('Scale score'!$B$5,$A$1:$Z$1,0))&amp;""),""))),"")&lt;='Scale score'!$B$7),IFERROR(VALUE(IF(TRIM('Scale score'!$B$5&amp;"")="","",IFERROR(TRIM(INDEX($A673:$Z673,MATCH('Scale score'!$B$5,$A$1:$Z$1,0))&amp;""),""))),""),""),"")</f>
        <v/>
      </c>
      <c r="AH673" s="41">
        <f>IF(TRIM('Open answers'!$B$5&amp;"")="","",IFERROR(TRIM(INDEX($A673:$Z673,MATCH('Open answers'!$B$5,$A$1:$Z$1,0))&amp;""),""))</f>
        <v/>
      </c>
      <c r="AI673" s="41">
        <f>IF(LEN(AH673)&gt;0,MAX($AI$1:AI672)+1,"")</f>
        <v/>
      </c>
    </row>
    <row r="674">
      <c r="AA674" s="40" t="n"/>
      <c r="AB674" s="41">
        <f>IF(TRIM('Counts'!$B$8&amp;"")="","",IFERROR(TRIM(INDEX($A674:$Z674,MATCH('Counts'!$B$8,$A$1:$Z$1,0))&amp;""),""))</f>
        <v/>
      </c>
      <c r="AC674" s="41">
        <f>IF(TRIM('Counts'!$B$26&amp;"")="","",IFERROR(TRIM(INDEX($A674:$Z674,MATCH('Counts'!$B$26,$A$1:$Z$1,0))&amp;""),""))</f>
        <v/>
      </c>
      <c r="AD674" s="41">
        <f>IF(TRIM('Counts'!$B$44&amp;"")="","",IFERROR(TRIM(INDEX($A674:$Z674,MATCH('Counts'!$B$44,$A$1:$Z$1,0))&amp;""),""))</f>
        <v/>
      </c>
      <c r="AE674" s="41">
        <f>IF(TRIM('Cross-tab'!$B$5&amp;"")="","",IFERROR(TRIM(INDEX($A674:$Z674,MATCH('Cross-tab'!$B$5,$A$1:$Z$1,0))&amp;""),""))</f>
        <v/>
      </c>
      <c r="AF674" s="41">
        <f>IF(TRIM('Cross-tab'!$B$7&amp;"")="","",IFERROR(TRIM(INDEX($A674:$Z674,MATCH('Cross-tab'!$B$7,$A$1:$Z$1,0))&amp;""),""))</f>
        <v/>
      </c>
      <c r="AG674" s="41">
        <f>IF(ISNUMBER(IFERROR(VALUE(IF(TRIM('Scale score'!$B$5&amp;"")="","",IFERROR(TRIM(INDEX($A674:$Z674,MATCH('Scale score'!$B$5,$A$1:$Z$1,0))&amp;""),""))),"")),IF(AND(IFERROR(VALUE(IF(TRIM('Scale score'!$B$5&amp;"")="","",IFERROR(TRIM(INDEX($A674:$Z674,MATCH('Scale score'!$B$5,$A$1:$Z$1,0))&amp;""),""))),"")&gt;='Scale score'!$B$6,IFERROR(VALUE(IF(TRIM('Scale score'!$B$5&amp;"")="","",IFERROR(TRIM(INDEX($A674:$Z674,MATCH('Scale score'!$B$5,$A$1:$Z$1,0))&amp;""),""))),"")&lt;='Scale score'!$B$7),IFERROR(VALUE(IF(TRIM('Scale score'!$B$5&amp;"")="","",IFERROR(TRIM(INDEX($A674:$Z674,MATCH('Scale score'!$B$5,$A$1:$Z$1,0))&amp;""),""))),""),""),"")</f>
        <v/>
      </c>
      <c r="AH674" s="41">
        <f>IF(TRIM('Open answers'!$B$5&amp;"")="","",IFERROR(TRIM(INDEX($A674:$Z674,MATCH('Open answers'!$B$5,$A$1:$Z$1,0))&amp;""),""))</f>
        <v/>
      </c>
      <c r="AI674" s="41">
        <f>IF(LEN(AH674)&gt;0,MAX($AI$1:AI673)+1,"")</f>
        <v/>
      </c>
    </row>
    <row r="675">
      <c r="AA675" s="40" t="n"/>
      <c r="AB675" s="41">
        <f>IF(TRIM('Counts'!$B$8&amp;"")="","",IFERROR(TRIM(INDEX($A675:$Z675,MATCH('Counts'!$B$8,$A$1:$Z$1,0))&amp;""),""))</f>
        <v/>
      </c>
      <c r="AC675" s="41">
        <f>IF(TRIM('Counts'!$B$26&amp;"")="","",IFERROR(TRIM(INDEX($A675:$Z675,MATCH('Counts'!$B$26,$A$1:$Z$1,0))&amp;""),""))</f>
        <v/>
      </c>
      <c r="AD675" s="41">
        <f>IF(TRIM('Counts'!$B$44&amp;"")="","",IFERROR(TRIM(INDEX($A675:$Z675,MATCH('Counts'!$B$44,$A$1:$Z$1,0))&amp;""),""))</f>
        <v/>
      </c>
      <c r="AE675" s="41">
        <f>IF(TRIM('Cross-tab'!$B$5&amp;"")="","",IFERROR(TRIM(INDEX($A675:$Z675,MATCH('Cross-tab'!$B$5,$A$1:$Z$1,0))&amp;""),""))</f>
        <v/>
      </c>
      <c r="AF675" s="41">
        <f>IF(TRIM('Cross-tab'!$B$7&amp;"")="","",IFERROR(TRIM(INDEX($A675:$Z675,MATCH('Cross-tab'!$B$7,$A$1:$Z$1,0))&amp;""),""))</f>
        <v/>
      </c>
      <c r="AG675" s="41">
        <f>IF(ISNUMBER(IFERROR(VALUE(IF(TRIM('Scale score'!$B$5&amp;"")="","",IFERROR(TRIM(INDEX($A675:$Z675,MATCH('Scale score'!$B$5,$A$1:$Z$1,0))&amp;""),""))),"")),IF(AND(IFERROR(VALUE(IF(TRIM('Scale score'!$B$5&amp;"")="","",IFERROR(TRIM(INDEX($A675:$Z675,MATCH('Scale score'!$B$5,$A$1:$Z$1,0))&amp;""),""))),"")&gt;='Scale score'!$B$6,IFERROR(VALUE(IF(TRIM('Scale score'!$B$5&amp;"")="","",IFERROR(TRIM(INDEX($A675:$Z675,MATCH('Scale score'!$B$5,$A$1:$Z$1,0))&amp;""),""))),"")&lt;='Scale score'!$B$7),IFERROR(VALUE(IF(TRIM('Scale score'!$B$5&amp;"")="","",IFERROR(TRIM(INDEX($A675:$Z675,MATCH('Scale score'!$B$5,$A$1:$Z$1,0))&amp;""),""))),""),""),"")</f>
        <v/>
      </c>
      <c r="AH675" s="41">
        <f>IF(TRIM('Open answers'!$B$5&amp;"")="","",IFERROR(TRIM(INDEX($A675:$Z675,MATCH('Open answers'!$B$5,$A$1:$Z$1,0))&amp;""),""))</f>
        <v/>
      </c>
      <c r="AI675" s="41">
        <f>IF(LEN(AH675)&gt;0,MAX($AI$1:AI674)+1,"")</f>
        <v/>
      </c>
    </row>
    <row r="676">
      <c r="AA676" s="40" t="n"/>
      <c r="AB676" s="41">
        <f>IF(TRIM('Counts'!$B$8&amp;"")="","",IFERROR(TRIM(INDEX($A676:$Z676,MATCH('Counts'!$B$8,$A$1:$Z$1,0))&amp;""),""))</f>
        <v/>
      </c>
      <c r="AC676" s="41">
        <f>IF(TRIM('Counts'!$B$26&amp;"")="","",IFERROR(TRIM(INDEX($A676:$Z676,MATCH('Counts'!$B$26,$A$1:$Z$1,0))&amp;""),""))</f>
        <v/>
      </c>
      <c r="AD676" s="41">
        <f>IF(TRIM('Counts'!$B$44&amp;"")="","",IFERROR(TRIM(INDEX($A676:$Z676,MATCH('Counts'!$B$44,$A$1:$Z$1,0))&amp;""),""))</f>
        <v/>
      </c>
      <c r="AE676" s="41">
        <f>IF(TRIM('Cross-tab'!$B$5&amp;"")="","",IFERROR(TRIM(INDEX($A676:$Z676,MATCH('Cross-tab'!$B$5,$A$1:$Z$1,0))&amp;""),""))</f>
        <v/>
      </c>
      <c r="AF676" s="41">
        <f>IF(TRIM('Cross-tab'!$B$7&amp;"")="","",IFERROR(TRIM(INDEX($A676:$Z676,MATCH('Cross-tab'!$B$7,$A$1:$Z$1,0))&amp;""),""))</f>
        <v/>
      </c>
      <c r="AG676" s="41">
        <f>IF(ISNUMBER(IFERROR(VALUE(IF(TRIM('Scale score'!$B$5&amp;"")="","",IFERROR(TRIM(INDEX($A676:$Z676,MATCH('Scale score'!$B$5,$A$1:$Z$1,0))&amp;""),""))),"")),IF(AND(IFERROR(VALUE(IF(TRIM('Scale score'!$B$5&amp;"")="","",IFERROR(TRIM(INDEX($A676:$Z676,MATCH('Scale score'!$B$5,$A$1:$Z$1,0))&amp;""),""))),"")&gt;='Scale score'!$B$6,IFERROR(VALUE(IF(TRIM('Scale score'!$B$5&amp;"")="","",IFERROR(TRIM(INDEX($A676:$Z676,MATCH('Scale score'!$B$5,$A$1:$Z$1,0))&amp;""),""))),"")&lt;='Scale score'!$B$7),IFERROR(VALUE(IF(TRIM('Scale score'!$B$5&amp;"")="","",IFERROR(TRIM(INDEX($A676:$Z676,MATCH('Scale score'!$B$5,$A$1:$Z$1,0))&amp;""),""))),""),""),"")</f>
        <v/>
      </c>
      <c r="AH676" s="41">
        <f>IF(TRIM('Open answers'!$B$5&amp;"")="","",IFERROR(TRIM(INDEX($A676:$Z676,MATCH('Open answers'!$B$5,$A$1:$Z$1,0))&amp;""),""))</f>
        <v/>
      </c>
      <c r="AI676" s="41">
        <f>IF(LEN(AH676)&gt;0,MAX($AI$1:AI675)+1,"")</f>
        <v/>
      </c>
    </row>
    <row r="677">
      <c r="AA677" s="40" t="n"/>
      <c r="AB677" s="41">
        <f>IF(TRIM('Counts'!$B$8&amp;"")="","",IFERROR(TRIM(INDEX($A677:$Z677,MATCH('Counts'!$B$8,$A$1:$Z$1,0))&amp;""),""))</f>
        <v/>
      </c>
      <c r="AC677" s="41">
        <f>IF(TRIM('Counts'!$B$26&amp;"")="","",IFERROR(TRIM(INDEX($A677:$Z677,MATCH('Counts'!$B$26,$A$1:$Z$1,0))&amp;""),""))</f>
        <v/>
      </c>
      <c r="AD677" s="41">
        <f>IF(TRIM('Counts'!$B$44&amp;"")="","",IFERROR(TRIM(INDEX($A677:$Z677,MATCH('Counts'!$B$44,$A$1:$Z$1,0))&amp;""),""))</f>
        <v/>
      </c>
      <c r="AE677" s="41">
        <f>IF(TRIM('Cross-tab'!$B$5&amp;"")="","",IFERROR(TRIM(INDEX($A677:$Z677,MATCH('Cross-tab'!$B$5,$A$1:$Z$1,0))&amp;""),""))</f>
        <v/>
      </c>
      <c r="AF677" s="41">
        <f>IF(TRIM('Cross-tab'!$B$7&amp;"")="","",IFERROR(TRIM(INDEX($A677:$Z677,MATCH('Cross-tab'!$B$7,$A$1:$Z$1,0))&amp;""),""))</f>
        <v/>
      </c>
      <c r="AG677" s="41">
        <f>IF(ISNUMBER(IFERROR(VALUE(IF(TRIM('Scale score'!$B$5&amp;"")="","",IFERROR(TRIM(INDEX($A677:$Z677,MATCH('Scale score'!$B$5,$A$1:$Z$1,0))&amp;""),""))),"")),IF(AND(IFERROR(VALUE(IF(TRIM('Scale score'!$B$5&amp;"")="","",IFERROR(TRIM(INDEX($A677:$Z677,MATCH('Scale score'!$B$5,$A$1:$Z$1,0))&amp;""),""))),"")&gt;='Scale score'!$B$6,IFERROR(VALUE(IF(TRIM('Scale score'!$B$5&amp;"")="","",IFERROR(TRIM(INDEX($A677:$Z677,MATCH('Scale score'!$B$5,$A$1:$Z$1,0))&amp;""),""))),"")&lt;='Scale score'!$B$7),IFERROR(VALUE(IF(TRIM('Scale score'!$B$5&amp;"")="","",IFERROR(TRIM(INDEX($A677:$Z677,MATCH('Scale score'!$B$5,$A$1:$Z$1,0))&amp;""),""))),""),""),"")</f>
        <v/>
      </c>
      <c r="AH677" s="41">
        <f>IF(TRIM('Open answers'!$B$5&amp;"")="","",IFERROR(TRIM(INDEX($A677:$Z677,MATCH('Open answers'!$B$5,$A$1:$Z$1,0))&amp;""),""))</f>
        <v/>
      </c>
      <c r="AI677" s="41">
        <f>IF(LEN(AH677)&gt;0,MAX($AI$1:AI676)+1,"")</f>
        <v/>
      </c>
    </row>
    <row r="678">
      <c r="AA678" s="40" t="n"/>
      <c r="AB678" s="41">
        <f>IF(TRIM('Counts'!$B$8&amp;"")="","",IFERROR(TRIM(INDEX($A678:$Z678,MATCH('Counts'!$B$8,$A$1:$Z$1,0))&amp;""),""))</f>
        <v/>
      </c>
      <c r="AC678" s="41">
        <f>IF(TRIM('Counts'!$B$26&amp;"")="","",IFERROR(TRIM(INDEX($A678:$Z678,MATCH('Counts'!$B$26,$A$1:$Z$1,0))&amp;""),""))</f>
        <v/>
      </c>
      <c r="AD678" s="41">
        <f>IF(TRIM('Counts'!$B$44&amp;"")="","",IFERROR(TRIM(INDEX($A678:$Z678,MATCH('Counts'!$B$44,$A$1:$Z$1,0))&amp;""),""))</f>
        <v/>
      </c>
      <c r="AE678" s="41">
        <f>IF(TRIM('Cross-tab'!$B$5&amp;"")="","",IFERROR(TRIM(INDEX($A678:$Z678,MATCH('Cross-tab'!$B$5,$A$1:$Z$1,0))&amp;""),""))</f>
        <v/>
      </c>
      <c r="AF678" s="41">
        <f>IF(TRIM('Cross-tab'!$B$7&amp;"")="","",IFERROR(TRIM(INDEX($A678:$Z678,MATCH('Cross-tab'!$B$7,$A$1:$Z$1,0))&amp;""),""))</f>
        <v/>
      </c>
      <c r="AG678" s="41">
        <f>IF(ISNUMBER(IFERROR(VALUE(IF(TRIM('Scale score'!$B$5&amp;"")="","",IFERROR(TRIM(INDEX($A678:$Z678,MATCH('Scale score'!$B$5,$A$1:$Z$1,0))&amp;""),""))),"")),IF(AND(IFERROR(VALUE(IF(TRIM('Scale score'!$B$5&amp;"")="","",IFERROR(TRIM(INDEX($A678:$Z678,MATCH('Scale score'!$B$5,$A$1:$Z$1,0))&amp;""),""))),"")&gt;='Scale score'!$B$6,IFERROR(VALUE(IF(TRIM('Scale score'!$B$5&amp;"")="","",IFERROR(TRIM(INDEX($A678:$Z678,MATCH('Scale score'!$B$5,$A$1:$Z$1,0))&amp;""),""))),"")&lt;='Scale score'!$B$7),IFERROR(VALUE(IF(TRIM('Scale score'!$B$5&amp;"")="","",IFERROR(TRIM(INDEX($A678:$Z678,MATCH('Scale score'!$B$5,$A$1:$Z$1,0))&amp;""),""))),""),""),"")</f>
        <v/>
      </c>
      <c r="AH678" s="41">
        <f>IF(TRIM('Open answers'!$B$5&amp;"")="","",IFERROR(TRIM(INDEX($A678:$Z678,MATCH('Open answers'!$B$5,$A$1:$Z$1,0))&amp;""),""))</f>
        <v/>
      </c>
      <c r="AI678" s="41">
        <f>IF(LEN(AH678)&gt;0,MAX($AI$1:AI677)+1,"")</f>
        <v/>
      </c>
    </row>
    <row r="679">
      <c r="AA679" s="40" t="n"/>
      <c r="AB679" s="41">
        <f>IF(TRIM('Counts'!$B$8&amp;"")="","",IFERROR(TRIM(INDEX($A679:$Z679,MATCH('Counts'!$B$8,$A$1:$Z$1,0))&amp;""),""))</f>
        <v/>
      </c>
      <c r="AC679" s="41">
        <f>IF(TRIM('Counts'!$B$26&amp;"")="","",IFERROR(TRIM(INDEX($A679:$Z679,MATCH('Counts'!$B$26,$A$1:$Z$1,0))&amp;""),""))</f>
        <v/>
      </c>
      <c r="AD679" s="41">
        <f>IF(TRIM('Counts'!$B$44&amp;"")="","",IFERROR(TRIM(INDEX($A679:$Z679,MATCH('Counts'!$B$44,$A$1:$Z$1,0))&amp;""),""))</f>
        <v/>
      </c>
      <c r="AE679" s="41">
        <f>IF(TRIM('Cross-tab'!$B$5&amp;"")="","",IFERROR(TRIM(INDEX($A679:$Z679,MATCH('Cross-tab'!$B$5,$A$1:$Z$1,0))&amp;""),""))</f>
        <v/>
      </c>
      <c r="AF679" s="41">
        <f>IF(TRIM('Cross-tab'!$B$7&amp;"")="","",IFERROR(TRIM(INDEX($A679:$Z679,MATCH('Cross-tab'!$B$7,$A$1:$Z$1,0))&amp;""),""))</f>
        <v/>
      </c>
      <c r="AG679" s="41">
        <f>IF(ISNUMBER(IFERROR(VALUE(IF(TRIM('Scale score'!$B$5&amp;"")="","",IFERROR(TRIM(INDEX($A679:$Z679,MATCH('Scale score'!$B$5,$A$1:$Z$1,0))&amp;""),""))),"")),IF(AND(IFERROR(VALUE(IF(TRIM('Scale score'!$B$5&amp;"")="","",IFERROR(TRIM(INDEX($A679:$Z679,MATCH('Scale score'!$B$5,$A$1:$Z$1,0))&amp;""),""))),"")&gt;='Scale score'!$B$6,IFERROR(VALUE(IF(TRIM('Scale score'!$B$5&amp;"")="","",IFERROR(TRIM(INDEX($A679:$Z679,MATCH('Scale score'!$B$5,$A$1:$Z$1,0))&amp;""),""))),"")&lt;='Scale score'!$B$7),IFERROR(VALUE(IF(TRIM('Scale score'!$B$5&amp;"")="","",IFERROR(TRIM(INDEX($A679:$Z679,MATCH('Scale score'!$B$5,$A$1:$Z$1,0))&amp;""),""))),""),""),"")</f>
        <v/>
      </c>
      <c r="AH679" s="41">
        <f>IF(TRIM('Open answers'!$B$5&amp;"")="","",IFERROR(TRIM(INDEX($A679:$Z679,MATCH('Open answers'!$B$5,$A$1:$Z$1,0))&amp;""),""))</f>
        <v/>
      </c>
      <c r="AI679" s="41">
        <f>IF(LEN(AH679)&gt;0,MAX($AI$1:AI678)+1,"")</f>
        <v/>
      </c>
    </row>
    <row r="680">
      <c r="AA680" s="40" t="n"/>
      <c r="AB680" s="41">
        <f>IF(TRIM('Counts'!$B$8&amp;"")="","",IFERROR(TRIM(INDEX($A680:$Z680,MATCH('Counts'!$B$8,$A$1:$Z$1,0))&amp;""),""))</f>
        <v/>
      </c>
      <c r="AC680" s="41">
        <f>IF(TRIM('Counts'!$B$26&amp;"")="","",IFERROR(TRIM(INDEX($A680:$Z680,MATCH('Counts'!$B$26,$A$1:$Z$1,0))&amp;""),""))</f>
        <v/>
      </c>
      <c r="AD680" s="41">
        <f>IF(TRIM('Counts'!$B$44&amp;"")="","",IFERROR(TRIM(INDEX($A680:$Z680,MATCH('Counts'!$B$44,$A$1:$Z$1,0))&amp;""),""))</f>
        <v/>
      </c>
      <c r="AE680" s="41">
        <f>IF(TRIM('Cross-tab'!$B$5&amp;"")="","",IFERROR(TRIM(INDEX($A680:$Z680,MATCH('Cross-tab'!$B$5,$A$1:$Z$1,0))&amp;""),""))</f>
        <v/>
      </c>
      <c r="AF680" s="41">
        <f>IF(TRIM('Cross-tab'!$B$7&amp;"")="","",IFERROR(TRIM(INDEX($A680:$Z680,MATCH('Cross-tab'!$B$7,$A$1:$Z$1,0))&amp;""),""))</f>
        <v/>
      </c>
      <c r="AG680" s="41">
        <f>IF(ISNUMBER(IFERROR(VALUE(IF(TRIM('Scale score'!$B$5&amp;"")="","",IFERROR(TRIM(INDEX($A680:$Z680,MATCH('Scale score'!$B$5,$A$1:$Z$1,0))&amp;""),""))),"")),IF(AND(IFERROR(VALUE(IF(TRIM('Scale score'!$B$5&amp;"")="","",IFERROR(TRIM(INDEX($A680:$Z680,MATCH('Scale score'!$B$5,$A$1:$Z$1,0))&amp;""),""))),"")&gt;='Scale score'!$B$6,IFERROR(VALUE(IF(TRIM('Scale score'!$B$5&amp;"")="","",IFERROR(TRIM(INDEX($A680:$Z680,MATCH('Scale score'!$B$5,$A$1:$Z$1,0))&amp;""),""))),"")&lt;='Scale score'!$B$7),IFERROR(VALUE(IF(TRIM('Scale score'!$B$5&amp;"")="","",IFERROR(TRIM(INDEX($A680:$Z680,MATCH('Scale score'!$B$5,$A$1:$Z$1,0))&amp;""),""))),""),""),"")</f>
        <v/>
      </c>
      <c r="AH680" s="41">
        <f>IF(TRIM('Open answers'!$B$5&amp;"")="","",IFERROR(TRIM(INDEX($A680:$Z680,MATCH('Open answers'!$B$5,$A$1:$Z$1,0))&amp;""),""))</f>
        <v/>
      </c>
      <c r="AI680" s="41">
        <f>IF(LEN(AH680)&gt;0,MAX($AI$1:AI679)+1,"")</f>
        <v/>
      </c>
    </row>
    <row r="681">
      <c r="AA681" s="40" t="n"/>
      <c r="AB681" s="41">
        <f>IF(TRIM('Counts'!$B$8&amp;"")="","",IFERROR(TRIM(INDEX($A681:$Z681,MATCH('Counts'!$B$8,$A$1:$Z$1,0))&amp;""),""))</f>
        <v/>
      </c>
      <c r="AC681" s="41">
        <f>IF(TRIM('Counts'!$B$26&amp;"")="","",IFERROR(TRIM(INDEX($A681:$Z681,MATCH('Counts'!$B$26,$A$1:$Z$1,0))&amp;""),""))</f>
        <v/>
      </c>
      <c r="AD681" s="41">
        <f>IF(TRIM('Counts'!$B$44&amp;"")="","",IFERROR(TRIM(INDEX($A681:$Z681,MATCH('Counts'!$B$44,$A$1:$Z$1,0))&amp;""),""))</f>
        <v/>
      </c>
      <c r="AE681" s="41">
        <f>IF(TRIM('Cross-tab'!$B$5&amp;"")="","",IFERROR(TRIM(INDEX($A681:$Z681,MATCH('Cross-tab'!$B$5,$A$1:$Z$1,0))&amp;""),""))</f>
        <v/>
      </c>
      <c r="AF681" s="41">
        <f>IF(TRIM('Cross-tab'!$B$7&amp;"")="","",IFERROR(TRIM(INDEX($A681:$Z681,MATCH('Cross-tab'!$B$7,$A$1:$Z$1,0))&amp;""),""))</f>
        <v/>
      </c>
      <c r="AG681" s="41">
        <f>IF(ISNUMBER(IFERROR(VALUE(IF(TRIM('Scale score'!$B$5&amp;"")="","",IFERROR(TRIM(INDEX($A681:$Z681,MATCH('Scale score'!$B$5,$A$1:$Z$1,0))&amp;""),""))),"")),IF(AND(IFERROR(VALUE(IF(TRIM('Scale score'!$B$5&amp;"")="","",IFERROR(TRIM(INDEX($A681:$Z681,MATCH('Scale score'!$B$5,$A$1:$Z$1,0))&amp;""),""))),"")&gt;='Scale score'!$B$6,IFERROR(VALUE(IF(TRIM('Scale score'!$B$5&amp;"")="","",IFERROR(TRIM(INDEX($A681:$Z681,MATCH('Scale score'!$B$5,$A$1:$Z$1,0))&amp;""),""))),"")&lt;='Scale score'!$B$7),IFERROR(VALUE(IF(TRIM('Scale score'!$B$5&amp;"")="","",IFERROR(TRIM(INDEX($A681:$Z681,MATCH('Scale score'!$B$5,$A$1:$Z$1,0))&amp;""),""))),""),""),"")</f>
        <v/>
      </c>
      <c r="AH681" s="41">
        <f>IF(TRIM('Open answers'!$B$5&amp;"")="","",IFERROR(TRIM(INDEX($A681:$Z681,MATCH('Open answers'!$B$5,$A$1:$Z$1,0))&amp;""),""))</f>
        <v/>
      </c>
      <c r="AI681" s="41">
        <f>IF(LEN(AH681)&gt;0,MAX($AI$1:AI680)+1,"")</f>
        <v/>
      </c>
    </row>
    <row r="682">
      <c r="AA682" s="40" t="n"/>
      <c r="AB682" s="41">
        <f>IF(TRIM('Counts'!$B$8&amp;"")="","",IFERROR(TRIM(INDEX($A682:$Z682,MATCH('Counts'!$B$8,$A$1:$Z$1,0))&amp;""),""))</f>
        <v/>
      </c>
      <c r="AC682" s="41">
        <f>IF(TRIM('Counts'!$B$26&amp;"")="","",IFERROR(TRIM(INDEX($A682:$Z682,MATCH('Counts'!$B$26,$A$1:$Z$1,0))&amp;""),""))</f>
        <v/>
      </c>
      <c r="AD682" s="41">
        <f>IF(TRIM('Counts'!$B$44&amp;"")="","",IFERROR(TRIM(INDEX($A682:$Z682,MATCH('Counts'!$B$44,$A$1:$Z$1,0))&amp;""),""))</f>
        <v/>
      </c>
      <c r="AE682" s="41">
        <f>IF(TRIM('Cross-tab'!$B$5&amp;"")="","",IFERROR(TRIM(INDEX($A682:$Z682,MATCH('Cross-tab'!$B$5,$A$1:$Z$1,0))&amp;""),""))</f>
        <v/>
      </c>
      <c r="AF682" s="41">
        <f>IF(TRIM('Cross-tab'!$B$7&amp;"")="","",IFERROR(TRIM(INDEX($A682:$Z682,MATCH('Cross-tab'!$B$7,$A$1:$Z$1,0))&amp;""),""))</f>
        <v/>
      </c>
      <c r="AG682" s="41">
        <f>IF(ISNUMBER(IFERROR(VALUE(IF(TRIM('Scale score'!$B$5&amp;"")="","",IFERROR(TRIM(INDEX($A682:$Z682,MATCH('Scale score'!$B$5,$A$1:$Z$1,0))&amp;""),""))),"")),IF(AND(IFERROR(VALUE(IF(TRIM('Scale score'!$B$5&amp;"")="","",IFERROR(TRIM(INDEX($A682:$Z682,MATCH('Scale score'!$B$5,$A$1:$Z$1,0))&amp;""),""))),"")&gt;='Scale score'!$B$6,IFERROR(VALUE(IF(TRIM('Scale score'!$B$5&amp;"")="","",IFERROR(TRIM(INDEX($A682:$Z682,MATCH('Scale score'!$B$5,$A$1:$Z$1,0))&amp;""),""))),"")&lt;='Scale score'!$B$7),IFERROR(VALUE(IF(TRIM('Scale score'!$B$5&amp;"")="","",IFERROR(TRIM(INDEX($A682:$Z682,MATCH('Scale score'!$B$5,$A$1:$Z$1,0))&amp;""),""))),""),""),"")</f>
        <v/>
      </c>
      <c r="AH682" s="41">
        <f>IF(TRIM('Open answers'!$B$5&amp;"")="","",IFERROR(TRIM(INDEX($A682:$Z682,MATCH('Open answers'!$B$5,$A$1:$Z$1,0))&amp;""),""))</f>
        <v/>
      </c>
      <c r="AI682" s="41">
        <f>IF(LEN(AH682)&gt;0,MAX($AI$1:AI681)+1,"")</f>
        <v/>
      </c>
    </row>
    <row r="683">
      <c r="AA683" s="40" t="n"/>
      <c r="AB683" s="41">
        <f>IF(TRIM('Counts'!$B$8&amp;"")="","",IFERROR(TRIM(INDEX($A683:$Z683,MATCH('Counts'!$B$8,$A$1:$Z$1,0))&amp;""),""))</f>
        <v/>
      </c>
      <c r="AC683" s="41">
        <f>IF(TRIM('Counts'!$B$26&amp;"")="","",IFERROR(TRIM(INDEX($A683:$Z683,MATCH('Counts'!$B$26,$A$1:$Z$1,0))&amp;""),""))</f>
        <v/>
      </c>
      <c r="AD683" s="41">
        <f>IF(TRIM('Counts'!$B$44&amp;"")="","",IFERROR(TRIM(INDEX($A683:$Z683,MATCH('Counts'!$B$44,$A$1:$Z$1,0))&amp;""),""))</f>
        <v/>
      </c>
      <c r="AE683" s="41">
        <f>IF(TRIM('Cross-tab'!$B$5&amp;"")="","",IFERROR(TRIM(INDEX($A683:$Z683,MATCH('Cross-tab'!$B$5,$A$1:$Z$1,0))&amp;""),""))</f>
        <v/>
      </c>
      <c r="AF683" s="41">
        <f>IF(TRIM('Cross-tab'!$B$7&amp;"")="","",IFERROR(TRIM(INDEX($A683:$Z683,MATCH('Cross-tab'!$B$7,$A$1:$Z$1,0))&amp;""),""))</f>
        <v/>
      </c>
      <c r="AG683" s="41">
        <f>IF(ISNUMBER(IFERROR(VALUE(IF(TRIM('Scale score'!$B$5&amp;"")="","",IFERROR(TRIM(INDEX($A683:$Z683,MATCH('Scale score'!$B$5,$A$1:$Z$1,0))&amp;""),""))),"")),IF(AND(IFERROR(VALUE(IF(TRIM('Scale score'!$B$5&amp;"")="","",IFERROR(TRIM(INDEX($A683:$Z683,MATCH('Scale score'!$B$5,$A$1:$Z$1,0))&amp;""),""))),"")&gt;='Scale score'!$B$6,IFERROR(VALUE(IF(TRIM('Scale score'!$B$5&amp;"")="","",IFERROR(TRIM(INDEX($A683:$Z683,MATCH('Scale score'!$B$5,$A$1:$Z$1,0))&amp;""),""))),"")&lt;='Scale score'!$B$7),IFERROR(VALUE(IF(TRIM('Scale score'!$B$5&amp;"")="","",IFERROR(TRIM(INDEX($A683:$Z683,MATCH('Scale score'!$B$5,$A$1:$Z$1,0))&amp;""),""))),""),""),"")</f>
        <v/>
      </c>
      <c r="AH683" s="41">
        <f>IF(TRIM('Open answers'!$B$5&amp;"")="","",IFERROR(TRIM(INDEX($A683:$Z683,MATCH('Open answers'!$B$5,$A$1:$Z$1,0))&amp;""),""))</f>
        <v/>
      </c>
      <c r="AI683" s="41">
        <f>IF(LEN(AH683)&gt;0,MAX($AI$1:AI682)+1,"")</f>
        <v/>
      </c>
    </row>
    <row r="684">
      <c r="AA684" s="40" t="n"/>
      <c r="AB684" s="41">
        <f>IF(TRIM('Counts'!$B$8&amp;"")="","",IFERROR(TRIM(INDEX($A684:$Z684,MATCH('Counts'!$B$8,$A$1:$Z$1,0))&amp;""),""))</f>
        <v/>
      </c>
      <c r="AC684" s="41">
        <f>IF(TRIM('Counts'!$B$26&amp;"")="","",IFERROR(TRIM(INDEX($A684:$Z684,MATCH('Counts'!$B$26,$A$1:$Z$1,0))&amp;""),""))</f>
        <v/>
      </c>
      <c r="AD684" s="41">
        <f>IF(TRIM('Counts'!$B$44&amp;"")="","",IFERROR(TRIM(INDEX($A684:$Z684,MATCH('Counts'!$B$44,$A$1:$Z$1,0))&amp;""),""))</f>
        <v/>
      </c>
      <c r="AE684" s="41">
        <f>IF(TRIM('Cross-tab'!$B$5&amp;"")="","",IFERROR(TRIM(INDEX($A684:$Z684,MATCH('Cross-tab'!$B$5,$A$1:$Z$1,0))&amp;""),""))</f>
        <v/>
      </c>
      <c r="AF684" s="41">
        <f>IF(TRIM('Cross-tab'!$B$7&amp;"")="","",IFERROR(TRIM(INDEX($A684:$Z684,MATCH('Cross-tab'!$B$7,$A$1:$Z$1,0))&amp;""),""))</f>
        <v/>
      </c>
      <c r="AG684" s="41">
        <f>IF(ISNUMBER(IFERROR(VALUE(IF(TRIM('Scale score'!$B$5&amp;"")="","",IFERROR(TRIM(INDEX($A684:$Z684,MATCH('Scale score'!$B$5,$A$1:$Z$1,0))&amp;""),""))),"")),IF(AND(IFERROR(VALUE(IF(TRIM('Scale score'!$B$5&amp;"")="","",IFERROR(TRIM(INDEX($A684:$Z684,MATCH('Scale score'!$B$5,$A$1:$Z$1,0))&amp;""),""))),"")&gt;='Scale score'!$B$6,IFERROR(VALUE(IF(TRIM('Scale score'!$B$5&amp;"")="","",IFERROR(TRIM(INDEX($A684:$Z684,MATCH('Scale score'!$B$5,$A$1:$Z$1,0))&amp;""),""))),"")&lt;='Scale score'!$B$7),IFERROR(VALUE(IF(TRIM('Scale score'!$B$5&amp;"")="","",IFERROR(TRIM(INDEX($A684:$Z684,MATCH('Scale score'!$B$5,$A$1:$Z$1,0))&amp;""),""))),""),""),"")</f>
        <v/>
      </c>
      <c r="AH684" s="41">
        <f>IF(TRIM('Open answers'!$B$5&amp;"")="","",IFERROR(TRIM(INDEX($A684:$Z684,MATCH('Open answers'!$B$5,$A$1:$Z$1,0))&amp;""),""))</f>
        <v/>
      </c>
      <c r="AI684" s="41">
        <f>IF(LEN(AH684)&gt;0,MAX($AI$1:AI683)+1,"")</f>
        <v/>
      </c>
    </row>
    <row r="685">
      <c r="AA685" s="40" t="n"/>
      <c r="AB685" s="41">
        <f>IF(TRIM('Counts'!$B$8&amp;"")="","",IFERROR(TRIM(INDEX($A685:$Z685,MATCH('Counts'!$B$8,$A$1:$Z$1,0))&amp;""),""))</f>
        <v/>
      </c>
      <c r="AC685" s="41">
        <f>IF(TRIM('Counts'!$B$26&amp;"")="","",IFERROR(TRIM(INDEX($A685:$Z685,MATCH('Counts'!$B$26,$A$1:$Z$1,0))&amp;""),""))</f>
        <v/>
      </c>
      <c r="AD685" s="41">
        <f>IF(TRIM('Counts'!$B$44&amp;"")="","",IFERROR(TRIM(INDEX($A685:$Z685,MATCH('Counts'!$B$44,$A$1:$Z$1,0))&amp;""),""))</f>
        <v/>
      </c>
      <c r="AE685" s="41">
        <f>IF(TRIM('Cross-tab'!$B$5&amp;"")="","",IFERROR(TRIM(INDEX($A685:$Z685,MATCH('Cross-tab'!$B$5,$A$1:$Z$1,0))&amp;""),""))</f>
        <v/>
      </c>
      <c r="AF685" s="41">
        <f>IF(TRIM('Cross-tab'!$B$7&amp;"")="","",IFERROR(TRIM(INDEX($A685:$Z685,MATCH('Cross-tab'!$B$7,$A$1:$Z$1,0))&amp;""),""))</f>
        <v/>
      </c>
      <c r="AG685" s="41">
        <f>IF(ISNUMBER(IFERROR(VALUE(IF(TRIM('Scale score'!$B$5&amp;"")="","",IFERROR(TRIM(INDEX($A685:$Z685,MATCH('Scale score'!$B$5,$A$1:$Z$1,0))&amp;""),""))),"")),IF(AND(IFERROR(VALUE(IF(TRIM('Scale score'!$B$5&amp;"")="","",IFERROR(TRIM(INDEX($A685:$Z685,MATCH('Scale score'!$B$5,$A$1:$Z$1,0))&amp;""),""))),"")&gt;='Scale score'!$B$6,IFERROR(VALUE(IF(TRIM('Scale score'!$B$5&amp;"")="","",IFERROR(TRIM(INDEX($A685:$Z685,MATCH('Scale score'!$B$5,$A$1:$Z$1,0))&amp;""),""))),"")&lt;='Scale score'!$B$7),IFERROR(VALUE(IF(TRIM('Scale score'!$B$5&amp;"")="","",IFERROR(TRIM(INDEX($A685:$Z685,MATCH('Scale score'!$B$5,$A$1:$Z$1,0))&amp;""),""))),""),""),"")</f>
        <v/>
      </c>
      <c r="AH685" s="41">
        <f>IF(TRIM('Open answers'!$B$5&amp;"")="","",IFERROR(TRIM(INDEX($A685:$Z685,MATCH('Open answers'!$B$5,$A$1:$Z$1,0))&amp;""),""))</f>
        <v/>
      </c>
      <c r="AI685" s="41">
        <f>IF(LEN(AH685)&gt;0,MAX($AI$1:AI684)+1,"")</f>
        <v/>
      </c>
    </row>
    <row r="686">
      <c r="AA686" s="40" t="n"/>
      <c r="AB686" s="41">
        <f>IF(TRIM('Counts'!$B$8&amp;"")="","",IFERROR(TRIM(INDEX($A686:$Z686,MATCH('Counts'!$B$8,$A$1:$Z$1,0))&amp;""),""))</f>
        <v/>
      </c>
      <c r="AC686" s="41">
        <f>IF(TRIM('Counts'!$B$26&amp;"")="","",IFERROR(TRIM(INDEX($A686:$Z686,MATCH('Counts'!$B$26,$A$1:$Z$1,0))&amp;""),""))</f>
        <v/>
      </c>
      <c r="AD686" s="41">
        <f>IF(TRIM('Counts'!$B$44&amp;"")="","",IFERROR(TRIM(INDEX($A686:$Z686,MATCH('Counts'!$B$44,$A$1:$Z$1,0))&amp;""),""))</f>
        <v/>
      </c>
      <c r="AE686" s="41">
        <f>IF(TRIM('Cross-tab'!$B$5&amp;"")="","",IFERROR(TRIM(INDEX($A686:$Z686,MATCH('Cross-tab'!$B$5,$A$1:$Z$1,0))&amp;""),""))</f>
        <v/>
      </c>
      <c r="AF686" s="41">
        <f>IF(TRIM('Cross-tab'!$B$7&amp;"")="","",IFERROR(TRIM(INDEX($A686:$Z686,MATCH('Cross-tab'!$B$7,$A$1:$Z$1,0))&amp;""),""))</f>
        <v/>
      </c>
      <c r="AG686" s="41">
        <f>IF(ISNUMBER(IFERROR(VALUE(IF(TRIM('Scale score'!$B$5&amp;"")="","",IFERROR(TRIM(INDEX($A686:$Z686,MATCH('Scale score'!$B$5,$A$1:$Z$1,0))&amp;""),""))),"")),IF(AND(IFERROR(VALUE(IF(TRIM('Scale score'!$B$5&amp;"")="","",IFERROR(TRIM(INDEX($A686:$Z686,MATCH('Scale score'!$B$5,$A$1:$Z$1,0))&amp;""),""))),"")&gt;='Scale score'!$B$6,IFERROR(VALUE(IF(TRIM('Scale score'!$B$5&amp;"")="","",IFERROR(TRIM(INDEX($A686:$Z686,MATCH('Scale score'!$B$5,$A$1:$Z$1,0))&amp;""),""))),"")&lt;='Scale score'!$B$7),IFERROR(VALUE(IF(TRIM('Scale score'!$B$5&amp;"")="","",IFERROR(TRIM(INDEX($A686:$Z686,MATCH('Scale score'!$B$5,$A$1:$Z$1,0))&amp;""),""))),""),""),"")</f>
        <v/>
      </c>
      <c r="AH686" s="41">
        <f>IF(TRIM('Open answers'!$B$5&amp;"")="","",IFERROR(TRIM(INDEX($A686:$Z686,MATCH('Open answers'!$B$5,$A$1:$Z$1,0))&amp;""),""))</f>
        <v/>
      </c>
      <c r="AI686" s="41">
        <f>IF(LEN(AH686)&gt;0,MAX($AI$1:AI685)+1,"")</f>
        <v/>
      </c>
    </row>
    <row r="687">
      <c r="AA687" s="40" t="n"/>
      <c r="AB687" s="41">
        <f>IF(TRIM('Counts'!$B$8&amp;"")="","",IFERROR(TRIM(INDEX($A687:$Z687,MATCH('Counts'!$B$8,$A$1:$Z$1,0))&amp;""),""))</f>
        <v/>
      </c>
      <c r="AC687" s="41">
        <f>IF(TRIM('Counts'!$B$26&amp;"")="","",IFERROR(TRIM(INDEX($A687:$Z687,MATCH('Counts'!$B$26,$A$1:$Z$1,0))&amp;""),""))</f>
        <v/>
      </c>
      <c r="AD687" s="41">
        <f>IF(TRIM('Counts'!$B$44&amp;"")="","",IFERROR(TRIM(INDEX($A687:$Z687,MATCH('Counts'!$B$44,$A$1:$Z$1,0))&amp;""),""))</f>
        <v/>
      </c>
      <c r="AE687" s="41">
        <f>IF(TRIM('Cross-tab'!$B$5&amp;"")="","",IFERROR(TRIM(INDEX($A687:$Z687,MATCH('Cross-tab'!$B$5,$A$1:$Z$1,0))&amp;""),""))</f>
        <v/>
      </c>
      <c r="AF687" s="41">
        <f>IF(TRIM('Cross-tab'!$B$7&amp;"")="","",IFERROR(TRIM(INDEX($A687:$Z687,MATCH('Cross-tab'!$B$7,$A$1:$Z$1,0))&amp;""),""))</f>
        <v/>
      </c>
      <c r="AG687" s="41">
        <f>IF(ISNUMBER(IFERROR(VALUE(IF(TRIM('Scale score'!$B$5&amp;"")="","",IFERROR(TRIM(INDEX($A687:$Z687,MATCH('Scale score'!$B$5,$A$1:$Z$1,0))&amp;""),""))),"")),IF(AND(IFERROR(VALUE(IF(TRIM('Scale score'!$B$5&amp;"")="","",IFERROR(TRIM(INDEX($A687:$Z687,MATCH('Scale score'!$B$5,$A$1:$Z$1,0))&amp;""),""))),"")&gt;='Scale score'!$B$6,IFERROR(VALUE(IF(TRIM('Scale score'!$B$5&amp;"")="","",IFERROR(TRIM(INDEX($A687:$Z687,MATCH('Scale score'!$B$5,$A$1:$Z$1,0))&amp;""),""))),"")&lt;='Scale score'!$B$7),IFERROR(VALUE(IF(TRIM('Scale score'!$B$5&amp;"")="","",IFERROR(TRIM(INDEX($A687:$Z687,MATCH('Scale score'!$B$5,$A$1:$Z$1,0))&amp;""),""))),""),""),"")</f>
        <v/>
      </c>
      <c r="AH687" s="41">
        <f>IF(TRIM('Open answers'!$B$5&amp;"")="","",IFERROR(TRIM(INDEX($A687:$Z687,MATCH('Open answers'!$B$5,$A$1:$Z$1,0))&amp;""),""))</f>
        <v/>
      </c>
      <c r="AI687" s="41">
        <f>IF(LEN(AH687)&gt;0,MAX($AI$1:AI686)+1,"")</f>
        <v/>
      </c>
    </row>
    <row r="688">
      <c r="AA688" s="40" t="n"/>
      <c r="AB688" s="41">
        <f>IF(TRIM('Counts'!$B$8&amp;"")="","",IFERROR(TRIM(INDEX($A688:$Z688,MATCH('Counts'!$B$8,$A$1:$Z$1,0))&amp;""),""))</f>
        <v/>
      </c>
      <c r="AC688" s="41">
        <f>IF(TRIM('Counts'!$B$26&amp;"")="","",IFERROR(TRIM(INDEX($A688:$Z688,MATCH('Counts'!$B$26,$A$1:$Z$1,0))&amp;""),""))</f>
        <v/>
      </c>
      <c r="AD688" s="41">
        <f>IF(TRIM('Counts'!$B$44&amp;"")="","",IFERROR(TRIM(INDEX($A688:$Z688,MATCH('Counts'!$B$44,$A$1:$Z$1,0))&amp;""),""))</f>
        <v/>
      </c>
      <c r="AE688" s="41">
        <f>IF(TRIM('Cross-tab'!$B$5&amp;"")="","",IFERROR(TRIM(INDEX($A688:$Z688,MATCH('Cross-tab'!$B$5,$A$1:$Z$1,0))&amp;""),""))</f>
        <v/>
      </c>
      <c r="AF688" s="41">
        <f>IF(TRIM('Cross-tab'!$B$7&amp;"")="","",IFERROR(TRIM(INDEX($A688:$Z688,MATCH('Cross-tab'!$B$7,$A$1:$Z$1,0))&amp;""),""))</f>
        <v/>
      </c>
      <c r="AG688" s="41">
        <f>IF(ISNUMBER(IFERROR(VALUE(IF(TRIM('Scale score'!$B$5&amp;"")="","",IFERROR(TRIM(INDEX($A688:$Z688,MATCH('Scale score'!$B$5,$A$1:$Z$1,0))&amp;""),""))),"")),IF(AND(IFERROR(VALUE(IF(TRIM('Scale score'!$B$5&amp;"")="","",IFERROR(TRIM(INDEX($A688:$Z688,MATCH('Scale score'!$B$5,$A$1:$Z$1,0))&amp;""),""))),"")&gt;='Scale score'!$B$6,IFERROR(VALUE(IF(TRIM('Scale score'!$B$5&amp;"")="","",IFERROR(TRIM(INDEX($A688:$Z688,MATCH('Scale score'!$B$5,$A$1:$Z$1,0))&amp;""),""))),"")&lt;='Scale score'!$B$7),IFERROR(VALUE(IF(TRIM('Scale score'!$B$5&amp;"")="","",IFERROR(TRIM(INDEX($A688:$Z688,MATCH('Scale score'!$B$5,$A$1:$Z$1,0))&amp;""),""))),""),""),"")</f>
        <v/>
      </c>
      <c r="AH688" s="41">
        <f>IF(TRIM('Open answers'!$B$5&amp;"")="","",IFERROR(TRIM(INDEX($A688:$Z688,MATCH('Open answers'!$B$5,$A$1:$Z$1,0))&amp;""),""))</f>
        <v/>
      </c>
      <c r="AI688" s="41">
        <f>IF(LEN(AH688)&gt;0,MAX($AI$1:AI687)+1,"")</f>
        <v/>
      </c>
    </row>
    <row r="689">
      <c r="AA689" s="40" t="n"/>
      <c r="AB689" s="41">
        <f>IF(TRIM('Counts'!$B$8&amp;"")="","",IFERROR(TRIM(INDEX($A689:$Z689,MATCH('Counts'!$B$8,$A$1:$Z$1,0))&amp;""),""))</f>
        <v/>
      </c>
      <c r="AC689" s="41">
        <f>IF(TRIM('Counts'!$B$26&amp;"")="","",IFERROR(TRIM(INDEX($A689:$Z689,MATCH('Counts'!$B$26,$A$1:$Z$1,0))&amp;""),""))</f>
        <v/>
      </c>
      <c r="AD689" s="41">
        <f>IF(TRIM('Counts'!$B$44&amp;"")="","",IFERROR(TRIM(INDEX($A689:$Z689,MATCH('Counts'!$B$44,$A$1:$Z$1,0))&amp;""),""))</f>
        <v/>
      </c>
      <c r="AE689" s="41">
        <f>IF(TRIM('Cross-tab'!$B$5&amp;"")="","",IFERROR(TRIM(INDEX($A689:$Z689,MATCH('Cross-tab'!$B$5,$A$1:$Z$1,0))&amp;""),""))</f>
        <v/>
      </c>
      <c r="AF689" s="41">
        <f>IF(TRIM('Cross-tab'!$B$7&amp;"")="","",IFERROR(TRIM(INDEX($A689:$Z689,MATCH('Cross-tab'!$B$7,$A$1:$Z$1,0))&amp;""),""))</f>
        <v/>
      </c>
      <c r="AG689" s="41">
        <f>IF(ISNUMBER(IFERROR(VALUE(IF(TRIM('Scale score'!$B$5&amp;"")="","",IFERROR(TRIM(INDEX($A689:$Z689,MATCH('Scale score'!$B$5,$A$1:$Z$1,0))&amp;""),""))),"")),IF(AND(IFERROR(VALUE(IF(TRIM('Scale score'!$B$5&amp;"")="","",IFERROR(TRIM(INDEX($A689:$Z689,MATCH('Scale score'!$B$5,$A$1:$Z$1,0))&amp;""),""))),"")&gt;='Scale score'!$B$6,IFERROR(VALUE(IF(TRIM('Scale score'!$B$5&amp;"")="","",IFERROR(TRIM(INDEX($A689:$Z689,MATCH('Scale score'!$B$5,$A$1:$Z$1,0))&amp;""),""))),"")&lt;='Scale score'!$B$7),IFERROR(VALUE(IF(TRIM('Scale score'!$B$5&amp;"")="","",IFERROR(TRIM(INDEX($A689:$Z689,MATCH('Scale score'!$B$5,$A$1:$Z$1,0))&amp;""),""))),""),""),"")</f>
        <v/>
      </c>
      <c r="AH689" s="41">
        <f>IF(TRIM('Open answers'!$B$5&amp;"")="","",IFERROR(TRIM(INDEX($A689:$Z689,MATCH('Open answers'!$B$5,$A$1:$Z$1,0))&amp;""),""))</f>
        <v/>
      </c>
      <c r="AI689" s="41">
        <f>IF(LEN(AH689)&gt;0,MAX($AI$1:AI688)+1,"")</f>
        <v/>
      </c>
    </row>
    <row r="690">
      <c r="AA690" s="40" t="n"/>
      <c r="AB690" s="41">
        <f>IF(TRIM('Counts'!$B$8&amp;"")="","",IFERROR(TRIM(INDEX($A690:$Z690,MATCH('Counts'!$B$8,$A$1:$Z$1,0))&amp;""),""))</f>
        <v/>
      </c>
      <c r="AC690" s="41">
        <f>IF(TRIM('Counts'!$B$26&amp;"")="","",IFERROR(TRIM(INDEX($A690:$Z690,MATCH('Counts'!$B$26,$A$1:$Z$1,0))&amp;""),""))</f>
        <v/>
      </c>
      <c r="AD690" s="41">
        <f>IF(TRIM('Counts'!$B$44&amp;"")="","",IFERROR(TRIM(INDEX($A690:$Z690,MATCH('Counts'!$B$44,$A$1:$Z$1,0))&amp;""),""))</f>
        <v/>
      </c>
      <c r="AE690" s="41">
        <f>IF(TRIM('Cross-tab'!$B$5&amp;"")="","",IFERROR(TRIM(INDEX($A690:$Z690,MATCH('Cross-tab'!$B$5,$A$1:$Z$1,0))&amp;""),""))</f>
        <v/>
      </c>
      <c r="AF690" s="41">
        <f>IF(TRIM('Cross-tab'!$B$7&amp;"")="","",IFERROR(TRIM(INDEX($A690:$Z690,MATCH('Cross-tab'!$B$7,$A$1:$Z$1,0))&amp;""),""))</f>
        <v/>
      </c>
      <c r="AG690" s="41">
        <f>IF(ISNUMBER(IFERROR(VALUE(IF(TRIM('Scale score'!$B$5&amp;"")="","",IFERROR(TRIM(INDEX($A690:$Z690,MATCH('Scale score'!$B$5,$A$1:$Z$1,0))&amp;""),""))),"")),IF(AND(IFERROR(VALUE(IF(TRIM('Scale score'!$B$5&amp;"")="","",IFERROR(TRIM(INDEX($A690:$Z690,MATCH('Scale score'!$B$5,$A$1:$Z$1,0))&amp;""),""))),"")&gt;='Scale score'!$B$6,IFERROR(VALUE(IF(TRIM('Scale score'!$B$5&amp;"")="","",IFERROR(TRIM(INDEX($A690:$Z690,MATCH('Scale score'!$B$5,$A$1:$Z$1,0))&amp;""),""))),"")&lt;='Scale score'!$B$7),IFERROR(VALUE(IF(TRIM('Scale score'!$B$5&amp;"")="","",IFERROR(TRIM(INDEX($A690:$Z690,MATCH('Scale score'!$B$5,$A$1:$Z$1,0))&amp;""),""))),""),""),"")</f>
        <v/>
      </c>
      <c r="AH690" s="41">
        <f>IF(TRIM('Open answers'!$B$5&amp;"")="","",IFERROR(TRIM(INDEX($A690:$Z690,MATCH('Open answers'!$B$5,$A$1:$Z$1,0))&amp;""),""))</f>
        <v/>
      </c>
      <c r="AI690" s="41">
        <f>IF(LEN(AH690)&gt;0,MAX($AI$1:AI689)+1,"")</f>
        <v/>
      </c>
    </row>
    <row r="691">
      <c r="AA691" s="40" t="n"/>
      <c r="AB691" s="41">
        <f>IF(TRIM('Counts'!$B$8&amp;"")="","",IFERROR(TRIM(INDEX($A691:$Z691,MATCH('Counts'!$B$8,$A$1:$Z$1,0))&amp;""),""))</f>
        <v/>
      </c>
      <c r="AC691" s="41">
        <f>IF(TRIM('Counts'!$B$26&amp;"")="","",IFERROR(TRIM(INDEX($A691:$Z691,MATCH('Counts'!$B$26,$A$1:$Z$1,0))&amp;""),""))</f>
        <v/>
      </c>
      <c r="AD691" s="41">
        <f>IF(TRIM('Counts'!$B$44&amp;"")="","",IFERROR(TRIM(INDEX($A691:$Z691,MATCH('Counts'!$B$44,$A$1:$Z$1,0))&amp;""),""))</f>
        <v/>
      </c>
      <c r="AE691" s="41">
        <f>IF(TRIM('Cross-tab'!$B$5&amp;"")="","",IFERROR(TRIM(INDEX($A691:$Z691,MATCH('Cross-tab'!$B$5,$A$1:$Z$1,0))&amp;""),""))</f>
        <v/>
      </c>
      <c r="AF691" s="41">
        <f>IF(TRIM('Cross-tab'!$B$7&amp;"")="","",IFERROR(TRIM(INDEX($A691:$Z691,MATCH('Cross-tab'!$B$7,$A$1:$Z$1,0))&amp;""),""))</f>
        <v/>
      </c>
      <c r="AG691" s="41">
        <f>IF(ISNUMBER(IFERROR(VALUE(IF(TRIM('Scale score'!$B$5&amp;"")="","",IFERROR(TRIM(INDEX($A691:$Z691,MATCH('Scale score'!$B$5,$A$1:$Z$1,0))&amp;""),""))),"")),IF(AND(IFERROR(VALUE(IF(TRIM('Scale score'!$B$5&amp;"")="","",IFERROR(TRIM(INDEX($A691:$Z691,MATCH('Scale score'!$B$5,$A$1:$Z$1,0))&amp;""),""))),"")&gt;='Scale score'!$B$6,IFERROR(VALUE(IF(TRIM('Scale score'!$B$5&amp;"")="","",IFERROR(TRIM(INDEX($A691:$Z691,MATCH('Scale score'!$B$5,$A$1:$Z$1,0))&amp;""),""))),"")&lt;='Scale score'!$B$7),IFERROR(VALUE(IF(TRIM('Scale score'!$B$5&amp;"")="","",IFERROR(TRIM(INDEX($A691:$Z691,MATCH('Scale score'!$B$5,$A$1:$Z$1,0))&amp;""),""))),""),""),"")</f>
        <v/>
      </c>
      <c r="AH691" s="41">
        <f>IF(TRIM('Open answers'!$B$5&amp;"")="","",IFERROR(TRIM(INDEX($A691:$Z691,MATCH('Open answers'!$B$5,$A$1:$Z$1,0))&amp;""),""))</f>
        <v/>
      </c>
      <c r="AI691" s="41">
        <f>IF(LEN(AH691)&gt;0,MAX($AI$1:AI690)+1,"")</f>
        <v/>
      </c>
    </row>
    <row r="692">
      <c r="AA692" s="40" t="n"/>
      <c r="AB692" s="41">
        <f>IF(TRIM('Counts'!$B$8&amp;"")="","",IFERROR(TRIM(INDEX($A692:$Z692,MATCH('Counts'!$B$8,$A$1:$Z$1,0))&amp;""),""))</f>
        <v/>
      </c>
      <c r="AC692" s="41">
        <f>IF(TRIM('Counts'!$B$26&amp;"")="","",IFERROR(TRIM(INDEX($A692:$Z692,MATCH('Counts'!$B$26,$A$1:$Z$1,0))&amp;""),""))</f>
        <v/>
      </c>
      <c r="AD692" s="41">
        <f>IF(TRIM('Counts'!$B$44&amp;"")="","",IFERROR(TRIM(INDEX($A692:$Z692,MATCH('Counts'!$B$44,$A$1:$Z$1,0))&amp;""),""))</f>
        <v/>
      </c>
      <c r="AE692" s="41">
        <f>IF(TRIM('Cross-tab'!$B$5&amp;"")="","",IFERROR(TRIM(INDEX($A692:$Z692,MATCH('Cross-tab'!$B$5,$A$1:$Z$1,0))&amp;""),""))</f>
        <v/>
      </c>
      <c r="AF692" s="41">
        <f>IF(TRIM('Cross-tab'!$B$7&amp;"")="","",IFERROR(TRIM(INDEX($A692:$Z692,MATCH('Cross-tab'!$B$7,$A$1:$Z$1,0))&amp;""),""))</f>
        <v/>
      </c>
      <c r="AG692" s="41">
        <f>IF(ISNUMBER(IFERROR(VALUE(IF(TRIM('Scale score'!$B$5&amp;"")="","",IFERROR(TRIM(INDEX($A692:$Z692,MATCH('Scale score'!$B$5,$A$1:$Z$1,0))&amp;""),""))),"")),IF(AND(IFERROR(VALUE(IF(TRIM('Scale score'!$B$5&amp;"")="","",IFERROR(TRIM(INDEX($A692:$Z692,MATCH('Scale score'!$B$5,$A$1:$Z$1,0))&amp;""),""))),"")&gt;='Scale score'!$B$6,IFERROR(VALUE(IF(TRIM('Scale score'!$B$5&amp;"")="","",IFERROR(TRIM(INDEX($A692:$Z692,MATCH('Scale score'!$B$5,$A$1:$Z$1,0))&amp;""),""))),"")&lt;='Scale score'!$B$7),IFERROR(VALUE(IF(TRIM('Scale score'!$B$5&amp;"")="","",IFERROR(TRIM(INDEX($A692:$Z692,MATCH('Scale score'!$B$5,$A$1:$Z$1,0))&amp;""),""))),""),""),"")</f>
        <v/>
      </c>
      <c r="AH692" s="41">
        <f>IF(TRIM('Open answers'!$B$5&amp;"")="","",IFERROR(TRIM(INDEX($A692:$Z692,MATCH('Open answers'!$B$5,$A$1:$Z$1,0))&amp;""),""))</f>
        <v/>
      </c>
      <c r="AI692" s="41">
        <f>IF(LEN(AH692)&gt;0,MAX($AI$1:AI691)+1,"")</f>
        <v/>
      </c>
    </row>
    <row r="693">
      <c r="AA693" s="40" t="n"/>
      <c r="AB693" s="41">
        <f>IF(TRIM('Counts'!$B$8&amp;"")="","",IFERROR(TRIM(INDEX($A693:$Z693,MATCH('Counts'!$B$8,$A$1:$Z$1,0))&amp;""),""))</f>
        <v/>
      </c>
      <c r="AC693" s="41">
        <f>IF(TRIM('Counts'!$B$26&amp;"")="","",IFERROR(TRIM(INDEX($A693:$Z693,MATCH('Counts'!$B$26,$A$1:$Z$1,0))&amp;""),""))</f>
        <v/>
      </c>
      <c r="AD693" s="41">
        <f>IF(TRIM('Counts'!$B$44&amp;"")="","",IFERROR(TRIM(INDEX($A693:$Z693,MATCH('Counts'!$B$44,$A$1:$Z$1,0))&amp;""),""))</f>
        <v/>
      </c>
      <c r="AE693" s="41">
        <f>IF(TRIM('Cross-tab'!$B$5&amp;"")="","",IFERROR(TRIM(INDEX($A693:$Z693,MATCH('Cross-tab'!$B$5,$A$1:$Z$1,0))&amp;""),""))</f>
        <v/>
      </c>
      <c r="AF693" s="41">
        <f>IF(TRIM('Cross-tab'!$B$7&amp;"")="","",IFERROR(TRIM(INDEX($A693:$Z693,MATCH('Cross-tab'!$B$7,$A$1:$Z$1,0))&amp;""),""))</f>
        <v/>
      </c>
      <c r="AG693" s="41">
        <f>IF(ISNUMBER(IFERROR(VALUE(IF(TRIM('Scale score'!$B$5&amp;"")="","",IFERROR(TRIM(INDEX($A693:$Z693,MATCH('Scale score'!$B$5,$A$1:$Z$1,0))&amp;""),""))),"")),IF(AND(IFERROR(VALUE(IF(TRIM('Scale score'!$B$5&amp;"")="","",IFERROR(TRIM(INDEX($A693:$Z693,MATCH('Scale score'!$B$5,$A$1:$Z$1,0))&amp;""),""))),"")&gt;='Scale score'!$B$6,IFERROR(VALUE(IF(TRIM('Scale score'!$B$5&amp;"")="","",IFERROR(TRIM(INDEX($A693:$Z693,MATCH('Scale score'!$B$5,$A$1:$Z$1,0))&amp;""),""))),"")&lt;='Scale score'!$B$7),IFERROR(VALUE(IF(TRIM('Scale score'!$B$5&amp;"")="","",IFERROR(TRIM(INDEX($A693:$Z693,MATCH('Scale score'!$B$5,$A$1:$Z$1,0))&amp;""),""))),""),""),"")</f>
        <v/>
      </c>
      <c r="AH693" s="41">
        <f>IF(TRIM('Open answers'!$B$5&amp;"")="","",IFERROR(TRIM(INDEX($A693:$Z693,MATCH('Open answers'!$B$5,$A$1:$Z$1,0))&amp;""),""))</f>
        <v/>
      </c>
      <c r="AI693" s="41">
        <f>IF(LEN(AH693)&gt;0,MAX($AI$1:AI692)+1,"")</f>
        <v/>
      </c>
    </row>
    <row r="694">
      <c r="AA694" s="40" t="n"/>
      <c r="AB694" s="41">
        <f>IF(TRIM('Counts'!$B$8&amp;"")="","",IFERROR(TRIM(INDEX($A694:$Z694,MATCH('Counts'!$B$8,$A$1:$Z$1,0))&amp;""),""))</f>
        <v/>
      </c>
      <c r="AC694" s="41">
        <f>IF(TRIM('Counts'!$B$26&amp;"")="","",IFERROR(TRIM(INDEX($A694:$Z694,MATCH('Counts'!$B$26,$A$1:$Z$1,0))&amp;""),""))</f>
        <v/>
      </c>
      <c r="AD694" s="41">
        <f>IF(TRIM('Counts'!$B$44&amp;"")="","",IFERROR(TRIM(INDEX($A694:$Z694,MATCH('Counts'!$B$44,$A$1:$Z$1,0))&amp;""),""))</f>
        <v/>
      </c>
      <c r="AE694" s="41">
        <f>IF(TRIM('Cross-tab'!$B$5&amp;"")="","",IFERROR(TRIM(INDEX($A694:$Z694,MATCH('Cross-tab'!$B$5,$A$1:$Z$1,0))&amp;""),""))</f>
        <v/>
      </c>
      <c r="AF694" s="41">
        <f>IF(TRIM('Cross-tab'!$B$7&amp;"")="","",IFERROR(TRIM(INDEX($A694:$Z694,MATCH('Cross-tab'!$B$7,$A$1:$Z$1,0))&amp;""),""))</f>
        <v/>
      </c>
      <c r="AG694" s="41">
        <f>IF(ISNUMBER(IFERROR(VALUE(IF(TRIM('Scale score'!$B$5&amp;"")="","",IFERROR(TRIM(INDEX($A694:$Z694,MATCH('Scale score'!$B$5,$A$1:$Z$1,0))&amp;""),""))),"")),IF(AND(IFERROR(VALUE(IF(TRIM('Scale score'!$B$5&amp;"")="","",IFERROR(TRIM(INDEX($A694:$Z694,MATCH('Scale score'!$B$5,$A$1:$Z$1,0))&amp;""),""))),"")&gt;='Scale score'!$B$6,IFERROR(VALUE(IF(TRIM('Scale score'!$B$5&amp;"")="","",IFERROR(TRIM(INDEX($A694:$Z694,MATCH('Scale score'!$B$5,$A$1:$Z$1,0))&amp;""),""))),"")&lt;='Scale score'!$B$7),IFERROR(VALUE(IF(TRIM('Scale score'!$B$5&amp;"")="","",IFERROR(TRIM(INDEX($A694:$Z694,MATCH('Scale score'!$B$5,$A$1:$Z$1,0))&amp;""),""))),""),""),"")</f>
        <v/>
      </c>
      <c r="AH694" s="41">
        <f>IF(TRIM('Open answers'!$B$5&amp;"")="","",IFERROR(TRIM(INDEX($A694:$Z694,MATCH('Open answers'!$B$5,$A$1:$Z$1,0))&amp;""),""))</f>
        <v/>
      </c>
      <c r="AI694" s="41">
        <f>IF(LEN(AH694)&gt;0,MAX($AI$1:AI693)+1,"")</f>
        <v/>
      </c>
    </row>
    <row r="695">
      <c r="AA695" s="40" t="n"/>
      <c r="AB695" s="41">
        <f>IF(TRIM('Counts'!$B$8&amp;"")="","",IFERROR(TRIM(INDEX($A695:$Z695,MATCH('Counts'!$B$8,$A$1:$Z$1,0))&amp;""),""))</f>
        <v/>
      </c>
      <c r="AC695" s="41">
        <f>IF(TRIM('Counts'!$B$26&amp;"")="","",IFERROR(TRIM(INDEX($A695:$Z695,MATCH('Counts'!$B$26,$A$1:$Z$1,0))&amp;""),""))</f>
        <v/>
      </c>
      <c r="AD695" s="41">
        <f>IF(TRIM('Counts'!$B$44&amp;"")="","",IFERROR(TRIM(INDEX($A695:$Z695,MATCH('Counts'!$B$44,$A$1:$Z$1,0))&amp;""),""))</f>
        <v/>
      </c>
      <c r="AE695" s="41">
        <f>IF(TRIM('Cross-tab'!$B$5&amp;"")="","",IFERROR(TRIM(INDEX($A695:$Z695,MATCH('Cross-tab'!$B$5,$A$1:$Z$1,0))&amp;""),""))</f>
        <v/>
      </c>
      <c r="AF695" s="41">
        <f>IF(TRIM('Cross-tab'!$B$7&amp;"")="","",IFERROR(TRIM(INDEX($A695:$Z695,MATCH('Cross-tab'!$B$7,$A$1:$Z$1,0))&amp;""),""))</f>
        <v/>
      </c>
      <c r="AG695" s="41">
        <f>IF(ISNUMBER(IFERROR(VALUE(IF(TRIM('Scale score'!$B$5&amp;"")="","",IFERROR(TRIM(INDEX($A695:$Z695,MATCH('Scale score'!$B$5,$A$1:$Z$1,0))&amp;""),""))),"")),IF(AND(IFERROR(VALUE(IF(TRIM('Scale score'!$B$5&amp;"")="","",IFERROR(TRIM(INDEX($A695:$Z695,MATCH('Scale score'!$B$5,$A$1:$Z$1,0))&amp;""),""))),"")&gt;='Scale score'!$B$6,IFERROR(VALUE(IF(TRIM('Scale score'!$B$5&amp;"")="","",IFERROR(TRIM(INDEX($A695:$Z695,MATCH('Scale score'!$B$5,$A$1:$Z$1,0))&amp;""),""))),"")&lt;='Scale score'!$B$7),IFERROR(VALUE(IF(TRIM('Scale score'!$B$5&amp;"")="","",IFERROR(TRIM(INDEX($A695:$Z695,MATCH('Scale score'!$B$5,$A$1:$Z$1,0))&amp;""),""))),""),""),"")</f>
        <v/>
      </c>
      <c r="AH695" s="41">
        <f>IF(TRIM('Open answers'!$B$5&amp;"")="","",IFERROR(TRIM(INDEX($A695:$Z695,MATCH('Open answers'!$B$5,$A$1:$Z$1,0))&amp;""),""))</f>
        <v/>
      </c>
      <c r="AI695" s="41">
        <f>IF(LEN(AH695)&gt;0,MAX($AI$1:AI694)+1,"")</f>
        <v/>
      </c>
    </row>
    <row r="696">
      <c r="AA696" s="40" t="n"/>
      <c r="AB696" s="41">
        <f>IF(TRIM('Counts'!$B$8&amp;"")="","",IFERROR(TRIM(INDEX($A696:$Z696,MATCH('Counts'!$B$8,$A$1:$Z$1,0))&amp;""),""))</f>
        <v/>
      </c>
      <c r="AC696" s="41">
        <f>IF(TRIM('Counts'!$B$26&amp;"")="","",IFERROR(TRIM(INDEX($A696:$Z696,MATCH('Counts'!$B$26,$A$1:$Z$1,0))&amp;""),""))</f>
        <v/>
      </c>
      <c r="AD696" s="41">
        <f>IF(TRIM('Counts'!$B$44&amp;"")="","",IFERROR(TRIM(INDEX($A696:$Z696,MATCH('Counts'!$B$44,$A$1:$Z$1,0))&amp;""),""))</f>
        <v/>
      </c>
      <c r="AE696" s="41">
        <f>IF(TRIM('Cross-tab'!$B$5&amp;"")="","",IFERROR(TRIM(INDEX($A696:$Z696,MATCH('Cross-tab'!$B$5,$A$1:$Z$1,0))&amp;""),""))</f>
        <v/>
      </c>
      <c r="AF696" s="41">
        <f>IF(TRIM('Cross-tab'!$B$7&amp;"")="","",IFERROR(TRIM(INDEX($A696:$Z696,MATCH('Cross-tab'!$B$7,$A$1:$Z$1,0))&amp;""),""))</f>
        <v/>
      </c>
      <c r="AG696" s="41">
        <f>IF(ISNUMBER(IFERROR(VALUE(IF(TRIM('Scale score'!$B$5&amp;"")="","",IFERROR(TRIM(INDEX($A696:$Z696,MATCH('Scale score'!$B$5,$A$1:$Z$1,0))&amp;""),""))),"")),IF(AND(IFERROR(VALUE(IF(TRIM('Scale score'!$B$5&amp;"")="","",IFERROR(TRIM(INDEX($A696:$Z696,MATCH('Scale score'!$B$5,$A$1:$Z$1,0))&amp;""),""))),"")&gt;='Scale score'!$B$6,IFERROR(VALUE(IF(TRIM('Scale score'!$B$5&amp;"")="","",IFERROR(TRIM(INDEX($A696:$Z696,MATCH('Scale score'!$B$5,$A$1:$Z$1,0))&amp;""),""))),"")&lt;='Scale score'!$B$7),IFERROR(VALUE(IF(TRIM('Scale score'!$B$5&amp;"")="","",IFERROR(TRIM(INDEX($A696:$Z696,MATCH('Scale score'!$B$5,$A$1:$Z$1,0))&amp;""),""))),""),""),"")</f>
        <v/>
      </c>
      <c r="AH696" s="41">
        <f>IF(TRIM('Open answers'!$B$5&amp;"")="","",IFERROR(TRIM(INDEX($A696:$Z696,MATCH('Open answers'!$B$5,$A$1:$Z$1,0))&amp;""),""))</f>
        <v/>
      </c>
      <c r="AI696" s="41">
        <f>IF(LEN(AH696)&gt;0,MAX($AI$1:AI695)+1,"")</f>
        <v/>
      </c>
    </row>
    <row r="697">
      <c r="AA697" s="40" t="n"/>
      <c r="AB697" s="41">
        <f>IF(TRIM('Counts'!$B$8&amp;"")="","",IFERROR(TRIM(INDEX($A697:$Z697,MATCH('Counts'!$B$8,$A$1:$Z$1,0))&amp;""),""))</f>
        <v/>
      </c>
      <c r="AC697" s="41">
        <f>IF(TRIM('Counts'!$B$26&amp;"")="","",IFERROR(TRIM(INDEX($A697:$Z697,MATCH('Counts'!$B$26,$A$1:$Z$1,0))&amp;""),""))</f>
        <v/>
      </c>
      <c r="AD697" s="41">
        <f>IF(TRIM('Counts'!$B$44&amp;"")="","",IFERROR(TRIM(INDEX($A697:$Z697,MATCH('Counts'!$B$44,$A$1:$Z$1,0))&amp;""),""))</f>
        <v/>
      </c>
      <c r="AE697" s="41">
        <f>IF(TRIM('Cross-tab'!$B$5&amp;"")="","",IFERROR(TRIM(INDEX($A697:$Z697,MATCH('Cross-tab'!$B$5,$A$1:$Z$1,0))&amp;""),""))</f>
        <v/>
      </c>
      <c r="AF697" s="41">
        <f>IF(TRIM('Cross-tab'!$B$7&amp;"")="","",IFERROR(TRIM(INDEX($A697:$Z697,MATCH('Cross-tab'!$B$7,$A$1:$Z$1,0))&amp;""),""))</f>
        <v/>
      </c>
      <c r="AG697" s="41">
        <f>IF(ISNUMBER(IFERROR(VALUE(IF(TRIM('Scale score'!$B$5&amp;"")="","",IFERROR(TRIM(INDEX($A697:$Z697,MATCH('Scale score'!$B$5,$A$1:$Z$1,0))&amp;""),""))),"")),IF(AND(IFERROR(VALUE(IF(TRIM('Scale score'!$B$5&amp;"")="","",IFERROR(TRIM(INDEX($A697:$Z697,MATCH('Scale score'!$B$5,$A$1:$Z$1,0))&amp;""),""))),"")&gt;='Scale score'!$B$6,IFERROR(VALUE(IF(TRIM('Scale score'!$B$5&amp;"")="","",IFERROR(TRIM(INDEX($A697:$Z697,MATCH('Scale score'!$B$5,$A$1:$Z$1,0))&amp;""),""))),"")&lt;='Scale score'!$B$7),IFERROR(VALUE(IF(TRIM('Scale score'!$B$5&amp;"")="","",IFERROR(TRIM(INDEX($A697:$Z697,MATCH('Scale score'!$B$5,$A$1:$Z$1,0))&amp;""),""))),""),""),"")</f>
        <v/>
      </c>
      <c r="AH697" s="41">
        <f>IF(TRIM('Open answers'!$B$5&amp;"")="","",IFERROR(TRIM(INDEX($A697:$Z697,MATCH('Open answers'!$B$5,$A$1:$Z$1,0))&amp;""),""))</f>
        <v/>
      </c>
      <c r="AI697" s="41">
        <f>IF(LEN(AH697)&gt;0,MAX($AI$1:AI696)+1,"")</f>
        <v/>
      </c>
    </row>
    <row r="698">
      <c r="AA698" s="40" t="n"/>
      <c r="AB698" s="41">
        <f>IF(TRIM('Counts'!$B$8&amp;"")="","",IFERROR(TRIM(INDEX($A698:$Z698,MATCH('Counts'!$B$8,$A$1:$Z$1,0))&amp;""),""))</f>
        <v/>
      </c>
      <c r="AC698" s="41">
        <f>IF(TRIM('Counts'!$B$26&amp;"")="","",IFERROR(TRIM(INDEX($A698:$Z698,MATCH('Counts'!$B$26,$A$1:$Z$1,0))&amp;""),""))</f>
        <v/>
      </c>
      <c r="AD698" s="41">
        <f>IF(TRIM('Counts'!$B$44&amp;"")="","",IFERROR(TRIM(INDEX($A698:$Z698,MATCH('Counts'!$B$44,$A$1:$Z$1,0))&amp;""),""))</f>
        <v/>
      </c>
      <c r="AE698" s="41">
        <f>IF(TRIM('Cross-tab'!$B$5&amp;"")="","",IFERROR(TRIM(INDEX($A698:$Z698,MATCH('Cross-tab'!$B$5,$A$1:$Z$1,0))&amp;""),""))</f>
        <v/>
      </c>
      <c r="AF698" s="41">
        <f>IF(TRIM('Cross-tab'!$B$7&amp;"")="","",IFERROR(TRIM(INDEX($A698:$Z698,MATCH('Cross-tab'!$B$7,$A$1:$Z$1,0))&amp;""),""))</f>
        <v/>
      </c>
      <c r="AG698" s="41">
        <f>IF(ISNUMBER(IFERROR(VALUE(IF(TRIM('Scale score'!$B$5&amp;"")="","",IFERROR(TRIM(INDEX($A698:$Z698,MATCH('Scale score'!$B$5,$A$1:$Z$1,0))&amp;""),""))),"")),IF(AND(IFERROR(VALUE(IF(TRIM('Scale score'!$B$5&amp;"")="","",IFERROR(TRIM(INDEX($A698:$Z698,MATCH('Scale score'!$B$5,$A$1:$Z$1,0))&amp;""),""))),"")&gt;='Scale score'!$B$6,IFERROR(VALUE(IF(TRIM('Scale score'!$B$5&amp;"")="","",IFERROR(TRIM(INDEX($A698:$Z698,MATCH('Scale score'!$B$5,$A$1:$Z$1,0))&amp;""),""))),"")&lt;='Scale score'!$B$7),IFERROR(VALUE(IF(TRIM('Scale score'!$B$5&amp;"")="","",IFERROR(TRIM(INDEX($A698:$Z698,MATCH('Scale score'!$B$5,$A$1:$Z$1,0))&amp;""),""))),""),""),"")</f>
        <v/>
      </c>
      <c r="AH698" s="41">
        <f>IF(TRIM('Open answers'!$B$5&amp;"")="","",IFERROR(TRIM(INDEX($A698:$Z698,MATCH('Open answers'!$B$5,$A$1:$Z$1,0))&amp;""),""))</f>
        <v/>
      </c>
      <c r="AI698" s="41">
        <f>IF(LEN(AH698)&gt;0,MAX($AI$1:AI697)+1,"")</f>
        <v/>
      </c>
    </row>
    <row r="699">
      <c r="AA699" s="40" t="n"/>
      <c r="AB699" s="41">
        <f>IF(TRIM('Counts'!$B$8&amp;"")="","",IFERROR(TRIM(INDEX($A699:$Z699,MATCH('Counts'!$B$8,$A$1:$Z$1,0))&amp;""),""))</f>
        <v/>
      </c>
      <c r="AC699" s="41">
        <f>IF(TRIM('Counts'!$B$26&amp;"")="","",IFERROR(TRIM(INDEX($A699:$Z699,MATCH('Counts'!$B$26,$A$1:$Z$1,0))&amp;""),""))</f>
        <v/>
      </c>
      <c r="AD699" s="41">
        <f>IF(TRIM('Counts'!$B$44&amp;"")="","",IFERROR(TRIM(INDEX($A699:$Z699,MATCH('Counts'!$B$44,$A$1:$Z$1,0))&amp;""),""))</f>
        <v/>
      </c>
      <c r="AE699" s="41">
        <f>IF(TRIM('Cross-tab'!$B$5&amp;"")="","",IFERROR(TRIM(INDEX($A699:$Z699,MATCH('Cross-tab'!$B$5,$A$1:$Z$1,0))&amp;""),""))</f>
        <v/>
      </c>
      <c r="AF699" s="41">
        <f>IF(TRIM('Cross-tab'!$B$7&amp;"")="","",IFERROR(TRIM(INDEX($A699:$Z699,MATCH('Cross-tab'!$B$7,$A$1:$Z$1,0))&amp;""),""))</f>
        <v/>
      </c>
      <c r="AG699" s="41">
        <f>IF(ISNUMBER(IFERROR(VALUE(IF(TRIM('Scale score'!$B$5&amp;"")="","",IFERROR(TRIM(INDEX($A699:$Z699,MATCH('Scale score'!$B$5,$A$1:$Z$1,0))&amp;""),""))),"")),IF(AND(IFERROR(VALUE(IF(TRIM('Scale score'!$B$5&amp;"")="","",IFERROR(TRIM(INDEX($A699:$Z699,MATCH('Scale score'!$B$5,$A$1:$Z$1,0))&amp;""),""))),"")&gt;='Scale score'!$B$6,IFERROR(VALUE(IF(TRIM('Scale score'!$B$5&amp;"")="","",IFERROR(TRIM(INDEX($A699:$Z699,MATCH('Scale score'!$B$5,$A$1:$Z$1,0))&amp;""),""))),"")&lt;='Scale score'!$B$7),IFERROR(VALUE(IF(TRIM('Scale score'!$B$5&amp;"")="","",IFERROR(TRIM(INDEX($A699:$Z699,MATCH('Scale score'!$B$5,$A$1:$Z$1,0))&amp;""),""))),""),""),"")</f>
        <v/>
      </c>
      <c r="AH699" s="41">
        <f>IF(TRIM('Open answers'!$B$5&amp;"")="","",IFERROR(TRIM(INDEX($A699:$Z699,MATCH('Open answers'!$B$5,$A$1:$Z$1,0))&amp;""),""))</f>
        <v/>
      </c>
      <c r="AI699" s="41">
        <f>IF(LEN(AH699)&gt;0,MAX($AI$1:AI698)+1,"")</f>
        <v/>
      </c>
    </row>
    <row r="700">
      <c r="AA700" s="40" t="n"/>
      <c r="AB700" s="41">
        <f>IF(TRIM('Counts'!$B$8&amp;"")="","",IFERROR(TRIM(INDEX($A700:$Z700,MATCH('Counts'!$B$8,$A$1:$Z$1,0))&amp;""),""))</f>
        <v/>
      </c>
      <c r="AC700" s="41">
        <f>IF(TRIM('Counts'!$B$26&amp;"")="","",IFERROR(TRIM(INDEX($A700:$Z700,MATCH('Counts'!$B$26,$A$1:$Z$1,0))&amp;""),""))</f>
        <v/>
      </c>
      <c r="AD700" s="41">
        <f>IF(TRIM('Counts'!$B$44&amp;"")="","",IFERROR(TRIM(INDEX($A700:$Z700,MATCH('Counts'!$B$44,$A$1:$Z$1,0))&amp;""),""))</f>
        <v/>
      </c>
      <c r="AE700" s="41">
        <f>IF(TRIM('Cross-tab'!$B$5&amp;"")="","",IFERROR(TRIM(INDEX($A700:$Z700,MATCH('Cross-tab'!$B$5,$A$1:$Z$1,0))&amp;""),""))</f>
        <v/>
      </c>
      <c r="AF700" s="41">
        <f>IF(TRIM('Cross-tab'!$B$7&amp;"")="","",IFERROR(TRIM(INDEX($A700:$Z700,MATCH('Cross-tab'!$B$7,$A$1:$Z$1,0))&amp;""),""))</f>
        <v/>
      </c>
      <c r="AG700" s="41">
        <f>IF(ISNUMBER(IFERROR(VALUE(IF(TRIM('Scale score'!$B$5&amp;"")="","",IFERROR(TRIM(INDEX($A700:$Z700,MATCH('Scale score'!$B$5,$A$1:$Z$1,0))&amp;""),""))),"")),IF(AND(IFERROR(VALUE(IF(TRIM('Scale score'!$B$5&amp;"")="","",IFERROR(TRIM(INDEX($A700:$Z700,MATCH('Scale score'!$B$5,$A$1:$Z$1,0))&amp;""),""))),"")&gt;='Scale score'!$B$6,IFERROR(VALUE(IF(TRIM('Scale score'!$B$5&amp;"")="","",IFERROR(TRIM(INDEX($A700:$Z700,MATCH('Scale score'!$B$5,$A$1:$Z$1,0))&amp;""),""))),"")&lt;='Scale score'!$B$7),IFERROR(VALUE(IF(TRIM('Scale score'!$B$5&amp;"")="","",IFERROR(TRIM(INDEX($A700:$Z700,MATCH('Scale score'!$B$5,$A$1:$Z$1,0))&amp;""),""))),""),""),"")</f>
        <v/>
      </c>
      <c r="AH700" s="41">
        <f>IF(TRIM('Open answers'!$B$5&amp;"")="","",IFERROR(TRIM(INDEX($A700:$Z700,MATCH('Open answers'!$B$5,$A$1:$Z$1,0))&amp;""),""))</f>
        <v/>
      </c>
      <c r="AI700" s="41">
        <f>IF(LEN(AH700)&gt;0,MAX($AI$1:AI699)+1,"")</f>
        <v/>
      </c>
    </row>
    <row r="701">
      <c r="AA701" s="40" t="n"/>
      <c r="AB701" s="41">
        <f>IF(TRIM('Counts'!$B$8&amp;"")="","",IFERROR(TRIM(INDEX($A701:$Z701,MATCH('Counts'!$B$8,$A$1:$Z$1,0))&amp;""),""))</f>
        <v/>
      </c>
      <c r="AC701" s="41">
        <f>IF(TRIM('Counts'!$B$26&amp;"")="","",IFERROR(TRIM(INDEX($A701:$Z701,MATCH('Counts'!$B$26,$A$1:$Z$1,0))&amp;""),""))</f>
        <v/>
      </c>
      <c r="AD701" s="41">
        <f>IF(TRIM('Counts'!$B$44&amp;"")="","",IFERROR(TRIM(INDEX($A701:$Z701,MATCH('Counts'!$B$44,$A$1:$Z$1,0))&amp;""),""))</f>
        <v/>
      </c>
      <c r="AE701" s="41">
        <f>IF(TRIM('Cross-tab'!$B$5&amp;"")="","",IFERROR(TRIM(INDEX($A701:$Z701,MATCH('Cross-tab'!$B$5,$A$1:$Z$1,0))&amp;""),""))</f>
        <v/>
      </c>
      <c r="AF701" s="41">
        <f>IF(TRIM('Cross-tab'!$B$7&amp;"")="","",IFERROR(TRIM(INDEX($A701:$Z701,MATCH('Cross-tab'!$B$7,$A$1:$Z$1,0))&amp;""),""))</f>
        <v/>
      </c>
      <c r="AG701" s="41">
        <f>IF(ISNUMBER(IFERROR(VALUE(IF(TRIM('Scale score'!$B$5&amp;"")="","",IFERROR(TRIM(INDEX($A701:$Z701,MATCH('Scale score'!$B$5,$A$1:$Z$1,0))&amp;""),""))),"")),IF(AND(IFERROR(VALUE(IF(TRIM('Scale score'!$B$5&amp;"")="","",IFERROR(TRIM(INDEX($A701:$Z701,MATCH('Scale score'!$B$5,$A$1:$Z$1,0))&amp;""),""))),"")&gt;='Scale score'!$B$6,IFERROR(VALUE(IF(TRIM('Scale score'!$B$5&amp;"")="","",IFERROR(TRIM(INDEX($A701:$Z701,MATCH('Scale score'!$B$5,$A$1:$Z$1,0))&amp;""),""))),"")&lt;='Scale score'!$B$7),IFERROR(VALUE(IF(TRIM('Scale score'!$B$5&amp;"")="","",IFERROR(TRIM(INDEX($A701:$Z701,MATCH('Scale score'!$B$5,$A$1:$Z$1,0))&amp;""),""))),""),""),"")</f>
        <v/>
      </c>
      <c r="AH701" s="41">
        <f>IF(TRIM('Open answers'!$B$5&amp;"")="","",IFERROR(TRIM(INDEX($A701:$Z701,MATCH('Open answers'!$B$5,$A$1:$Z$1,0))&amp;""),""))</f>
        <v/>
      </c>
      <c r="AI701" s="41">
        <f>IF(LEN(AH701)&gt;0,MAX($AI$1:AI700)+1,"")</f>
        <v/>
      </c>
    </row>
    <row r="702">
      <c r="AA702" s="40" t="n"/>
      <c r="AB702" s="41">
        <f>IF(TRIM('Counts'!$B$8&amp;"")="","",IFERROR(TRIM(INDEX($A702:$Z702,MATCH('Counts'!$B$8,$A$1:$Z$1,0))&amp;""),""))</f>
        <v/>
      </c>
      <c r="AC702" s="41">
        <f>IF(TRIM('Counts'!$B$26&amp;"")="","",IFERROR(TRIM(INDEX($A702:$Z702,MATCH('Counts'!$B$26,$A$1:$Z$1,0))&amp;""),""))</f>
        <v/>
      </c>
      <c r="AD702" s="41">
        <f>IF(TRIM('Counts'!$B$44&amp;"")="","",IFERROR(TRIM(INDEX($A702:$Z702,MATCH('Counts'!$B$44,$A$1:$Z$1,0))&amp;""),""))</f>
        <v/>
      </c>
      <c r="AE702" s="41">
        <f>IF(TRIM('Cross-tab'!$B$5&amp;"")="","",IFERROR(TRIM(INDEX($A702:$Z702,MATCH('Cross-tab'!$B$5,$A$1:$Z$1,0))&amp;""),""))</f>
        <v/>
      </c>
      <c r="AF702" s="41">
        <f>IF(TRIM('Cross-tab'!$B$7&amp;"")="","",IFERROR(TRIM(INDEX($A702:$Z702,MATCH('Cross-tab'!$B$7,$A$1:$Z$1,0))&amp;""),""))</f>
        <v/>
      </c>
      <c r="AG702" s="41">
        <f>IF(ISNUMBER(IFERROR(VALUE(IF(TRIM('Scale score'!$B$5&amp;"")="","",IFERROR(TRIM(INDEX($A702:$Z702,MATCH('Scale score'!$B$5,$A$1:$Z$1,0))&amp;""),""))),"")),IF(AND(IFERROR(VALUE(IF(TRIM('Scale score'!$B$5&amp;"")="","",IFERROR(TRIM(INDEX($A702:$Z702,MATCH('Scale score'!$B$5,$A$1:$Z$1,0))&amp;""),""))),"")&gt;='Scale score'!$B$6,IFERROR(VALUE(IF(TRIM('Scale score'!$B$5&amp;"")="","",IFERROR(TRIM(INDEX($A702:$Z702,MATCH('Scale score'!$B$5,$A$1:$Z$1,0))&amp;""),""))),"")&lt;='Scale score'!$B$7),IFERROR(VALUE(IF(TRIM('Scale score'!$B$5&amp;"")="","",IFERROR(TRIM(INDEX($A702:$Z702,MATCH('Scale score'!$B$5,$A$1:$Z$1,0))&amp;""),""))),""),""),"")</f>
        <v/>
      </c>
      <c r="AH702" s="41">
        <f>IF(TRIM('Open answers'!$B$5&amp;"")="","",IFERROR(TRIM(INDEX($A702:$Z702,MATCH('Open answers'!$B$5,$A$1:$Z$1,0))&amp;""),""))</f>
        <v/>
      </c>
      <c r="AI702" s="41">
        <f>IF(LEN(AH702)&gt;0,MAX($AI$1:AI701)+1,"")</f>
        <v/>
      </c>
    </row>
    <row r="703">
      <c r="AA703" s="40" t="n"/>
      <c r="AB703" s="41">
        <f>IF(TRIM('Counts'!$B$8&amp;"")="","",IFERROR(TRIM(INDEX($A703:$Z703,MATCH('Counts'!$B$8,$A$1:$Z$1,0))&amp;""),""))</f>
        <v/>
      </c>
      <c r="AC703" s="41">
        <f>IF(TRIM('Counts'!$B$26&amp;"")="","",IFERROR(TRIM(INDEX($A703:$Z703,MATCH('Counts'!$B$26,$A$1:$Z$1,0))&amp;""),""))</f>
        <v/>
      </c>
      <c r="AD703" s="41">
        <f>IF(TRIM('Counts'!$B$44&amp;"")="","",IFERROR(TRIM(INDEX($A703:$Z703,MATCH('Counts'!$B$44,$A$1:$Z$1,0))&amp;""),""))</f>
        <v/>
      </c>
      <c r="AE703" s="41">
        <f>IF(TRIM('Cross-tab'!$B$5&amp;"")="","",IFERROR(TRIM(INDEX($A703:$Z703,MATCH('Cross-tab'!$B$5,$A$1:$Z$1,0))&amp;""),""))</f>
        <v/>
      </c>
      <c r="AF703" s="41">
        <f>IF(TRIM('Cross-tab'!$B$7&amp;"")="","",IFERROR(TRIM(INDEX($A703:$Z703,MATCH('Cross-tab'!$B$7,$A$1:$Z$1,0))&amp;""),""))</f>
        <v/>
      </c>
      <c r="AG703" s="41">
        <f>IF(ISNUMBER(IFERROR(VALUE(IF(TRIM('Scale score'!$B$5&amp;"")="","",IFERROR(TRIM(INDEX($A703:$Z703,MATCH('Scale score'!$B$5,$A$1:$Z$1,0))&amp;""),""))),"")),IF(AND(IFERROR(VALUE(IF(TRIM('Scale score'!$B$5&amp;"")="","",IFERROR(TRIM(INDEX($A703:$Z703,MATCH('Scale score'!$B$5,$A$1:$Z$1,0))&amp;""),""))),"")&gt;='Scale score'!$B$6,IFERROR(VALUE(IF(TRIM('Scale score'!$B$5&amp;"")="","",IFERROR(TRIM(INDEX($A703:$Z703,MATCH('Scale score'!$B$5,$A$1:$Z$1,0))&amp;""),""))),"")&lt;='Scale score'!$B$7),IFERROR(VALUE(IF(TRIM('Scale score'!$B$5&amp;"")="","",IFERROR(TRIM(INDEX($A703:$Z703,MATCH('Scale score'!$B$5,$A$1:$Z$1,0))&amp;""),""))),""),""),"")</f>
        <v/>
      </c>
      <c r="AH703" s="41">
        <f>IF(TRIM('Open answers'!$B$5&amp;"")="","",IFERROR(TRIM(INDEX($A703:$Z703,MATCH('Open answers'!$B$5,$A$1:$Z$1,0))&amp;""),""))</f>
        <v/>
      </c>
      <c r="AI703" s="41">
        <f>IF(LEN(AH703)&gt;0,MAX($AI$1:AI702)+1,"")</f>
        <v/>
      </c>
    </row>
    <row r="704">
      <c r="AA704" s="40" t="n"/>
      <c r="AB704" s="41">
        <f>IF(TRIM('Counts'!$B$8&amp;"")="","",IFERROR(TRIM(INDEX($A704:$Z704,MATCH('Counts'!$B$8,$A$1:$Z$1,0))&amp;""),""))</f>
        <v/>
      </c>
      <c r="AC704" s="41">
        <f>IF(TRIM('Counts'!$B$26&amp;"")="","",IFERROR(TRIM(INDEX($A704:$Z704,MATCH('Counts'!$B$26,$A$1:$Z$1,0))&amp;""),""))</f>
        <v/>
      </c>
      <c r="AD704" s="41">
        <f>IF(TRIM('Counts'!$B$44&amp;"")="","",IFERROR(TRIM(INDEX($A704:$Z704,MATCH('Counts'!$B$44,$A$1:$Z$1,0))&amp;""),""))</f>
        <v/>
      </c>
      <c r="AE704" s="41">
        <f>IF(TRIM('Cross-tab'!$B$5&amp;"")="","",IFERROR(TRIM(INDEX($A704:$Z704,MATCH('Cross-tab'!$B$5,$A$1:$Z$1,0))&amp;""),""))</f>
        <v/>
      </c>
      <c r="AF704" s="41">
        <f>IF(TRIM('Cross-tab'!$B$7&amp;"")="","",IFERROR(TRIM(INDEX($A704:$Z704,MATCH('Cross-tab'!$B$7,$A$1:$Z$1,0))&amp;""),""))</f>
        <v/>
      </c>
      <c r="AG704" s="41">
        <f>IF(ISNUMBER(IFERROR(VALUE(IF(TRIM('Scale score'!$B$5&amp;"")="","",IFERROR(TRIM(INDEX($A704:$Z704,MATCH('Scale score'!$B$5,$A$1:$Z$1,0))&amp;""),""))),"")),IF(AND(IFERROR(VALUE(IF(TRIM('Scale score'!$B$5&amp;"")="","",IFERROR(TRIM(INDEX($A704:$Z704,MATCH('Scale score'!$B$5,$A$1:$Z$1,0))&amp;""),""))),"")&gt;='Scale score'!$B$6,IFERROR(VALUE(IF(TRIM('Scale score'!$B$5&amp;"")="","",IFERROR(TRIM(INDEX($A704:$Z704,MATCH('Scale score'!$B$5,$A$1:$Z$1,0))&amp;""),""))),"")&lt;='Scale score'!$B$7),IFERROR(VALUE(IF(TRIM('Scale score'!$B$5&amp;"")="","",IFERROR(TRIM(INDEX($A704:$Z704,MATCH('Scale score'!$B$5,$A$1:$Z$1,0))&amp;""),""))),""),""),"")</f>
        <v/>
      </c>
      <c r="AH704" s="41">
        <f>IF(TRIM('Open answers'!$B$5&amp;"")="","",IFERROR(TRIM(INDEX($A704:$Z704,MATCH('Open answers'!$B$5,$A$1:$Z$1,0))&amp;""),""))</f>
        <v/>
      </c>
      <c r="AI704" s="41">
        <f>IF(LEN(AH704)&gt;0,MAX($AI$1:AI703)+1,"")</f>
        <v/>
      </c>
    </row>
    <row r="705">
      <c r="AA705" s="40" t="n"/>
      <c r="AB705" s="41">
        <f>IF(TRIM('Counts'!$B$8&amp;"")="","",IFERROR(TRIM(INDEX($A705:$Z705,MATCH('Counts'!$B$8,$A$1:$Z$1,0))&amp;""),""))</f>
        <v/>
      </c>
      <c r="AC705" s="41">
        <f>IF(TRIM('Counts'!$B$26&amp;"")="","",IFERROR(TRIM(INDEX($A705:$Z705,MATCH('Counts'!$B$26,$A$1:$Z$1,0))&amp;""),""))</f>
        <v/>
      </c>
      <c r="AD705" s="41">
        <f>IF(TRIM('Counts'!$B$44&amp;"")="","",IFERROR(TRIM(INDEX($A705:$Z705,MATCH('Counts'!$B$44,$A$1:$Z$1,0))&amp;""),""))</f>
        <v/>
      </c>
      <c r="AE705" s="41">
        <f>IF(TRIM('Cross-tab'!$B$5&amp;"")="","",IFERROR(TRIM(INDEX($A705:$Z705,MATCH('Cross-tab'!$B$5,$A$1:$Z$1,0))&amp;""),""))</f>
        <v/>
      </c>
      <c r="AF705" s="41">
        <f>IF(TRIM('Cross-tab'!$B$7&amp;"")="","",IFERROR(TRIM(INDEX($A705:$Z705,MATCH('Cross-tab'!$B$7,$A$1:$Z$1,0))&amp;""),""))</f>
        <v/>
      </c>
      <c r="AG705" s="41">
        <f>IF(ISNUMBER(IFERROR(VALUE(IF(TRIM('Scale score'!$B$5&amp;"")="","",IFERROR(TRIM(INDEX($A705:$Z705,MATCH('Scale score'!$B$5,$A$1:$Z$1,0))&amp;""),""))),"")),IF(AND(IFERROR(VALUE(IF(TRIM('Scale score'!$B$5&amp;"")="","",IFERROR(TRIM(INDEX($A705:$Z705,MATCH('Scale score'!$B$5,$A$1:$Z$1,0))&amp;""),""))),"")&gt;='Scale score'!$B$6,IFERROR(VALUE(IF(TRIM('Scale score'!$B$5&amp;"")="","",IFERROR(TRIM(INDEX($A705:$Z705,MATCH('Scale score'!$B$5,$A$1:$Z$1,0))&amp;""),""))),"")&lt;='Scale score'!$B$7),IFERROR(VALUE(IF(TRIM('Scale score'!$B$5&amp;"")="","",IFERROR(TRIM(INDEX($A705:$Z705,MATCH('Scale score'!$B$5,$A$1:$Z$1,0))&amp;""),""))),""),""),"")</f>
        <v/>
      </c>
      <c r="AH705" s="41">
        <f>IF(TRIM('Open answers'!$B$5&amp;"")="","",IFERROR(TRIM(INDEX($A705:$Z705,MATCH('Open answers'!$B$5,$A$1:$Z$1,0))&amp;""),""))</f>
        <v/>
      </c>
      <c r="AI705" s="41">
        <f>IF(LEN(AH705)&gt;0,MAX($AI$1:AI704)+1,"")</f>
        <v/>
      </c>
    </row>
    <row r="706">
      <c r="AA706" s="40" t="n"/>
      <c r="AB706" s="41">
        <f>IF(TRIM('Counts'!$B$8&amp;"")="","",IFERROR(TRIM(INDEX($A706:$Z706,MATCH('Counts'!$B$8,$A$1:$Z$1,0))&amp;""),""))</f>
        <v/>
      </c>
      <c r="AC706" s="41">
        <f>IF(TRIM('Counts'!$B$26&amp;"")="","",IFERROR(TRIM(INDEX($A706:$Z706,MATCH('Counts'!$B$26,$A$1:$Z$1,0))&amp;""),""))</f>
        <v/>
      </c>
      <c r="AD706" s="41">
        <f>IF(TRIM('Counts'!$B$44&amp;"")="","",IFERROR(TRIM(INDEX($A706:$Z706,MATCH('Counts'!$B$44,$A$1:$Z$1,0))&amp;""),""))</f>
        <v/>
      </c>
      <c r="AE706" s="41">
        <f>IF(TRIM('Cross-tab'!$B$5&amp;"")="","",IFERROR(TRIM(INDEX($A706:$Z706,MATCH('Cross-tab'!$B$5,$A$1:$Z$1,0))&amp;""),""))</f>
        <v/>
      </c>
      <c r="AF706" s="41">
        <f>IF(TRIM('Cross-tab'!$B$7&amp;"")="","",IFERROR(TRIM(INDEX($A706:$Z706,MATCH('Cross-tab'!$B$7,$A$1:$Z$1,0))&amp;""),""))</f>
        <v/>
      </c>
      <c r="AG706" s="41">
        <f>IF(ISNUMBER(IFERROR(VALUE(IF(TRIM('Scale score'!$B$5&amp;"")="","",IFERROR(TRIM(INDEX($A706:$Z706,MATCH('Scale score'!$B$5,$A$1:$Z$1,0))&amp;""),""))),"")),IF(AND(IFERROR(VALUE(IF(TRIM('Scale score'!$B$5&amp;"")="","",IFERROR(TRIM(INDEX($A706:$Z706,MATCH('Scale score'!$B$5,$A$1:$Z$1,0))&amp;""),""))),"")&gt;='Scale score'!$B$6,IFERROR(VALUE(IF(TRIM('Scale score'!$B$5&amp;"")="","",IFERROR(TRIM(INDEX($A706:$Z706,MATCH('Scale score'!$B$5,$A$1:$Z$1,0))&amp;""),""))),"")&lt;='Scale score'!$B$7),IFERROR(VALUE(IF(TRIM('Scale score'!$B$5&amp;"")="","",IFERROR(TRIM(INDEX($A706:$Z706,MATCH('Scale score'!$B$5,$A$1:$Z$1,0))&amp;""),""))),""),""),"")</f>
        <v/>
      </c>
      <c r="AH706" s="41">
        <f>IF(TRIM('Open answers'!$B$5&amp;"")="","",IFERROR(TRIM(INDEX($A706:$Z706,MATCH('Open answers'!$B$5,$A$1:$Z$1,0))&amp;""),""))</f>
        <v/>
      </c>
      <c r="AI706" s="41">
        <f>IF(LEN(AH706)&gt;0,MAX($AI$1:AI705)+1,"")</f>
        <v/>
      </c>
    </row>
    <row r="707">
      <c r="AA707" s="40" t="n"/>
      <c r="AB707" s="41">
        <f>IF(TRIM('Counts'!$B$8&amp;"")="","",IFERROR(TRIM(INDEX($A707:$Z707,MATCH('Counts'!$B$8,$A$1:$Z$1,0))&amp;""),""))</f>
        <v/>
      </c>
      <c r="AC707" s="41">
        <f>IF(TRIM('Counts'!$B$26&amp;"")="","",IFERROR(TRIM(INDEX($A707:$Z707,MATCH('Counts'!$B$26,$A$1:$Z$1,0))&amp;""),""))</f>
        <v/>
      </c>
      <c r="AD707" s="41">
        <f>IF(TRIM('Counts'!$B$44&amp;"")="","",IFERROR(TRIM(INDEX($A707:$Z707,MATCH('Counts'!$B$44,$A$1:$Z$1,0))&amp;""),""))</f>
        <v/>
      </c>
      <c r="AE707" s="41">
        <f>IF(TRIM('Cross-tab'!$B$5&amp;"")="","",IFERROR(TRIM(INDEX($A707:$Z707,MATCH('Cross-tab'!$B$5,$A$1:$Z$1,0))&amp;""),""))</f>
        <v/>
      </c>
      <c r="AF707" s="41">
        <f>IF(TRIM('Cross-tab'!$B$7&amp;"")="","",IFERROR(TRIM(INDEX($A707:$Z707,MATCH('Cross-tab'!$B$7,$A$1:$Z$1,0))&amp;""),""))</f>
        <v/>
      </c>
      <c r="AG707" s="41">
        <f>IF(ISNUMBER(IFERROR(VALUE(IF(TRIM('Scale score'!$B$5&amp;"")="","",IFERROR(TRIM(INDEX($A707:$Z707,MATCH('Scale score'!$B$5,$A$1:$Z$1,0))&amp;""),""))),"")),IF(AND(IFERROR(VALUE(IF(TRIM('Scale score'!$B$5&amp;"")="","",IFERROR(TRIM(INDEX($A707:$Z707,MATCH('Scale score'!$B$5,$A$1:$Z$1,0))&amp;""),""))),"")&gt;='Scale score'!$B$6,IFERROR(VALUE(IF(TRIM('Scale score'!$B$5&amp;"")="","",IFERROR(TRIM(INDEX($A707:$Z707,MATCH('Scale score'!$B$5,$A$1:$Z$1,0))&amp;""),""))),"")&lt;='Scale score'!$B$7),IFERROR(VALUE(IF(TRIM('Scale score'!$B$5&amp;"")="","",IFERROR(TRIM(INDEX($A707:$Z707,MATCH('Scale score'!$B$5,$A$1:$Z$1,0))&amp;""),""))),""),""),"")</f>
        <v/>
      </c>
      <c r="AH707" s="41">
        <f>IF(TRIM('Open answers'!$B$5&amp;"")="","",IFERROR(TRIM(INDEX($A707:$Z707,MATCH('Open answers'!$B$5,$A$1:$Z$1,0))&amp;""),""))</f>
        <v/>
      </c>
      <c r="AI707" s="41">
        <f>IF(LEN(AH707)&gt;0,MAX($AI$1:AI706)+1,"")</f>
        <v/>
      </c>
    </row>
    <row r="708">
      <c r="AA708" s="40" t="n"/>
      <c r="AB708" s="41">
        <f>IF(TRIM('Counts'!$B$8&amp;"")="","",IFERROR(TRIM(INDEX($A708:$Z708,MATCH('Counts'!$B$8,$A$1:$Z$1,0))&amp;""),""))</f>
        <v/>
      </c>
      <c r="AC708" s="41">
        <f>IF(TRIM('Counts'!$B$26&amp;"")="","",IFERROR(TRIM(INDEX($A708:$Z708,MATCH('Counts'!$B$26,$A$1:$Z$1,0))&amp;""),""))</f>
        <v/>
      </c>
      <c r="AD708" s="41">
        <f>IF(TRIM('Counts'!$B$44&amp;"")="","",IFERROR(TRIM(INDEX($A708:$Z708,MATCH('Counts'!$B$44,$A$1:$Z$1,0))&amp;""),""))</f>
        <v/>
      </c>
      <c r="AE708" s="41">
        <f>IF(TRIM('Cross-tab'!$B$5&amp;"")="","",IFERROR(TRIM(INDEX($A708:$Z708,MATCH('Cross-tab'!$B$5,$A$1:$Z$1,0))&amp;""),""))</f>
        <v/>
      </c>
      <c r="AF708" s="41">
        <f>IF(TRIM('Cross-tab'!$B$7&amp;"")="","",IFERROR(TRIM(INDEX($A708:$Z708,MATCH('Cross-tab'!$B$7,$A$1:$Z$1,0))&amp;""),""))</f>
        <v/>
      </c>
      <c r="AG708" s="41">
        <f>IF(ISNUMBER(IFERROR(VALUE(IF(TRIM('Scale score'!$B$5&amp;"")="","",IFERROR(TRIM(INDEX($A708:$Z708,MATCH('Scale score'!$B$5,$A$1:$Z$1,0))&amp;""),""))),"")),IF(AND(IFERROR(VALUE(IF(TRIM('Scale score'!$B$5&amp;"")="","",IFERROR(TRIM(INDEX($A708:$Z708,MATCH('Scale score'!$B$5,$A$1:$Z$1,0))&amp;""),""))),"")&gt;='Scale score'!$B$6,IFERROR(VALUE(IF(TRIM('Scale score'!$B$5&amp;"")="","",IFERROR(TRIM(INDEX($A708:$Z708,MATCH('Scale score'!$B$5,$A$1:$Z$1,0))&amp;""),""))),"")&lt;='Scale score'!$B$7),IFERROR(VALUE(IF(TRIM('Scale score'!$B$5&amp;"")="","",IFERROR(TRIM(INDEX($A708:$Z708,MATCH('Scale score'!$B$5,$A$1:$Z$1,0))&amp;""),""))),""),""),"")</f>
        <v/>
      </c>
      <c r="AH708" s="41">
        <f>IF(TRIM('Open answers'!$B$5&amp;"")="","",IFERROR(TRIM(INDEX($A708:$Z708,MATCH('Open answers'!$B$5,$A$1:$Z$1,0))&amp;""),""))</f>
        <v/>
      </c>
      <c r="AI708" s="41">
        <f>IF(LEN(AH708)&gt;0,MAX($AI$1:AI707)+1,"")</f>
        <v/>
      </c>
    </row>
    <row r="709">
      <c r="AA709" s="40" t="n"/>
      <c r="AB709" s="41">
        <f>IF(TRIM('Counts'!$B$8&amp;"")="","",IFERROR(TRIM(INDEX($A709:$Z709,MATCH('Counts'!$B$8,$A$1:$Z$1,0))&amp;""),""))</f>
        <v/>
      </c>
      <c r="AC709" s="41">
        <f>IF(TRIM('Counts'!$B$26&amp;"")="","",IFERROR(TRIM(INDEX($A709:$Z709,MATCH('Counts'!$B$26,$A$1:$Z$1,0))&amp;""),""))</f>
        <v/>
      </c>
      <c r="AD709" s="41">
        <f>IF(TRIM('Counts'!$B$44&amp;"")="","",IFERROR(TRIM(INDEX($A709:$Z709,MATCH('Counts'!$B$44,$A$1:$Z$1,0))&amp;""),""))</f>
        <v/>
      </c>
      <c r="AE709" s="41">
        <f>IF(TRIM('Cross-tab'!$B$5&amp;"")="","",IFERROR(TRIM(INDEX($A709:$Z709,MATCH('Cross-tab'!$B$5,$A$1:$Z$1,0))&amp;""),""))</f>
        <v/>
      </c>
      <c r="AF709" s="41">
        <f>IF(TRIM('Cross-tab'!$B$7&amp;"")="","",IFERROR(TRIM(INDEX($A709:$Z709,MATCH('Cross-tab'!$B$7,$A$1:$Z$1,0))&amp;""),""))</f>
        <v/>
      </c>
      <c r="AG709" s="41">
        <f>IF(ISNUMBER(IFERROR(VALUE(IF(TRIM('Scale score'!$B$5&amp;"")="","",IFERROR(TRIM(INDEX($A709:$Z709,MATCH('Scale score'!$B$5,$A$1:$Z$1,0))&amp;""),""))),"")),IF(AND(IFERROR(VALUE(IF(TRIM('Scale score'!$B$5&amp;"")="","",IFERROR(TRIM(INDEX($A709:$Z709,MATCH('Scale score'!$B$5,$A$1:$Z$1,0))&amp;""),""))),"")&gt;='Scale score'!$B$6,IFERROR(VALUE(IF(TRIM('Scale score'!$B$5&amp;"")="","",IFERROR(TRIM(INDEX($A709:$Z709,MATCH('Scale score'!$B$5,$A$1:$Z$1,0))&amp;""),""))),"")&lt;='Scale score'!$B$7),IFERROR(VALUE(IF(TRIM('Scale score'!$B$5&amp;"")="","",IFERROR(TRIM(INDEX($A709:$Z709,MATCH('Scale score'!$B$5,$A$1:$Z$1,0))&amp;""),""))),""),""),"")</f>
        <v/>
      </c>
      <c r="AH709" s="41">
        <f>IF(TRIM('Open answers'!$B$5&amp;"")="","",IFERROR(TRIM(INDEX($A709:$Z709,MATCH('Open answers'!$B$5,$A$1:$Z$1,0))&amp;""),""))</f>
        <v/>
      </c>
      <c r="AI709" s="41">
        <f>IF(LEN(AH709)&gt;0,MAX($AI$1:AI708)+1,"")</f>
        <v/>
      </c>
    </row>
    <row r="710">
      <c r="AA710" s="40" t="n"/>
      <c r="AB710" s="41">
        <f>IF(TRIM('Counts'!$B$8&amp;"")="","",IFERROR(TRIM(INDEX($A710:$Z710,MATCH('Counts'!$B$8,$A$1:$Z$1,0))&amp;""),""))</f>
        <v/>
      </c>
      <c r="AC710" s="41">
        <f>IF(TRIM('Counts'!$B$26&amp;"")="","",IFERROR(TRIM(INDEX($A710:$Z710,MATCH('Counts'!$B$26,$A$1:$Z$1,0))&amp;""),""))</f>
        <v/>
      </c>
      <c r="AD710" s="41">
        <f>IF(TRIM('Counts'!$B$44&amp;"")="","",IFERROR(TRIM(INDEX($A710:$Z710,MATCH('Counts'!$B$44,$A$1:$Z$1,0))&amp;""),""))</f>
        <v/>
      </c>
      <c r="AE710" s="41">
        <f>IF(TRIM('Cross-tab'!$B$5&amp;"")="","",IFERROR(TRIM(INDEX($A710:$Z710,MATCH('Cross-tab'!$B$5,$A$1:$Z$1,0))&amp;""),""))</f>
        <v/>
      </c>
      <c r="AF710" s="41">
        <f>IF(TRIM('Cross-tab'!$B$7&amp;"")="","",IFERROR(TRIM(INDEX($A710:$Z710,MATCH('Cross-tab'!$B$7,$A$1:$Z$1,0))&amp;""),""))</f>
        <v/>
      </c>
      <c r="AG710" s="41">
        <f>IF(ISNUMBER(IFERROR(VALUE(IF(TRIM('Scale score'!$B$5&amp;"")="","",IFERROR(TRIM(INDEX($A710:$Z710,MATCH('Scale score'!$B$5,$A$1:$Z$1,0))&amp;""),""))),"")),IF(AND(IFERROR(VALUE(IF(TRIM('Scale score'!$B$5&amp;"")="","",IFERROR(TRIM(INDEX($A710:$Z710,MATCH('Scale score'!$B$5,$A$1:$Z$1,0))&amp;""),""))),"")&gt;='Scale score'!$B$6,IFERROR(VALUE(IF(TRIM('Scale score'!$B$5&amp;"")="","",IFERROR(TRIM(INDEX($A710:$Z710,MATCH('Scale score'!$B$5,$A$1:$Z$1,0))&amp;""),""))),"")&lt;='Scale score'!$B$7),IFERROR(VALUE(IF(TRIM('Scale score'!$B$5&amp;"")="","",IFERROR(TRIM(INDEX($A710:$Z710,MATCH('Scale score'!$B$5,$A$1:$Z$1,0))&amp;""),""))),""),""),"")</f>
        <v/>
      </c>
      <c r="AH710" s="41">
        <f>IF(TRIM('Open answers'!$B$5&amp;"")="","",IFERROR(TRIM(INDEX($A710:$Z710,MATCH('Open answers'!$B$5,$A$1:$Z$1,0))&amp;""),""))</f>
        <v/>
      </c>
      <c r="AI710" s="41">
        <f>IF(LEN(AH710)&gt;0,MAX($AI$1:AI709)+1,"")</f>
        <v/>
      </c>
    </row>
    <row r="711">
      <c r="AA711" s="40" t="n"/>
      <c r="AB711" s="41">
        <f>IF(TRIM('Counts'!$B$8&amp;"")="","",IFERROR(TRIM(INDEX($A711:$Z711,MATCH('Counts'!$B$8,$A$1:$Z$1,0))&amp;""),""))</f>
        <v/>
      </c>
      <c r="AC711" s="41">
        <f>IF(TRIM('Counts'!$B$26&amp;"")="","",IFERROR(TRIM(INDEX($A711:$Z711,MATCH('Counts'!$B$26,$A$1:$Z$1,0))&amp;""),""))</f>
        <v/>
      </c>
      <c r="AD711" s="41">
        <f>IF(TRIM('Counts'!$B$44&amp;"")="","",IFERROR(TRIM(INDEX($A711:$Z711,MATCH('Counts'!$B$44,$A$1:$Z$1,0))&amp;""),""))</f>
        <v/>
      </c>
      <c r="AE711" s="41">
        <f>IF(TRIM('Cross-tab'!$B$5&amp;"")="","",IFERROR(TRIM(INDEX($A711:$Z711,MATCH('Cross-tab'!$B$5,$A$1:$Z$1,0))&amp;""),""))</f>
        <v/>
      </c>
      <c r="AF711" s="41">
        <f>IF(TRIM('Cross-tab'!$B$7&amp;"")="","",IFERROR(TRIM(INDEX($A711:$Z711,MATCH('Cross-tab'!$B$7,$A$1:$Z$1,0))&amp;""),""))</f>
        <v/>
      </c>
      <c r="AG711" s="41">
        <f>IF(ISNUMBER(IFERROR(VALUE(IF(TRIM('Scale score'!$B$5&amp;"")="","",IFERROR(TRIM(INDEX($A711:$Z711,MATCH('Scale score'!$B$5,$A$1:$Z$1,0))&amp;""),""))),"")),IF(AND(IFERROR(VALUE(IF(TRIM('Scale score'!$B$5&amp;"")="","",IFERROR(TRIM(INDEX($A711:$Z711,MATCH('Scale score'!$B$5,$A$1:$Z$1,0))&amp;""),""))),"")&gt;='Scale score'!$B$6,IFERROR(VALUE(IF(TRIM('Scale score'!$B$5&amp;"")="","",IFERROR(TRIM(INDEX($A711:$Z711,MATCH('Scale score'!$B$5,$A$1:$Z$1,0))&amp;""),""))),"")&lt;='Scale score'!$B$7),IFERROR(VALUE(IF(TRIM('Scale score'!$B$5&amp;"")="","",IFERROR(TRIM(INDEX($A711:$Z711,MATCH('Scale score'!$B$5,$A$1:$Z$1,0))&amp;""),""))),""),""),"")</f>
        <v/>
      </c>
      <c r="AH711" s="41">
        <f>IF(TRIM('Open answers'!$B$5&amp;"")="","",IFERROR(TRIM(INDEX($A711:$Z711,MATCH('Open answers'!$B$5,$A$1:$Z$1,0))&amp;""),""))</f>
        <v/>
      </c>
      <c r="AI711" s="41">
        <f>IF(LEN(AH711)&gt;0,MAX($AI$1:AI710)+1,"")</f>
        <v/>
      </c>
    </row>
    <row r="712">
      <c r="AA712" s="40" t="n"/>
      <c r="AB712" s="41">
        <f>IF(TRIM('Counts'!$B$8&amp;"")="","",IFERROR(TRIM(INDEX($A712:$Z712,MATCH('Counts'!$B$8,$A$1:$Z$1,0))&amp;""),""))</f>
        <v/>
      </c>
      <c r="AC712" s="41">
        <f>IF(TRIM('Counts'!$B$26&amp;"")="","",IFERROR(TRIM(INDEX($A712:$Z712,MATCH('Counts'!$B$26,$A$1:$Z$1,0))&amp;""),""))</f>
        <v/>
      </c>
      <c r="AD712" s="41">
        <f>IF(TRIM('Counts'!$B$44&amp;"")="","",IFERROR(TRIM(INDEX($A712:$Z712,MATCH('Counts'!$B$44,$A$1:$Z$1,0))&amp;""),""))</f>
        <v/>
      </c>
      <c r="AE712" s="41">
        <f>IF(TRIM('Cross-tab'!$B$5&amp;"")="","",IFERROR(TRIM(INDEX($A712:$Z712,MATCH('Cross-tab'!$B$5,$A$1:$Z$1,0))&amp;""),""))</f>
        <v/>
      </c>
      <c r="AF712" s="41">
        <f>IF(TRIM('Cross-tab'!$B$7&amp;"")="","",IFERROR(TRIM(INDEX($A712:$Z712,MATCH('Cross-tab'!$B$7,$A$1:$Z$1,0))&amp;""),""))</f>
        <v/>
      </c>
      <c r="AG712" s="41">
        <f>IF(ISNUMBER(IFERROR(VALUE(IF(TRIM('Scale score'!$B$5&amp;"")="","",IFERROR(TRIM(INDEX($A712:$Z712,MATCH('Scale score'!$B$5,$A$1:$Z$1,0))&amp;""),""))),"")),IF(AND(IFERROR(VALUE(IF(TRIM('Scale score'!$B$5&amp;"")="","",IFERROR(TRIM(INDEX($A712:$Z712,MATCH('Scale score'!$B$5,$A$1:$Z$1,0))&amp;""),""))),"")&gt;='Scale score'!$B$6,IFERROR(VALUE(IF(TRIM('Scale score'!$B$5&amp;"")="","",IFERROR(TRIM(INDEX($A712:$Z712,MATCH('Scale score'!$B$5,$A$1:$Z$1,0))&amp;""),""))),"")&lt;='Scale score'!$B$7),IFERROR(VALUE(IF(TRIM('Scale score'!$B$5&amp;"")="","",IFERROR(TRIM(INDEX($A712:$Z712,MATCH('Scale score'!$B$5,$A$1:$Z$1,0))&amp;""),""))),""),""),"")</f>
        <v/>
      </c>
      <c r="AH712" s="41">
        <f>IF(TRIM('Open answers'!$B$5&amp;"")="","",IFERROR(TRIM(INDEX($A712:$Z712,MATCH('Open answers'!$B$5,$A$1:$Z$1,0))&amp;""),""))</f>
        <v/>
      </c>
      <c r="AI712" s="41">
        <f>IF(LEN(AH712)&gt;0,MAX($AI$1:AI711)+1,"")</f>
        <v/>
      </c>
    </row>
    <row r="713">
      <c r="AA713" s="40" t="n"/>
      <c r="AB713" s="41">
        <f>IF(TRIM('Counts'!$B$8&amp;"")="","",IFERROR(TRIM(INDEX($A713:$Z713,MATCH('Counts'!$B$8,$A$1:$Z$1,0))&amp;""),""))</f>
        <v/>
      </c>
      <c r="AC713" s="41">
        <f>IF(TRIM('Counts'!$B$26&amp;"")="","",IFERROR(TRIM(INDEX($A713:$Z713,MATCH('Counts'!$B$26,$A$1:$Z$1,0))&amp;""),""))</f>
        <v/>
      </c>
      <c r="AD713" s="41">
        <f>IF(TRIM('Counts'!$B$44&amp;"")="","",IFERROR(TRIM(INDEX($A713:$Z713,MATCH('Counts'!$B$44,$A$1:$Z$1,0))&amp;""),""))</f>
        <v/>
      </c>
      <c r="AE713" s="41">
        <f>IF(TRIM('Cross-tab'!$B$5&amp;"")="","",IFERROR(TRIM(INDEX($A713:$Z713,MATCH('Cross-tab'!$B$5,$A$1:$Z$1,0))&amp;""),""))</f>
        <v/>
      </c>
      <c r="AF713" s="41">
        <f>IF(TRIM('Cross-tab'!$B$7&amp;"")="","",IFERROR(TRIM(INDEX($A713:$Z713,MATCH('Cross-tab'!$B$7,$A$1:$Z$1,0))&amp;""),""))</f>
        <v/>
      </c>
      <c r="AG713" s="41">
        <f>IF(ISNUMBER(IFERROR(VALUE(IF(TRIM('Scale score'!$B$5&amp;"")="","",IFERROR(TRIM(INDEX($A713:$Z713,MATCH('Scale score'!$B$5,$A$1:$Z$1,0))&amp;""),""))),"")),IF(AND(IFERROR(VALUE(IF(TRIM('Scale score'!$B$5&amp;"")="","",IFERROR(TRIM(INDEX($A713:$Z713,MATCH('Scale score'!$B$5,$A$1:$Z$1,0))&amp;""),""))),"")&gt;='Scale score'!$B$6,IFERROR(VALUE(IF(TRIM('Scale score'!$B$5&amp;"")="","",IFERROR(TRIM(INDEX($A713:$Z713,MATCH('Scale score'!$B$5,$A$1:$Z$1,0))&amp;""),""))),"")&lt;='Scale score'!$B$7),IFERROR(VALUE(IF(TRIM('Scale score'!$B$5&amp;"")="","",IFERROR(TRIM(INDEX($A713:$Z713,MATCH('Scale score'!$B$5,$A$1:$Z$1,0))&amp;""),""))),""),""),"")</f>
        <v/>
      </c>
      <c r="AH713" s="41">
        <f>IF(TRIM('Open answers'!$B$5&amp;"")="","",IFERROR(TRIM(INDEX($A713:$Z713,MATCH('Open answers'!$B$5,$A$1:$Z$1,0))&amp;""),""))</f>
        <v/>
      </c>
      <c r="AI713" s="41">
        <f>IF(LEN(AH713)&gt;0,MAX($AI$1:AI712)+1,"")</f>
        <v/>
      </c>
    </row>
    <row r="714">
      <c r="AA714" s="40" t="n"/>
      <c r="AB714" s="41">
        <f>IF(TRIM('Counts'!$B$8&amp;"")="","",IFERROR(TRIM(INDEX($A714:$Z714,MATCH('Counts'!$B$8,$A$1:$Z$1,0))&amp;""),""))</f>
        <v/>
      </c>
      <c r="AC714" s="41">
        <f>IF(TRIM('Counts'!$B$26&amp;"")="","",IFERROR(TRIM(INDEX($A714:$Z714,MATCH('Counts'!$B$26,$A$1:$Z$1,0))&amp;""),""))</f>
        <v/>
      </c>
      <c r="AD714" s="41">
        <f>IF(TRIM('Counts'!$B$44&amp;"")="","",IFERROR(TRIM(INDEX($A714:$Z714,MATCH('Counts'!$B$44,$A$1:$Z$1,0))&amp;""),""))</f>
        <v/>
      </c>
      <c r="AE714" s="41">
        <f>IF(TRIM('Cross-tab'!$B$5&amp;"")="","",IFERROR(TRIM(INDEX($A714:$Z714,MATCH('Cross-tab'!$B$5,$A$1:$Z$1,0))&amp;""),""))</f>
        <v/>
      </c>
      <c r="AF714" s="41">
        <f>IF(TRIM('Cross-tab'!$B$7&amp;"")="","",IFERROR(TRIM(INDEX($A714:$Z714,MATCH('Cross-tab'!$B$7,$A$1:$Z$1,0))&amp;""),""))</f>
        <v/>
      </c>
      <c r="AG714" s="41">
        <f>IF(ISNUMBER(IFERROR(VALUE(IF(TRIM('Scale score'!$B$5&amp;"")="","",IFERROR(TRIM(INDEX($A714:$Z714,MATCH('Scale score'!$B$5,$A$1:$Z$1,0))&amp;""),""))),"")),IF(AND(IFERROR(VALUE(IF(TRIM('Scale score'!$B$5&amp;"")="","",IFERROR(TRIM(INDEX($A714:$Z714,MATCH('Scale score'!$B$5,$A$1:$Z$1,0))&amp;""),""))),"")&gt;='Scale score'!$B$6,IFERROR(VALUE(IF(TRIM('Scale score'!$B$5&amp;"")="","",IFERROR(TRIM(INDEX($A714:$Z714,MATCH('Scale score'!$B$5,$A$1:$Z$1,0))&amp;""),""))),"")&lt;='Scale score'!$B$7),IFERROR(VALUE(IF(TRIM('Scale score'!$B$5&amp;"")="","",IFERROR(TRIM(INDEX($A714:$Z714,MATCH('Scale score'!$B$5,$A$1:$Z$1,0))&amp;""),""))),""),""),"")</f>
        <v/>
      </c>
      <c r="AH714" s="41">
        <f>IF(TRIM('Open answers'!$B$5&amp;"")="","",IFERROR(TRIM(INDEX($A714:$Z714,MATCH('Open answers'!$B$5,$A$1:$Z$1,0))&amp;""),""))</f>
        <v/>
      </c>
      <c r="AI714" s="41">
        <f>IF(LEN(AH714)&gt;0,MAX($AI$1:AI713)+1,"")</f>
        <v/>
      </c>
    </row>
    <row r="715">
      <c r="AA715" s="40" t="n"/>
      <c r="AB715" s="41">
        <f>IF(TRIM('Counts'!$B$8&amp;"")="","",IFERROR(TRIM(INDEX($A715:$Z715,MATCH('Counts'!$B$8,$A$1:$Z$1,0))&amp;""),""))</f>
        <v/>
      </c>
      <c r="AC715" s="41">
        <f>IF(TRIM('Counts'!$B$26&amp;"")="","",IFERROR(TRIM(INDEX($A715:$Z715,MATCH('Counts'!$B$26,$A$1:$Z$1,0))&amp;""),""))</f>
        <v/>
      </c>
      <c r="AD715" s="41">
        <f>IF(TRIM('Counts'!$B$44&amp;"")="","",IFERROR(TRIM(INDEX($A715:$Z715,MATCH('Counts'!$B$44,$A$1:$Z$1,0))&amp;""),""))</f>
        <v/>
      </c>
      <c r="AE715" s="41">
        <f>IF(TRIM('Cross-tab'!$B$5&amp;"")="","",IFERROR(TRIM(INDEX($A715:$Z715,MATCH('Cross-tab'!$B$5,$A$1:$Z$1,0))&amp;""),""))</f>
        <v/>
      </c>
      <c r="AF715" s="41">
        <f>IF(TRIM('Cross-tab'!$B$7&amp;"")="","",IFERROR(TRIM(INDEX($A715:$Z715,MATCH('Cross-tab'!$B$7,$A$1:$Z$1,0))&amp;""),""))</f>
        <v/>
      </c>
      <c r="AG715" s="41">
        <f>IF(ISNUMBER(IFERROR(VALUE(IF(TRIM('Scale score'!$B$5&amp;"")="","",IFERROR(TRIM(INDEX($A715:$Z715,MATCH('Scale score'!$B$5,$A$1:$Z$1,0))&amp;""),""))),"")),IF(AND(IFERROR(VALUE(IF(TRIM('Scale score'!$B$5&amp;"")="","",IFERROR(TRIM(INDEX($A715:$Z715,MATCH('Scale score'!$B$5,$A$1:$Z$1,0))&amp;""),""))),"")&gt;='Scale score'!$B$6,IFERROR(VALUE(IF(TRIM('Scale score'!$B$5&amp;"")="","",IFERROR(TRIM(INDEX($A715:$Z715,MATCH('Scale score'!$B$5,$A$1:$Z$1,0))&amp;""),""))),"")&lt;='Scale score'!$B$7),IFERROR(VALUE(IF(TRIM('Scale score'!$B$5&amp;"")="","",IFERROR(TRIM(INDEX($A715:$Z715,MATCH('Scale score'!$B$5,$A$1:$Z$1,0))&amp;""),""))),""),""),"")</f>
        <v/>
      </c>
      <c r="AH715" s="41">
        <f>IF(TRIM('Open answers'!$B$5&amp;"")="","",IFERROR(TRIM(INDEX($A715:$Z715,MATCH('Open answers'!$B$5,$A$1:$Z$1,0))&amp;""),""))</f>
        <v/>
      </c>
      <c r="AI715" s="41">
        <f>IF(LEN(AH715)&gt;0,MAX($AI$1:AI714)+1,"")</f>
        <v/>
      </c>
    </row>
    <row r="716">
      <c r="AA716" s="40" t="n"/>
      <c r="AB716" s="41">
        <f>IF(TRIM('Counts'!$B$8&amp;"")="","",IFERROR(TRIM(INDEX($A716:$Z716,MATCH('Counts'!$B$8,$A$1:$Z$1,0))&amp;""),""))</f>
        <v/>
      </c>
      <c r="AC716" s="41">
        <f>IF(TRIM('Counts'!$B$26&amp;"")="","",IFERROR(TRIM(INDEX($A716:$Z716,MATCH('Counts'!$B$26,$A$1:$Z$1,0))&amp;""),""))</f>
        <v/>
      </c>
      <c r="AD716" s="41">
        <f>IF(TRIM('Counts'!$B$44&amp;"")="","",IFERROR(TRIM(INDEX($A716:$Z716,MATCH('Counts'!$B$44,$A$1:$Z$1,0))&amp;""),""))</f>
        <v/>
      </c>
      <c r="AE716" s="41">
        <f>IF(TRIM('Cross-tab'!$B$5&amp;"")="","",IFERROR(TRIM(INDEX($A716:$Z716,MATCH('Cross-tab'!$B$5,$A$1:$Z$1,0))&amp;""),""))</f>
        <v/>
      </c>
      <c r="AF716" s="41">
        <f>IF(TRIM('Cross-tab'!$B$7&amp;"")="","",IFERROR(TRIM(INDEX($A716:$Z716,MATCH('Cross-tab'!$B$7,$A$1:$Z$1,0))&amp;""),""))</f>
        <v/>
      </c>
      <c r="AG716" s="41">
        <f>IF(ISNUMBER(IFERROR(VALUE(IF(TRIM('Scale score'!$B$5&amp;"")="","",IFERROR(TRIM(INDEX($A716:$Z716,MATCH('Scale score'!$B$5,$A$1:$Z$1,0))&amp;""),""))),"")),IF(AND(IFERROR(VALUE(IF(TRIM('Scale score'!$B$5&amp;"")="","",IFERROR(TRIM(INDEX($A716:$Z716,MATCH('Scale score'!$B$5,$A$1:$Z$1,0))&amp;""),""))),"")&gt;='Scale score'!$B$6,IFERROR(VALUE(IF(TRIM('Scale score'!$B$5&amp;"")="","",IFERROR(TRIM(INDEX($A716:$Z716,MATCH('Scale score'!$B$5,$A$1:$Z$1,0))&amp;""),""))),"")&lt;='Scale score'!$B$7),IFERROR(VALUE(IF(TRIM('Scale score'!$B$5&amp;"")="","",IFERROR(TRIM(INDEX($A716:$Z716,MATCH('Scale score'!$B$5,$A$1:$Z$1,0))&amp;""),""))),""),""),"")</f>
        <v/>
      </c>
      <c r="AH716" s="41">
        <f>IF(TRIM('Open answers'!$B$5&amp;"")="","",IFERROR(TRIM(INDEX($A716:$Z716,MATCH('Open answers'!$B$5,$A$1:$Z$1,0))&amp;""),""))</f>
        <v/>
      </c>
      <c r="AI716" s="41">
        <f>IF(LEN(AH716)&gt;0,MAX($AI$1:AI715)+1,"")</f>
        <v/>
      </c>
    </row>
    <row r="717">
      <c r="AA717" s="40" t="n"/>
      <c r="AB717" s="41">
        <f>IF(TRIM('Counts'!$B$8&amp;"")="","",IFERROR(TRIM(INDEX($A717:$Z717,MATCH('Counts'!$B$8,$A$1:$Z$1,0))&amp;""),""))</f>
        <v/>
      </c>
      <c r="AC717" s="41">
        <f>IF(TRIM('Counts'!$B$26&amp;"")="","",IFERROR(TRIM(INDEX($A717:$Z717,MATCH('Counts'!$B$26,$A$1:$Z$1,0))&amp;""),""))</f>
        <v/>
      </c>
      <c r="AD717" s="41">
        <f>IF(TRIM('Counts'!$B$44&amp;"")="","",IFERROR(TRIM(INDEX($A717:$Z717,MATCH('Counts'!$B$44,$A$1:$Z$1,0))&amp;""),""))</f>
        <v/>
      </c>
      <c r="AE717" s="41">
        <f>IF(TRIM('Cross-tab'!$B$5&amp;"")="","",IFERROR(TRIM(INDEX($A717:$Z717,MATCH('Cross-tab'!$B$5,$A$1:$Z$1,0))&amp;""),""))</f>
        <v/>
      </c>
      <c r="AF717" s="41">
        <f>IF(TRIM('Cross-tab'!$B$7&amp;"")="","",IFERROR(TRIM(INDEX($A717:$Z717,MATCH('Cross-tab'!$B$7,$A$1:$Z$1,0))&amp;""),""))</f>
        <v/>
      </c>
      <c r="AG717" s="41">
        <f>IF(ISNUMBER(IFERROR(VALUE(IF(TRIM('Scale score'!$B$5&amp;"")="","",IFERROR(TRIM(INDEX($A717:$Z717,MATCH('Scale score'!$B$5,$A$1:$Z$1,0))&amp;""),""))),"")),IF(AND(IFERROR(VALUE(IF(TRIM('Scale score'!$B$5&amp;"")="","",IFERROR(TRIM(INDEX($A717:$Z717,MATCH('Scale score'!$B$5,$A$1:$Z$1,0))&amp;""),""))),"")&gt;='Scale score'!$B$6,IFERROR(VALUE(IF(TRIM('Scale score'!$B$5&amp;"")="","",IFERROR(TRIM(INDEX($A717:$Z717,MATCH('Scale score'!$B$5,$A$1:$Z$1,0))&amp;""),""))),"")&lt;='Scale score'!$B$7),IFERROR(VALUE(IF(TRIM('Scale score'!$B$5&amp;"")="","",IFERROR(TRIM(INDEX($A717:$Z717,MATCH('Scale score'!$B$5,$A$1:$Z$1,0))&amp;""),""))),""),""),"")</f>
        <v/>
      </c>
      <c r="AH717" s="41">
        <f>IF(TRIM('Open answers'!$B$5&amp;"")="","",IFERROR(TRIM(INDEX($A717:$Z717,MATCH('Open answers'!$B$5,$A$1:$Z$1,0))&amp;""),""))</f>
        <v/>
      </c>
      <c r="AI717" s="41">
        <f>IF(LEN(AH717)&gt;0,MAX($AI$1:AI716)+1,"")</f>
        <v/>
      </c>
    </row>
    <row r="718">
      <c r="AA718" s="40" t="n"/>
      <c r="AB718" s="41">
        <f>IF(TRIM('Counts'!$B$8&amp;"")="","",IFERROR(TRIM(INDEX($A718:$Z718,MATCH('Counts'!$B$8,$A$1:$Z$1,0))&amp;""),""))</f>
        <v/>
      </c>
      <c r="AC718" s="41">
        <f>IF(TRIM('Counts'!$B$26&amp;"")="","",IFERROR(TRIM(INDEX($A718:$Z718,MATCH('Counts'!$B$26,$A$1:$Z$1,0))&amp;""),""))</f>
        <v/>
      </c>
      <c r="AD718" s="41">
        <f>IF(TRIM('Counts'!$B$44&amp;"")="","",IFERROR(TRIM(INDEX($A718:$Z718,MATCH('Counts'!$B$44,$A$1:$Z$1,0))&amp;""),""))</f>
        <v/>
      </c>
      <c r="AE718" s="41">
        <f>IF(TRIM('Cross-tab'!$B$5&amp;"")="","",IFERROR(TRIM(INDEX($A718:$Z718,MATCH('Cross-tab'!$B$5,$A$1:$Z$1,0))&amp;""),""))</f>
        <v/>
      </c>
      <c r="AF718" s="41">
        <f>IF(TRIM('Cross-tab'!$B$7&amp;"")="","",IFERROR(TRIM(INDEX($A718:$Z718,MATCH('Cross-tab'!$B$7,$A$1:$Z$1,0))&amp;""),""))</f>
        <v/>
      </c>
      <c r="AG718" s="41">
        <f>IF(ISNUMBER(IFERROR(VALUE(IF(TRIM('Scale score'!$B$5&amp;"")="","",IFERROR(TRIM(INDEX($A718:$Z718,MATCH('Scale score'!$B$5,$A$1:$Z$1,0))&amp;""),""))),"")),IF(AND(IFERROR(VALUE(IF(TRIM('Scale score'!$B$5&amp;"")="","",IFERROR(TRIM(INDEX($A718:$Z718,MATCH('Scale score'!$B$5,$A$1:$Z$1,0))&amp;""),""))),"")&gt;='Scale score'!$B$6,IFERROR(VALUE(IF(TRIM('Scale score'!$B$5&amp;"")="","",IFERROR(TRIM(INDEX($A718:$Z718,MATCH('Scale score'!$B$5,$A$1:$Z$1,0))&amp;""),""))),"")&lt;='Scale score'!$B$7),IFERROR(VALUE(IF(TRIM('Scale score'!$B$5&amp;"")="","",IFERROR(TRIM(INDEX($A718:$Z718,MATCH('Scale score'!$B$5,$A$1:$Z$1,0))&amp;""),""))),""),""),"")</f>
        <v/>
      </c>
      <c r="AH718" s="41">
        <f>IF(TRIM('Open answers'!$B$5&amp;"")="","",IFERROR(TRIM(INDEX($A718:$Z718,MATCH('Open answers'!$B$5,$A$1:$Z$1,0))&amp;""),""))</f>
        <v/>
      </c>
      <c r="AI718" s="41">
        <f>IF(LEN(AH718)&gt;0,MAX($AI$1:AI717)+1,"")</f>
        <v/>
      </c>
    </row>
    <row r="719">
      <c r="AA719" s="40" t="n"/>
      <c r="AB719" s="41">
        <f>IF(TRIM('Counts'!$B$8&amp;"")="","",IFERROR(TRIM(INDEX($A719:$Z719,MATCH('Counts'!$B$8,$A$1:$Z$1,0))&amp;""),""))</f>
        <v/>
      </c>
      <c r="AC719" s="41">
        <f>IF(TRIM('Counts'!$B$26&amp;"")="","",IFERROR(TRIM(INDEX($A719:$Z719,MATCH('Counts'!$B$26,$A$1:$Z$1,0))&amp;""),""))</f>
        <v/>
      </c>
      <c r="AD719" s="41">
        <f>IF(TRIM('Counts'!$B$44&amp;"")="","",IFERROR(TRIM(INDEX($A719:$Z719,MATCH('Counts'!$B$44,$A$1:$Z$1,0))&amp;""),""))</f>
        <v/>
      </c>
      <c r="AE719" s="41">
        <f>IF(TRIM('Cross-tab'!$B$5&amp;"")="","",IFERROR(TRIM(INDEX($A719:$Z719,MATCH('Cross-tab'!$B$5,$A$1:$Z$1,0))&amp;""),""))</f>
        <v/>
      </c>
      <c r="AF719" s="41">
        <f>IF(TRIM('Cross-tab'!$B$7&amp;"")="","",IFERROR(TRIM(INDEX($A719:$Z719,MATCH('Cross-tab'!$B$7,$A$1:$Z$1,0))&amp;""),""))</f>
        <v/>
      </c>
      <c r="AG719" s="41">
        <f>IF(ISNUMBER(IFERROR(VALUE(IF(TRIM('Scale score'!$B$5&amp;"")="","",IFERROR(TRIM(INDEX($A719:$Z719,MATCH('Scale score'!$B$5,$A$1:$Z$1,0))&amp;""),""))),"")),IF(AND(IFERROR(VALUE(IF(TRIM('Scale score'!$B$5&amp;"")="","",IFERROR(TRIM(INDEX($A719:$Z719,MATCH('Scale score'!$B$5,$A$1:$Z$1,0))&amp;""),""))),"")&gt;='Scale score'!$B$6,IFERROR(VALUE(IF(TRIM('Scale score'!$B$5&amp;"")="","",IFERROR(TRIM(INDEX($A719:$Z719,MATCH('Scale score'!$B$5,$A$1:$Z$1,0))&amp;""),""))),"")&lt;='Scale score'!$B$7),IFERROR(VALUE(IF(TRIM('Scale score'!$B$5&amp;"")="","",IFERROR(TRIM(INDEX($A719:$Z719,MATCH('Scale score'!$B$5,$A$1:$Z$1,0))&amp;""),""))),""),""),"")</f>
        <v/>
      </c>
      <c r="AH719" s="41">
        <f>IF(TRIM('Open answers'!$B$5&amp;"")="","",IFERROR(TRIM(INDEX($A719:$Z719,MATCH('Open answers'!$B$5,$A$1:$Z$1,0))&amp;""),""))</f>
        <v/>
      </c>
      <c r="AI719" s="41">
        <f>IF(LEN(AH719)&gt;0,MAX($AI$1:AI718)+1,"")</f>
        <v/>
      </c>
    </row>
    <row r="720">
      <c r="AA720" s="40" t="n"/>
      <c r="AB720" s="41">
        <f>IF(TRIM('Counts'!$B$8&amp;"")="","",IFERROR(TRIM(INDEX($A720:$Z720,MATCH('Counts'!$B$8,$A$1:$Z$1,0))&amp;""),""))</f>
        <v/>
      </c>
      <c r="AC720" s="41">
        <f>IF(TRIM('Counts'!$B$26&amp;"")="","",IFERROR(TRIM(INDEX($A720:$Z720,MATCH('Counts'!$B$26,$A$1:$Z$1,0))&amp;""),""))</f>
        <v/>
      </c>
      <c r="AD720" s="41">
        <f>IF(TRIM('Counts'!$B$44&amp;"")="","",IFERROR(TRIM(INDEX($A720:$Z720,MATCH('Counts'!$B$44,$A$1:$Z$1,0))&amp;""),""))</f>
        <v/>
      </c>
      <c r="AE720" s="41">
        <f>IF(TRIM('Cross-tab'!$B$5&amp;"")="","",IFERROR(TRIM(INDEX($A720:$Z720,MATCH('Cross-tab'!$B$5,$A$1:$Z$1,0))&amp;""),""))</f>
        <v/>
      </c>
      <c r="AF720" s="41">
        <f>IF(TRIM('Cross-tab'!$B$7&amp;"")="","",IFERROR(TRIM(INDEX($A720:$Z720,MATCH('Cross-tab'!$B$7,$A$1:$Z$1,0))&amp;""),""))</f>
        <v/>
      </c>
      <c r="AG720" s="41">
        <f>IF(ISNUMBER(IFERROR(VALUE(IF(TRIM('Scale score'!$B$5&amp;"")="","",IFERROR(TRIM(INDEX($A720:$Z720,MATCH('Scale score'!$B$5,$A$1:$Z$1,0))&amp;""),""))),"")),IF(AND(IFERROR(VALUE(IF(TRIM('Scale score'!$B$5&amp;"")="","",IFERROR(TRIM(INDEX($A720:$Z720,MATCH('Scale score'!$B$5,$A$1:$Z$1,0))&amp;""),""))),"")&gt;='Scale score'!$B$6,IFERROR(VALUE(IF(TRIM('Scale score'!$B$5&amp;"")="","",IFERROR(TRIM(INDEX($A720:$Z720,MATCH('Scale score'!$B$5,$A$1:$Z$1,0))&amp;""),""))),"")&lt;='Scale score'!$B$7),IFERROR(VALUE(IF(TRIM('Scale score'!$B$5&amp;"")="","",IFERROR(TRIM(INDEX($A720:$Z720,MATCH('Scale score'!$B$5,$A$1:$Z$1,0))&amp;""),""))),""),""),"")</f>
        <v/>
      </c>
      <c r="AH720" s="41">
        <f>IF(TRIM('Open answers'!$B$5&amp;"")="","",IFERROR(TRIM(INDEX($A720:$Z720,MATCH('Open answers'!$B$5,$A$1:$Z$1,0))&amp;""),""))</f>
        <v/>
      </c>
      <c r="AI720" s="41">
        <f>IF(LEN(AH720)&gt;0,MAX($AI$1:AI719)+1,"")</f>
        <v/>
      </c>
    </row>
    <row r="721">
      <c r="AA721" s="40" t="n"/>
      <c r="AB721" s="41">
        <f>IF(TRIM('Counts'!$B$8&amp;"")="","",IFERROR(TRIM(INDEX($A721:$Z721,MATCH('Counts'!$B$8,$A$1:$Z$1,0))&amp;""),""))</f>
        <v/>
      </c>
      <c r="AC721" s="41">
        <f>IF(TRIM('Counts'!$B$26&amp;"")="","",IFERROR(TRIM(INDEX($A721:$Z721,MATCH('Counts'!$B$26,$A$1:$Z$1,0))&amp;""),""))</f>
        <v/>
      </c>
      <c r="AD721" s="41">
        <f>IF(TRIM('Counts'!$B$44&amp;"")="","",IFERROR(TRIM(INDEX($A721:$Z721,MATCH('Counts'!$B$44,$A$1:$Z$1,0))&amp;""),""))</f>
        <v/>
      </c>
      <c r="AE721" s="41">
        <f>IF(TRIM('Cross-tab'!$B$5&amp;"")="","",IFERROR(TRIM(INDEX($A721:$Z721,MATCH('Cross-tab'!$B$5,$A$1:$Z$1,0))&amp;""),""))</f>
        <v/>
      </c>
      <c r="AF721" s="41">
        <f>IF(TRIM('Cross-tab'!$B$7&amp;"")="","",IFERROR(TRIM(INDEX($A721:$Z721,MATCH('Cross-tab'!$B$7,$A$1:$Z$1,0))&amp;""),""))</f>
        <v/>
      </c>
      <c r="AG721" s="41">
        <f>IF(ISNUMBER(IFERROR(VALUE(IF(TRIM('Scale score'!$B$5&amp;"")="","",IFERROR(TRIM(INDEX($A721:$Z721,MATCH('Scale score'!$B$5,$A$1:$Z$1,0))&amp;""),""))),"")),IF(AND(IFERROR(VALUE(IF(TRIM('Scale score'!$B$5&amp;"")="","",IFERROR(TRIM(INDEX($A721:$Z721,MATCH('Scale score'!$B$5,$A$1:$Z$1,0))&amp;""),""))),"")&gt;='Scale score'!$B$6,IFERROR(VALUE(IF(TRIM('Scale score'!$B$5&amp;"")="","",IFERROR(TRIM(INDEX($A721:$Z721,MATCH('Scale score'!$B$5,$A$1:$Z$1,0))&amp;""),""))),"")&lt;='Scale score'!$B$7),IFERROR(VALUE(IF(TRIM('Scale score'!$B$5&amp;"")="","",IFERROR(TRIM(INDEX($A721:$Z721,MATCH('Scale score'!$B$5,$A$1:$Z$1,0))&amp;""),""))),""),""),"")</f>
        <v/>
      </c>
      <c r="AH721" s="41">
        <f>IF(TRIM('Open answers'!$B$5&amp;"")="","",IFERROR(TRIM(INDEX($A721:$Z721,MATCH('Open answers'!$B$5,$A$1:$Z$1,0))&amp;""),""))</f>
        <v/>
      </c>
      <c r="AI721" s="41">
        <f>IF(LEN(AH721)&gt;0,MAX($AI$1:AI720)+1,"")</f>
        <v/>
      </c>
    </row>
    <row r="722">
      <c r="AA722" s="40" t="n"/>
      <c r="AB722" s="41">
        <f>IF(TRIM('Counts'!$B$8&amp;"")="","",IFERROR(TRIM(INDEX($A722:$Z722,MATCH('Counts'!$B$8,$A$1:$Z$1,0))&amp;""),""))</f>
        <v/>
      </c>
      <c r="AC722" s="41">
        <f>IF(TRIM('Counts'!$B$26&amp;"")="","",IFERROR(TRIM(INDEX($A722:$Z722,MATCH('Counts'!$B$26,$A$1:$Z$1,0))&amp;""),""))</f>
        <v/>
      </c>
      <c r="AD722" s="41">
        <f>IF(TRIM('Counts'!$B$44&amp;"")="","",IFERROR(TRIM(INDEX($A722:$Z722,MATCH('Counts'!$B$44,$A$1:$Z$1,0))&amp;""),""))</f>
        <v/>
      </c>
      <c r="AE722" s="41">
        <f>IF(TRIM('Cross-tab'!$B$5&amp;"")="","",IFERROR(TRIM(INDEX($A722:$Z722,MATCH('Cross-tab'!$B$5,$A$1:$Z$1,0))&amp;""),""))</f>
        <v/>
      </c>
      <c r="AF722" s="41">
        <f>IF(TRIM('Cross-tab'!$B$7&amp;"")="","",IFERROR(TRIM(INDEX($A722:$Z722,MATCH('Cross-tab'!$B$7,$A$1:$Z$1,0))&amp;""),""))</f>
        <v/>
      </c>
      <c r="AG722" s="41">
        <f>IF(ISNUMBER(IFERROR(VALUE(IF(TRIM('Scale score'!$B$5&amp;"")="","",IFERROR(TRIM(INDEX($A722:$Z722,MATCH('Scale score'!$B$5,$A$1:$Z$1,0))&amp;""),""))),"")),IF(AND(IFERROR(VALUE(IF(TRIM('Scale score'!$B$5&amp;"")="","",IFERROR(TRIM(INDEX($A722:$Z722,MATCH('Scale score'!$B$5,$A$1:$Z$1,0))&amp;""),""))),"")&gt;='Scale score'!$B$6,IFERROR(VALUE(IF(TRIM('Scale score'!$B$5&amp;"")="","",IFERROR(TRIM(INDEX($A722:$Z722,MATCH('Scale score'!$B$5,$A$1:$Z$1,0))&amp;""),""))),"")&lt;='Scale score'!$B$7),IFERROR(VALUE(IF(TRIM('Scale score'!$B$5&amp;"")="","",IFERROR(TRIM(INDEX($A722:$Z722,MATCH('Scale score'!$B$5,$A$1:$Z$1,0))&amp;""),""))),""),""),"")</f>
        <v/>
      </c>
      <c r="AH722" s="41">
        <f>IF(TRIM('Open answers'!$B$5&amp;"")="","",IFERROR(TRIM(INDEX($A722:$Z722,MATCH('Open answers'!$B$5,$A$1:$Z$1,0))&amp;""),""))</f>
        <v/>
      </c>
      <c r="AI722" s="41">
        <f>IF(LEN(AH722)&gt;0,MAX($AI$1:AI721)+1,"")</f>
        <v/>
      </c>
    </row>
    <row r="723">
      <c r="AA723" s="40" t="n"/>
      <c r="AB723" s="41">
        <f>IF(TRIM('Counts'!$B$8&amp;"")="","",IFERROR(TRIM(INDEX($A723:$Z723,MATCH('Counts'!$B$8,$A$1:$Z$1,0))&amp;""),""))</f>
        <v/>
      </c>
      <c r="AC723" s="41">
        <f>IF(TRIM('Counts'!$B$26&amp;"")="","",IFERROR(TRIM(INDEX($A723:$Z723,MATCH('Counts'!$B$26,$A$1:$Z$1,0))&amp;""),""))</f>
        <v/>
      </c>
      <c r="AD723" s="41">
        <f>IF(TRIM('Counts'!$B$44&amp;"")="","",IFERROR(TRIM(INDEX($A723:$Z723,MATCH('Counts'!$B$44,$A$1:$Z$1,0))&amp;""),""))</f>
        <v/>
      </c>
      <c r="AE723" s="41">
        <f>IF(TRIM('Cross-tab'!$B$5&amp;"")="","",IFERROR(TRIM(INDEX($A723:$Z723,MATCH('Cross-tab'!$B$5,$A$1:$Z$1,0))&amp;""),""))</f>
        <v/>
      </c>
      <c r="AF723" s="41">
        <f>IF(TRIM('Cross-tab'!$B$7&amp;"")="","",IFERROR(TRIM(INDEX($A723:$Z723,MATCH('Cross-tab'!$B$7,$A$1:$Z$1,0))&amp;""),""))</f>
        <v/>
      </c>
      <c r="AG723" s="41">
        <f>IF(ISNUMBER(IFERROR(VALUE(IF(TRIM('Scale score'!$B$5&amp;"")="","",IFERROR(TRIM(INDEX($A723:$Z723,MATCH('Scale score'!$B$5,$A$1:$Z$1,0))&amp;""),""))),"")),IF(AND(IFERROR(VALUE(IF(TRIM('Scale score'!$B$5&amp;"")="","",IFERROR(TRIM(INDEX($A723:$Z723,MATCH('Scale score'!$B$5,$A$1:$Z$1,0))&amp;""),""))),"")&gt;='Scale score'!$B$6,IFERROR(VALUE(IF(TRIM('Scale score'!$B$5&amp;"")="","",IFERROR(TRIM(INDEX($A723:$Z723,MATCH('Scale score'!$B$5,$A$1:$Z$1,0))&amp;""),""))),"")&lt;='Scale score'!$B$7),IFERROR(VALUE(IF(TRIM('Scale score'!$B$5&amp;"")="","",IFERROR(TRIM(INDEX($A723:$Z723,MATCH('Scale score'!$B$5,$A$1:$Z$1,0))&amp;""),""))),""),""),"")</f>
        <v/>
      </c>
      <c r="AH723" s="41">
        <f>IF(TRIM('Open answers'!$B$5&amp;"")="","",IFERROR(TRIM(INDEX($A723:$Z723,MATCH('Open answers'!$B$5,$A$1:$Z$1,0))&amp;""),""))</f>
        <v/>
      </c>
      <c r="AI723" s="41">
        <f>IF(LEN(AH723)&gt;0,MAX($AI$1:AI722)+1,"")</f>
        <v/>
      </c>
    </row>
    <row r="724">
      <c r="AA724" s="40" t="n"/>
      <c r="AB724" s="41">
        <f>IF(TRIM('Counts'!$B$8&amp;"")="","",IFERROR(TRIM(INDEX($A724:$Z724,MATCH('Counts'!$B$8,$A$1:$Z$1,0))&amp;""),""))</f>
        <v/>
      </c>
      <c r="AC724" s="41">
        <f>IF(TRIM('Counts'!$B$26&amp;"")="","",IFERROR(TRIM(INDEX($A724:$Z724,MATCH('Counts'!$B$26,$A$1:$Z$1,0))&amp;""),""))</f>
        <v/>
      </c>
      <c r="AD724" s="41">
        <f>IF(TRIM('Counts'!$B$44&amp;"")="","",IFERROR(TRIM(INDEX($A724:$Z724,MATCH('Counts'!$B$44,$A$1:$Z$1,0))&amp;""),""))</f>
        <v/>
      </c>
      <c r="AE724" s="41">
        <f>IF(TRIM('Cross-tab'!$B$5&amp;"")="","",IFERROR(TRIM(INDEX($A724:$Z724,MATCH('Cross-tab'!$B$5,$A$1:$Z$1,0))&amp;""),""))</f>
        <v/>
      </c>
      <c r="AF724" s="41">
        <f>IF(TRIM('Cross-tab'!$B$7&amp;"")="","",IFERROR(TRIM(INDEX($A724:$Z724,MATCH('Cross-tab'!$B$7,$A$1:$Z$1,0))&amp;""),""))</f>
        <v/>
      </c>
      <c r="AG724" s="41">
        <f>IF(ISNUMBER(IFERROR(VALUE(IF(TRIM('Scale score'!$B$5&amp;"")="","",IFERROR(TRIM(INDEX($A724:$Z724,MATCH('Scale score'!$B$5,$A$1:$Z$1,0))&amp;""),""))),"")),IF(AND(IFERROR(VALUE(IF(TRIM('Scale score'!$B$5&amp;"")="","",IFERROR(TRIM(INDEX($A724:$Z724,MATCH('Scale score'!$B$5,$A$1:$Z$1,0))&amp;""),""))),"")&gt;='Scale score'!$B$6,IFERROR(VALUE(IF(TRIM('Scale score'!$B$5&amp;"")="","",IFERROR(TRIM(INDEX($A724:$Z724,MATCH('Scale score'!$B$5,$A$1:$Z$1,0))&amp;""),""))),"")&lt;='Scale score'!$B$7),IFERROR(VALUE(IF(TRIM('Scale score'!$B$5&amp;"")="","",IFERROR(TRIM(INDEX($A724:$Z724,MATCH('Scale score'!$B$5,$A$1:$Z$1,0))&amp;""),""))),""),""),"")</f>
        <v/>
      </c>
      <c r="AH724" s="41">
        <f>IF(TRIM('Open answers'!$B$5&amp;"")="","",IFERROR(TRIM(INDEX($A724:$Z724,MATCH('Open answers'!$B$5,$A$1:$Z$1,0))&amp;""),""))</f>
        <v/>
      </c>
      <c r="AI724" s="41">
        <f>IF(LEN(AH724)&gt;0,MAX($AI$1:AI723)+1,"")</f>
        <v/>
      </c>
    </row>
    <row r="725">
      <c r="AA725" s="40" t="n"/>
      <c r="AB725" s="41">
        <f>IF(TRIM('Counts'!$B$8&amp;"")="","",IFERROR(TRIM(INDEX($A725:$Z725,MATCH('Counts'!$B$8,$A$1:$Z$1,0))&amp;""),""))</f>
        <v/>
      </c>
      <c r="AC725" s="41">
        <f>IF(TRIM('Counts'!$B$26&amp;"")="","",IFERROR(TRIM(INDEX($A725:$Z725,MATCH('Counts'!$B$26,$A$1:$Z$1,0))&amp;""),""))</f>
        <v/>
      </c>
      <c r="AD725" s="41">
        <f>IF(TRIM('Counts'!$B$44&amp;"")="","",IFERROR(TRIM(INDEX($A725:$Z725,MATCH('Counts'!$B$44,$A$1:$Z$1,0))&amp;""),""))</f>
        <v/>
      </c>
      <c r="AE725" s="41">
        <f>IF(TRIM('Cross-tab'!$B$5&amp;"")="","",IFERROR(TRIM(INDEX($A725:$Z725,MATCH('Cross-tab'!$B$5,$A$1:$Z$1,0))&amp;""),""))</f>
        <v/>
      </c>
      <c r="AF725" s="41">
        <f>IF(TRIM('Cross-tab'!$B$7&amp;"")="","",IFERROR(TRIM(INDEX($A725:$Z725,MATCH('Cross-tab'!$B$7,$A$1:$Z$1,0))&amp;""),""))</f>
        <v/>
      </c>
      <c r="AG725" s="41">
        <f>IF(ISNUMBER(IFERROR(VALUE(IF(TRIM('Scale score'!$B$5&amp;"")="","",IFERROR(TRIM(INDEX($A725:$Z725,MATCH('Scale score'!$B$5,$A$1:$Z$1,0))&amp;""),""))),"")),IF(AND(IFERROR(VALUE(IF(TRIM('Scale score'!$B$5&amp;"")="","",IFERROR(TRIM(INDEX($A725:$Z725,MATCH('Scale score'!$B$5,$A$1:$Z$1,0))&amp;""),""))),"")&gt;='Scale score'!$B$6,IFERROR(VALUE(IF(TRIM('Scale score'!$B$5&amp;"")="","",IFERROR(TRIM(INDEX($A725:$Z725,MATCH('Scale score'!$B$5,$A$1:$Z$1,0))&amp;""),""))),"")&lt;='Scale score'!$B$7),IFERROR(VALUE(IF(TRIM('Scale score'!$B$5&amp;"")="","",IFERROR(TRIM(INDEX($A725:$Z725,MATCH('Scale score'!$B$5,$A$1:$Z$1,0))&amp;""),""))),""),""),"")</f>
        <v/>
      </c>
      <c r="AH725" s="41">
        <f>IF(TRIM('Open answers'!$B$5&amp;"")="","",IFERROR(TRIM(INDEX($A725:$Z725,MATCH('Open answers'!$B$5,$A$1:$Z$1,0))&amp;""),""))</f>
        <v/>
      </c>
      <c r="AI725" s="41">
        <f>IF(LEN(AH725)&gt;0,MAX($AI$1:AI724)+1,"")</f>
        <v/>
      </c>
    </row>
    <row r="726">
      <c r="AA726" s="40" t="n"/>
      <c r="AB726" s="41">
        <f>IF(TRIM('Counts'!$B$8&amp;"")="","",IFERROR(TRIM(INDEX($A726:$Z726,MATCH('Counts'!$B$8,$A$1:$Z$1,0))&amp;""),""))</f>
        <v/>
      </c>
      <c r="AC726" s="41">
        <f>IF(TRIM('Counts'!$B$26&amp;"")="","",IFERROR(TRIM(INDEX($A726:$Z726,MATCH('Counts'!$B$26,$A$1:$Z$1,0))&amp;""),""))</f>
        <v/>
      </c>
      <c r="AD726" s="41">
        <f>IF(TRIM('Counts'!$B$44&amp;"")="","",IFERROR(TRIM(INDEX($A726:$Z726,MATCH('Counts'!$B$44,$A$1:$Z$1,0))&amp;""),""))</f>
        <v/>
      </c>
      <c r="AE726" s="41">
        <f>IF(TRIM('Cross-tab'!$B$5&amp;"")="","",IFERROR(TRIM(INDEX($A726:$Z726,MATCH('Cross-tab'!$B$5,$A$1:$Z$1,0))&amp;""),""))</f>
        <v/>
      </c>
      <c r="AF726" s="41">
        <f>IF(TRIM('Cross-tab'!$B$7&amp;"")="","",IFERROR(TRIM(INDEX($A726:$Z726,MATCH('Cross-tab'!$B$7,$A$1:$Z$1,0))&amp;""),""))</f>
        <v/>
      </c>
      <c r="AG726" s="41">
        <f>IF(ISNUMBER(IFERROR(VALUE(IF(TRIM('Scale score'!$B$5&amp;"")="","",IFERROR(TRIM(INDEX($A726:$Z726,MATCH('Scale score'!$B$5,$A$1:$Z$1,0))&amp;""),""))),"")),IF(AND(IFERROR(VALUE(IF(TRIM('Scale score'!$B$5&amp;"")="","",IFERROR(TRIM(INDEX($A726:$Z726,MATCH('Scale score'!$B$5,$A$1:$Z$1,0))&amp;""),""))),"")&gt;='Scale score'!$B$6,IFERROR(VALUE(IF(TRIM('Scale score'!$B$5&amp;"")="","",IFERROR(TRIM(INDEX($A726:$Z726,MATCH('Scale score'!$B$5,$A$1:$Z$1,0))&amp;""),""))),"")&lt;='Scale score'!$B$7),IFERROR(VALUE(IF(TRIM('Scale score'!$B$5&amp;"")="","",IFERROR(TRIM(INDEX($A726:$Z726,MATCH('Scale score'!$B$5,$A$1:$Z$1,0))&amp;""),""))),""),""),"")</f>
        <v/>
      </c>
      <c r="AH726" s="41">
        <f>IF(TRIM('Open answers'!$B$5&amp;"")="","",IFERROR(TRIM(INDEX($A726:$Z726,MATCH('Open answers'!$B$5,$A$1:$Z$1,0))&amp;""),""))</f>
        <v/>
      </c>
      <c r="AI726" s="41">
        <f>IF(LEN(AH726)&gt;0,MAX($AI$1:AI725)+1,"")</f>
        <v/>
      </c>
    </row>
    <row r="727">
      <c r="AA727" s="40" t="n"/>
      <c r="AB727" s="41">
        <f>IF(TRIM('Counts'!$B$8&amp;"")="","",IFERROR(TRIM(INDEX($A727:$Z727,MATCH('Counts'!$B$8,$A$1:$Z$1,0))&amp;""),""))</f>
        <v/>
      </c>
      <c r="AC727" s="41">
        <f>IF(TRIM('Counts'!$B$26&amp;"")="","",IFERROR(TRIM(INDEX($A727:$Z727,MATCH('Counts'!$B$26,$A$1:$Z$1,0))&amp;""),""))</f>
        <v/>
      </c>
      <c r="AD727" s="41">
        <f>IF(TRIM('Counts'!$B$44&amp;"")="","",IFERROR(TRIM(INDEX($A727:$Z727,MATCH('Counts'!$B$44,$A$1:$Z$1,0))&amp;""),""))</f>
        <v/>
      </c>
      <c r="AE727" s="41">
        <f>IF(TRIM('Cross-tab'!$B$5&amp;"")="","",IFERROR(TRIM(INDEX($A727:$Z727,MATCH('Cross-tab'!$B$5,$A$1:$Z$1,0))&amp;""),""))</f>
        <v/>
      </c>
      <c r="AF727" s="41">
        <f>IF(TRIM('Cross-tab'!$B$7&amp;"")="","",IFERROR(TRIM(INDEX($A727:$Z727,MATCH('Cross-tab'!$B$7,$A$1:$Z$1,0))&amp;""),""))</f>
        <v/>
      </c>
      <c r="AG727" s="41">
        <f>IF(ISNUMBER(IFERROR(VALUE(IF(TRIM('Scale score'!$B$5&amp;"")="","",IFERROR(TRIM(INDEX($A727:$Z727,MATCH('Scale score'!$B$5,$A$1:$Z$1,0))&amp;""),""))),"")),IF(AND(IFERROR(VALUE(IF(TRIM('Scale score'!$B$5&amp;"")="","",IFERROR(TRIM(INDEX($A727:$Z727,MATCH('Scale score'!$B$5,$A$1:$Z$1,0))&amp;""),""))),"")&gt;='Scale score'!$B$6,IFERROR(VALUE(IF(TRIM('Scale score'!$B$5&amp;"")="","",IFERROR(TRIM(INDEX($A727:$Z727,MATCH('Scale score'!$B$5,$A$1:$Z$1,0))&amp;""),""))),"")&lt;='Scale score'!$B$7),IFERROR(VALUE(IF(TRIM('Scale score'!$B$5&amp;"")="","",IFERROR(TRIM(INDEX($A727:$Z727,MATCH('Scale score'!$B$5,$A$1:$Z$1,0))&amp;""),""))),""),""),"")</f>
        <v/>
      </c>
      <c r="AH727" s="41">
        <f>IF(TRIM('Open answers'!$B$5&amp;"")="","",IFERROR(TRIM(INDEX($A727:$Z727,MATCH('Open answers'!$B$5,$A$1:$Z$1,0))&amp;""),""))</f>
        <v/>
      </c>
      <c r="AI727" s="41">
        <f>IF(LEN(AH727)&gt;0,MAX($AI$1:AI726)+1,"")</f>
        <v/>
      </c>
    </row>
    <row r="728">
      <c r="AA728" s="40" t="n"/>
      <c r="AB728" s="41">
        <f>IF(TRIM('Counts'!$B$8&amp;"")="","",IFERROR(TRIM(INDEX($A728:$Z728,MATCH('Counts'!$B$8,$A$1:$Z$1,0))&amp;""),""))</f>
        <v/>
      </c>
      <c r="AC728" s="41">
        <f>IF(TRIM('Counts'!$B$26&amp;"")="","",IFERROR(TRIM(INDEX($A728:$Z728,MATCH('Counts'!$B$26,$A$1:$Z$1,0))&amp;""),""))</f>
        <v/>
      </c>
      <c r="AD728" s="41">
        <f>IF(TRIM('Counts'!$B$44&amp;"")="","",IFERROR(TRIM(INDEX($A728:$Z728,MATCH('Counts'!$B$44,$A$1:$Z$1,0))&amp;""),""))</f>
        <v/>
      </c>
      <c r="AE728" s="41">
        <f>IF(TRIM('Cross-tab'!$B$5&amp;"")="","",IFERROR(TRIM(INDEX($A728:$Z728,MATCH('Cross-tab'!$B$5,$A$1:$Z$1,0))&amp;""),""))</f>
        <v/>
      </c>
      <c r="AF728" s="41">
        <f>IF(TRIM('Cross-tab'!$B$7&amp;"")="","",IFERROR(TRIM(INDEX($A728:$Z728,MATCH('Cross-tab'!$B$7,$A$1:$Z$1,0))&amp;""),""))</f>
        <v/>
      </c>
      <c r="AG728" s="41">
        <f>IF(ISNUMBER(IFERROR(VALUE(IF(TRIM('Scale score'!$B$5&amp;"")="","",IFERROR(TRIM(INDEX($A728:$Z728,MATCH('Scale score'!$B$5,$A$1:$Z$1,0))&amp;""),""))),"")),IF(AND(IFERROR(VALUE(IF(TRIM('Scale score'!$B$5&amp;"")="","",IFERROR(TRIM(INDEX($A728:$Z728,MATCH('Scale score'!$B$5,$A$1:$Z$1,0))&amp;""),""))),"")&gt;='Scale score'!$B$6,IFERROR(VALUE(IF(TRIM('Scale score'!$B$5&amp;"")="","",IFERROR(TRIM(INDEX($A728:$Z728,MATCH('Scale score'!$B$5,$A$1:$Z$1,0))&amp;""),""))),"")&lt;='Scale score'!$B$7),IFERROR(VALUE(IF(TRIM('Scale score'!$B$5&amp;"")="","",IFERROR(TRIM(INDEX($A728:$Z728,MATCH('Scale score'!$B$5,$A$1:$Z$1,0))&amp;""),""))),""),""),"")</f>
        <v/>
      </c>
      <c r="AH728" s="41">
        <f>IF(TRIM('Open answers'!$B$5&amp;"")="","",IFERROR(TRIM(INDEX($A728:$Z728,MATCH('Open answers'!$B$5,$A$1:$Z$1,0))&amp;""),""))</f>
        <v/>
      </c>
      <c r="AI728" s="41">
        <f>IF(LEN(AH728)&gt;0,MAX($AI$1:AI727)+1,"")</f>
        <v/>
      </c>
    </row>
    <row r="729">
      <c r="AA729" s="40" t="n"/>
      <c r="AB729" s="41">
        <f>IF(TRIM('Counts'!$B$8&amp;"")="","",IFERROR(TRIM(INDEX($A729:$Z729,MATCH('Counts'!$B$8,$A$1:$Z$1,0))&amp;""),""))</f>
        <v/>
      </c>
      <c r="AC729" s="41">
        <f>IF(TRIM('Counts'!$B$26&amp;"")="","",IFERROR(TRIM(INDEX($A729:$Z729,MATCH('Counts'!$B$26,$A$1:$Z$1,0))&amp;""),""))</f>
        <v/>
      </c>
      <c r="AD729" s="41">
        <f>IF(TRIM('Counts'!$B$44&amp;"")="","",IFERROR(TRIM(INDEX($A729:$Z729,MATCH('Counts'!$B$44,$A$1:$Z$1,0))&amp;""),""))</f>
        <v/>
      </c>
      <c r="AE729" s="41">
        <f>IF(TRIM('Cross-tab'!$B$5&amp;"")="","",IFERROR(TRIM(INDEX($A729:$Z729,MATCH('Cross-tab'!$B$5,$A$1:$Z$1,0))&amp;""),""))</f>
        <v/>
      </c>
      <c r="AF729" s="41">
        <f>IF(TRIM('Cross-tab'!$B$7&amp;"")="","",IFERROR(TRIM(INDEX($A729:$Z729,MATCH('Cross-tab'!$B$7,$A$1:$Z$1,0))&amp;""),""))</f>
        <v/>
      </c>
      <c r="AG729" s="41">
        <f>IF(ISNUMBER(IFERROR(VALUE(IF(TRIM('Scale score'!$B$5&amp;"")="","",IFERROR(TRIM(INDEX($A729:$Z729,MATCH('Scale score'!$B$5,$A$1:$Z$1,0))&amp;""),""))),"")),IF(AND(IFERROR(VALUE(IF(TRIM('Scale score'!$B$5&amp;"")="","",IFERROR(TRIM(INDEX($A729:$Z729,MATCH('Scale score'!$B$5,$A$1:$Z$1,0))&amp;""),""))),"")&gt;='Scale score'!$B$6,IFERROR(VALUE(IF(TRIM('Scale score'!$B$5&amp;"")="","",IFERROR(TRIM(INDEX($A729:$Z729,MATCH('Scale score'!$B$5,$A$1:$Z$1,0))&amp;""),""))),"")&lt;='Scale score'!$B$7),IFERROR(VALUE(IF(TRIM('Scale score'!$B$5&amp;"")="","",IFERROR(TRIM(INDEX($A729:$Z729,MATCH('Scale score'!$B$5,$A$1:$Z$1,0))&amp;""),""))),""),""),"")</f>
        <v/>
      </c>
      <c r="AH729" s="41">
        <f>IF(TRIM('Open answers'!$B$5&amp;"")="","",IFERROR(TRIM(INDEX($A729:$Z729,MATCH('Open answers'!$B$5,$A$1:$Z$1,0))&amp;""),""))</f>
        <v/>
      </c>
      <c r="AI729" s="41">
        <f>IF(LEN(AH729)&gt;0,MAX($AI$1:AI728)+1,"")</f>
        <v/>
      </c>
    </row>
    <row r="730">
      <c r="AA730" s="40" t="n"/>
      <c r="AB730" s="41">
        <f>IF(TRIM('Counts'!$B$8&amp;"")="","",IFERROR(TRIM(INDEX($A730:$Z730,MATCH('Counts'!$B$8,$A$1:$Z$1,0))&amp;""),""))</f>
        <v/>
      </c>
      <c r="AC730" s="41">
        <f>IF(TRIM('Counts'!$B$26&amp;"")="","",IFERROR(TRIM(INDEX($A730:$Z730,MATCH('Counts'!$B$26,$A$1:$Z$1,0))&amp;""),""))</f>
        <v/>
      </c>
      <c r="AD730" s="41">
        <f>IF(TRIM('Counts'!$B$44&amp;"")="","",IFERROR(TRIM(INDEX($A730:$Z730,MATCH('Counts'!$B$44,$A$1:$Z$1,0))&amp;""),""))</f>
        <v/>
      </c>
      <c r="AE730" s="41">
        <f>IF(TRIM('Cross-tab'!$B$5&amp;"")="","",IFERROR(TRIM(INDEX($A730:$Z730,MATCH('Cross-tab'!$B$5,$A$1:$Z$1,0))&amp;""),""))</f>
        <v/>
      </c>
      <c r="AF730" s="41">
        <f>IF(TRIM('Cross-tab'!$B$7&amp;"")="","",IFERROR(TRIM(INDEX($A730:$Z730,MATCH('Cross-tab'!$B$7,$A$1:$Z$1,0))&amp;""),""))</f>
        <v/>
      </c>
      <c r="AG730" s="41">
        <f>IF(ISNUMBER(IFERROR(VALUE(IF(TRIM('Scale score'!$B$5&amp;"")="","",IFERROR(TRIM(INDEX($A730:$Z730,MATCH('Scale score'!$B$5,$A$1:$Z$1,0))&amp;""),""))),"")),IF(AND(IFERROR(VALUE(IF(TRIM('Scale score'!$B$5&amp;"")="","",IFERROR(TRIM(INDEX($A730:$Z730,MATCH('Scale score'!$B$5,$A$1:$Z$1,0))&amp;""),""))),"")&gt;='Scale score'!$B$6,IFERROR(VALUE(IF(TRIM('Scale score'!$B$5&amp;"")="","",IFERROR(TRIM(INDEX($A730:$Z730,MATCH('Scale score'!$B$5,$A$1:$Z$1,0))&amp;""),""))),"")&lt;='Scale score'!$B$7),IFERROR(VALUE(IF(TRIM('Scale score'!$B$5&amp;"")="","",IFERROR(TRIM(INDEX($A730:$Z730,MATCH('Scale score'!$B$5,$A$1:$Z$1,0))&amp;""),""))),""),""),"")</f>
        <v/>
      </c>
      <c r="AH730" s="41">
        <f>IF(TRIM('Open answers'!$B$5&amp;"")="","",IFERROR(TRIM(INDEX($A730:$Z730,MATCH('Open answers'!$B$5,$A$1:$Z$1,0))&amp;""),""))</f>
        <v/>
      </c>
      <c r="AI730" s="41">
        <f>IF(LEN(AH730)&gt;0,MAX($AI$1:AI729)+1,"")</f>
        <v/>
      </c>
    </row>
    <row r="731">
      <c r="AA731" s="40" t="n"/>
      <c r="AB731" s="41">
        <f>IF(TRIM('Counts'!$B$8&amp;"")="","",IFERROR(TRIM(INDEX($A731:$Z731,MATCH('Counts'!$B$8,$A$1:$Z$1,0))&amp;""),""))</f>
        <v/>
      </c>
      <c r="AC731" s="41">
        <f>IF(TRIM('Counts'!$B$26&amp;"")="","",IFERROR(TRIM(INDEX($A731:$Z731,MATCH('Counts'!$B$26,$A$1:$Z$1,0))&amp;""),""))</f>
        <v/>
      </c>
      <c r="AD731" s="41">
        <f>IF(TRIM('Counts'!$B$44&amp;"")="","",IFERROR(TRIM(INDEX($A731:$Z731,MATCH('Counts'!$B$44,$A$1:$Z$1,0))&amp;""),""))</f>
        <v/>
      </c>
      <c r="AE731" s="41">
        <f>IF(TRIM('Cross-tab'!$B$5&amp;"")="","",IFERROR(TRIM(INDEX($A731:$Z731,MATCH('Cross-tab'!$B$5,$A$1:$Z$1,0))&amp;""),""))</f>
        <v/>
      </c>
      <c r="AF731" s="41">
        <f>IF(TRIM('Cross-tab'!$B$7&amp;"")="","",IFERROR(TRIM(INDEX($A731:$Z731,MATCH('Cross-tab'!$B$7,$A$1:$Z$1,0))&amp;""),""))</f>
        <v/>
      </c>
      <c r="AG731" s="41">
        <f>IF(ISNUMBER(IFERROR(VALUE(IF(TRIM('Scale score'!$B$5&amp;"")="","",IFERROR(TRIM(INDEX($A731:$Z731,MATCH('Scale score'!$B$5,$A$1:$Z$1,0))&amp;""),""))),"")),IF(AND(IFERROR(VALUE(IF(TRIM('Scale score'!$B$5&amp;"")="","",IFERROR(TRIM(INDEX($A731:$Z731,MATCH('Scale score'!$B$5,$A$1:$Z$1,0))&amp;""),""))),"")&gt;='Scale score'!$B$6,IFERROR(VALUE(IF(TRIM('Scale score'!$B$5&amp;"")="","",IFERROR(TRIM(INDEX($A731:$Z731,MATCH('Scale score'!$B$5,$A$1:$Z$1,0))&amp;""),""))),"")&lt;='Scale score'!$B$7),IFERROR(VALUE(IF(TRIM('Scale score'!$B$5&amp;"")="","",IFERROR(TRIM(INDEX($A731:$Z731,MATCH('Scale score'!$B$5,$A$1:$Z$1,0))&amp;""),""))),""),""),"")</f>
        <v/>
      </c>
      <c r="AH731" s="41">
        <f>IF(TRIM('Open answers'!$B$5&amp;"")="","",IFERROR(TRIM(INDEX($A731:$Z731,MATCH('Open answers'!$B$5,$A$1:$Z$1,0))&amp;""),""))</f>
        <v/>
      </c>
      <c r="AI731" s="41">
        <f>IF(LEN(AH731)&gt;0,MAX($AI$1:AI730)+1,"")</f>
        <v/>
      </c>
    </row>
    <row r="732">
      <c r="AA732" s="40" t="n"/>
      <c r="AB732" s="41">
        <f>IF(TRIM('Counts'!$B$8&amp;"")="","",IFERROR(TRIM(INDEX($A732:$Z732,MATCH('Counts'!$B$8,$A$1:$Z$1,0))&amp;""),""))</f>
        <v/>
      </c>
      <c r="AC732" s="41">
        <f>IF(TRIM('Counts'!$B$26&amp;"")="","",IFERROR(TRIM(INDEX($A732:$Z732,MATCH('Counts'!$B$26,$A$1:$Z$1,0))&amp;""),""))</f>
        <v/>
      </c>
      <c r="AD732" s="41">
        <f>IF(TRIM('Counts'!$B$44&amp;"")="","",IFERROR(TRIM(INDEX($A732:$Z732,MATCH('Counts'!$B$44,$A$1:$Z$1,0))&amp;""),""))</f>
        <v/>
      </c>
      <c r="AE732" s="41">
        <f>IF(TRIM('Cross-tab'!$B$5&amp;"")="","",IFERROR(TRIM(INDEX($A732:$Z732,MATCH('Cross-tab'!$B$5,$A$1:$Z$1,0))&amp;""),""))</f>
        <v/>
      </c>
      <c r="AF732" s="41">
        <f>IF(TRIM('Cross-tab'!$B$7&amp;"")="","",IFERROR(TRIM(INDEX($A732:$Z732,MATCH('Cross-tab'!$B$7,$A$1:$Z$1,0))&amp;""),""))</f>
        <v/>
      </c>
      <c r="AG732" s="41">
        <f>IF(ISNUMBER(IFERROR(VALUE(IF(TRIM('Scale score'!$B$5&amp;"")="","",IFERROR(TRIM(INDEX($A732:$Z732,MATCH('Scale score'!$B$5,$A$1:$Z$1,0))&amp;""),""))),"")),IF(AND(IFERROR(VALUE(IF(TRIM('Scale score'!$B$5&amp;"")="","",IFERROR(TRIM(INDEX($A732:$Z732,MATCH('Scale score'!$B$5,$A$1:$Z$1,0))&amp;""),""))),"")&gt;='Scale score'!$B$6,IFERROR(VALUE(IF(TRIM('Scale score'!$B$5&amp;"")="","",IFERROR(TRIM(INDEX($A732:$Z732,MATCH('Scale score'!$B$5,$A$1:$Z$1,0))&amp;""),""))),"")&lt;='Scale score'!$B$7),IFERROR(VALUE(IF(TRIM('Scale score'!$B$5&amp;"")="","",IFERROR(TRIM(INDEX($A732:$Z732,MATCH('Scale score'!$B$5,$A$1:$Z$1,0))&amp;""),""))),""),""),"")</f>
        <v/>
      </c>
      <c r="AH732" s="41">
        <f>IF(TRIM('Open answers'!$B$5&amp;"")="","",IFERROR(TRIM(INDEX($A732:$Z732,MATCH('Open answers'!$B$5,$A$1:$Z$1,0))&amp;""),""))</f>
        <v/>
      </c>
      <c r="AI732" s="41">
        <f>IF(LEN(AH732)&gt;0,MAX($AI$1:AI731)+1,"")</f>
        <v/>
      </c>
    </row>
    <row r="733">
      <c r="AA733" s="40" t="n"/>
      <c r="AB733" s="41">
        <f>IF(TRIM('Counts'!$B$8&amp;"")="","",IFERROR(TRIM(INDEX($A733:$Z733,MATCH('Counts'!$B$8,$A$1:$Z$1,0))&amp;""),""))</f>
        <v/>
      </c>
      <c r="AC733" s="41">
        <f>IF(TRIM('Counts'!$B$26&amp;"")="","",IFERROR(TRIM(INDEX($A733:$Z733,MATCH('Counts'!$B$26,$A$1:$Z$1,0))&amp;""),""))</f>
        <v/>
      </c>
      <c r="AD733" s="41">
        <f>IF(TRIM('Counts'!$B$44&amp;"")="","",IFERROR(TRIM(INDEX($A733:$Z733,MATCH('Counts'!$B$44,$A$1:$Z$1,0))&amp;""),""))</f>
        <v/>
      </c>
      <c r="AE733" s="41">
        <f>IF(TRIM('Cross-tab'!$B$5&amp;"")="","",IFERROR(TRIM(INDEX($A733:$Z733,MATCH('Cross-tab'!$B$5,$A$1:$Z$1,0))&amp;""),""))</f>
        <v/>
      </c>
      <c r="AF733" s="41">
        <f>IF(TRIM('Cross-tab'!$B$7&amp;"")="","",IFERROR(TRIM(INDEX($A733:$Z733,MATCH('Cross-tab'!$B$7,$A$1:$Z$1,0))&amp;""),""))</f>
        <v/>
      </c>
      <c r="AG733" s="41">
        <f>IF(ISNUMBER(IFERROR(VALUE(IF(TRIM('Scale score'!$B$5&amp;"")="","",IFERROR(TRIM(INDEX($A733:$Z733,MATCH('Scale score'!$B$5,$A$1:$Z$1,0))&amp;""),""))),"")),IF(AND(IFERROR(VALUE(IF(TRIM('Scale score'!$B$5&amp;"")="","",IFERROR(TRIM(INDEX($A733:$Z733,MATCH('Scale score'!$B$5,$A$1:$Z$1,0))&amp;""),""))),"")&gt;='Scale score'!$B$6,IFERROR(VALUE(IF(TRIM('Scale score'!$B$5&amp;"")="","",IFERROR(TRIM(INDEX($A733:$Z733,MATCH('Scale score'!$B$5,$A$1:$Z$1,0))&amp;""),""))),"")&lt;='Scale score'!$B$7),IFERROR(VALUE(IF(TRIM('Scale score'!$B$5&amp;"")="","",IFERROR(TRIM(INDEX($A733:$Z733,MATCH('Scale score'!$B$5,$A$1:$Z$1,0))&amp;""),""))),""),""),"")</f>
        <v/>
      </c>
      <c r="AH733" s="41">
        <f>IF(TRIM('Open answers'!$B$5&amp;"")="","",IFERROR(TRIM(INDEX($A733:$Z733,MATCH('Open answers'!$B$5,$A$1:$Z$1,0))&amp;""),""))</f>
        <v/>
      </c>
      <c r="AI733" s="41">
        <f>IF(LEN(AH733)&gt;0,MAX($AI$1:AI732)+1,"")</f>
        <v/>
      </c>
    </row>
    <row r="734">
      <c r="AA734" s="40" t="n"/>
      <c r="AB734" s="41">
        <f>IF(TRIM('Counts'!$B$8&amp;"")="","",IFERROR(TRIM(INDEX($A734:$Z734,MATCH('Counts'!$B$8,$A$1:$Z$1,0))&amp;""),""))</f>
        <v/>
      </c>
      <c r="AC734" s="41">
        <f>IF(TRIM('Counts'!$B$26&amp;"")="","",IFERROR(TRIM(INDEX($A734:$Z734,MATCH('Counts'!$B$26,$A$1:$Z$1,0))&amp;""),""))</f>
        <v/>
      </c>
      <c r="AD734" s="41">
        <f>IF(TRIM('Counts'!$B$44&amp;"")="","",IFERROR(TRIM(INDEX($A734:$Z734,MATCH('Counts'!$B$44,$A$1:$Z$1,0))&amp;""),""))</f>
        <v/>
      </c>
      <c r="AE734" s="41">
        <f>IF(TRIM('Cross-tab'!$B$5&amp;"")="","",IFERROR(TRIM(INDEX($A734:$Z734,MATCH('Cross-tab'!$B$5,$A$1:$Z$1,0))&amp;""),""))</f>
        <v/>
      </c>
      <c r="AF734" s="41">
        <f>IF(TRIM('Cross-tab'!$B$7&amp;"")="","",IFERROR(TRIM(INDEX($A734:$Z734,MATCH('Cross-tab'!$B$7,$A$1:$Z$1,0))&amp;""),""))</f>
        <v/>
      </c>
      <c r="AG734" s="41">
        <f>IF(ISNUMBER(IFERROR(VALUE(IF(TRIM('Scale score'!$B$5&amp;"")="","",IFERROR(TRIM(INDEX($A734:$Z734,MATCH('Scale score'!$B$5,$A$1:$Z$1,0))&amp;""),""))),"")),IF(AND(IFERROR(VALUE(IF(TRIM('Scale score'!$B$5&amp;"")="","",IFERROR(TRIM(INDEX($A734:$Z734,MATCH('Scale score'!$B$5,$A$1:$Z$1,0))&amp;""),""))),"")&gt;='Scale score'!$B$6,IFERROR(VALUE(IF(TRIM('Scale score'!$B$5&amp;"")="","",IFERROR(TRIM(INDEX($A734:$Z734,MATCH('Scale score'!$B$5,$A$1:$Z$1,0))&amp;""),""))),"")&lt;='Scale score'!$B$7),IFERROR(VALUE(IF(TRIM('Scale score'!$B$5&amp;"")="","",IFERROR(TRIM(INDEX($A734:$Z734,MATCH('Scale score'!$B$5,$A$1:$Z$1,0))&amp;""),""))),""),""),"")</f>
        <v/>
      </c>
      <c r="AH734" s="41">
        <f>IF(TRIM('Open answers'!$B$5&amp;"")="","",IFERROR(TRIM(INDEX($A734:$Z734,MATCH('Open answers'!$B$5,$A$1:$Z$1,0))&amp;""),""))</f>
        <v/>
      </c>
      <c r="AI734" s="41">
        <f>IF(LEN(AH734)&gt;0,MAX($AI$1:AI733)+1,"")</f>
        <v/>
      </c>
    </row>
    <row r="735">
      <c r="AA735" s="40" t="n"/>
      <c r="AB735" s="41">
        <f>IF(TRIM('Counts'!$B$8&amp;"")="","",IFERROR(TRIM(INDEX($A735:$Z735,MATCH('Counts'!$B$8,$A$1:$Z$1,0))&amp;""),""))</f>
        <v/>
      </c>
      <c r="AC735" s="41">
        <f>IF(TRIM('Counts'!$B$26&amp;"")="","",IFERROR(TRIM(INDEX($A735:$Z735,MATCH('Counts'!$B$26,$A$1:$Z$1,0))&amp;""),""))</f>
        <v/>
      </c>
      <c r="AD735" s="41">
        <f>IF(TRIM('Counts'!$B$44&amp;"")="","",IFERROR(TRIM(INDEX($A735:$Z735,MATCH('Counts'!$B$44,$A$1:$Z$1,0))&amp;""),""))</f>
        <v/>
      </c>
      <c r="AE735" s="41">
        <f>IF(TRIM('Cross-tab'!$B$5&amp;"")="","",IFERROR(TRIM(INDEX($A735:$Z735,MATCH('Cross-tab'!$B$5,$A$1:$Z$1,0))&amp;""),""))</f>
        <v/>
      </c>
      <c r="AF735" s="41">
        <f>IF(TRIM('Cross-tab'!$B$7&amp;"")="","",IFERROR(TRIM(INDEX($A735:$Z735,MATCH('Cross-tab'!$B$7,$A$1:$Z$1,0))&amp;""),""))</f>
        <v/>
      </c>
      <c r="AG735" s="41">
        <f>IF(ISNUMBER(IFERROR(VALUE(IF(TRIM('Scale score'!$B$5&amp;"")="","",IFERROR(TRIM(INDEX($A735:$Z735,MATCH('Scale score'!$B$5,$A$1:$Z$1,0))&amp;""),""))),"")),IF(AND(IFERROR(VALUE(IF(TRIM('Scale score'!$B$5&amp;"")="","",IFERROR(TRIM(INDEX($A735:$Z735,MATCH('Scale score'!$B$5,$A$1:$Z$1,0))&amp;""),""))),"")&gt;='Scale score'!$B$6,IFERROR(VALUE(IF(TRIM('Scale score'!$B$5&amp;"")="","",IFERROR(TRIM(INDEX($A735:$Z735,MATCH('Scale score'!$B$5,$A$1:$Z$1,0))&amp;""),""))),"")&lt;='Scale score'!$B$7),IFERROR(VALUE(IF(TRIM('Scale score'!$B$5&amp;"")="","",IFERROR(TRIM(INDEX($A735:$Z735,MATCH('Scale score'!$B$5,$A$1:$Z$1,0))&amp;""),""))),""),""),"")</f>
        <v/>
      </c>
      <c r="AH735" s="41">
        <f>IF(TRIM('Open answers'!$B$5&amp;"")="","",IFERROR(TRIM(INDEX($A735:$Z735,MATCH('Open answers'!$B$5,$A$1:$Z$1,0))&amp;""),""))</f>
        <v/>
      </c>
      <c r="AI735" s="41">
        <f>IF(LEN(AH735)&gt;0,MAX($AI$1:AI734)+1,"")</f>
        <v/>
      </c>
    </row>
    <row r="736">
      <c r="AA736" s="40" t="n"/>
      <c r="AB736" s="41">
        <f>IF(TRIM('Counts'!$B$8&amp;"")="","",IFERROR(TRIM(INDEX($A736:$Z736,MATCH('Counts'!$B$8,$A$1:$Z$1,0))&amp;""),""))</f>
        <v/>
      </c>
      <c r="AC736" s="41">
        <f>IF(TRIM('Counts'!$B$26&amp;"")="","",IFERROR(TRIM(INDEX($A736:$Z736,MATCH('Counts'!$B$26,$A$1:$Z$1,0))&amp;""),""))</f>
        <v/>
      </c>
      <c r="AD736" s="41">
        <f>IF(TRIM('Counts'!$B$44&amp;"")="","",IFERROR(TRIM(INDEX($A736:$Z736,MATCH('Counts'!$B$44,$A$1:$Z$1,0))&amp;""),""))</f>
        <v/>
      </c>
      <c r="AE736" s="41">
        <f>IF(TRIM('Cross-tab'!$B$5&amp;"")="","",IFERROR(TRIM(INDEX($A736:$Z736,MATCH('Cross-tab'!$B$5,$A$1:$Z$1,0))&amp;""),""))</f>
        <v/>
      </c>
      <c r="AF736" s="41">
        <f>IF(TRIM('Cross-tab'!$B$7&amp;"")="","",IFERROR(TRIM(INDEX($A736:$Z736,MATCH('Cross-tab'!$B$7,$A$1:$Z$1,0))&amp;""),""))</f>
        <v/>
      </c>
      <c r="AG736" s="41">
        <f>IF(ISNUMBER(IFERROR(VALUE(IF(TRIM('Scale score'!$B$5&amp;"")="","",IFERROR(TRIM(INDEX($A736:$Z736,MATCH('Scale score'!$B$5,$A$1:$Z$1,0))&amp;""),""))),"")),IF(AND(IFERROR(VALUE(IF(TRIM('Scale score'!$B$5&amp;"")="","",IFERROR(TRIM(INDEX($A736:$Z736,MATCH('Scale score'!$B$5,$A$1:$Z$1,0))&amp;""),""))),"")&gt;='Scale score'!$B$6,IFERROR(VALUE(IF(TRIM('Scale score'!$B$5&amp;"")="","",IFERROR(TRIM(INDEX($A736:$Z736,MATCH('Scale score'!$B$5,$A$1:$Z$1,0))&amp;""),""))),"")&lt;='Scale score'!$B$7),IFERROR(VALUE(IF(TRIM('Scale score'!$B$5&amp;"")="","",IFERROR(TRIM(INDEX($A736:$Z736,MATCH('Scale score'!$B$5,$A$1:$Z$1,0))&amp;""),""))),""),""),"")</f>
        <v/>
      </c>
      <c r="AH736" s="41">
        <f>IF(TRIM('Open answers'!$B$5&amp;"")="","",IFERROR(TRIM(INDEX($A736:$Z736,MATCH('Open answers'!$B$5,$A$1:$Z$1,0))&amp;""),""))</f>
        <v/>
      </c>
      <c r="AI736" s="41">
        <f>IF(LEN(AH736)&gt;0,MAX($AI$1:AI735)+1,"")</f>
        <v/>
      </c>
    </row>
    <row r="737">
      <c r="AA737" s="40" t="n"/>
      <c r="AB737" s="41">
        <f>IF(TRIM('Counts'!$B$8&amp;"")="","",IFERROR(TRIM(INDEX($A737:$Z737,MATCH('Counts'!$B$8,$A$1:$Z$1,0))&amp;""),""))</f>
        <v/>
      </c>
      <c r="AC737" s="41">
        <f>IF(TRIM('Counts'!$B$26&amp;"")="","",IFERROR(TRIM(INDEX($A737:$Z737,MATCH('Counts'!$B$26,$A$1:$Z$1,0))&amp;""),""))</f>
        <v/>
      </c>
      <c r="AD737" s="41">
        <f>IF(TRIM('Counts'!$B$44&amp;"")="","",IFERROR(TRIM(INDEX($A737:$Z737,MATCH('Counts'!$B$44,$A$1:$Z$1,0))&amp;""),""))</f>
        <v/>
      </c>
      <c r="AE737" s="41">
        <f>IF(TRIM('Cross-tab'!$B$5&amp;"")="","",IFERROR(TRIM(INDEX($A737:$Z737,MATCH('Cross-tab'!$B$5,$A$1:$Z$1,0))&amp;""),""))</f>
        <v/>
      </c>
      <c r="AF737" s="41">
        <f>IF(TRIM('Cross-tab'!$B$7&amp;"")="","",IFERROR(TRIM(INDEX($A737:$Z737,MATCH('Cross-tab'!$B$7,$A$1:$Z$1,0))&amp;""),""))</f>
        <v/>
      </c>
      <c r="AG737" s="41">
        <f>IF(ISNUMBER(IFERROR(VALUE(IF(TRIM('Scale score'!$B$5&amp;"")="","",IFERROR(TRIM(INDEX($A737:$Z737,MATCH('Scale score'!$B$5,$A$1:$Z$1,0))&amp;""),""))),"")),IF(AND(IFERROR(VALUE(IF(TRIM('Scale score'!$B$5&amp;"")="","",IFERROR(TRIM(INDEX($A737:$Z737,MATCH('Scale score'!$B$5,$A$1:$Z$1,0))&amp;""),""))),"")&gt;='Scale score'!$B$6,IFERROR(VALUE(IF(TRIM('Scale score'!$B$5&amp;"")="","",IFERROR(TRIM(INDEX($A737:$Z737,MATCH('Scale score'!$B$5,$A$1:$Z$1,0))&amp;""),""))),"")&lt;='Scale score'!$B$7),IFERROR(VALUE(IF(TRIM('Scale score'!$B$5&amp;"")="","",IFERROR(TRIM(INDEX($A737:$Z737,MATCH('Scale score'!$B$5,$A$1:$Z$1,0))&amp;""),""))),""),""),"")</f>
        <v/>
      </c>
      <c r="AH737" s="41">
        <f>IF(TRIM('Open answers'!$B$5&amp;"")="","",IFERROR(TRIM(INDEX($A737:$Z737,MATCH('Open answers'!$B$5,$A$1:$Z$1,0))&amp;""),""))</f>
        <v/>
      </c>
      <c r="AI737" s="41">
        <f>IF(LEN(AH737)&gt;0,MAX($AI$1:AI736)+1,"")</f>
        <v/>
      </c>
    </row>
    <row r="738">
      <c r="AA738" s="40" t="n"/>
      <c r="AB738" s="41">
        <f>IF(TRIM('Counts'!$B$8&amp;"")="","",IFERROR(TRIM(INDEX($A738:$Z738,MATCH('Counts'!$B$8,$A$1:$Z$1,0))&amp;""),""))</f>
        <v/>
      </c>
      <c r="AC738" s="41">
        <f>IF(TRIM('Counts'!$B$26&amp;"")="","",IFERROR(TRIM(INDEX($A738:$Z738,MATCH('Counts'!$B$26,$A$1:$Z$1,0))&amp;""),""))</f>
        <v/>
      </c>
      <c r="AD738" s="41">
        <f>IF(TRIM('Counts'!$B$44&amp;"")="","",IFERROR(TRIM(INDEX($A738:$Z738,MATCH('Counts'!$B$44,$A$1:$Z$1,0))&amp;""),""))</f>
        <v/>
      </c>
      <c r="AE738" s="41">
        <f>IF(TRIM('Cross-tab'!$B$5&amp;"")="","",IFERROR(TRIM(INDEX($A738:$Z738,MATCH('Cross-tab'!$B$5,$A$1:$Z$1,0))&amp;""),""))</f>
        <v/>
      </c>
      <c r="AF738" s="41">
        <f>IF(TRIM('Cross-tab'!$B$7&amp;"")="","",IFERROR(TRIM(INDEX($A738:$Z738,MATCH('Cross-tab'!$B$7,$A$1:$Z$1,0))&amp;""),""))</f>
        <v/>
      </c>
      <c r="AG738" s="41">
        <f>IF(ISNUMBER(IFERROR(VALUE(IF(TRIM('Scale score'!$B$5&amp;"")="","",IFERROR(TRIM(INDEX($A738:$Z738,MATCH('Scale score'!$B$5,$A$1:$Z$1,0))&amp;""),""))),"")),IF(AND(IFERROR(VALUE(IF(TRIM('Scale score'!$B$5&amp;"")="","",IFERROR(TRIM(INDEX($A738:$Z738,MATCH('Scale score'!$B$5,$A$1:$Z$1,0))&amp;""),""))),"")&gt;='Scale score'!$B$6,IFERROR(VALUE(IF(TRIM('Scale score'!$B$5&amp;"")="","",IFERROR(TRIM(INDEX($A738:$Z738,MATCH('Scale score'!$B$5,$A$1:$Z$1,0))&amp;""),""))),"")&lt;='Scale score'!$B$7),IFERROR(VALUE(IF(TRIM('Scale score'!$B$5&amp;"")="","",IFERROR(TRIM(INDEX($A738:$Z738,MATCH('Scale score'!$B$5,$A$1:$Z$1,0))&amp;""),""))),""),""),"")</f>
        <v/>
      </c>
      <c r="AH738" s="41">
        <f>IF(TRIM('Open answers'!$B$5&amp;"")="","",IFERROR(TRIM(INDEX($A738:$Z738,MATCH('Open answers'!$B$5,$A$1:$Z$1,0))&amp;""),""))</f>
        <v/>
      </c>
      <c r="AI738" s="41">
        <f>IF(LEN(AH738)&gt;0,MAX($AI$1:AI737)+1,"")</f>
        <v/>
      </c>
    </row>
    <row r="739">
      <c r="AA739" s="40" t="n"/>
      <c r="AB739" s="41">
        <f>IF(TRIM('Counts'!$B$8&amp;"")="","",IFERROR(TRIM(INDEX($A739:$Z739,MATCH('Counts'!$B$8,$A$1:$Z$1,0))&amp;""),""))</f>
        <v/>
      </c>
      <c r="AC739" s="41">
        <f>IF(TRIM('Counts'!$B$26&amp;"")="","",IFERROR(TRIM(INDEX($A739:$Z739,MATCH('Counts'!$B$26,$A$1:$Z$1,0))&amp;""),""))</f>
        <v/>
      </c>
      <c r="AD739" s="41">
        <f>IF(TRIM('Counts'!$B$44&amp;"")="","",IFERROR(TRIM(INDEX($A739:$Z739,MATCH('Counts'!$B$44,$A$1:$Z$1,0))&amp;""),""))</f>
        <v/>
      </c>
      <c r="AE739" s="41">
        <f>IF(TRIM('Cross-tab'!$B$5&amp;"")="","",IFERROR(TRIM(INDEX($A739:$Z739,MATCH('Cross-tab'!$B$5,$A$1:$Z$1,0))&amp;""),""))</f>
        <v/>
      </c>
      <c r="AF739" s="41">
        <f>IF(TRIM('Cross-tab'!$B$7&amp;"")="","",IFERROR(TRIM(INDEX($A739:$Z739,MATCH('Cross-tab'!$B$7,$A$1:$Z$1,0))&amp;""),""))</f>
        <v/>
      </c>
      <c r="AG739" s="41">
        <f>IF(ISNUMBER(IFERROR(VALUE(IF(TRIM('Scale score'!$B$5&amp;"")="","",IFERROR(TRIM(INDEX($A739:$Z739,MATCH('Scale score'!$B$5,$A$1:$Z$1,0))&amp;""),""))),"")),IF(AND(IFERROR(VALUE(IF(TRIM('Scale score'!$B$5&amp;"")="","",IFERROR(TRIM(INDEX($A739:$Z739,MATCH('Scale score'!$B$5,$A$1:$Z$1,0))&amp;""),""))),"")&gt;='Scale score'!$B$6,IFERROR(VALUE(IF(TRIM('Scale score'!$B$5&amp;"")="","",IFERROR(TRIM(INDEX($A739:$Z739,MATCH('Scale score'!$B$5,$A$1:$Z$1,0))&amp;""),""))),"")&lt;='Scale score'!$B$7),IFERROR(VALUE(IF(TRIM('Scale score'!$B$5&amp;"")="","",IFERROR(TRIM(INDEX($A739:$Z739,MATCH('Scale score'!$B$5,$A$1:$Z$1,0))&amp;""),""))),""),""),"")</f>
        <v/>
      </c>
      <c r="AH739" s="41">
        <f>IF(TRIM('Open answers'!$B$5&amp;"")="","",IFERROR(TRIM(INDEX($A739:$Z739,MATCH('Open answers'!$B$5,$A$1:$Z$1,0))&amp;""),""))</f>
        <v/>
      </c>
      <c r="AI739" s="41">
        <f>IF(LEN(AH739)&gt;0,MAX($AI$1:AI738)+1,"")</f>
        <v/>
      </c>
    </row>
    <row r="740">
      <c r="AA740" s="40" t="n"/>
      <c r="AB740" s="41">
        <f>IF(TRIM('Counts'!$B$8&amp;"")="","",IFERROR(TRIM(INDEX($A740:$Z740,MATCH('Counts'!$B$8,$A$1:$Z$1,0))&amp;""),""))</f>
        <v/>
      </c>
      <c r="AC740" s="41">
        <f>IF(TRIM('Counts'!$B$26&amp;"")="","",IFERROR(TRIM(INDEX($A740:$Z740,MATCH('Counts'!$B$26,$A$1:$Z$1,0))&amp;""),""))</f>
        <v/>
      </c>
      <c r="AD740" s="41">
        <f>IF(TRIM('Counts'!$B$44&amp;"")="","",IFERROR(TRIM(INDEX($A740:$Z740,MATCH('Counts'!$B$44,$A$1:$Z$1,0))&amp;""),""))</f>
        <v/>
      </c>
      <c r="AE740" s="41">
        <f>IF(TRIM('Cross-tab'!$B$5&amp;"")="","",IFERROR(TRIM(INDEX($A740:$Z740,MATCH('Cross-tab'!$B$5,$A$1:$Z$1,0))&amp;""),""))</f>
        <v/>
      </c>
      <c r="AF740" s="41">
        <f>IF(TRIM('Cross-tab'!$B$7&amp;"")="","",IFERROR(TRIM(INDEX($A740:$Z740,MATCH('Cross-tab'!$B$7,$A$1:$Z$1,0))&amp;""),""))</f>
        <v/>
      </c>
      <c r="AG740" s="41">
        <f>IF(ISNUMBER(IFERROR(VALUE(IF(TRIM('Scale score'!$B$5&amp;"")="","",IFERROR(TRIM(INDEX($A740:$Z740,MATCH('Scale score'!$B$5,$A$1:$Z$1,0))&amp;""),""))),"")),IF(AND(IFERROR(VALUE(IF(TRIM('Scale score'!$B$5&amp;"")="","",IFERROR(TRIM(INDEX($A740:$Z740,MATCH('Scale score'!$B$5,$A$1:$Z$1,0))&amp;""),""))),"")&gt;='Scale score'!$B$6,IFERROR(VALUE(IF(TRIM('Scale score'!$B$5&amp;"")="","",IFERROR(TRIM(INDEX($A740:$Z740,MATCH('Scale score'!$B$5,$A$1:$Z$1,0))&amp;""),""))),"")&lt;='Scale score'!$B$7),IFERROR(VALUE(IF(TRIM('Scale score'!$B$5&amp;"")="","",IFERROR(TRIM(INDEX($A740:$Z740,MATCH('Scale score'!$B$5,$A$1:$Z$1,0))&amp;""),""))),""),""),"")</f>
        <v/>
      </c>
      <c r="AH740" s="41">
        <f>IF(TRIM('Open answers'!$B$5&amp;"")="","",IFERROR(TRIM(INDEX($A740:$Z740,MATCH('Open answers'!$B$5,$A$1:$Z$1,0))&amp;""),""))</f>
        <v/>
      </c>
      <c r="AI740" s="41">
        <f>IF(LEN(AH740)&gt;0,MAX($AI$1:AI739)+1,"")</f>
        <v/>
      </c>
    </row>
    <row r="741">
      <c r="AA741" s="40" t="n"/>
      <c r="AB741" s="41">
        <f>IF(TRIM('Counts'!$B$8&amp;"")="","",IFERROR(TRIM(INDEX($A741:$Z741,MATCH('Counts'!$B$8,$A$1:$Z$1,0))&amp;""),""))</f>
        <v/>
      </c>
      <c r="AC741" s="41">
        <f>IF(TRIM('Counts'!$B$26&amp;"")="","",IFERROR(TRIM(INDEX($A741:$Z741,MATCH('Counts'!$B$26,$A$1:$Z$1,0))&amp;""),""))</f>
        <v/>
      </c>
      <c r="AD741" s="41">
        <f>IF(TRIM('Counts'!$B$44&amp;"")="","",IFERROR(TRIM(INDEX($A741:$Z741,MATCH('Counts'!$B$44,$A$1:$Z$1,0))&amp;""),""))</f>
        <v/>
      </c>
      <c r="AE741" s="41">
        <f>IF(TRIM('Cross-tab'!$B$5&amp;"")="","",IFERROR(TRIM(INDEX($A741:$Z741,MATCH('Cross-tab'!$B$5,$A$1:$Z$1,0))&amp;""),""))</f>
        <v/>
      </c>
      <c r="AF741" s="41">
        <f>IF(TRIM('Cross-tab'!$B$7&amp;"")="","",IFERROR(TRIM(INDEX($A741:$Z741,MATCH('Cross-tab'!$B$7,$A$1:$Z$1,0))&amp;""),""))</f>
        <v/>
      </c>
      <c r="AG741" s="41">
        <f>IF(ISNUMBER(IFERROR(VALUE(IF(TRIM('Scale score'!$B$5&amp;"")="","",IFERROR(TRIM(INDEX($A741:$Z741,MATCH('Scale score'!$B$5,$A$1:$Z$1,0))&amp;""),""))),"")),IF(AND(IFERROR(VALUE(IF(TRIM('Scale score'!$B$5&amp;"")="","",IFERROR(TRIM(INDEX($A741:$Z741,MATCH('Scale score'!$B$5,$A$1:$Z$1,0))&amp;""),""))),"")&gt;='Scale score'!$B$6,IFERROR(VALUE(IF(TRIM('Scale score'!$B$5&amp;"")="","",IFERROR(TRIM(INDEX($A741:$Z741,MATCH('Scale score'!$B$5,$A$1:$Z$1,0))&amp;""),""))),"")&lt;='Scale score'!$B$7),IFERROR(VALUE(IF(TRIM('Scale score'!$B$5&amp;"")="","",IFERROR(TRIM(INDEX($A741:$Z741,MATCH('Scale score'!$B$5,$A$1:$Z$1,0))&amp;""),""))),""),""),"")</f>
        <v/>
      </c>
      <c r="AH741" s="41">
        <f>IF(TRIM('Open answers'!$B$5&amp;"")="","",IFERROR(TRIM(INDEX($A741:$Z741,MATCH('Open answers'!$B$5,$A$1:$Z$1,0))&amp;""),""))</f>
        <v/>
      </c>
      <c r="AI741" s="41">
        <f>IF(LEN(AH741)&gt;0,MAX($AI$1:AI740)+1,"")</f>
        <v/>
      </c>
    </row>
    <row r="742">
      <c r="AA742" s="40" t="n"/>
      <c r="AB742" s="41">
        <f>IF(TRIM('Counts'!$B$8&amp;"")="","",IFERROR(TRIM(INDEX($A742:$Z742,MATCH('Counts'!$B$8,$A$1:$Z$1,0))&amp;""),""))</f>
        <v/>
      </c>
      <c r="AC742" s="41">
        <f>IF(TRIM('Counts'!$B$26&amp;"")="","",IFERROR(TRIM(INDEX($A742:$Z742,MATCH('Counts'!$B$26,$A$1:$Z$1,0))&amp;""),""))</f>
        <v/>
      </c>
      <c r="AD742" s="41">
        <f>IF(TRIM('Counts'!$B$44&amp;"")="","",IFERROR(TRIM(INDEX($A742:$Z742,MATCH('Counts'!$B$44,$A$1:$Z$1,0))&amp;""),""))</f>
        <v/>
      </c>
      <c r="AE742" s="41">
        <f>IF(TRIM('Cross-tab'!$B$5&amp;"")="","",IFERROR(TRIM(INDEX($A742:$Z742,MATCH('Cross-tab'!$B$5,$A$1:$Z$1,0))&amp;""),""))</f>
        <v/>
      </c>
      <c r="AF742" s="41">
        <f>IF(TRIM('Cross-tab'!$B$7&amp;"")="","",IFERROR(TRIM(INDEX($A742:$Z742,MATCH('Cross-tab'!$B$7,$A$1:$Z$1,0))&amp;""),""))</f>
        <v/>
      </c>
      <c r="AG742" s="41">
        <f>IF(ISNUMBER(IFERROR(VALUE(IF(TRIM('Scale score'!$B$5&amp;"")="","",IFERROR(TRIM(INDEX($A742:$Z742,MATCH('Scale score'!$B$5,$A$1:$Z$1,0))&amp;""),""))),"")),IF(AND(IFERROR(VALUE(IF(TRIM('Scale score'!$B$5&amp;"")="","",IFERROR(TRIM(INDEX($A742:$Z742,MATCH('Scale score'!$B$5,$A$1:$Z$1,0))&amp;""),""))),"")&gt;='Scale score'!$B$6,IFERROR(VALUE(IF(TRIM('Scale score'!$B$5&amp;"")="","",IFERROR(TRIM(INDEX($A742:$Z742,MATCH('Scale score'!$B$5,$A$1:$Z$1,0))&amp;""),""))),"")&lt;='Scale score'!$B$7),IFERROR(VALUE(IF(TRIM('Scale score'!$B$5&amp;"")="","",IFERROR(TRIM(INDEX($A742:$Z742,MATCH('Scale score'!$B$5,$A$1:$Z$1,0))&amp;""),""))),""),""),"")</f>
        <v/>
      </c>
      <c r="AH742" s="41">
        <f>IF(TRIM('Open answers'!$B$5&amp;"")="","",IFERROR(TRIM(INDEX($A742:$Z742,MATCH('Open answers'!$B$5,$A$1:$Z$1,0))&amp;""),""))</f>
        <v/>
      </c>
      <c r="AI742" s="41">
        <f>IF(LEN(AH742)&gt;0,MAX($AI$1:AI741)+1,"")</f>
        <v/>
      </c>
    </row>
    <row r="743">
      <c r="AA743" s="40" t="n"/>
      <c r="AB743" s="41">
        <f>IF(TRIM('Counts'!$B$8&amp;"")="","",IFERROR(TRIM(INDEX($A743:$Z743,MATCH('Counts'!$B$8,$A$1:$Z$1,0))&amp;""),""))</f>
        <v/>
      </c>
      <c r="AC743" s="41">
        <f>IF(TRIM('Counts'!$B$26&amp;"")="","",IFERROR(TRIM(INDEX($A743:$Z743,MATCH('Counts'!$B$26,$A$1:$Z$1,0))&amp;""),""))</f>
        <v/>
      </c>
      <c r="AD743" s="41">
        <f>IF(TRIM('Counts'!$B$44&amp;"")="","",IFERROR(TRIM(INDEX($A743:$Z743,MATCH('Counts'!$B$44,$A$1:$Z$1,0))&amp;""),""))</f>
        <v/>
      </c>
      <c r="AE743" s="41">
        <f>IF(TRIM('Cross-tab'!$B$5&amp;"")="","",IFERROR(TRIM(INDEX($A743:$Z743,MATCH('Cross-tab'!$B$5,$A$1:$Z$1,0))&amp;""),""))</f>
        <v/>
      </c>
      <c r="AF743" s="41">
        <f>IF(TRIM('Cross-tab'!$B$7&amp;"")="","",IFERROR(TRIM(INDEX($A743:$Z743,MATCH('Cross-tab'!$B$7,$A$1:$Z$1,0))&amp;""),""))</f>
        <v/>
      </c>
      <c r="AG743" s="41">
        <f>IF(ISNUMBER(IFERROR(VALUE(IF(TRIM('Scale score'!$B$5&amp;"")="","",IFERROR(TRIM(INDEX($A743:$Z743,MATCH('Scale score'!$B$5,$A$1:$Z$1,0))&amp;""),""))),"")),IF(AND(IFERROR(VALUE(IF(TRIM('Scale score'!$B$5&amp;"")="","",IFERROR(TRIM(INDEX($A743:$Z743,MATCH('Scale score'!$B$5,$A$1:$Z$1,0))&amp;""),""))),"")&gt;='Scale score'!$B$6,IFERROR(VALUE(IF(TRIM('Scale score'!$B$5&amp;"")="","",IFERROR(TRIM(INDEX($A743:$Z743,MATCH('Scale score'!$B$5,$A$1:$Z$1,0))&amp;""),""))),"")&lt;='Scale score'!$B$7),IFERROR(VALUE(IF(TRIM('Scale score'!$B$5&amp;"")="","",IFERROR(TRIM(INDEX($A743:$Z743,MATCH('Scale score'!$B$5,$A$1:$Z$1,0))&amp;""),""))),""),""),"")</f>
        <v/>
      </c>
      <c r="AH743" s="41">
        <f>IF(TRIM('Open answers'!$B$5&amp;"")="","",IFERROR(TRIM(INDEX($A743:$Z743,MATCH('Open answers'!$B$5,$A$1:$Z$1,0))&amp;""),""))</f>
        <v/>
      </c>
      <c r="AI743" s="41">
        <f>IF(LEN(AH743)&gt;0,MAX($AI$1:AI742)+1,"")</f>
        <v/>
      </c>
    </row>
    <row r="744">
      <c r="AA744" s="40" t="n"/>
      <c r="AB744" s="41">
        <f>IF(TRIM('Counts'!$B$8&amp;"")="","",IFERROR(TRIM(INDEX($A744:$Z744,MATCH('Counts'!$B$8,$A$1:$Z$1,0))&amp;""),""))</f>
        <v/>
      </c>
      <c r="AC744" s="41">
        <f>IF(TRIM('Counts'!$B$26&amp;"")="","",IFERROR(TRIM(INDEX($A744:$Z744,MATCH('Counts'!$B$26,$A$1:$Z$1,0))&amp;""),""))</f>
        <v/>
      </c>
      <c r="AD744" s="41">
        <f>IF(TRIM('Counts'!$B$44&amp;"")="","",IFERROR(TRIM(INDEX($A744:$Z744,MATCH('Counts'!$B$44,$A$1:$Z$1,0))&amp;""),""))</f>
        <v/>
      </c>
      <c r="AE744" s="41">
        <f>IF(TRIM('Cross-tab'!$B$5&amp;"")="","",IFERROR(TRIM(INDEX($A744:$Z744,MATCH('Cross-tab'!$B$5,$A$1:$Z$1,0))&amp;""),""))</f>
        <v/>
      </c>
      <c r="AF744" s="41">
        <f>IF(TRIM('Cross-tab'!$B$7&amp;"")="","",IFERROR(TRIM(INDEX($A744:$Z744,MATCH('Cross-tab'!$B$7,$A$1:$Z$1,0))&amp;""),""))</f>
        <v/>
      </c>
      <c r="AG744" s="41">
        <f>IF(ISNUMBER(IFERROR(VALUE(IF(TRIM('Scale score'!$B$5&amp;"")="","",IFERROR(TRIM(INDEX($A744:$Z744,MATCH('Scale score'!$B$5,$A$1:$Z$1,0))&amp;""),""))),"")),IF(AND(IFERROR(VALUE(IF(TRIM('Scale score'!$B$5&amp;"")="","",IFERROR(TRIM(INDEX($A744:$Z744,MATCH('Scale score'!$B$5,$A$1:$Z$1,0))&amp;""),""))),"")&gt;='Scale score'!$B$6,IFERROR(VALUE(IF(TRIM('Scale score'!$B$5&amp;"")="","",IFERROR(TRIM(INDEX($A744:$Z744,MATCH('Scale score'!$B$5,$A$1:$Z$1,0))&amp;""),""))),"")&lt;='Scale score'!$B$7),IFERROR(VALUE(IF(TRIM('Scale score'!$B$5&amp;"")="","",IFERROR(TRIM(INDEX($A744:$Z744,MATCH('Scale score'!$B$5,$A$1:$Z$1,0))&amp;""),""))),""),""),"")</f>
        <v/>
      </c>
      <c r="AH744" s="41">
        <f>IF(TRIM('Open answers'!$B$5&amp;"")="","",IFERROR(TRIM(INDEX($A744:$Z744,MATCH('Open answers'!$B$5,$A$1:$Z$1,0))&amp;""),""))</f>
        <v/>
      </c>
      <c r="AI744" s="41">
        <f>IF(LEN(AH744)&gt;0,MAX($AI$1:AI743)+1,"")</f>
        <v/>
      </c>
    </row>
    <row r="745">
      <c r="AA745" s="40" t="n"/>
      <c r="AB745" s="41">
        <f>IF(TRIM('Counts'!$B$8&amp;"")="","",IFERROR(TRIM(INDEX($A745:$Z745,MATCH('Counts'!$B$8,$A$1:$Z$1,0))&amp;""),""))</f>
        <v/>
      </c>
      <c r="AC745" s="41">
        <f>IF(TRIM('Counts'!$B$26&amp;"")="","",IFERROR(TRIM(INDEX($A745:$Z745,MATCH('Counts'!$B$26,$A$1:$Z$1,0))&amp;""),""))</f>
        <v/>
      </c>
      <c r="AD745" s="41">
        <f>IF(TRIM('Counts'!$B$44&amp;"")="","",IFERROR(TRIM(INDEX($A745:$Z745,MATCH('Counts'!$B$44,$A$1:$Z$1,0))&amp;""),""))</f>
        <v/>
      </c>
      <c r="AE745" s="41">
        <f>IF(TRIM('Cross-tab'!$B$5&amp;"")="","",IFERROR(TRIM(INDEX($A745:$Z745,MATCH('Cross-tab'!$B$5,$A$1:$Z$1,0))&amp;""),""))</f>
        <v/>
      </c>
      <c r="AF745" s="41">
        <f>IF(TRIM('Cross-tab'!$B$7&amp;"")="","",IFERROR(TRIM(INDEX($A745:$Z745,MATCH('Cross-tab'!$B$7,$A$1:$Z$1,0))&amp;""),""))</f>
        <v/>
      </c>
      <c r="AG745" s="41">
        <f>IF(ISNUMBER(IFERROR(VALUE(IF(TRIM('Scale score'!$B$5&amp;"")="","",IFERROR(TRIM(INDEX($A745:$Z745,MATCH('Scale score'!$B$5,$A$1:$Z$1,0))&amp;""),""))),"")),IF(AND(IFERROR(VALUE(IF(TRIM('Scale score'!$B$5&amp;"")="","",IFERROR(TRIM(INDEX($A745:$Z745,MATCH('Scale score'!$B$5,$A$1:$Z$1,0))&amp;""),""))),"")&gt;='Scale score'!$B$6,IFERROR(VALUE(IF(TRIM('Scale score'!$B$5&amp;"")="","",IFERROR(TRIM(INDEX($A745:$Z745,MATCH('Scale score'!$B$5,$A$1:$Z$1,0))&amp;""),""))),"")&lt;='Scale score'!$B$7),IFERROR(VALUE(IF(TRIM('Scale score'!$B$5&amp;"")="","",IFERROR(TRIM(INDEX($A745:$Z745,MATCH('Scale score'!$B$5,$A$1:$Z$1,0))&amp;""),""))),""),""),"")</f>
        <v/>
      </c>
      <c r="AH745" s="41">
        <f>IF(TRIM('Open answers'!$B$5&amp;"")="","",IFERROR(TRIM(INDEX($A745:$Z745,MATCH('Open answers'!$B$5,$A$1:$Z$1,0))&amp;""),""))</f>
        <v/>
      </c>
      <c r="AI745" s="41">
        <f>IF(LEN(AH745)&gt;0,MAX($AI$1:AI744)+1,"")</f>
        <v/>
      </c>
    </row>
    <row r="746">
      <c r="AA746" s="40" t="n"/>
      <c r="AB746" s="41">
        <f>IF(TRIM('Counts'!$B$8&amp;"")="","",IFERROR(TRIM(INDEX($A746:$Z746,MATCH('Counts'!$B$8,$A$1:$Z$1,0))&amp;""),""))</f>
        <v/>
      </c>
      <c r="AC746" s="41">
        <f>IF(TRIM('Counts'!$B$26&amp;"")="","",IFERROR(TRIM(INDEX($A746:$Z746,MATCH('Counts'!$B$26,$A$1:$Z$1,0))&amp;""),""))</f>
        <v/>
      </c>
      <c r="AD746" s="41">
        <f>IF(TRIM('Counts'!$B$44&amp;"")="","",IFERROR(TRIM(INDEX($A746:$Z746,MATCH('Counts'!$B$44,$A$1:$Z$1,0))&amp;""),""))</f>
        <v/>
      </c>
      <c r="AE746" s="41">
        <f>IF(TRIM('Cross-tab'!$B$5&amp;"")="","",IFERROR(TRIM(INDEX($A746:$Z746,MATCH('Cross-tab'!$B$5,$A$1:$Z$1,0))&amp;""),""))</f>
        <v/>
      </c>
      <c r="AF746" s="41">
        <f>IF(TRIM('Cross-tab'!$B$7&amp;"")="","",IFERROR(TRIM(INDEX($A746:$Z746,MATCH('Cross-tab'!$B$7,$A$1:$Z$1,0))&amp;""),""))</f>
        <v/>
      </c>
      <c r="AG746" s="41">
        <f>IF(ISNUMBER(IFERROR(VALUE(IF(TRIM('Scale score'!$B$5&amp;"")="","",IFERROR(TRIM(INDEX($A746:$Z746,MATCH('Scale score'!$B$5,$A$1:$Z$1,0))&amp;""),""))),"")),IF(AND(IFERROR(VALUE(IF(TRIM('Scale score'!$B$5&amp;"")="","",IFERROR(TRIM(INDEX($A746:$Z746,MATCH('Scale score'!$B$5,$A$1:$Z$1,0))&amp;""),""))),"")&gt;='Scale score'!$B$6,IFERROR(VALUE(IF(TRIM('Scale score'!$B$5&amp;"")="","",IFERROR(TRIM(INDEX($A746:$Z746,MATCH('Scale score'!$B$5,$A$1:$Z$1,0))&amp;""),""))),"")&lt;='Scale score'!$B$7),IFERROR(VALUE(IF(TRIM('Scale score'!$B$5&amp;"")="","",IFERROR(TRIM(INDEX($A746:$Z746,MATCH('Scale score'!$B$5,$A$1:$Z$1,0))&amp;""),""))),""),""),"")</f>
        <v/>
      </c>
      <c r="AH746" s="41">
        <f>IF(TRIM('Open answers'!$B$5&amp;"")="","",IFERROR(TRIM(INDEX($A746:$Z746,MATCH('Open answers'!$B$5,$A$1:$Z$1,0))&amp;""),""))</f>
        <v/>
      </c>
      <c r="AI746" s="41">
        <f>IF(LEN(AH746)&gt;0,MAX($AI$1:AI745)+1,"")</f>
        <v/>
      </c>
    </row>
    <row r="747">
      <c r="AA747" s="40" t="n"/>
      <c r="AB747" s="41">
        <f>IF(TRIM('Counts'!$B$8&amp;"")="","",IFERROR(TRIM(INDEX($A747:$Z747,MATCH('Counts'!$B$8,$A$1:$Z$1,0))&amp;""),""))</f>
        <v/>
      </c>
      <c r="AC747" s="41">
        <f>IF(TRIM('Counts'!$B$26&amp;"")="","",IFERROR(TRIM(INDEX($A747:$Z747,MATCH('Counts'!$B$26,$A$1:$Z$1,0))&amp;""),""))</f>
        <v/>
      </c>
      <c r="AD747" s="41">
        <f>IF(TRIM('Counts'!$B$44&amp;"")="","",IFERROR(TRIM(INDEX($A747:$Z747,MATCH('Counts'!$B$44,$A$1:$Z$1,0))&amp;""),""))</f>
        <v/>
      </c>
      <c r="AE747" s="41">
        <f>IF(TRIM('Cross-tab'!$B$5&amp;"")="","",IFERROR(TRIM(INDEX($A747:$Z747,MATCH('Cross-tab'!$B$5,$A$1:$Z$1,0))&amp;""),""))</f>
        <v/>
      </c>
      <c r="AF747" s="41">
        <f>IF(TRIM('Cross-tab'!$B$7&amp;"")="","",IFERROR(TRIM(INDEX($A747:$Z747,MATCH('Cross-tab'!$B$7,$A$1:$Z$1,0))&amp;""),""))</f>
        <v/>
      </c>
      <c r="AG747" s="41">
        <f>IF(ISNUMBER(IFERROR(VALUE(IF(TRIM('Scale score'!$B$5&amp;"")="","",IFERROR(TRIM(INDEX($A747:$Z747,MATCH('Scale score'!$B$5,$A$1:$Z$1,0))&amp;""),""))),"")),IF(AND(IFERROR(VALUE(IF(TRIM('Scale score'!$B$5&amp;"")="","",IFERROR(TRIM(INDEX($A747:$Z747,MATCH('Scale score'!$B$5,$A$1:$Z$1,0))&amp;""),""))),"")&gt;='Scale score'!$B$6,IFERROR(VALUE(IF(TRIM('Scale score'!$B$5&amp;"")="","",IFERROR(TRIM(INDEX($A747:$Z747,MATCH('Scale score'!$B$5,$A$1:$Z$1,0))&amp;""),""))),"")&lt;='Scale score'!$B$7),IFERROR(VALUE(IF(TRIM('Scale score'!$B$5&amp;"")="","",IFERROR(TRIM(INDEX($A747:$Z747,MATCH('Scale score'!$B$5,$A$1:$Z$1,0))&amp;""),""))),""),""),"")</f>
        <v/>
      </c>
      <c r="AH747" s="41">
        <f>IF(TRIM('Open answers'!$B$5&amp;"")="","",IFERROR(TRIM(INDEX($A747:$Z747,MATCH('Open answers'!$B$5,$A$1:$Z$1,0))&amp;""),""))</f>
        <v/>
      </c>
      <c r="AI747" s="41">
        <f>IF(LEN(AH747)&gt;0,MAX($AI$1:AI746)+1,"")</f>
        <v/>
      </c>
    </row>
    <row r="748">
      <c r="AA748" s="40" t="n"/>
      <c r="AB748" s="41">
        <f>IF(TRIM('Counts'!$B$8&amp;"")="","",IFERROR(TRIM(INDEX($A748:$Z748,MATCH('Counts'!$B$8,$A$1:$Z$1,0))&amp;""),""))</f>
        <v/>
      </c>
      <c r="AC748" s="41">
        <f>IF(TRIM('Counts'!$B$26&amp;"")="","",IFERROR(TRIM(INDEX($A748:$Z748,MATCH('Counts'!$B$26,$A$1:$Z$1,0))&amp;""),""))</f>
        <v/>
      </c>
      <c r="AD748" s="41">
        <f>IF(TRIM('Counts'!$B$44&amp;"")="","",IFERROR(TRIM(INDEX($A748:$Z748,MATCH('Counts'!$B$44,$A$1:$Z$1,0))&amp;""),""))</f>
        <v/>
      </c>
      <c r="AE748" s="41">
        <f>IF(TRIM('Cross-tab'!$B$5&amp;"")="","",IFERROR(TRIM(INDEX($A748:$Z748,MATCH('Cross-tab'!$B$5,$A$1:$Z$1,0))&amp;""),""))</f>
        <v/>
      </c>
      <c r="AF748" s="41">
        <f>IF(TRIM('Cross-tab'!$B$7&amp;"")="","",IFERROR(TRIM(INDEX($A748:$Z748,MATCH('Cross-tab'!$B$7,$A$1:$Z$1,0))&amp;""),""))</f>
        <v/>
      </c>
      <c r="AG748" s="41">
        <f>IF(ISNUMBER(IFERROR(VALUE(IF(TRIM('Scale score'!$B$5&amp;"")="","",IFERROR(TRIM(INDEX($A748:$Z748,MATCH('Scale score'!$B$5,$A$1:$Z$1,0))&amp;""),""))),"")),IF(AND(IFERROR(VALUE(IF(TRIM('Scale score'!$B$5&amp;"")="","",IFERROR(TRIM(INDEX($A748:$Z748,MATCH('Scale score'!$B$5,$A$1:$Z$1,0))&amp;""),""))),"")&gt;='Scale score'!$B$6,IFERROR(VALUE(IF(TRIM('Scale score'!$B$5&amp;"")="","",IFERROR(TRIM(INDEX($A748:$Z748,MATCH('Scale score'!$B$5,$A$1:$Z$1,0))&amp;""),""))),"")&lt;='Scale score'!$B$7),IFERROR(VALUE(IF(TRIM('Scale score'!$B$5&amp;"")="","",IFERROR(TRIM(INDEX($A748:$Z748,MATCH('Scale score'!$B$5,$A$1:$Z$1,0))&amp;""),""))),""),""),"")</f>
        <v/>
      </c>
      <c r="AH748" s="41">
        <f>IF(TRIM('Open answers'!$B$5&amp;"")="","",IFERROR(TRIM(INDEX($A748:$Z748,MATCH('Open answers'!$B$5,$A$1:$Z$1,0))&amp;""),""))</f>
        <v/>
      </c>
      <c r="AI748" s="41">
        <f>IF(LEN(AH748)&gt;0,MAX($AI$1:AI747)+1,"")</f>
        <v/>
      </c>
    </row>
    <row r="749">
      <c r="AA749" s="40" t="n"/>
      <c r="AB749" s="41">
        <f>IF(TRIM('Counts'!$B$8&amp;"")="","",IFERROR(TRIM(INDEX($A749:$Z749,MATCH('Counts'!$B$8,$A$1:$Z$1,0))&amp;""),""))</f>
        <v/>
      </c>
      <c r="AC749" s="41">
        <f>IF(TRIM('Counts'!$B$26&amp;"")="","",IFERROR(TRIM(INDEX($A749:$Z749,MATCH('Counts'!$B$26,$A$1:$Z$1,0))&amp;""),""))</f>
        <v/>
      </c>
      <c r="AD749" s="41">
        <f>IF(TRIM('Counts'!$B$44&amp;"")="","",IFERROR(TRIM(INDEX($A749:$Z749,MATCH('Counts'!$B$44,$A$1:$Z$1,0))&amp;""),""))</f>
        <v/>
      </c>
      <c r="AE749" s="41">
        <f>IF(TRIM('Cross-tab'!$B$5&amp;"")="","",IFERROR(TRIM(INDEX($A749:$Z749,MATCH('Cross-tab'!$B$5,$A$1:$Z$1,0))&amp;""),""))</f>
        <v/>
      </c>
      <c r="AF749" s="41">
        <f>IF(TRIM('Cross-tab'!$B$7&amp;"")="","",IFERROR(TRIM(INDEX($A749:$Z749,MATCH('Cross-tab'!$B$7,$A$1:$Z$1,0))&amp;""),""))</f>
        <v/>
      </c>
      <c r="AG749" s="41">
        <f>IF(ISNUMBER(IFERROR(VALUE(IF(TRIM('Scale score'!$B$5&amp;"")="","",IFERROR(TRIM(INDEX($A749:$Z749,MATCH('Scale score'!$B$5,$A$1:$Z$1,0))&amp;""),""))),"")),IF(AND(IFERROR(VALUE(IF(TRIM('Scale score'!$B$5&amp;"")="","",IFERROR(TRIM(INDEX($A749:$Z749,MATCH('Scale score'!$B$5,$A$1:$Z$1,0))&amp;""),""))),"")&gt;='Scale score'!$B$6,IFERROR(VALUE(IF(TRIM('Scale score'!$B$5&amp;"")="","",IFERROR(TRIM(INDEX($A749:$Z749,MATCH('Scale score'!$B$5,$A$1:$Z$1,0))&amp;""),""))),"")&lt;='Scale score'!$B$7),IFERROR(VALUE(IF(TRIM('Scale score'!$B$5&amp;"")="","",IFERROR(TRIM(INDEX($A749:$Z749,MATCH('Scale score'!$B$5,$A$1:$Z$1,0))&amp;""),""))),""),""),"")</f>
        <v/>
      </c>
      <c r="AH749" s="41">
        <f>IF(TRIM('Open answers'!$B$5&amp;"")="","",IFERROR(TRIM(INDEX($A749:$Z749,MATCH('Open answers'!$B$5,$A$1:$Z$1,0))&amp;""),""))</f>
        <v/>
      </c>
      <c r="AI749" s="41">
        <f>IF(LEN(AH749)&gt;0,MAX($AI$1:AI748)+1,"")</f>
        <v/>
      </c>
    </row>
    <row r="750">
      <c r="AA750" s="40" t="n"/>
      <c r="AB750" s="41">
        <f>IF(TRIM('Counts'!$B$8&amp;"")="","",IFERROR(TRIM(INDEX($A750:$Z750,MATCH('Counts'!$B$8,$A$1:$Z$1,0))&amp;""),""))</f>
        <v/>
      </c>
      <c r="AC750" s="41">
        <f>IF(TRIM('Counts'!$B$26&amp;"")="","",IFERROR(TRIM(INDEX($A750:$Z750,MATCH('Counts'!$B$26,$A$1:$Z$1,0))&amp;""),""))</f>
        <v/>
      </c>
      <c r="AD750" s="41">
        <f>IF(TRIM('Counts'!$B$44&amp;"")="","",IFERROR(TRIM(INDEX($A750:$Z750,MATCH('Counts'!$B$44,$A$1:$Z$1,0))&amp;""),""))</f>
        <v/>
      </c>
      <c r="AE750" s="41">
        <f>IF(TRIM('Cross-tab'!$B$5&amp;"")="","",IFERROR(TRIM(INDEX($A750:$Z750,MATCH('Cross-tab'!$B$5,$A$1:$Z$1,0))&amp;""),""))</f>
        <v/>
      </c>
      <c r="AF750" s="41">
        <f>IF(TRIM('Cross-tab'!$B$7&amp;"")="","",IFERROR(TRIM(INDEX($A750:$Z750,MATCH('Cross-tab'!$B$7,$A$1:$Z$1,0))&amp;""),""))</f>
        <v/>
      </c>
      <c r="AG750" s="41">
        <f>IF(ISNUMBER(IFERROR(VALUE(IF(TRIM('Scale score'!$B$5&amp;"")="","",IFERROR(TRIM(INDEX($A750:$Z750,MATCH('Scale score'!$B$5,$A$1:$Z$1,0))&amp;""),""))),"")),IF(AND(IFERROR(VALUE(IF(TRIM('Scale score'!$B$5&amp;"")="","",IFERROR(TRIM(INDEX($A750:$Z750,MATCH('Scale score'!$B$5,$A$1:$Z$1,0))&amp;""),""))),"")&gt;='Scale score'!$B$6,IFERROR(VALUE(IF(TRIM('Scale score'!$B$5&amp;"")="","",IFERROR(TRIM(INDEX($A750:$Z750,MATCH('Scale score'!$B$5,$A$1:$Z$1,0))&amp;""),""))),"")&lt;='Scale score'!$B$7),IFERROR(VALUE(IF(TRIM('Scale score'!$B$5&amp;"")="","",IFERROR(TRIM(INDEX($A750:$Z750,MATCH('Scale score'!$B$5,$A$1:$Z$1,0))&amp;""),""))),""),""),"")</f>
        <v/>
      </c>
      <c r="AH750" s="41">
        <f>IF(TRIM('Open answers'!$B$5&amp;"")="","",IFERROR(TRIM(INDEX($A750:$Z750,MATCH('Open answers'!$B$5,$A$1:$Z$1,0))&amp;""),""))</f>
        <v/>
      </c>
      <c r="AI750" s="41">
        <f>IF(LEN(AH750)&gt;0,MAX($AI$1:AI749)+1,"")</f>
        <v/>
      </c>
    </row>
    <row r="751">
      <c r="AA751" s="40" t="n"/>
      <c r="AB751" s="41">
        <f>IF(TRIM('Counts'!$B$8&amp;"")="","",IFERROR(TRIM(INDEX($A751:$Z751,MATCH('Counts'!$B$8,$A$1:$Z$1,0))&amp;""),""))</f>
        <v/>
      </c>
      <c r="AC751" s="41">
        <f>IF(TRIM('Counts'!$B$26&amp;"")="","",IFERROR(TRIM(INDEX($A751:$Z751,MATCH('Counts'!$B$26,$A$1:$Z$1,0))&amp;""),""))</f>
        <v/>
      </c>
      <c r="AD751" s="41">
        <f>IF(TRIM('Counts'!$B$44&amp;"")="","",IFERROR(TRIM(INDEX($A751:$Z751,MATCH('Counts'!$B$44,$A$1:$Z$1,0))&amp;""),""))</f>
        <v/>
      </c>
      <c r="AE751" s="41">
        <f>IF(TRIM('Cross-tab'!$B$5&amp;"")="","",IFERROR(TRIM(INDEX($A751:$Z751,MATCH('Cross-tab'!$B$5,$A$1:$Z$1,0))&amp;""),""))</f>
        <v/>
      </c>
      <c r="AF751" s="41">
        <f>IF(TRIM('Cross-tab'!$B$7&amp;"")="","",IFERROR(TRIM(INDEX($A751:$Z751,MATCH('Cross-tab'!$B$7,$A$1:$Z$1,0))&amp;""),""))</f>
        <v/>
      </c>
      <c r="AG751" s="41">
        <f>IF(ISNUMBER(IFERROR(VALUE(IF(TRIM('Scale score'!$B$5&amp;"")="","",IFERROR(TRIM(INDEX($A751:$Z751,MATCH('Scale score'!$B$5,$A$1:$Z$1,0))&amp;""),""))),"")),IF(AND(IFERROR(VALUE(IF(TRIM('Scale score'!$B$5&amp;"")="","",IFERROR(TRIM(INDEX($A751:$Z751,MATCH('Scale score'!$B$5,$A$1:$Z$1,0))&amp;""),""))),"")&gt;='Scale score'!$B$6,IFERROR(VALUE(IF(TRIM('Scale score'!$B$5&amp;"")="","",IFERROR(TRIM(INDEX($A751:$Z751,MATCH('Scale score'!$B$5,$A$1:$Z$1,0))&amp;""),""))),"")&lt;='Scale score'!$B$7),IFERROR(VALUE(IF(TRIM('Scale score'!$B$5&amp;"")="","",IFERROR(TRIM(INDEX($A751:$Z751,MATCH('Scale score'!$B$5,$A$1:$Z$1,0))&amp;""),""))),""),""),"")</f>
        <v/>
      </c>
      <c r="AH751" s="41">
        <f>IF(TRIM('Open answers'!$B$5&amp;"")="","",IFERROR(TRIM(INDEX($A751:$Z751,MATCH('Open answers'!$B$5,$A$1:$Z$1,0))&amp;""),""))</f>
        <v/>
      </c>
      <c r="AI751" s="41">
        <f>IF(LEN(AH751)&gt;0,MAX($AI$1:AI750)+1,"")</f>
        <v/>
      </c>
    </row>
    <row r="752">
      <c r="AA752" s="40" t="n"/>
      <c r="AB752" s="41">
        <f>IF(TRIM('Counts'!$B$8&amp;"")="","",IFERROR(TRIM(INDEX($A752:$Z752,MATCH('Counts'!$B$8,$A$1:$Z$1,0))&amp;""),""))</f>
        <v/>
      </c>
      <c r="AC752" s="41">
        <f>IF(TRIM('Counts'!$B$26&amp;"")="","",IFERROR(TRIM(INDEX($A752:$Z752,MATCH('Counts'!$B$26,$A$1:$Z$1,0))&amp;""),""))</f>
        <v/>
      </c>
      <c r="AD752" s="41">
        <f>IF(TRIM('Counts'!$B$44&amp;"")="","",IFERROR(TRIM(INDEX($A752:$Z752,MATCH('Counts'!$B$44,$A$1:$Z$1,0))&amp;""),""))</f>
        <v/>
      </c>
      <c r="AE752" s="41">
        <f>IF(TRIM('Cross-tab'!$B$5&amp;"")="","",IFERROR(TRIM(INDEX($A752:$Z752,MATCH('Cross-tab'!$B$5,$A$1:$Z$1,0))&amp;""),""))</f>
        <v/>
      </c>
      <c r="AF752" s="41">
        <f>IF(TRIM('Cross-tab'!$B$7&amp;"")="","",IFERROR(TRIM(INDEX($A752:$Z752,MATCH('Cross-tab'!$B$7,$A$1:$Z$1,0))&amp;""),""))</f>
        <v/>
      </c>
      <c r="AG752" s="41">
        <f>IF(ISNUMBER(IFERROR(VALUE(IF(TRIM('Scale score'!$B$5&amp;"")="","",IFERROR(TRIM(INDEX($A752:$Z752,MATCH('Scale score'!$B$5,$A$1:$Z$1,0))&amp;""),""))),"")),IF(AND(IFERROR(VALUE(IF(TRIM('Scale score'!$B$5&amp;"")="","",IFERROR(TRIM(INDEX($A752:$Z752,MATCH('Scale score'!$B$5,$A$1:$Z$1,0))&amp;""),""))),"")&gt;='Scale score'!$B$6,IFERROR(VALUE(IF(TRIM('Scale score'!$B$5&amp;"")="","",IFERROR(TRIM(INDEX($A752:$Z752,MATCH('Scale score'!$B$5,$A$1:$Z$1,0))&amp;""),""))),"")&lt;='Scale score'!$B$7),IFERROR(VALUE(IF(TRIM('Scale score'!$B$5&amp;"")="","",IFERROR(TRIM(INDEX($A752:$Z752,MATCH('Scale score'!$B$5,$A$1:$Z$1,0))&amp;""),""))),""),""),"")</f>
        <v/>
      </c>
      <c r="AH752" s="41">
        <f>IF(TRIM('Open answers'!$B$5&amp;"")="","",IFERROR(TRIM(INDEX($A752:$Z752,MATCH('Open answers'!$B$5,$A$1:$Z$1,0))&amp;""),""))</f>
        <v/>
      </c>
      <c r="AI752" s="41">
        <f>IF(LEN(AH752)&gt;0,MAX($AI$1:AI751)+1,"")</f>
        <v/>
      </c>
    </row>
    <row r="753">
      <c r="AA753" s="40" t="n"/>
      <c r="AB753" s="41">
        <f>IF(TRIM('Counts'!$B$8&amp;"")="","",IFERROR(TRIM(INDEX($A753:$Z753,MATCH('Counts'!$B$8,$A$1:$Z$1,0))&amp;""),""))</f>
        <v/>
      </c>
      <c r="AC753" s="41">
        <f>IF(TRIM('Counts'!$B$26&amp;"")="","",IFERROR(TRIM(INDEX($A753:$Z753,MATCH('Counts'!$B$26,$A$1:$Z$1,0))&amp;""),""))</f>
        <v/>
      </c>
      <c r="AD753" s="41">
        <f>IF(TRIM('Counts'!$B$44&amp;"")="","",IFERROR(TRIM(INDEX($A753:$Z753,MATCH('Counts'!$B$44,$A$1:$Z$1,0))&amp;""),""))</f>
        <v/>
      </c>
      <c r="AE753" s="41">
        <f>IF(TRIM('Cross-tab'!$B$5&amp;"")="","",IFERROR(TRIM(INDEX($A753:$Z753,MATCH('Cross-tab'!$B$5,$A$1:$Z$1,0))&amp;""),""))</f>
        <v/>
      </c>
      <c r="AF753" s="41">
        <f>IF(TRIM('Cross-tab'!$B$7&amp;"")="","",IFERROR(TRIM(INDEX($A753:$Z753,MATCH('Cross-tab'!$B$7,$A$1:$Z$1,0))&amp;""),""))</f>
        <v/>
      </c>
      <c r="AG753" s="41">
        <f>IF(ISNUMBER(IFERROR(VALUE(IF(TRIM('Scale score'!$B$5&amp;"")="","",IFERROR(TRIM(INDEX($A753:$Z753,MATCH('Scale score'!$B$5,$A$1:$Z$1,0))&amp;""),""))),"")),IF(AND(IFERROR(VALUE(IF(TRIM('Scale score'!$B$5&amp;"")="","",IFERROR(TRIM(INDEX($A753:$Z753,MATCH('Scale score'!$B$5,$A$1:$Z$1,0))&amp;""),""))),"")&gt;='Scale score'!$B$6,IFERROR(VALUE(IF(TRIM('Scale score'!$B$5&amp;"")="","",IFERROR(TRIM(INDEX($A753:$Z753,MATCH('Scale score'!$B$5,$A$1:$Z$1,0))&amp;""),""))),"")&lt;='Scale score'!$B$7),IFERROR(VALUE(IF(TRIM('Scale score'!$B$5&amp;"")="","",IFERROR(TRIM(INDEX($A753:$Z753,MATCH('Scale score'!$B$5,$A$1:$Z$1,0))&amp;""),""))),""),""),"")</f>
        <v/>
      </c>
      <c r="AH753" s="41">
        <f>IF(TRIM('Open answers'!$B$5&amp;"")="","",IFERROR(TRIM(INDEX($A753:$Z753,MATCH('Open answers'!$B$5,$A$1:$Z$1,0))&amp;""),""))</f>
        <v/>
      </c>
      <c r="AI753" s="41">
        <f>IF(LEN(AH753)&gt;0,MAX($AI$1:AI752)+1,"")</f>
        <v/>
      </c>
    </row>
    <row r="754">
      <c r="AA754" s="40" t="n"/>
      <c r="AB754" s="41">
        <f>IF(TRIM('Counts'!$B$8&amp;"")="","",IFERROR(TRIM(INDEX($A754:$Z754,MATCH('Counts'!$B$8,$A$1:$Z$1,0))&amp;""),""))</f>
        <v/>
      </c>
      <c r="AC754" s="41">
        <f>IF(TRIM('Counts'!$B$26&amp;"")="","",IFERROR(TRIM(INDEX($A754:$Z754,MATCH('Counts'!$B$26,$A$1:$Z$1,0))&amp;""),""))</f>
        <v/>
      </c>
      <c r="AD754" s="41">
        <f>IF(TRIM('Counts'!$B$44&amp;"")="","",IFERROR(TRIM(INDEX($A754:$Z754,MATCH('Counts'!$B$44,$A$1:$Z$1,0))&amp;""),""))</f>
        <v/>
      </c>
      <c r="AE754" s="41">
        <f>IF(TRIM('Cross-tab'!$B$5&amp;"")="","",IFERROR(TRIM(INDEX($A754:$Z754,MATCH('Cross-tab'!$B$5,$A$1:$Z$1,0))&amp;""),""))</f>
        <v/>
      </c>
      <c r="AF754" s="41">
        <f>IF(TRIM('Cross-tab'!$B$7&amp;"")="","",IFERROR(TRIM(INDEX($A754:$Z754,MATCH('Cross-tab'!$B$7,$A$1:$Z$1,0))&amp;""),""))</f>
        <v/>
      </c>
      <c r="AG754" s="41">
        <f>IF(ISNUMBER(IFERROR(VALUE(IF(TRIM('Scale score'!$B$5&amp;"")="","",IFERROR(TRIM(INDEX($A754:$Z754,MATCH('Scale score'!$B$5,$A$1:$Z$1,0))&amp;""),""))),"")),IF(AND(IFERROR(VALUE(IF(TRIM('Scale score'!$B$5&amp;"")="","",IFERROR(TRIM(INDEX($A754:$Z754,MATCH('Scale score'!$B$5,$A$1:$Z$1,0))&amp;""),""))),"")&gt;='Scale score'!$B$6,IFERROR(VALUE(IF(TRIM('Scale score'!$B$5&amp;"")="","",IFERROR(TRIM(INDEX($A754:$Z754,MATCH('Scale score'!$B$5,$A$1:$Z$1,0))&amp;""),""))),"")&lt;='Scale score'!$B$7),IFERROR(VALUE(IF(TRIM('Scale score'!$B$5&amp;"")="","",IFERROR(TRIM(INDEX($A754:$Z754,MATCH('Scale score'!$B$5,$A$1:$Z$1,0))&amp;""),""))),""),""),"")</f>
        <v/>
      </c>
      <c r="AH754" s="41">
        <f>IF(TRIM('Open answers'!$B$5&amp;"")="","",IFERROR(TRIM(INDEX($A754:$Z754,MATCH('Open answers'!$B$5,$A$1:$Z$1,0))&amp;""),""))</f>
        <v/>
      </c>
      <c r="AI754" s="41">
        <f>IF(LEN(AH754)&gt;0,MAX($AI$1:AI753)+1,"")</f>
        <v/>
      </c>
    </row>
    <row r="755">
      <c r="AA755" s="40" t="n"/>
      <c r="AB755" s="41">
        <f>IF(TRIM('Counts'!$B$8&amp;"")="","",IFERROR(TRIM(INDEX($A755:$Z755,MATCH('Counts'!$B$8,$A$1:$Z$1,0))&amp;""),""))</f>
        <v/>
      </c>
      <c r="AC755" s="41">
        <f>IF(TRIM('Counts'!$B$26&amp;"")="","",IFERROR(TRIM(INDEX($A755:$Z755,MATCH('Counts'!$B$26,$A$1:$Z$1,0))&amp;""),""))</f>
        <v/>
      </c>
      <c r="AD755" s="41">
        <f>IF(TRIM('Counts'!$B$44&amp;"")="","",IFERROR(TRIM(INDEX($A755:$Z755,MATCH('Counts'!$B$44,$A$1:$Z$1,0))&amp;""),""))</f>
        <v/>
      </c>
      <c r="AE755" s="41">
        <f>IF(TRIM('Cross-tab'!$B$5&amp;"")="","",IFERROR(TRIM(INDEX($A755:$Z755,MATCH('Cross-tab'!$B$5,$A$1:$Z$1,0))&amp;""),""))</f>
        <v/>
      </c>
      <c r="AF755" s="41">
        <f>IF(TRIM('Cross-tab'!$B$7&amp;"")="","",IFERROR(TRIM(INDEX($A755:$Z755,MATCH('Cross-tab'!$B$7,$A$1:$Z$1,0))&amp;""),""))</f>
        <v/>
      </c>
      <c r="AG755" s="41">
        <f>IF(ISNUMBER(IFERROR(VALUE(IF(TRIM('Scale score'!$B$5&amp;"")="","",IFERROR(TRIM(INDEX($A755:$Z755,MATCH('Scale score'!$B$5,$A$1:$Z$1,0))&amp;""),""))),"")),IF(AND(IFERROR(VALUE(IF(TRIM('Scale score'!$B$5&amp;"")="","",IFERROR(TRIM(INDEX($A755:$Z755,MATCH('Scale score'!$B$5,$A$1:$Z$1,0))&amp;""),""))),"")&gt;='Scale score'!$B$6,IFERROR(VALUE(IF(TRIM('Scale score'!$B$5&amp;"")="","",IFERROR(TRIM(INDEX($A755:$Z755,MATCH('Scale score'!$B$5,$A$1:$Z$1,0))&amp;""),""))),"")&lt;='Scale score'!$B$7),IFERROR(VALUE(IF(TRIM('Scale score'!$B$5&amp;"")="","",IFERROR(TRIM(INDEX($A755:$Z755,MATCH('Scale score'!$B$5,$A$1:$Z$1,0))&amp;""),""))),""),""),"")</f>
        <v/>
      </c>
      <c r="AH755" s="41">
        <f>IF(TRIM('Open answers'!$B$5&amp;"")="","",IFERROR(TRIM(INDEX($A755:$Z755,MATCH('Open answers'!$B$5,$A$1:$Z$1,0))&amp;""),""))</f>
        <v/>
      </c>
      <c r="AI755" s="41">
        <f>IF(LEN(AH755)&gt;0,MAX($AI$1:AI754)+1,"")</f>
        <v/>
      </c>
    </row>
    <row r="756">
      <c r="AA756" s="40" t="n"/>
      <c r="AB756" s="41">
        <f>IF(TRIM('Counts'!$B$8&amp;"")="","",IFERROR(TRIM(INDEX($A756:$Z756,MATCH('Counts'!$B$8,$A$1:$Z$1,0))&amp;""),""))</f>
        <v/>
      </c>
      <c r="AC756" s="41">
        <f>IF(TRIM('Counts'!$B$26&amp;"")="","",IFERROR(TRIM(INDEX($A756:$Z756,MATCH('Counts'!$B$26,$A$1:$Z$1,0))&amp;""),""))</f>
        <v/>
      </c>
      <c r="AD756" s="41">
        <f>IF(TRIM('Counts'!$B$44&amp;"")="","",IFERROR(TRIM(INDEX($A756:$Z756,MATCH('Counts'!$B$44,$A$1:$Z$1,0))&amp;""),""))</f>
        <v/>
      </c>
      <c r="AE756" s="41">
        <f>IF(TRIM('Cross-tab'!$B$5&amp;"")="","",IFERROR(TRIM(INDEX($A756:$Z756,MATCH('Cross-tab'!$B$5,$A$1:$Z$1,0))&amp;""),""))</f>
        <v/>
      </c>
      <c r="AF756" s="41">
        <f>IF(TRIM('Cross-tab'!$B$7&amp;"")="","",IFERROR(TRIM(INDEX($A756:$Z756,MATCH('Cross-tab'!$B$7,$A$1:$Z$1,0))&amp;""),""))</f>
        <v/>
      </c>
      <c r="AG756" s="41">
        <f>IF(ISNUMBER(IFERROR(VALUE(IF(TRIM('Scale score'!$B$5&amp;"")="","",IFERROR(TRIM(INDEX($A756:$Z756,MATCH('Scale score'!$B$5,$A$1:$Z$1,0))&amp;""),""))),"")),IF(AND(IFERROR(VALUE(IF(TRIM('Scale score'!$B$5&amp;"")="","",IFERROR(TRIM(INDEX($A756:$Z756,MATCH('Scale score'!$B$5,$A$1:$Z$1,0))&amp;""),""))),"")&gt;='Scale score'!$B$6,IFERROR(VALUE(IF(TRIM('Scale score'!$B$5&amp;"")="","",IFERROR(TRIM(INDEX($A756:$Z756,MATCH('Scale score'!$B$5,$A$1:$Z$1,0))&amp;""),""))),"")&lt;='Scale score'!$B$7),IFERROR(VALUE(IF(TRIM('Scale score'!$B$5&amp;"")="","",IFERROR(TRIM(INDEX($A756:$Z756,MATCH('Scale score'!$B$5,$A$1:$Z$1,0))&amp;""),""))),""),""),"")</f>
        <v/>
      </c>
      <c r="AH756" s="41">
        <f>IF(TRIM('Open answers'!$B$5&amp;"")="","",IFERROR(TRIM(INDEX($A756:$Z756,MATCH('Open answers'!$B$5,$A$1:$Z$1,0))&amp;""),""))</f>
        <v/>
      </c>
      <c r="AI756" s="41">
        <f>IF(LEN(AH756)&gt;0,MAX($AI$1:AI755)+1,"")</f>
        <v/>
      </c>
    </row>
    <row r="757">
      <c r="AA757" s="40" t="n"/>
      <c r="AB757" s="41">
        <f>IF(TRIM('Counts'!$B$8&amp;"")="","",IFERROR(TRIM(INDEX($A757:$Z757,MATCH('Counts'!$B$8,$A$1:$Z$1,0))&amp;""),""))</f>
        <v/>
      </c>
      <c r="AC757" s="41">
        <f>IF(TRIM('Counts'!$B$26&amp;"")="","",IFERROR(TRIM(INDEX($A757:$Z757,MATCH('Counts'!$B$26,$A$1:$Z$1,0))&amp;""),""))</f>
        <v/>
      </c>
      <c r="AD757" s="41">
        <f>IF(TRIM('Counts'!$B$44&amp;"")="","",IFERROR(TRIM(INDEX($A757:$Z757,MATCH('Counts'!$B$44,$A$1:$Z$1,0))&amp;""),""))</f>
        <v/>
      </c>
      <c r="AE757" s="41">
        <f>IF(TRIM('Cross-tab'!$B$5&amp;"")="","",IFERROR(TRIM(INDEX($A757:$Z757,MATCH('Cross-tab'!$B$5,$A$1:$Z$1,0))&amp;""),""))</f>
        <v/>
      </c>
      <c r="AF757" s="41">
        <f>IF(TRIM('Cross-tab'!$B$7&amp;"")="","",IFERROR(TRIM(INDEX($A757:$Z757,MATCH('Cross-tab'!$B$7,$A$1:$Z$1,0))&amp;""),""))</f>
        <v/>
      </c>
      <c r="AG757" s="41">
        <f>IF(ISNUMBER(IFERROR(VALUE(IF(TRIM('Scale score'!$B$5&amp;"")="","",IFERROR(TRIM(INDEX($A757:$Z757,MATCH('Scale score'!$B$5,$A$1:$Z$1,0))&amp;""),""))),"")),IF(AND(IFERROR(VALUE(IF(TRIM('Scale score'!$B$5&amp;"")="","",IFERROR(TRIM(INDEX($A757:$Z757,MATCH('Scale score'!$B$5,$A$1:$Z$1,0))&amp;""),""))),"")&gt;='Scale score'!$B$6,IFERROR(VALUE(IF(TRIM('Scale score'!$B$5&amp;"")="","",IFERROR(TRIM(INDEX($A757:$Z757,MATCH('Scale score'!$B$5,$A$1:$Z$1,0))&amp;""),""))),"")&lt;='Scale score'!$B$7),IFERROR(VALUE(IF(TRIM('Scale score'!$B$5&amp;"")="","",IFERROR(TRIM(INDEX($A757:$Z757,MATCH('Scale score'!$B$5,$A$1:$Z$1,0))&amp;""),""))),""),""),"")</f>
        <v/>
      </c>
      <c r="AH757" s="41">
        <f>IF(TRIM('Open answers'!$B$5&amp;"")="","",IFERROR(TRIM(INDEX($A757:$Z757,MATCH('Open answers'!$B$5,$A$1:$Z$1,0))&amp;""),""))</f>
        <v/>
      </c>
      <c r="AI757" s="41">
        <f>IF(LEN(AH757)&gt;0,MAX($AI$1:AI756)+1,"")</f>
        <v/>
      </c>
    </row>
    <row r="758">
      <c r="AA758" s="40" t="n"/>
      <c r="AB758" s="41">
        <f>IF(TRIM('Counts'!$B$8&amp;"")="","",IFERROR(TRIM(INDEX($A758:$Z758,MATCH('Counts'!$B$8,$A$1:$Z$1,0))&amp;""),""))</f>
        <v/>
      </c>
      <c r="AC758" s="41">
        <f>IF(TRIM('Counts'!$B$26&amp;"")="","",IFERROR(TRIM(INDEX($A758:$Z758,MATCH('Counts'!$B$26,$A$1:$Z$1,0))&amp;""),""))</f>
        <v/>
      </c>
      <c r="AD758" s="41">
        <f>IF(TRIM('Counts'!$B$44&amp;"")="","",IFERROR(TRIM(INDEX($A758:$Z758,MATCH('Counts'!$B$44,$A$1:$Z$1,0))&amp;""),""))</f>
        <v/>
      </c>
      <c r="AE758" s="41">
        <f>IF(TRIM('Cross-tab'!$B$5&amp;"")="","",IFERROR(TRIM(INDEX($A758:$Z758,MATCH('Cross-tab'!$B$5,$A$1:$Z$1,0))&amp;""),""))</f>
        <v/>
      </c>
      <c r="AF758" s="41">
        <f>IF(TRIM('Cross-tab'!$B$7&amp;"")="","",IFERROR(TRIM(INDEX($A758:$Z758,MATCH('Cross-tab'!$B$7,$A$1:$Z$1,0))&amp;""),""))</f>
        <v/>
      </c>
      <c r="AG758" s="41">
        <f>IF(ISNUMBER(IFERROR(VALUE(IF(TRIM('Scale score'!$B$5&amp;"")="","",IFERROR(TRIM(INDEX($A758:$Z758,MATCH('Scale score'!$B$5,$A$1:$Z$1,0))&amp;""),""))),"")),IF(AND(IFERROR(VALUE(IF(TRIM('Scale score'!$B$5&amp;"")="","",IFERROR(TRIM(INDEX($A758:$Z758,MATCH('Scale score'!$B$5,$A$1:$Z$1,0))&amp;""),""))),"")&gt;='Scale score'!$B$6,IFERROR(VALUE(IF(TRIM('Scale score'!$B$5&amp;"")="","",IFERROR(TRIM(INDEX($A758:$Z758,MATCH('Scale score'!$B$5,$A$1:$Z$1,0))&amp;""),""))),"")&lt;='Scale score'!$B$7),IFERROR(VALUE(IF(TRIM('Scale score'!$B$5&amp;"")="","",IFERROR(TRIM(INDEX($A758:$Z758,MATCH('Scale score'!$B$5,$A$1:$Z$1,0))&amp;""),""))),""),""),"")</f>
        <v/>
      </c>
      <c r="AH758" s="41">
        <f>IF(TRIM('Open answers'!$B$5&amp;"")="","",IFERROR(TRIM(INDEX($A758:$Z758,MATCH('Open answers'!$B$5,$A$1:$Z$1,0))&amp;""),""))</f>
        <v/>
      </c>
      <c r="AI758" s="41">
        <f>IF(LEN(AH758)&gt;0,MAX($AI$1:AI757)+1,"")</f>
        <v/>
      </c>
    </row>
    <row r="759">
      <c r="AA759" s="40" t="n"/>
      <c r="AB759" s="41">
        <f>IF(TRIM('Counts'!$B$8&amp;"")="","",IFERROR(TRIM(INDEX($A759:$Z759,MATCH('Counts'!$B$8,$A$1:$Z$1,0))&amp;""),""))</f>
        <v/>
      </c>
      <c r="AC759" s="41">
        <f>IF(TRIM('Counts'!$B$26&amp;"")="","",IFERROR(TRIM(INDEX($A759:$Z759,MATCH('Counts'!$B$26,$A$1:$Z$1,0))&amp;""),""))</f>
        <v/>
      </c>
      <c r="AD759" s="41">
        <f>IF(TRIM('Counts'!$B$44&amp;"")="","",IFERROR(TRIM(INDEX($A759:$Z759,MATCH('Counts'!$B$44,$A$1:$Z$1,0))&amp;""),""))</f>
        <v/>
      </c>
      <c r="AE759" s="41">
        <f>IF(TRIM('Cross-tab'!$B$5&amp;"")="","",IFERROR(TRIM(INDEX($A759:$Z759,MATCH('Cross-tab'!$B$5,$A$1:$Z$1,0))&amp;""),""))</f>
        <v/>
      </c>
      <c r="AF759" s="41">
        <f>IF(TRIM('Cross-tab'!$B$7&amp;"")="","",IFERROR(TRIM(INDEX($A759:$Z759,MATCH('Cross-tab'!$B$7,$A$1:$Z$1,0))&amp;""),""))</f>
        <v/>
      </c>
      <c r="AG759" s="41">
        <f>IF(ISNUMBER(IFERROR(VALUE(IF(TRIM('Scale score'!$B$5&amp;"")="","",IFERROR(TRIM(INDEX($A759:$Z759,MATCH('Scale score'!$B$5,$A$1:$Z$1,0))&amp;""),""))),"")),IF(AND(IFERROR(VALUE(IF(TRIM('Scale score'!$B$5&amp;"")="","",IFERROR(TRIM(INDEX($A759:$Z759,MATCH('Scale score'!$B$5,$A$1:$Z$1,0))&amp;""),""))),"")&gt;='Scale score'!$B$6,IFERROR(VALUE(IF(TRIM('Scale score'!$B$5&amp;"")="","",IFERROR(TRIM(INDEX($A759:$Z759,MATCH('Scale score'!$B$5,$A$1:$Z$1,0))&amp;""),""))),"")&lt;='Scale score'!$B$7),IFERROR(VALUE(IF(TRIM('Scale score'!$B$5&amp;"")="","",IFERROR(TRIM(INDEX($A759:$Z759,MATCH('Scale score'!$B$5,$A$1:$Z$1,0))&amp;""),""))),""),""),"")</f>
        <v/>
      </c>
      <c r="AH759" s="41">
        <f>IF(TRIM('Open answers'!$B$5&amp;"")="","",IFERROR(TRIM(INDEX($A759:$Z759,MATCH('Open answers'!$B$5,$A$1:$Z$1,0))&amp;""),""))</f>
        <v/>
      </c>
      <c r="AI759" s="41">
        <f>IF(LEN(AH759)&gt;0,MAX($AI$1:AI758)+1,"")</f>
        <v/>
      </c>
    </row>
    <row r="760">
      <c r="AA760" s="40" t="n"/>
      <c r="AB760" s="41">
        <f>IF(TRIM('Counts'!$B$8&amp;"")="","",IFERROR(TRIM(INDEX($A760:$Z760,MATCH('Counts'!$B$8,$A$1:$Z$1,0))&amp;""),""))</f>
        <v/>
      </c>
      <c r="AC760" s="41">
        <f>IF(TRIM('Counts'!$B$26&amp;"")="","",IFERROR(TRIM(INDEX($A760:$Z760,MATCH('Counts'!$B$26,$A$1:$Z$1,0))&amp;""),""))</f>
        <v/>
      </c>
      <c r="AD760" s="41">
        <f>IF(TRIM('Counts'!$B$44&amp;"")="","",IFERROR(TRIM(INDEX($A760:$Z760,MATCH('Counts'!$B$44,$A$1:$Z$1,0))&amp;""),""))</f>
        <v/>
      </c>
      <c r="AE760" s="41">
        <f>IF(TRIM('Cross-tab'!$B$5&amp;"")="","",IFERROR(TRIM(INDEX($A760:$Z760,MATCH('Cross-tab'!$B$5,$A$1:$Z$1,0))&amp;""),""))</f>
        <v/>
      </c>
      <c r="AF760" s="41">
        <f>IF(TRIM('Cross-tab'!$B$7&amp;"")="","",IFERROR(TRIM(INDEX($A760:$Z760,MATCH('Cross-tab'!$B$7,$A$1:$Z$1,0))&amp;""),""))</f>
        <v/>
      </c>
      <c r="AG760" s="41">
        <f>IF(ISNUMBER(IFERROR(VALUE(IF(TRIM('Scale score'!$B$5&amp;"")="","",IFERROR(TRIM(INDEX($A760:$Z760,MATCH('Scale score'!$B$5,$A$1:$Z$1,0))&amp;""),""))),"")),IF(AND(IFERROR(VALUE(IF(TRIM('Scale score'!$B$5&amp;"")="","",IFERROR(TRIM(INDEX($A760:$Z760,MATCH('Scale score'!$B$5,$A$1:$Z$1,0))&amp;""),""))),"")&gt;='Scale score'!$B$6,IFERROR(VALUE(IF(TRIM('Scale score'!$B$5&amp;"")="","",IFERROR(TRIM(INDEX($A760:$Z760,MATCH('Scale score'!$B$5,$A$1:$Z$1,0))&amp;""),""))),"")&lt;='Scale score'!$B$7),IFERROR(VALUE(IF(TRIM('Scale score'!$B$5&amp;"")="","",IFERROR(TRIM(INDEX($A760:$Z760,MATCH('Scale score'!$B$5,$A$1:$Z$1,0))&amp;""),""))),""),""),"")</f>
        <v/>
      </c>
      <c r="AH760" s="41">
        <f>IF(TRIM('Open answers'!$B$5&amp;"")="","",IFERROR(TRIM(INDEX($A760:$Z760,MATCH('Open answers'!$B$5,$A$1:$Z$1,0))&amp;""),""))</f>
        <v/>
      </c>
      <c r="AI760" s="41">
        <f>IF(LEN(AH760)&gt;0,MAX($AI$1:AI759)+1,"")</f>
        <v/>
      </c>
    </row>
    <row r="761">
      <c r="AA761" s="40" t="n"/>
      <c r="AB761" s="41">
        <f>IF(TRIM('Counts'!$B$8&amp;"")="","",IFERROR(TRIM(INDEX($A761:$Z761,MATCH('Counts'!$B$8,$A$1:$Z$1,0))&amp;""),""))</f>
        <v/>
      </c>
      <c r="AC761" s="41">
        <f>IF(TRIM('Counts'!$B$26&amp;"")="","",IFERROR(TRIM(INDEX($A761:$Z761,MATCH('Counts'!$B$26,$A$1:$Z$1,0))&amp;""),""))</f>
        <v/>
      </c>
      <c r="AD761" s="41">
        <f>IF(TRIM('Counts'!$B$44&amp;"")="","",IFERROR(TRIM(INDEX($A761:$Z761,MATCH('Counts'!$B$44,$A$1:$Z$1,0))&amp;""),""))</f>
        <v/>
      </c>
      <c r="AE761" s="41">
        <f>IF(TRIM('Cross-tab'!$B$5&amp;"")="","",IFERROR(TRIM(INDEX($A761:$Z761,MATCH('Cross-tab'!$B$5,$A$1:$Z$1,0))&amp;""),""))</f>
        <v/>
      </c>
      <c r="AF761" s="41">
        <f>IF(TRIM('Cross-tab'!$B$7&amp;"")="","",IFERROR(TRIM(INDEX($A761:$Z761,MATCH('Cross-tab'!$B$7,$A$1:$Z$1,0))&amp;""),""))</f>
        <v/>
      </c>
      <c r="AG761" s="41">
        <f>IF(ISNUMBER(IFERROR(VALUE(IF(TRIM('Scale score'!$B$5&amp;"")="","",IFERROR(TRIM(INDEX($A761:$Z761,MATCH('Scale score'!$B$5,$A$1:$Z$1,0))&amp;""),""))),"")),IF(AND(IFERROR(VALUE(IF(TRIM('Scale score'!$B$5&amp;"")="","",IFERROR(TRIM(INDEX($A761:$Z761,MATCH('Scale score'!$B$5,$A$1:$Z$1,0))&amp;""),""))),"")&gt;='Scale score'!$B$6,IFERROR(VALUE(IF(TRIM('Scale score'!$B$5&amp;"")="","",IFERROR(TRIM(INDEX($A761:$Z761,MATCH('Scale score'!$B$5,$A$1:$Z$1,0))&amp;""),""))),"")&lt;='Scale score'!$B$7),IFERROR(VALUE(IF(TRIM('Scale score'!$B$5&amp;"")="","",IFERROR(TRIM(INDEX($A761:$Z761,MATCH('Scale score'!$B$5,$A$1:$Z$1,0))&amp;""),""))),""),""),"")</f>
        <v/>
      </c>
      <c r="AH761" s="41">
        <f>IF(TRIM('Open answers'!$B$5&amp;"")="","",IFERROR(TRIM(INDEX($A761:$Z761,MATCH('Open answers'!$B$5,$A$1:$Z$1,0))&amp;""),""))</f>
        <v/>
      </c>
      <c r="AI761" s="41">
        <f>IF(LEN(AH761)&gt;0,MAX($AI$1:AI760)+1,"")</f>
        <v/>
      </c>
    </row>
    <row r="762">
      <c r="AA762" s="40" t="n"/>
      <c r="AB762" s="41">
        <f>IF(TRIM('Counts'!$B$8&amp;"")="","",IFERROR(TRIM(INDEX($A762:$Z762,MATCH('Counts'!$B$8,$A$1:$Z$1,0))&amp;""),""))</f>
        <v/>
      </c>
      <c r="AC762" s="41">
        <f>IF(TRIM('Counts'!$B$26&amp;"")="","",IFERROR(TRIM(INDEX($A762:$Z762,MATCH('Counts'!$B$26,$A$1:$Z$1,0))&amp;""),""))</f>
        <v/>
      </c>
      <c r="AD762" s="41">
        <f>IF(TRIM('Counts'!$B$44&amp;"")="","",IFERROR(TRIM(INDEX($A762:$Z762,MATCH('Counts'!$B$44,$A$1:$Z$1,0))&amp;""),""))</f>
        <v/>
      </c>
      <c r="AE762" s="41">
        <f>IF(TRIM('Cross-tab'!$B$5&amp;"")="","",IFERROR(TRIM(INDEX($A762:$Z762,MATCH('Cross-tab'!$B$5,$A$1:$Z$1,0))&amp;""),""))</f>
        <v/>
      </c>
      <c r="AF762" s="41">
        <f>IF(TRIM('Cross-tab'!$B$7&amp;"")="","",IFERROR(TRIM(INDEX($A762:$Z762,MATCH('Cross-tab'!$B$7,$A$1:$Z$1,0))&amp;""),""))</f>
        <v/>
      </c>
      <c r="AG762" s="41">
        <f>IF(ISNUMBER(IFERROR(VALUE(IF(TRIM('Scale score'!$B$5&amp;"")="","",IFERROR(TRIM(INDEX($A762:$Z762,MATCH('Scale score'!$B$5,$A$1:$Z$1,0))&amp;""),""))),"")),IF(AND(IFERROR(VALUE(IF(TRIM('Scale score'!$B$5&amp;"")="","",IFERROR(TRIM(INDEX($A762:$Z762,MATCH('Scale score'!$B$5,$A$1:$Z$1,0))&amp;""),""))),"")&gt;='Scale score'!$B$6,IFERROR(VALUE(IF(TRIM('Scale score'!$B$5&amp;"")="","",IFERROR(TRIM(INDEX($A762:$Z762,MATCH('Scale score'!$B$5,$A$1:$Z$1,0))&amp;""),""))),"")&lt;='Scale score'!$B$7),IFERROR(VALUE(IF(TRIM('Scale score'!$B$5&amp;"")="","",IFERROR(TRIM(INDEX($A762:$Z762,MATCH('Scale score'!$B$5,$A$1:$Z$1,0))&amp;""),""))),""),""),"")</f>
        <v/>
      </c>
      <c r="AH762" s="41">
        <f>IF(TRIM('Open answers'!$B$5&amp;"")="","",IFERROR(TRIM(INDEX($A762:$Z762,MATCH('Open answers'!$B$5,$A$1:$Z$1,0))&amp;""),""))</f>
        <v/>
      </c>
      <c r="AI762" s="41">
        <f>IF(LEN(AH762)&gt;0,MAX($AI$1:AI761)+1,"")</f>
        <v/>
      </c>
    </row>
    <row r="763">
      <c r="AA763" s="40" t="n"/>
      <c r="AB763" s="41">
        <f>IF(TRIM('Counts'!$B$8&amp;"")="","",IFERROR(TRIM(INDEX($A763:$Z763,MATCH('Counts'!$B$8,$A$1:$Z$1,0))&amp;""),""))</f>
        <v/>
      </c>
      <c r="AC763" s="41">
        <f>IF(TRIM('Counts'!$B$26&amp;"")="","",IFERROR(TRIM(INDEX($A763:$Z763,MATCH('Counts'!$B$26,$A$1:$Z$1,0))&amp;""),""))</f>
        <v/>
      </c>
      <c r="AD763" s="41">
        <f>IF(TRIM('Counts'!$B$44&amp;"")="","",IFERROR(TRIM(INDEX($A763:$Z763,MATCH('Counts'!$B$44,$A$1:$Z$1,0))&amp;""),""))</f>
        <v/>
      </c>
      <c r="AE763" s="41">
        <f>IF(TRIM('Cross-tab'!$B$5&amp;"")="","",IFERROR(TRIM(INDEX($A763:$Z763,MATCH('Cross-tab'!$B$5,$A$1:$Z$1,0))&amp;""),""))</f>
        <v/>
      </c>
      <c r="AF763" s="41">
        <f>IF(TRIM('Cross-tab'!$B$7&amp;"")="","",IFERROR(TRIM(INDEX($A763:$Z763,MATCH('Cross-tab'!$B$7,$A$1:$Z$1,0))&amp;""),""))</f>
        <v/>
      </c>
      <c r="AG763" s="41">
        <f>IF(ISNUMBER(IFERROR(VALUE(IF(TRIM('Scale score'!$B$5&amp;"")="","",IFERROR(TRIM(INDEX($A763:$Z763,MATCH('Scale score'!$B$5,$A$1:$Z$1,0))&amp;""),""))),"")),IF(AND(IFERROR(VALUE(IF(TRIM('Scale score'!$B$5&amp;"")="","",IFERROR(TRIM(INDEX($A763:$Z763,MATCH('Scale score'!$B$5,$A$1:$Z$1,0))&amp;""),""))),"")&gt;='Scale score'!$B$6,IFERROR(VALUE(IF(TRIM('Scale score'!$B$5&amp;"")="","",IFERROR(TRIM(INDEX($A763:$Z763,MATCH('Scale score'!$B$5,$A$1:$Z$1,0))&amp;""),""))),"")&lt;='Scale score'!$B$7),IFERROR(VALUE(IF(TRIM('Scale score'!$B$5&amp;"")="","",IFERROR(TRIM(INDEX($A763:$Z763,MATCH('Scale score'!$B$5,$A$1:$Z$1,0))&amp;""),""))),""),""),"")</f>
        <v/>
      </c>
      <c r="AH763" s="41">
        <f>IF(TRIM('Open answers'!$B$5&amp;"")="","",IFERROR(TRIM(INDEX($A763:$Z763,MATCH('Open answers'!$B$5,$A$1:$Z$1,0))&amp;""),""))</f>
        <v/>
      </c>
      <c r="AI763" s="41">
        <f>IF(LEN(AH763)&gt;0,MAX($AI$1:AI762)+1,"")</f>
        <v/>
      </c>
    </row>
    <row r="764">
      <c r="AA764" s="40" t="n"/>
      <c r="AB764" s="41">
        <f>IF(TRIM('Counts'!$B$8&amp;"")="","",IFERROR(TRIM(INDEX($A764:$Z764,MATCH('Counts'!$B$8,$A$1:$Z$1,0))&amp;""),""))</f>
        <v/>
      </c>
      <c r="AC764" s="41">
        <f>IF(TRIM('Counts'!$B$26&amp;"")="","",IFERROR(TRIM(INDEX($A764:$Z764,MATCH('Counts'!$B$26,$A$1:$Z$1,0))&amp;""),""))</f>
        <v/>
      </c>
      <c r="AD764" s="41">
        <f>IF(TRIM('Counts'!$B$44&amp;"")="","",IFERROR(TRIM(INDEX($A764:$Z764,MATCH('Counts'!$B$44,$A$1:$Z$1,0))&amp;""),""))</f>
        <v/>
      </c>
      <c r="AE764" s="41">
        <f>IF(TRIM('Cross-tab'!$B$5&amp;"")="","",IFERROR(TRIM(INDEX($A764:$Z764,MATCH('Cross-tab'!$B$5,$A$1:$Z$1,0))&amp;""),""))</f>
        <v/>
      </c>
      <c r="AF764" s="41">
        <f>IF(TRIM('Cross-tab'!$B$7&amp;"")="","",IFERROR(TRIM(INDEX($A764:$Z764,MATCH('Cross-tab'!$B$7,$A$1:$Z$1,0))&amp;""),""))</f>
        <v/>
      </c>
      <c r="AG764" s="41">
        <f>IF(ISNUMBER(IFERROR(VALUE(IF(TRIM('Scale score'!$B$5&amp;"")="","",IFERROR(TRIM(INDEX($A764:$Z764,MATCH('Scale score'!$B$5,$A$1:$Z$1,0))&amp;""),""))),"")),IF(AND(IFERROR(VALUE(IF(TRIM('Scale score'!$B$5&amp;"")="","",IFERROR(TRIM(INDEX($A764:$Z764,MATCH('Scale score'!$B$5,$A$1:$Z$1,0))&amp;""),""))),"")&gt;='Scale score'!$B$6,IFERROR(VALUE(IF(TRIM('Scale score'!$B$5&amp;"")="","",IFERROR(TRIM(INDEX($A764:$Z764,MATCH('Scale score'!$B$5,$A$1:$Z$1,0))&amp;""),""))),"")&lt;='Scale score'!$B$7),IFERROR(VALUE(IF(TRIM('Scale score'!$B$5&amp;"")="","",IFERROR(TRIM(INDEX($A764:$Z764,MATCH('Scale score'!$B$5,$A$1:$Z$1,0))&amp;""),""))),""),""),"")</f>
        <v/>
      </c>
      <c r="AH764" s="41">
        <f>IF(TRIM('Open answers'!$B$5&amp;"")="","",IFERROR(TRIM(INDEX($A764:$Z764,MATCH('Open answers'!$B$5,$A$1:$Z$1,0))&amp;""),""))</f>
        <v/>
      </c>
      <c r="AI764" s="41">
        <f>IF(LEN(AH764)&gt;0,MAX($AI$1:AI763)+1,"")</f>
        <v/>
      </c>
    </row>
    <row r="765">
      <c r="AA765" s="40" t="n"/>
      <c r="AB765" s="41">
        <f>IF(TRIM('Counts'!$B$8&amp;"")="","",IFERROR(TRIM(INDEX($A765:$Z765,MATCH('Counts'!$B$8,$A$1:$Z$1,0))&amp;""),""))</f>
        <v/>
      </c>
      <c r="AC765" s="41">
        <f>IF(TRIM('Counts'!$B$26&amp;"")="","",IFERROR(TRIM(INDEX($A765:$Z765,MATCH('Counts'!$B$26,$A$1:$Z$1,0))&amp;""),""))</f>
        <v/>
      </c>
      <c r="AD765" s="41">
        <f>IF(TRIM('Counts'!$B$44&amp;"")="","",IFERROR(TRIM(INDEX($A765:$Z765,MATCH('Counts'!$B$44,$A$1:$Z$1,0))&amp;""),""))</f>
        <v/>
      </c>
      <c r="AE765" s="41">
        <f>IF(TRIM('Cross-tab'!$B$5&amp;"")="","",IFERROR(TRIM(INDEX($A765:$Z765,MATCH('Cross-tab'!$B$5,$A$1:$Z$1,0))&amp;""),""))</f>
        <v/>
      </c>
      <c r="AF765" s="41">
        <f>IF(TRIM('Cross-tab'!$B$7&amp;"")="","",IFERROR(TRIM(INDEX($A765:$Z765,MATCH('Cross-tab'!$B$7,$A$1:$Z$1,0))&amp;""),""))</f>
        <v/>
      </c>
      <c r="AG765" s="41">
        <f>IF(ISNUMBER(IFERROR(VALUE(IF(TRIM('Scale score'!$B$5&amp;"")="","",IFERROR(TRIM(INDEX($A765:$Z765,MATCH('Scale score'!$B$5,$A$1:$Z$1,0))&amp;""),""))),"")),IF(AND(IFERROR(VALUE(IF(TRIM('Scale score'!$B$5&amp;"")="","",IFERROR(TRIM(INDEX($A765:$Z765,MATCH('Scale score'!$B$5,$A$1:$Z$1,0))&amp;""),""))),"")&gt;='Scale score'!$B$6,IFERROR(VALUE(IF(TRIM('Scale score'!$B$5&amp;"")="","",IFERROR(TRIM(INDEX($A765:$Z765,MATCH('Scale score'!$B$5,$A$1:$Z$1,0))&amp;""),""))),"")&lt;='Scale score'!$B$7),IFERROR(VALUE(IF(TRIM('Scale score'!$B$5&amp;"")="","",IFERROR(TRIM(INDEX($A765:$Z765,MATCH('Scale score'!$B$5,$A$1:$Z$1,0))&amp;""),""))),""),""),"")</f>
        <v/>
      </c>
      <c r="AH765" s="41">
        <f>IF(TRIM('Open answers'!$B$5&amp;"")="","",IFERROR(TRIM(INDEX($A765:$Z765,MATCH('Open answers'!$B$5,$A$1:$Z$1,0))&amp;""),""))</f>
        <v/>
      </c>
      <c r="AI765" s="41">
        <f>IF(LEN(AH765)&gt;0,MAX($AI$1:AI764)+1,"")</f>
        <v/>
      </c>
    </row>
    <row r="766">
      <c r="AA766" s="40" t="n"/>
      <c r="AB766" s="41">
        <f>IF(TRIM('Counts'!$B$8&amp;"")="","",IFERROR(TRIM(INDEX($A766:$Z766,MATCH('Counts'!$B$8,$A$1:$Z$1,0))&amp;""),""))</f>
        <v/>
      </c>
      <c r="AC766" s="41">
        <f>IF(TRIM('Counts'!$B$26&amp;"")="","",IFERROR(TRIM(INDEX($A766:$Z766,MATCH('Counts'!$B$26,$A$1:$Z$1,0))&amp;""),""))</f>
        <v/>
      </c>
      <c r="AD766" s="41">
        <f>IF(TRIM('Counts'!$B$44&amp;"")="","",IFERROR(TRIM(INDEX($A766:$Z766,MATCH('Counts'!$B$44,$A$1:$Z$1,0))&amp;""),""))</f>
        <v/>
      </c>
      <c r="AE766" s="41">
        <f>IF(TRIM('Cross-tab'!$B$5&amp;"")="","",IFERROR(TRIM(INDEX($A766:$Z766,MATCH('Cross-tab'!$B$5,$A$1:$Z$1,0))&amp;""),""))</f>
        <v/>
      </c>
      <c r="AF766" s="41">
        <f>IF(TRIM('Cross-tab'!$B$7&amp;"")="","",IFERROR(TRIM(INDEX($A766:$Z766,MATCH('Cross-tab'!$B$7,$A$1:$Z$1,0))&amp;""),""))</f>
        <v/>
      </c>
      <c r="AG766" s="41">
        <f>IF(ISNUMBER(IFERROR(VALUE(IF(TRIM('Scale score'!$B$5&amp;"")="","",IFERROR(TRIM(INDEX($A766:$Z766,MATCH('Scale score'!$B$5,$A$1:$Z$1,0))&amp;""),""))),"")),IF(AND(IFERROR(VALUE(IF(TRIM('Scale score'!$B$5&amp;"")="","",IFERROR(TRIM(INDEX($A766:$Z766,MATCH('Scale score'!$B$5,$A$1:$Z$1,0))&amp;""),""))),"")&gt;='Scale score'!$B$6,IFERROR(VALUE(IF(TRIM('Scale score'!$B$5&amp;"")="","",IFERROR(TRIM(INDEX($A766:$Z766,MATCH('Scale score'!$B$5,$A$1:$Z$1,0))&amp;""),""))),"")&lt;='Scale score'!$B$7),IFERROR(VALUE(IF(TRIM('Scale score'!$B$5&amp;"")="","",IFERROR(TRIM(INDEX($A766:$Z766,MATCH('Scale score'!$B$5,$A$1:$Z$1,0))&amp;""),""))),""),""),"")</f>
        <v/>
      </c>
      <c r="AH766" s="41">
        <f>IF(TRIM('Open answers'!$B$5&amp;"")="","",IFERROR(TRIM(INDEX($A766:$Z766,MATCH('Open answers'!$B$5,$A$1:$Z$1,0))&amp;""),""))</f>
        <v/>
      </c>
      <c r="AI766" s="41">
        <f>IF(LEN(AH766)&gt;0,MAX($AI$1:AI765)+1,"")</f>
        <v/>
      </c>
    </row>
    <row r="767">
      <c r="AA767" s="40" t="n"/>
      <c r="AB767" s="41">
        <f>IF(TRIM('Counts'!$B$8&amp;"")="","",IFERROR(TRIM(INDEX($A767:$Z767,MATCH('Counts'!$B$8,$A$1:$Z$1,0))&amp;""),""))</f>
        <v/>
      </c>
      <c r="AC767" s="41">
        <f>IF(TRIM('Counts'!$B$26&amp;"")="","",IFERROR(TRIM(INDEX($A767:$Z767,MATCH('Counts'!$B$26,$A$1:$Z$1,0))&amp;""),""))</f>
        <v/>
      </c>
      <c r="AD767" s="41">
        <f>IF(TRIM('Counts'!$B$44&amp;"")="","",IFERROR(TRIM(INDEX($A767:$Z767,MATCH('Counts'!$B$44,$A$1:$Z$1,0))&amp;""),""))</f>
        <v/>
      </c>
      <c r="AE767" s="41">
        <f>IF(TRIM('Cross-tab'!$B$5&amp;"")="","",IFERROR(TRIM(INDEX($A767:$Z767,MATCH('Cross-tab'!$B$5,$A$1:$Z$1,0))&amp;""),""))</f>
        <v/>
      </c>
      <c r="AF767" s="41">
        <f>IF(TRIM('Cross-tab'!$B$7&amp;"")="","",IFERROR(TRIM(INDEX($A767:$Z767,MATCH('Cross-tab'!$B$7,$A$1:$Z$1,0))&amp;""),""))</f>
        <v/>
      </c>
      <c r="AG767" s="41">
        <f>IF(ISNUMBER(IFERROR(VALUE(IF(TRIM('Scale score'!$B$5&amp;"")="","",IFERROR(TRIM(INDEX($A767:$Z767,MATCH('Scale score'!$B$5,$A$1:$Z$1,0))&amp;""),""))),"")),IF(AND(IFERROR(VALUE(IF(TRIM('Scale score'!$B$5&amp;"")="","",IFERROR(TRIM(INDEX($A767:$Z767,MATCH('Scale score'!$B$5,$A$1:$Z$1,0))&amp;""),""))),"")&gt;='Scale score'!$B$6,IFERROR(VALUE(IF(TRIM('Scale score'!$B$5&amp;"")="","",IFERROR(TRIM(INDEX($A767:$Z767,MATCH('Scale score'!$B$5,$A$1:$Z$1,0))&amp;""),""))),"")&lt;='Scale score'!$B$7),IFERROR(VALUE(IF(TRIM('Scale score'!$B$5&amp;"")="","",IFERROR(TRIM(INDEX($A767:$Z767,MATCH('Scale score'!$B$5,$A$1:$Z$1,0))&amp;""),""))),""),""),"")</f>
        <v/>
      </c>
      <c r="AH767" s="41">
        <f>IF(TRIM('Open answers'!$B$5&amp;"")="","",IFERROR(TRIM(INDEX($A767:$Z767,MATCH('Open answers'!$B$5,$A$1:$Z$1,0))&amp;""),""))</f>
        <v/>
      </c>
      <c r="AI767" s="41">
        <f>IF(LEN(AH767)&gt;0,MAX($AI$1:AI766)+1,"")</f>
        <v/>
      </c>
    </row>
    <row r="768">
      <c r="AA768" s="40" t="n"/>
      <c r="AB768" s="41">
        <f>IF(TRIM('Counts'!$B$8&amp;"")="","",IFERROR(TRIM(INDEX($A768:$Z768,MATCH('Counts'!$B$8,$A$1:$Z$1,0))&amp;""),""))</f>
        <v/>
      </c>
      <c r="AC768" s="41">
        <f>IF(TRIM('Counts'!$B$26&amp;"")="","",IFERROR(TRIM(INDEX($A768:$Z768,MATCH('Counts'!$B$26,$A$1:$Z$1,0))&amp;""),""))</f>
        <v/>
      </c>
      <c r="AD768" s="41">
        <f>IF(TRIM('Counts'!$B$44&amp;"")="","",IFERROR(TRIM(INDEX($A768:$Z768,MATCH('Counts'!$B$44,$A$1:$Z$1,0))&amp;""),""))</f>
        <v/>
      </c>
      <c r="AE768" s="41">
        <f>IF(TRIM('Cross-tab'!$B$5&amp;"")="","",IFERROR(TRIM(INDEX($A768:$Z768,MATCH('Cross-tab'!$B$5,$A$1:$Z$1,0))&amp;""),""))</f>
        <v/>
      </c>
      <c r="AF768" s="41">
        <f>IF(TRIM('Cross-tab'!$B$7&amp;"")="","",IFERROR(TRIM(INDEX($A768:$Z768,MATCH('Cross-tab'!$B$7,$A$1:$Z$1,0))&amp;""),""))</f>
        <v/>
      </c>
      <c r="AG768" s="41">
        <f>IF(ISNUMBER(IFERROR(VALUE(IF(TRIM('Scale score'!$B$5&amp;"")="","",IFERROR(TRIM(INDEX($A768:$Z768,MATCH('Scale score'!$B$5,$A$1:$Z$1,0))&amp;""),""))),"")),IF(AND(IFERROR(VALUE(IF(TRIM('Scale score'!$B$5&amp;"")="","",IFERROR(TRIM(INDEX($A768:$Z768,MATCH('Scale score'!$B$5,$A$1:$Z$1,0))&amp;""),""))),"")&gt;='Scale score'!$B$6,IFERROR(VALUE(IF(TRIM('Scale score'!$B$5&amp;"")="","",IFERROR(TRIM(INDEX($A768:$Z768,MATCH('Scale score'!$B$5,$A$1:$Z$1,0))&amp;""),""))),"")&lt;='Scale score'!$B$7),IFERROR(VALUE(IF(TRIM('Scale score'!$B$5&amp;"")="","",IFERROR(TRIM(INDEX($A768:$Z768,MATCH('Scale score'!$B$5,$A$1:$Z$1,0))&amp;""),""))),""),""),"")</f>
        <v/>
      </c>
      <c r="AH768" s="41">
        <f>IF(TRIM('Open answers'!$B$5&amp;"")="","",IFERROR(TRIM(INDEX($A768:$Z768,MATCH('Open answers'!$B$5,$A$1:$Z$1,0))&amp;""),""))</f>
        <v/>
      </c>
      <c r="AI768" s="41">
        <f>IF(LEN(AH768)&gt;0,MAX($AI$1:AI767)+1,"")</f>
        <v/>
      </c>
    </row>
    <row r="769">
      <c r="AA769" s="40" t="n"/>
      <c r="AB769" s="41">
        <f>IF(TRIM('Counts'!$B$8&amp;"")="","",IFERROR(TRIM(INDEX($A769:$Z769,MATCH('Counts'!$B$8,$A$1:$Z$1,0))&amp;""),""))</f>
        <v/>
      </c>
      <c r="AC769" s="41">
        <f>IF(TRIM('Counts'!$B$26&amp;"")="","",IFERROR(TRIM(INDEX($A769:$Z769,MATCH('Counts'!$B$26,$A$1:$Z$1,0))&amp;""),""))</f>
        <v/>
      </c>
      <c r="AD769" s="41">
        <f>IF(TRIM('Counts'!$B$44&amp;"")="","",IFERROR(TRIM(INDEX($A769:$Z769,MATCH('Counts'!$B$44,$A$1:$Z$1,0))&amp;""),""))</f>
        <v/>
      </c>
      <c r="AE769" s="41">
        <f>IF(TRIM('Cross-tab'!$B$5&amp;"")="","",IFERROR(TRIM(INDEX($A769:$Z769,MATCH('Cross-tab'!$B$5,$A$1:$Z$1,0))&amp;""),""))</f>
        <v/>
      </c>
      <c r="AF769" s="41">
        <f>IF(TRIM('Cross-tab'!$B$7&amp;"")="","",IFERROR(TRIM(INDEX($A769:$Z769,MATCH('Cross-tab'!$B$7,$A$1:$Z$1,0))&amp;""),""))</f>
        <v/>
      </c>
      <c r="AG769" s="41">
        <f>IF(ISNUMBER(IFERROR(VALUE(IF(TRIM('Scale score'!$B$5&amp;"")="","",IFERROR(TRIM(INDEX($A769:$Z769,MATCH('Scale score'!$B$5,$A$1:$Z$1,0))&amp;""),""))),"")),IF(AND(IFERROR(VALUE(IF(TRIM('Scale score'!$B$5&amp;"")="","",IFERROR(TRIM(INDEX($A769:$Z769,MATCH('Scale score'!$B$5,$A$1:$Z$1,0))&amp;""),""))),"")&gt;='Scale score'!$B$6,IFERROR(VALUE(IF(TRIM('Scale score'!$B$5&amp;"")="","",IFERROR(TRIM(INDEX($A769:$Z769,MATCH('Scale score'!$B$5,$A$1:$Z$1,0))&amp;""),""))),"")&lt;='Scale score'!$B$7),IFERROR(VALUE(IF(TRIM('Scale score'!$B$5&amp;"")="","",IFERROR(TRIM(INDEX($A769:$Z769,MATCH('Scale score'!$B$5,$A$1:$Z$1,0))&amp;""),""))),""),""),"")</f>
        <v/>
      </c>
      <c r="AH769" s="41">
        <f>IF(TRIM('Open answers'!$B$5&amp;"")="","",IFERROR(TRIM(INDEX($A769:$Z769,MATCH('Open answers'!$B$5,$A$1:$Z$1,0))&amp;""),""))</f>
        <v/>
      </c>
      <c r="AI769" s="41">
        <f>IF(LEN(AH769)&gt;0,MAX($AI$1:AI768)+1,"")</f>
        <v/>
      </c>
    </row>
    <row r="770">
      <c r="AA770" s="40" t="n"/>
      <c r="AB770" s="41">
        <f>IF(TRIM('Counts'!$B$8&amp;"")="","",IFERROR(TRIM(INDEX($A770:$Z770,MATCH('Counts'!$B$8,$A$1:$Z$1,0))&amp;""),""))</f>
        <v/>
      </c>
      <c r="AC770" s="41">
        <f>IF(TRIM('Counts'!$B$26&amp;"")="","",IFERROR(TRIM(INDEX($A770:$Z770,MATCH('Counts'!$B$26,$A$1:$Z$1,0))&amp;""),""))</f>
        <v/>
      </c>
      <c r="AD770" s="41">
        <f>IF(TRIM('Counts'!$B$44&amp;"")="","",IFERROR(TRIM(INDEX($A770:$Z770,MATCH('Counts'!$B$44,$A$1:$Z$1,0))&amp;""),""))</f>
        <v/>
      </c>
      <c r="AE770" s="41">
        <f>IF(TRIM('Cross-tab'!$B$5&amp;"")="","",IFERROR(TRIM(INDEX($A770:$Z770,MATCH('Cross-tab'!$B$5,$A$1:$Z$1,0))&amp;""),""))</f>
        <v/>
      </c>
      <c r="AF770" s="41">
        <f>IF(TRIM('Cross-tab'!$B$7&amp;"")="","",IFERROR(TRIM(INDEX($A770:$Z770,MATCH('Cross-tab'!$B$7,$A$1:$Z$1,0))&amp;""),""))</f>
        <v/>
      </c>
      <c r="AG770" s="41">
        <f>IF(ISNUMBER(IFERROR(VALUE(IF(TRIM('Scale score'!$B$5&amp;"")="","",IFERROR(TRIM(INDEX($A770:$Z770,MATCH('Scale score'!$B$5,$A$1:$Z$1,0))&amp;""),""))),"")),IF(AND(IFERROR(VALUE(IF(TRIM('Scale score'!$B$5&amp;"")="","",IFERROR(TRIM(INDEX($A770:$Z770,MATCH('Scale score'!$B$5,$A$1:$Z$1,0))&amp;""),""))),"")&gt;='Scale score'!$B$6,IFERROR(VALUE(IF(TRIM('Scale score'!$B$5&amp;"")="","",IFERROR(TRIM(INDEX($A770:$Z770,MATCH('Scale score'!$B$5,$A$1:$Z$1,0))&amp;""),""))),"")&lt;='Scale score'!$B$7),IFERROR(VALUE(IF(TRIM('Scale score'!$B$5&amp;"")="","",IFERROR(TRIM(INDEX($A770:$Z770,MATCH('Scale score'!$B$5,$A$1:$Z$1,0))&amp;""),""))),""),""),"")</f>
        <v/>
      </c>
      <c r="AH770" s="41">
        <f>IF(TRIM('Open answers'!$B$5&amp;"")="","",IFERROR(TRIM(INDEX($A770:$Z770,MATCH('Open answers'!$B$5,$A$1:$Z$1,0))&amp;""),""))</f>
        <v/>
      </c>
      <c r="AI770" s="41">
        <f>IF(LEN(AH770)&gt;0,MAX($AI$1:AI769)+1,"")</f>
        <v/>
      </c>
    </row>
    <row r="771">
      <c r="AA771" s="40" t="n"/>
      <c r="AB771" s="41">
        <f>IF(TRIM('Counts'!$B$8&amp;"")="","",IFERROR(TRIM(INDEX($A771:$Z771,MATCH('Counts'!$B$8,$A$1:$Z$1,0))&amp;""),""))</f>
        <v/>
      </c>
      <c r="AC771" s="41">
        <f>IF(TRIM('Counts'!$B$26&amp;"")="","",IFERROR(TRIM(INDEX($A771:$Z771,MATCH('Counts'!$B$26,$A$1:$Z$1,0))&amp;""),""))</f>
        <v/>
      </c>
      <c r="AD771" s="41">
        <f>IF(TRIM('Counts'!$B$44&amp;"")="","",IFERROR(TRIM(INDEX($A771:$Z771,MATCH('Counts'!$B$44,$A$1:$Z$1,0))&amp;""),""))</f>
        <v/>
      </c>
      <c r="AE771" s="41">
        <f>IF(TRIM('Cross-tab'!$B$5&amp;"")="","",IFERROR(TRIM(INDEX($A771:$Z771,MATCH('Cross-tab'!$B$5,$A$1:$Z$1,0))&amp;""),""))</f>
        <v/>
      </c>
      <c r="AF771" s="41">
        <f>IF(TRIM('Cross-tab'!$B$7&amp;"")="","",IFERROR(TRIM(INDEX($A771:$Z771,MATCH('Cross-tab'!$B$7,$A$1:$Z$1,0))&amp;""),""))</f>
        <v/>
      </c>
      <c r="AG771" s="41">
        <f>IF(ISNUMBER(IFERROR(VALUE(IF(TRIM('Scale score'!$B$5&amp;"")="","",IFERROR(TRIM(INDEX($A771:$Z771,MATCH('Scale score'!$B$5,$A$1:$Z$1,0))&amp;""),""))),"")),IF(AND(IFERROR(VALUE(IF(TRIM('Scale score'!$B$5&amp;"")="","",IFERROR(TRIM(INDEX($A771:$Z771,MATCH('Scale score'!$B$5,$A$1:$Z$1,0))&amp;""),""))),"")&gt;='Scale score'!$B$6,IFERROR(VALUE(IF(TRIM('Scale score'!$B$5&amp;"")="","",IFERROR(TRIM(INDEX($A771:$Z771,MATCH('Scale score'!$B$5,$A$1:$Z$1,0))&amp;""),""))),"")&lt;='Scale score'!$B$7),IFERROR(VALUE(IF(TRIM('Scale score'!$B$5&amp;"")="","",IFERROR(TRIM(INDEX($A771:$Z771,MATCH('Scale score'!$B$5,$A$1:$Z$1,0))&amp;""),""))),""),""),"")</f>
        <v/>
      </c>
      <c r="AH771" s="41">
        <f>IF(TRIM('Open answers'!$B$5&amp;"")="","",IFERROR(TRIM(INDEX($A771:$Z771,MATCH('Open answers'!$B$5,$A$1:$Z$1,0))&amp;""),""))</f>
        <v/>
      </c>
      <c r="AI771" s="41">
        <f>IF(LEN(AH771)&gt;0,MAX($AI$1:AI770)+1,"")</f>
        <v/>
      </c>
    </row>
    <row r="772">
      <c r="AA772" s="40" t="n"/>
      <c r="AB772" s="41">
        <f>IF(TRIM('Counts'!$B$8&amp;"")="","",IFERROR(TRIM(INDEX($A772:$Z772,MATCH('Counts'!$B$8,$A$1:$Z$1,0))&amp;""),""))</f>
        <v/>
      </c>
      <c r="AC772" s="41">
        <f>IF(TRIM('Counts'!$B$26&amp;"")="","",IFERROR(TRIM(INDEX($A772:$Z772,MATCH('Counts'!$B$26,$A$1:$Z$1,0))&amp;""),""))</f>
        <v/>
      </c>
      <c r="AD772" s="41">
        <f>IF(TRIM('Counts'!$B$44&amp;"")="","",IFERROR(TRIM(INDEX($A772:$Z772,MATCH('Counts'!$B$44,$A$1:$Z$1,0))&amp;""),""))</f>
        <v/>
      </c>
      <c r="AE772" s="41">
        <f>IF(TRIM('Cross-tab'!$B$5&amp;"")="","",IFERROR(TRIM(INDEX($A772:$Z772,MATCH('Cross-tab'!$B$5,$A$1:$Z$1,0))&amp;""),""))</f>
        <v/>
      </c>
      <c r="AF772" s="41">
        <f>IF(TRIM('Cross-tab'!$B$7&amp;"")="","",IFERROR(TRIM(INDEX($A772:$Z772,MATCH('Cross-tab'!$B$7,$A$1:$Z$1,0))&amp;""),""))</f>
        <v/>
      </c>
      <c r="AG772" s="41">
        <f>IF(ISNUMBER(IFERROR(VALUE(IF(TRIM('Scale score'!$B$5&amp;"")="","",IFERROR(TRIM(INDEX($A772:$Z772,MATCH('Scale score'!$B$5,$A$1:$Z$1,0))&amp;""),""))),"")),IF(AND(IFERROR(VALUE(IF(TRIM('Scale score'!$B$5&amp;"")="","",IFERROR(TRIM(INDEX($A772:$Z772,MATCH('Scale score'!$B$5,$A$1:$Z$1,0))&amp;""),""))),"")&gt;='Scale score'!$B$6,IFERROR(VALUE(IF(TRIM('Scale score'!$B$5&amp;"")="","",IFERROR(TRIM(INDEX($A772:$Z772,MATCH('Scale score'!$B$5,$A$1:$Z$1,0))&amp;""),""))),"")&lt;='Scale score'!$B$7),IFERROR(VALUE(IF(TRIM('Scale score'!$B$5&amp;"")="","",IFERROR(TRIM(INDEX($A772:$Z772,MATCH('Scale score'!$B$5,$A$1:$Z$1,0))&amp;""),""))),""),""),"")</f>
        <v/>
      </c>
      <c r="AH772" s="41">
        <f>IF(TRIM('Open answers'!$B$5&amp;"")="","",IFERROR(TRIM(INDEX($A772:$Z772,MATCH('Open answers'!$B$5,$A$1:$Z$1,0))&amp;""),""))</f>
        <v/>
      </c>
      <c r="AI772" s="41">
        <f>IF(LEN(AH772)&gt;0,MAX($AI$1:AI771)+1,"")</f>
        <v/>
      </c>
    </row>
    <row r="773">
      <c r="AA773" s="40" t="n"/>
      <c r="AB773" s="41">
        <f>IF(TRIM('Counts'!$B$8&amp;"")="","",IFERROR(TRIM(INDEX($A773:$Z773,MATCH('Counts'!$B$8,$A$1:$Z$1,0))&amp;""),""))</f>
        <v/>
      </c>
      <c r="AC773" s="41">
        <f>IF(TRIM('Counts'!$B$26&amp;"")="","",IFERROR(TRIM(INDEX($A773:$Z773,MATCH('Counts'!$B$26,$A$1:$Z$1,0))&amp;""),""))</f>
        <v/>
      </c>
      <c r="AD773" s="41">
        <f>IF(TRIM('Counts'!$B$44&amp;"")="","",IFERROR(TRIM(INDEX($A773:$Z773,MATCH('Counts'!$B$44,$A$1:$Z$1,0))&amp;""),""))</f>
        <v/>
      </c>
      <c r="AE773" s="41">
        <f>IF(TRIM('Cross-tab'!$B$5&amp;"")="","",IFERROR(TRIM(INDEX($A773:$Z773,MATCH('Cross-tab'!$B$5,$A$1:$Z$1,0))&amp;""),""))</f>
        <v/>
      </c>
      <c r="AF773" s="41">
        <f>IF(TRIM('Cross-tab'!$B$7&amp;"")="","",IFERROR(TRIM(INDEX($A773:$Z773,MATCH('Cross-tab'!$B$7,$A$1:$Z$1,0))&amp;""),""))</f>
        <v/>
      </c>
      <c r="AG773" s="41">
        <f>IF(ISNUMBER(IFERROR(VALUE(IF(TRIM('Scale score'!$B$5&amp;"")="","",IFERROR(TRIM(INDEX($A773:$Z773,MATCH('Scale score'!$B$5,$A$1:$Z$1,0))&amp;""),""))),"")),IF(AND(IFERROR(VALUE(IF(TRIM('Scale score'!$B$5&amp;"")="","",IFERROR(TRIM(INDEX($A773:$Z773,MATCH('Scale score'!$B$5,$A$1:$Z$1,0))&amp;""),""))),"")&gt;='Scale score'!$B$6,IFERROR(VALUE(IF(TRIM('Scale score'!$B$5&amp;"")="","",IFERROR(TRIM(INDEX($A773:$Z773,MATCH('Scale score'!$B$5,$A$1:$Z$1,0))&amp;""),""))),"")&lt;='Scale score'!$B$7),IFERROR(VALUE(IF(TRIM('Scale score'!$B$5&amp;"")="","",IFERROR(TRIM(INDEX($A773:$Z773,MATCH('Scale score'!$B$5,$A$1:$Z$1,0))&amp;""),""))),""),""),"")</f>
        <v/>
      </c>
      <c r="AH773" s="41">
        <f>IF(TRIM('Open answers'!$B$5&amp;"")="","",IFERROR(TRIM(INDEX($A773:$Z773,MATCH('Open answers'!$B$5,$A$1:$Z$1,0))&amp;""),""))</f>
        <v/>
      </c>
      <c r="AI773" s="41">
        <f>IF(LEN(AH773)&gt;0,MAX($AI$1:AI772)+1,"")</f>
        <v/>
      </c>
    </row>
    <row r="774">
      <c r="AA774" s="40" t="n"/>
      <c r="AB774" s="41">
        <f>IF(TRIM('Counts'!$B$8&amp;"")="","",IFERROR(TRIM(INDEX($A774:$Z774,MATCH('Counts'!$B$8,$A$1:$Z$1,0))&amp;""),""))</f>
        <v/>
      </c>
      <c r="AC774" s="41">
        <f>IF(TRIM('Counts'!$B$26&amp;"")="","",IFERROR(TRIM(INDEX($A774:$Z774,MATCH('Counts'!$B$26,$A$1:$Z$1,0))&amp;""),""))</f>
        <v/>
      </c>
      <c r="AD774" s="41">
        <f>IF(TRIM('Counts'!$B$44&amp;"")="","",IFERROR(TRIM(INDEX($A774:$Z774,MATCH('Counts'!$B$44,$A$1:$Z$1,0))&amp;""),""))</f>
        <v/>
      </c>
      <c r="AE774" s="41">
        <f>IF(TRIM('Cross-tab'!$B$5&amp;"")="","",IFERROR(TRIM(INDEX($A774:$Z774,MATCH('Cross-tab'!$B$5,$A$1:$Z$1,0))&amp;""),""))</f>
        <v/>
      </c>
      <c r="AF774" s="41">
        <f>IF(TRIM('Cross-tab'!$B$7&amp;"")="","",IFERROR(TRIM(INDEX($A774:$Z774,MATCH('Cross-tab'!$B$7,$A$1:$Z$1,0))&amp;""),""))</f>
        <v/>
      </c>
      <c r="AG774" s="41">
        <f>IF(ISNUMBER(IFERROR(VALUE(IF(TRIM('Scale score'!$B$5&amp;"")="","",IFERROR(TRIM(INDEX($A774:$Z774,MATCH('Scale score'!$B$5,$A$1:$Z$1,0))&amp;""),""))),"")),IF(AND(IFERROR(VALUE(IF(TRIM('Scale score'!$B$5&amp;"")="","",IFERROR(TRIM(INDEX($A774:$Z774,MATCH('Scale score'!$B$5,$A$1:$Z$1,0))&amp;""),""))),"")&gt;='Scale score'!$B$6,IFERROR(VALUE(IF(TRIM('Scale score'!$B$5&amp;"")="","",IFERROR(TRIM(INDEX($A774:$Z774,MATCH('Scale score'!$B$5,$A$1:$Z$1,0))&amp;""),""))),"")&lt;='Scale score'!$B$7),IFERROR(VALUE(IF(TRIM('Scale score'!$B$5&amp;"")="","",IFERROR(TRIM(INDEX($A774:$Z774,MATCH('Scale score'!$B$5,$A$1:$Z$1,0))&amp;""),""))),""),""),"")</f>
        <v/>
      </c>
      <c r="AH774" s="41">
        <f>IF(TRIM('Open answers'!$B$5&amp;"")="","",IFERROR(TRIM(INDEX($A774:$Z774,MATCH('Open answers'!$B$5,$A$1:$Z$1,0))&amp;""),""))</f>
        <v/>
      </c>
      <c r="AI774" s="41">
        <f>IF(LEN(AH774)&gt;0,MAX($AI$1:AI773)+1,"")</f>
        <v/>
      </c>
    </row>
    <row r="775">
      <c r="AA775" s="40" t="n"/>
      <c r="AB775" s="41">
        <f>IF(TRIM('Counts'!$B$8&amp;"")="","",IFERROR(TRIM(INDEX($A775:$Z775,MATCH('Counts'!$B$8,$A$1:$Z$1,0))&amp;""),""))</f>
        <v/>
      </c>
      <c r="AC775" s="41">
        <f>IF(TRIM('Counts'!$B$26&amp;"")="","",IFERROR(TRIM(INDEX($A775:$Z775,MATCH('Counts'!$B$26,$A$1:$Z$1,0))&amp;""),""))</f>
        <v/>
      </c>
      <c r="AD775" s="41">
        <f>IF(TRIM('Counts'!$B$44&amp;"")="","",IFERROR(TRIM(INDEX($A775:$Z775,MATCH('Counts'!$B$44,$A$1:$Z$1,0))&amp;""),""))</f>
        <v/>
      </c>
      <c r="AE775" s="41">
        <f>IF(TRIM('Cross-tab'!$B$5&amp;"")="","",IFERROR(TRIM(INDEX($A775:$Z775,MATCH('Cross-tab'!$B$5,$A$1:$Z$1,0))&amp;""),""))</f>
        <v/>
      </c>
      <c r="AF775" s="41">
        <f>IF(TRIM('Cross-tab'!$B$7&amp;"")="","",IFERROR(TRIM(INDEX($A775:$Z775,MATCH('Cross-tab'!$B$7,$A$1:$Z$1,0))&amp;""),""))</f>
        <v/>
      </c>
      <c r="AG775" s="41">
        <f>IF(ISNUMBER(IFERROR(VALUE(IF(TRIM('Scale score'!$B$5&amp;"")="","",IFERROR(TRIM(INDEX($A775:$Z775,MATCH('Scale score'!$B$5,$A$1:$Z$1,0))&amp;""),""))),"")),IF(AND(IFERROR(VALUE(IF(TRIM('Scale score'!$B$5&amp;"")="","",IFERROR(TRIM(INDEX($A775:$Z775,MATCH('Scale score'!$B$5,$A$1:$Z$1,0))&amp;""),""))),"")&gt;='Scale score'!$B$6,IFERROR(VALUE(IF(TRIM('Scale score'!$B$5&amp;"")="","",IFERROR(TRIM(INDEX($A775:$Z775,MATCH('Scale score'!$B$5,$A$1:$Z$1,0))&amp;""),""))),"")&lt;='Scale score'!$B$7),IFERROR(VALUE(IF(TRIM('Scale score'!$B$5&amp;"")="","",IFERROR(TRIM(INDEX($A775:$Z775,MATCH('Scale score'!$B$5,$A$1:$Z$1,0))&amp;""),""))),""),""),"")</f>
        <v/>
      </c>
      <c r="AH775" s="41">
        <f>IF(TRIM('Open answers'!$B$5&amp;"")="","",IFERROR(TRIM(INDEX($A775:$Z775,MATCH('Open answers'!$B$5,$A$1:$Z$1,0))&amp;""),""))</f>
        <v/>
      </c>
      <c r="AI775" s="41">
        <f>IF(LEN(AH775)&gt;0,MAX($AI$1:AI774)+1,"")</f>
        <v/>
      </c>
    </row>
    <row r="776">
      <c r="AA776" s="40" t="n"/>
      <c r="AB776" s="41">
        <f>IF(TRIM('Counts'!$B$8&amp;"")="","",IFERROR(TRIM(INDEX($A776:$Z776,MATCH('Counts'!$B$8,$A$1:$Z$1,0))&amp;""),""))</f>
        <v/>
      </c>
      <c r="AC776" s="41">
        <f>IF(TRIM('Counts'!$B$26&amp;"")="","",IFERROR(TRIM(INDEX($A776:$Z776,MATCH('Counts'!$B$26,$A$1:$Z$1,0))&amp;""),""))</f>
        <v/>
      </c>
      <c r="AD776" s="41">
        <f>IF(TRIM('Counts'!$B$44&amp;"")="","",IFERROR(TRIM(INDEX($A776:$Z776,MATCH('Counts'!$B$44,$A$1:$Z$1,0))&amp;""),""))</f>
        <v/>
      </c>
      <c r="AE776" s="41">
        <f>IF(TRIM('Cross-tab'!$B$5&amp;"")="","",IFERROR(TRIM(INDEX($A776:$Z776,MATCH('Cross-tab'!$B$5,$A$1:$Z$1,0))&amp;""),""))</f>
        <v/>
      </c>
      <c r="AF776" s="41">
        <f>IF(TRIM('Cross-tab'!$B$7&amp;"")="","",IFERROR(TRIM(INDEX($A776:$Z776,MATCH('Cross-tab'!$B$7,$A$1:$Z$1,0))&amp;""),""))</f>
        <v/>
      </c>
      <c r="AG776" s="41">
        <f>IF(ISNUMBER(IFERROR(VALUE(IF(TRIM('Scale score'!$B$5&amp;"")="","",IFERROR(TRIM(INDEX($A776:$Z776,MATCH('Scale score'!$B$5,$A$1:$Z$1,0))&amp;""),""))),"")),IF(AND(IFERROR(VALUE(IF(TRIM('Scale score'!$B$5&amp;"")="","",IFERROR(TRIM(INDEX($A776:$Z776,MATCH('Scale score'!$B$5,$A$1:$Z$1,0))&amp;""),""))),"")&gt;='Scale score'!$B$6,IFERROR(VALUE(IF(TRIM('Scale score'!$B$5&amp;"")="","",IFERROR(TRIM(INDEX($A776:$Z776,MATCH('Scale score'!$B$5,$A$1:$Z$1,0))&amp;""),""))),"")&lt;='Scale score'!$B$7),IFERROR(VALUE(IF(TRIM('Scale score'!$B$5&amp;"")="","",IFERROR(TRIM(INDEX($A776:$Z776,MATCH('Scale score'!$B$5,$A$1:$Z$1,0))&amp;""),""))),""),""),"")</f>
        <v/>
      </c>
      <c r="AH776" s="41">
        <f>IF(TRIM('Open answers'!$B$5&amp;"")="","",IFERROR(TRIM(INDEX($A776:$Z776,MATCH('Open answers'!$B$5,$A$1:$Z$1,0))&amp;""),""))</f>
        <v/>
      </c>
      <c r="AI776" s="41">
        <f>IF(LEN(AH776)&gt;0,MAX($AI$1:AI775)+1,"")</f>
        <v/>
      </c>
    </row>
    <row r="777">
      <c r="AA777" s="40" t="n"/>
      <c r="AB777" s="41">
        <f>IF(TRIM('Counts'!$B$8&amp;"")="","",IFERROR(TRIM(INDEX($A777:$Z777,MATCH('Counts'!$B$8,$A$1:$Z$1,0))&amp;""),""))</f>
        <v/>
      </c>
      <c r="AC777" s="41">
        <f>IF(TRIM('Counts'!$B$26&amp;"")="","",IFERROR(TRIM(INDEX($A777:$Z777,MATCH('Counts'!$B$26,$A$1:$Z$1,0))&amp;""),""))</f>
        <v/>
      </c>
      <c r="AD777" s="41">
        <f>IF(TRIM('Counts'!$B$44&amp;"")="","",IFERROR(TRIM(INDEX($A777:$Z777,MATCH('Counts'!$B$44,$A$1:$Z$1,0))&amp;""),""))</f>
        <v/>
      </c>
      <c r="AE777" s="41">
        <f>IF(TRIM('Cross-tab'!$B$5&amp;"")="","",IFERROR(TRIM(INDEX($A777:$Z777,MATCH('Cross-tab'!$B$5,$A$1:$Z$1,0))&amp;""),""))</f>
        <v/>
      </c>
      <c r="AF777" s="41">
        <f>IF(TRIM('Cross-tab'!$B$7&amp;"")="","",IFERROR(TRIM(INDEX($A777:$Z777,MATCH('Cross-tab'!$B$7,$A$1:$Z$1,0))&amp;""),""))</f>
        <v/>
      </c>
      <c r="AG777" s="41">
        <f>IF(ISNUMBER(IFERROR(VALUE(IF(TRIM('Scale score'!$B$5&amp;"")="","",IFERROR(TRIM(INDEX($A777:$Z777,MATCH('Scale score'!$B$5,$A$1:$Z$1,0))&amp;""),""))),"")),IF(AND(IFERROR(VALUE(IF(TRIM('Scale score'!$B$5&amp;"")="","",IFERROR(TRIM(INDEX($A777:$Z777,MATCH('Scale score'!$B$5,$A$1:$Z$1,0))&amp;""),""))),"")&gt;='Scale score'!$B$6,IFERROR(VALUE(IF(TRIM('Scale score'!$B$5&amp;"")="","",IFERROR(TRIM(INDEX($A777:$Z777,MATCH('Scale score'!$B$5,$A$1:$Z$1,0))&amp;""),""))),"")&lt;='Scale score'!$B$7),IFERROR(VALUE(IF(TRIM('Scale score'!$B$5&amp;"")="","",IFERROR(TRIM(INDEX($A777:$Z777,MATCH('Scale score'!$B$5,$A$1:$Z$1,0))&amp;""),""))),""),""),"")</f>
        <v/>
      </c>
      <c r="AH777" s="41">
        <f>IF(TRIM('Open answers'!$B$5&amp;"")="","",IFERROR(TRIM(INDEX($A777:$Z777,MATCH('Open answers'!$B$5,$A$1:$Z$1,0))&amp;""),""))</f>
        <v/>
      </c>
      <c r="AI777" s="41">
        <f>IF(LEN(AH777)&gt;0,MAX($AI$1:AI776)+1,"")</f>
        <v/>
      </c>
    </row>
    <row r="778">
      <c r="AA778" s="40" t="n"/>
      <c r="AB778" s="41">
        <f>IF(TRIM('Counts'!$B$8&amp;"")="","",IFERROR(TRIM(INDEX($A778:$Z778,MATCH('Counts'!$B$8,$A$1:$Z$1,0))&amp;""),""))</f>
        <v/>
      </c>
      <c r="AC778" s="41">
        <f>IF(TRIM('Counts'!$B$26&amp;"")="","",IFERROR(TRIM(INDEX($A778:$Z778,MATCH('Counts'!$B$26,$A$1:$Z$1,0))&amp;""),""))</f>
        <v/>
      </c>
      <c r="AD778" s="41">
        <f>IF(TRIM('Counts'!$B$44&amp;"")="","",IFERROR(TRIM(INDEX($A778:$Z778,MATCH('Counts'!$B$44,$A$1:$Z$1,0))&amp;""),""))</f>
        <v/>
      </c>
      <c r="AE778" s="41">
        <f>IF(TRIM('Cross-tab'!$B$5&amp;"")="","",IFERROR(TRIM(INDEX($A778:$Z778,MATCH('Cross-tab'!$B$5,$A$1:$Z$1,0))&amp;""),""))</f>
        <v/>
      </c>
      <c r="AF778" s="41">
        <f>IF(TRIM('Cross-tab'!$B$7&amp;"")="","",IFERROR(TRIM(INDEX($A778:$Z778,MATCH('Cross-tab'!$B$7,$A$1:$Z$1,0))&amp;""),""))</f>
        <v/>
      </c>
      <c r="AG778" s="41">
        <f>IF(ISNUMBER(IFERROR(VALUE(IF(TRIM('Scale score'!$B$5&amp;"")="","",IFERROR(TRIM(INDEX($A778:$Z778,MATCH('Scale score'!$B$5,$A$1:$Z$1,0))&amp;""),""))),"")),IF(AND(IFERROR(VALUE(IF(TRIM('Scale score'!$B$5&amp;"")="","",IFERROR(TRIM(INDEX($A778:$Z778,MATCH('Scale score'!$B$5,$A$1:$Z$1,0))&amp;""),""))),"")&gt;='Scale score'!$B$6,IFERROR(VALUE(IF(TRIM('Scale score'!$B$5&amp;"")="","",IFERROR(TRIM(INDEX($A778:$Z778,MATCH('Scale score'!$B$5,$A$1:$Z$1,0))&amp;""),""))),"")&lt;='Scale score'!$B$7),IFERROR(VALUE(IF(TRIM('Scale score'!$B$5&amp;"")="","",IFERROR(TRIM(INDEX($A778:$Z778,MATCH('Scale score'!$B$5,$A$1:$Z$1,0))&amp;""),""))),""),""),"")</f>
        <v/>
      </c>
      <c r="AH778" s="41">
        <f>IF(TRIM('Open answers'!$B$5&amp;"")="","",IFERROR(TRIM(INDEX($A778:$Z778,MATCH('Open answers'!$B$5,$A$1:$Z$1,0))&amp;""),""))</f>
        <v/>
      </c>
      <c r="AI778" s="41">
        <f>IF(LEN(AH778)&gt;0,MAX($AI$1:AI777)+1,"")</f>
        <v/>
      </c>
    </row>
    <row r="779">
      <c r="AA779" s="40" t="n"/>
      <c r="AB779" s="41">
        <f>IF(TRIM('Counts'!$B$8&amp;"")="","",IFERROR(TRIM(INDEX($A779:$Z779,MATCH('Counts'!$B$8,$A$1:$Z$1,0))&amp;""),""))</f>
        <v/>
      </c>
      <c r="AC779" s="41">
        <f>IF(TRIM('Counts'!$B$26&amp;"")="","",IFERROR(TRIM(INDEX($A779:$Z779,MATCH('Counts'!$B$26,$A$1:$Z$1,0))&amp;""),""))</f>
        <v/>
      </c>
      <c r="AD779" s="41">
        <f>IF(TRIM('Counts'!$B$44&amp;"")="","",IFERROR(TRIM(INDEX($A779:$Z779,MATCH('Counts'!$B$44,$A$1:$Z$1,0))&amp;""),""))</f>
        <v/>
      </c>
      <c r="AE779" s="41">
        <f>IF(TRIM('Cross-tab'!$B$5&amp;"")="","",IFERROR(TRIM(INDEX($A779:$Z779,MATCH('Cross-tab'!$B$5,$A$1:$Z$1,0))&amp;""),""))</f>
        <v/>
      </c>
      <c r="AF779" s="41">
        <f>IF(TRIM('Cross-tab'!$B$7&amp;"")="","",IFERROR(TRIM(INDEX($A779:$Z779,MATCH('Cross-tab'!$B$7,$A$1:$Z$1,0))&amp;""),""))</f>
        <v/>
      </c>
      <c r="AG779" s="41">
        <f>IF(ISNUMBER(IFERROR(VALUE(IF(TRIM('Scale score'!$B$5&amp;"")="","",IFERROR(TRIM(INDEX($A779:$Z779,MATCH('Scale score'!$B$5,$A$1:$Z$1,0))&amp;""),""))),"")),IF(AND(IFERROR(VALUE(IF(TRIM('Scale score'!$B$5&amp;"")="","",IFERROR(TRIM(INDEX($A779:$Z779,MATCH('Scale score'!$B$5,$A$1:$Z$1,0))&amp;""),""))),"")&gt;='Scale score'!$B$6,IFERROR(VALUE(IF(TRIM('Scale score'!$B$5&amp;"")="","",IFERROR(TRIM(INDEX($A779:$Z779,MATCH('Scale score'!$B$5,$A$1:$Z$1,0))&amp;""),""))),"")&lt;='Scale score'!$B$7),IFERROR(VALUE(IF(TRIM('Scale score'!$B$5&amp;"")="","",IFERROR(TRIM(INDEX($A779:$Z779,MATCH('Scale score'!$B$5,$A$1:$Z$1,0))&amp;""),""))),""),""),"")</f>
        <v/>
      </c>
      <c r="AH779" s="41">
        <f>IF(TRIM('Open answers'!$B$5&amp;"")="","",IFERROR(TRIM(INDEX($A779:$Z779,MATCH('Open answers'!$B$5,$A$1:$Z$1,0))&amp;""),""))</f>
        <v/>
      </c>
      <c r="AI779" s="41">
        <f>IF(LEN(AH779)&gt;0,MAX($AI$1:AI778)+1,"")</f>
        <v/>
      </c>
    </row>
    <row r="780">
      <c r="AA780" s="40" t="n"/>
      <c r="AB780" s="41">
        <f>IF(TRIM('Counts'!$B$8&amp;"")="","",IFERROR(TRIM(INDEX($A780:$Z780,MATCH('Counts'!$B$8,$A$1:$Z$1,0))&amp;""),""))</f>
        <v/>
      </c>
      <c r="AC780" s="41">
        <f>IF(TRIM('Counts'!$B$26&amp;"")="","",IFERROR(TRIM(INDEX($A780:$Z780,MATCH('Counts'!$B$26,$A$1:$Z$1,0))&amp;""),""))</f>
        <v/>
      </c>
      <c r="AD780" s="41">
        <f>IF(TRIM('Counts'!$B$44&amp;"")="","",IFERROR(TRIM(INDEX($A780:$Z780,MATCH('Counts'!$B$44,$A$1:$Z$1,0))&amp;""),""))</f>
        <v/>
      </c>
      <c r="AE780" s="41">
        <f>IF(TRIM('Cross-tab'!$B$5&amp;"")="","",IFERROR(TRIM(INDEX($A780:$Z780,MATCH('Cross-tab'!$B$5,$A$1:$Z$1,0))&amp;""),""))</f>
        <v/>
      </c>
      <c r="AF780" s="41">
        <f>IF(TRIM('Cross-tab'!$B$7&amp;"")="","",IFERROR(TRIM(INDEX($A780:$Z780,MATCH('Cross-tab'!$B$7,$A$1:$Z$1,0))&amp;""),""))</f>
        <v/>
      </c>
      <c r="AG780" s="41">
        <f>IF(ISNUMBER(IFERROR(VALUE(IF(TRIM('Scale score'!$B$5&amp;"")="","",IFERROR(TRIM(INDEX($A780:$Z780,MATCH('Scale score'!$B$5,$A$1:$Z$1,0))&amp;""),""))),"")),IF(AND(IFERROR(VALUE(IF(TRIM('Scale score'!$B$5&amp;"")="","",IFERROR(TRIM(INDEX($A780:$Z780,MATCH('Scale score'!$B$5,$A$1:$Z$1,0))&amp;""),""))),"")&gt;='Scale score'!$B$6,IFERROR(VALUE(IF(TRIM('Scale score'!$B$5&amp;"")="","",IFERROR(TRIM(INDEX($A780:$Z780,MATCH('Scale score'!$B$5,$A$1:$Z$1,0))&amp;""),""))),"")&lt;='Scale score'!$B$7),IFERROR(VALUE(IF(TRIM('Scale score'!$B$5&amp;"")="","",IFERROR(TRIM(INDEX($A780:$Z780,MATCH('Scale score'!$B$5,$A$1:$Z$1,0))&amp;""),""))),""),""),"")</f>
        <v/>
      </c>
      <c r="AH780" s="41">
        <f>IF(TRIM('Open answers'!$B$5&amp;"")="","",IFERROR(TRIM(INDEX($A780:$Z780,MATCH('Open answers'!$B$5,$A$1:$Z$1,0))&amp;""),""))</f>
        <v/>
      </c>
      <c r="AI780" s="41">
        <f>IF(LEN(AH780)&gt;0,MAX($AI$1:AI779)+1,"")</f>
        <v/>
      </c>
    </row>
    <row r="781">
      <c r="AA781" s="40" t="n"/>
      <c r="AB781" s="41">
        <f>IF(TRIM('Counts'!$B$8&amp;"")="","",IFERROR(TRIM(INDEX($A781:$Z781,MATCH('Counts'!$B$8,$A$1:$Z$1,0))&amp;""),""))</f>
        <v/>
      </c>
      <c r="AC781" s="41">
        <f>IF(TRIM('Counts'!$B$26&amp;"")="","",IFERROR(TRIM(INDEX($A781:$Z781,MATCH('Counts'!$B$26,$A$1:$Z$1,0))&amp;""),""))</f>
        <v/>
      </c>
      <c r="AD781" s="41">
        <f>IF(TRIM('Counts'!$B$44&amp;"")="","",IFERROR(TRIM(INDEX($A781:$Z781,MATCH('Counts'!$B$44,$A$1:$Z$1,0))&amp;""),""))</f>
        <v/>
      </c>
      <c r="AE781" s="41">
        <f>IF(TRIM('Cross-tab'!$B$5&amp;"")="","",IFERROR(TRIM(INDEX($A781:$Z781,MATCH('Cross-tab'!$B$5,$A$1:$Z$1,0))&amp;""),""))</f>
        <v/>
      </c>
      <c r="AF781" s="41">
        <f>IF(TRIM('Cross-tab'!$B$7&amp;"")="","",IFERROR(TRIM(INDEX($A781:$Z781,MATCH('Cross-tab'!$B$7,$A$1:$Z$1,0))&amp;""),""))</f>
        <v/>
      </c>
      <c r="AG781" s="41">
        <f>IF(ISNUMBER(IFERROR(VALUE(IF(TRIM('Scale score'!$B$5&amp;"")="","",IFERROR(TRIM(INDEX($A781:$Z781,MATCH('Scale score'!$B$5,$A$1:$Z$1,0))&amp;""),""))),"")),IF(AND(IFERROR(VALUE(IF(TRIM('Scale score'!$B$5&amp;"")="","",IFERROR(TRIM(INDEX($A781:$Z781,MATCH('Scale score'!$B$5,$A$1:$Z$1,0))&amp;""),""))),"")&gt;='Scale score'!$B$6,IFERROR(VALUE(IF(TRIM('Scale score'!$B$5&amp;"")="","",IFERROR(TRIM(INDEX($A781:$Z781,MATCH('Scale score'!$B$5,$A$1:$Z$1,0))&amp;""),""))),"")&lt;='Scale score'!$B$7),IFERROR(VALUE(IF(TRIM('Scale score'!$B$5&amp;"")="","",IFERROR(TRIM(INDEX($A781:$Z781,MATCH('Scale score'!$B$5,$A$1:$Z$1,0))&amp;""),""))),""),""),"")</f>
        <v/>
      </c>
      <c r="AH781" s="41">
        <f>IF(TRIM('Open answers'!$B$5&amp;"")="","",IFERROR(TRIM(INDEX($A781:$Z781,MATCH('Open answers'!$B$5,$A$1:$Z$1,0))&amp;""),""))</f>
        <v/>
      </c>
      <c r="AI781" s="41">
        <f>IF(LEN(AH781)&gt;0,MAX($AI$1:AI780)+1,"")</f>
        <v/>
      </c>
    </row>
    <row r="782">
      <c r="AA782" s="40" t="n"/>
      <c r="AB782" s="41">
        <f>IF(TRIM('Counts'!$B$8&amp;"")="","",IFERROR(TRIM(INDEX($A782:$Z782,MATCH('Counts'!$B$8,$A$1:$Z$1,0))&amp;""),""))</f>
        <v/>
      </c>
      <c r="AC782" s="41">
        <f>IF(TRIM('Counts'!$B$26&amp;"")="","",IFERROR(TRIM(INDEX($A782:$Z782,MATCH('Counts'!$B$26,$A$1:$Z$1,0))&amp;""),""))</f>
        <v/>
      </c>
      <c r="AD782" s="41">
        <f>IF(TRIM('Counts'!$B$44&amp;"")="","",IFERROR(TRIM(INDEX($A782:$Z782,MATCH('Counts'!$B$44,$A$1:$Z$1,0))&amp;""),""))</f>
        <v/>
      </c>
      <c r="AE782" s="41">
        <f>IF(TRIM('Cross-tab'!$B$5&amp;"")="","",IFERROR(TRIM(INDEX($A782:$Z782,MATCH('Cross-tab'!$B$5,$A$1:$Z$1,0))&amp;""),""))</f>
        <v/>
      </c>
      <c r="AF782" s="41">
        <f>IF(TRIM('Cross-tab'!$B$7&amp;"")="","",IFERROR(TRIM(INDEX($A782:$Z782,MATCH('Cross-tab'!$B$7,$A$1:$Z$1,0))&amp;""),""))</f>
        <v/>
      </c>
      <c r="AG782" s="41">
        <f>IF(ISNUMBER(IFERROR(VALUE(IF(TRIM('Scale score'!$B$5&amp;"")="","",IFERROR(TRIM(INDEX($A782:$Z782,MATCH('Scale score'!$B$5,$A$1:$Z$1,0))&amp;""),""))),"")),IF(AND(IFERROR(VALUE(IF(TRIM('Scale score'!$B$5&amp;"")="","",IFERROR(TRIM(INDEX($A782:$Z782,MATCH('Scale score'!$B$5,$A$1:$Z$1,0))&amp;""),""))),"")&gt;='Scale score'!$B$6,IFERROR(VALUE(IF(TRIM('Scale score'!$B$5&amp;"")="","",IFERROR(TRIM(INDEX($A782:$Z782,MATCH('Scale score'!$B$5,$A$1:$Z$1,0))&amp;""),""))),"")&lt;='Scale score'!$B$7),IFERROR(VALUE(IF(TRIM('Scale score'!$B$5&amp;"")="","",IFERROR(TRIM(INDEX($A782:$Z782,MATCH('Scale score'!$B$5,$A$1:$Z$1,0))&amp;""),""))),""),""),"")</f>
        <v/>
      </c>
      <c r="AH782" s="41">
        <f>IF(TRIM('Open answers'!$B$5&amp;"")="","",IFERROR(TRIM(INDEX($A782:$Z782,MATCH('Open answers'!$B$5,$A$1:$Z$1,0))&amp;""),""))</f>
        <v/>
      </c>
      <c r="AI782" s="41">
        <f>IF(LEN(AH782)&gt;0,MAX($AI$1:AI781)+1,"")</f>
        <v/>
      </c>
    </row>
    <row r="783">
      <c r="AA783" s="40" t="n"/>
      <c r="AB783" s="41">
        <f>IF(TRIM('Counts'!$B$8&amp;"")="","",IFERROR(TRIM(INDEX($A783:$Z783,MATCH('Counts'!$B$8,$A$1:$Z$1,0))&amp;""),""))</f>
        <v/>
      </c>
      <c r="AC783" s="41">
        <f>IF(TRIM('Counts'!$B$26&amp;"")="","",IFERROR(TRIM(INDEX($A783:$Z783,MATCH('Counts'!$B$26,$A$1:$Z$1,0))&amp;""),""))</f>
        <v/>
      </c>
      <c r="AD783" s="41">
        <f>IF(TRIM('Counts'!$B$44&amp;"")="","",IFERROR(TRIM(INDEX($A783:$Z783,MATCH('Counts'!$B$44,$A$1:$Z$1,0))&amp;""),""))</f>
        <v/>
      </c>
      <c r="AE783" s="41">
        <f>IF(TRIM('Cross-tab'!$B$5&amp;"")="","",IFERROR(TRIM(INDEX($A783:$Z783,MATCH('Cross-tab'!$B$5,$A$1:$Z$1,0))&amp;""),""))</f>
        <v/>
      </c>
      <c r="AF783" s="41">
        <f>IF(TRIM('Cross-tab'!$B$7&amp;"")="","",IFERROR(TRIM(INDEX($A783:$Z783,MATCH('Cross-tab'!$B$7,$A$1:$Z$1,0))&amp;""),""))</f>
        <v/>
      </c>
      <c r="AG783" s="41">
        <f>IF(ISNUMBER(IFERROR(VALUE(IF(TRIM('Scale score'!$B$5&amp;"")="","",IFERROR(TRIM(INDEX($A783:$Z783,MATCH('Scale score'!$B$5,$A$1:$Z$1,0))&amp;""),""))),"")),IF(AND(IFERROR(VALUE(IF(TRIM('Scale score'!$B$5&amp;"")="","",IFERROR(TRIM(INDEX($A783:$Z783,MATCH('Scale score'!$B$5,$A$1:$Z$1,0))&amp;""),""))),"")&gt;='Scale score'!$B$6,IFERROR(VALUE(IF(TRIM('Scale score'!$B$5&amp;"")="","",IFERROR(TRIM(INDEX($A783:$Z783,MATCH('Scale score'!$B$5,$A$1:$Z$1,0))&amp;""),""))),"")&lt;='Scale score'!$B$7),IFERROR(VALUE(IF(TRIM('Scale score'!$B$5&amp;"")="","",IFERROR(TRIM(INDEX($A783:$Z783,MATCH('Scale score'!$B$5,$A$1:$Z$1,0))&amp;""),""))),""),""),"")</f>
        <v/>
      </c>
      <c r="AH783" s="41">
        <f>IF(TRIM('Open answers'!$B$5&amp;"")="","",IFERROR(TRIM(INDEX($A783:$Z783,MATCH('Open answers'!$B$5,$A$1:$Z$1,0))&amp;""),""))</f>
        <v/>
      </c>
      <c r="AI783" s="41">
        <f>IF(LEN(AH783)&gt;0,MAX($AI$1:AI782)+1,"")</f>
        <v/>
      </c>
    </row>
    <row r="784">
      <c r="AA784" s="40" t="n"/>
      <c r="AB784" s="41">
        <f>IF(TRIM('Counts'!$B$8&amp;"")="","",IFERROR(TRIM(INDEX($A784:$Z784,MATCH('Counts'!$B$8,$A$1:$Z$1,0))&amp;""),""))</f>
        <v/>
      </c>
      <c r="AC784" s="41">
        <f>IF(TRIM('Counts'!$B$26&amp;"")="","",IFERROR(TRIM(INDEX($A784:$Z784,MATCH('Counts'!$B$26,$A$1:$Z$1,0))&amp;""),""))</f>
        <v/>
      </c>
      <c r="AD784" s="41">
        <f>IF(TRIM('Counts'!$B$44&amp;"")="","",IFERROR(TRIM(INDEX($A784:$Z784,MATCH('Counts'!$B$44,$A$1:$Z$1,0))&amp;""),""))</f>
        <v/>
      </c>
      <c r="AE784" s="41">
        <f>IF(TRIM('Cross-tab'!$B$5&amp;"")="","",IFERROR(TRIM(INDEX($A784:$Z784,MATCH('Cross-tab'!$B$5,$A$1:$Z$1,0))&amp;""),""))</f>
        <v/>
      </c>
      <c r="AF784" s="41">
        <f>IF(TRIM('Cross-tab'!$B$7&amp;"")="","",IFERROR(TRIM(INDEX($A784:$Z784,MATCH('Cross-tab'!$B$7,$A$1:$Z$1,0))&amp;""),""))</f>
        <v/>
      </c>
      <c r="AG784" s="41">
        <f>IF(ISNUMBER(IFERROR(VALUE(IF(TRIM('Scale score'!$B$5&amp;"")="","",IFERROR(TRIM(INDEX($A784:$Z784,MATCH('Scale score'!$B$5,$A$1:$Z$1,0))&amp;""),""))),"")),IF(AND(IFERROR(VALUE(IF(TRIM('Scale score'!$B$5&amp;"")="","",IFERROR(TRIM(INDEX($A784:$Z784,MATCH('Scale score'!$B$5,$A$1:$Z$1,0))&amp;""),""))),"")&gt;='Scale score'!$B$6,IFERROR(VALUE(IF(TRIM('Scale score'!$B$5&amp;"")="","",IFERROR(TRIM(INDEX($A784:$Z784,MATCH('Scale score'!$B$5,$A$1:$Z$1,0))&amp;""),""))),"")&lt;='Scale score'!$B$7),IFERROR(VALUE(IF(TRIM('Scale score'!$B$5&amp;"")="","",IFERROR(TRIM(INDEX($A784:$Z784,MATCH('Scale score'!$B$5,$A$1:$Z$1,0))&amp;""),""))),""),""),"")</f>
        <v/>
      </c>
      <c r="AH784" s="41">
        <f>IF(TRIM('Open answers'!$B$5&amp;"")="","",IFERROR(TRIM(INDEX($A784:$Z784,MATCH('Open answers'!$B$5,$A$1:$Z$1,0))&amp;""),""))</f>
        <v/>
      </c>
      <c r="AI784" s="41">
        <f>IF(LEN(AH784)&gt;0,MAX($AI$1:AI783)+1,"")</f>
        <v/>
      </c>
    </row>
    <row r="785">
      <c r="AA785" s="40" t="n"/>
      <c r="AB785" s="41">
        <f>IF(TRIM('Counts'!$B$8&amp;"")="","",IFERROR(TRIM(INDEX($A785:$Z785,MATCH('Counts'!$B$8,$A$1:$Z$1,0))&amp;""),""))</f>
        <v/>
      </c>
      <c r="AC785" s="41">
        <f>IF(TRIM('Counts'!$B$26&amp;"")="","",IFERROR(TRIM(INDEX($A785:$Z785,MATCH('Counts'!$B$26,$A$1:$Z$1,0))&amp;""),""))</f>
        <v/>
      </c>
      <c r="AD785" s="41">
        <f>IF(TRIM('Counts'!$B$44&amp;"")="","",IFERROR(TRIM(INDEX($A785:$Z785,MATCH('Counts'!$B$44,$A$1:$Z$1,0))&amp;""),""))</f>
        <v/>
      </c>
      <c r="AE785" s="41">
        <f>IF(TRIM('Cross-tab'!$B$5&amp;"")="","",IFERROR(TRIM(INDEX($A785:$Z785,MATCH('Cross-tab'!$B$5,$A$1:$Z$1,0))&amp;""),""))</f>
        <v/>
      </c>
      <c r="AF785" s="41">
        <f>IF(TRIM('Cross-tab'!$B$7&amp;"")="","",IFERROR(TRIM(INDEX($A785:$Z785,MATCH('Cross-tab'!$B$7,$A$1:$Z$1,0))&amp;""),""))</f>
        <v/>
      </c>
      <c r="AG785" s="41">
        <f>IF(ISNUMBER(IFERROR(VALUE(IF(TRIM('Scale score'!$B$5&amp;"")="","",IFERROR(TRIM(INDEX($A785:$Z785,MATCH('Scale score'!$B$5,$A$1:$Z$1,0))&amp;""),""))),"")),IF(AND(IFERROR(VALUE(IF(TRIM('Scale score'!$B$5&amp;"")="","",IFERROR(TRIM(INDEX($A785:$Z785,MATCH('Scale score'!$B$5,$A$1:$Z$1,0))&amp;""),""))),"")&gt;='Scale score'!$B$6,IFERROR(VALUE(IF(TRIM('Scale score'!$B$5&amp;"")="","",IFERROR(TRIM(INDEX($A785:$Z785,MATCH('Scale score'!$B$5,$A$1:$Z$1,0))&amp;""),""))),"")&lt;='Scale score'!$B$7),IFERROR(VALUE(IF(TRIM('Scale score'!$B$5&amp;"")="","",IFERROR(TRIM(INDEX($A785:$Z785,MATCH('Scale score'!$B$5,$A$1:$Z$1,0))&amp;""),""))),""),""),"")</f>
        <v/>
      </c>
      <c r="AH785" s="41">
        <f>IF(TRIM('Open answers'!$B$5&amp;"")="","",IFERROR(TRIM(INDEX($A785:$Z785,MATCH('Open answers'!$B$5,$A$1:$Z$1,0))&amp;""),""))</f>
        <v/>
      </c>
      <c r="AI785" s="41">
        <f>IF(LEN(AH785)&gt;0,MAX($AI$1:AI784)+1,"")</f>
        <v/>
      </c>
    </row>
    <row r="786">
      <c r="AA786" s="40" t="n"/>
      <c r="AB786" s="41">
        <f>IF(TRIM('Counts'!$B$8&amp;"")="","",IFERROR(TRIM(INDEX($A786:$Z786,MATCH('Counts'!$B$8,$A$1:$Z$1,0))&amp;""),""))</f>
        <v/>
      </c>
      <c r="AC786" s="41">
        <f>IF(TRIM('Counts'!$B$26&amp;"")="","",IFERROR(TRIM(INDEX($A786:$Z786,MATCH('Counts'!$B$26,$A$1:$Z$1,0))&amp;""),""))</f>
        <v/>
      </c>
      <c r="AD786" s="41">
        <f>IF(TRIM('Counts'!$B$44&amp;"")="","",IFERROR(TRIM(INDEX($A786:$Z786,MATCH('Counts'!$B$44,$A$1:$Z$1,0))&amp;""),""))</f>
        <v/>
      </c>
      <c r="AE786" s="41">
        <f>IF(TRIM('Cross-tab'!$B$5&amp;"")="","",IFERROR(TRIM(INDEX($A786:$Z786,MATCH('Cross-tab'!$B$5,$A$1:$Z$1,0))&amp;""),""))</f>
        <v/>
      </c>
      <c r="AF786" s="41">
        <f>IF(TRIM('Cross-tab'!$B$7&amp;"")="","",IFERROR(TRIM(INDEX($A786:$Z786,MATCH('Cross-tab'!$B$7,$A$1:$Z$1,0))&amp;""),""))</f>
        <v/>
      </c>
      <c r="AG786" s="41">
        <f>IF(ISNUMBER(IFERROR(VALUE(IF(TRIM('Scale score'!$B$5&amp;"")="","",IFERROR(TRIM(INDEX($A786:$Z786,MATCH('Scale score'!$B$5,$A$1:$Z$1,0))&amp;""),""))),"")),IF(AND(IFERROR(VALUE(IF(TRIM('Scale score'!$B$5&amp;"")="","",IFERROR(TRIM(INDEX($A786:$Z786,MATCH('Scale score'!$B$5,$A$1:$Z$1,0))&amp;""),""))),"")&gt;='Scale score'!$B$6,IFERROR(VALUE(IF(TRIM('Scale score'!$B$5&amp;"")="","",IFERROR(TRIM(INDEX($A786:$Z786,MATCH('Scale score'!$B$5,$A$1:$Z$1,0))&amp;""),""))),"")&lt;='Scale score'!$B$7),IFERROR(VALUE(IF(TRIM('Scale score'!$B$5&amp;"")="","",IFERROR(TRIM(INDEX($A786:$Z786,MATCH('Scale score'!$B$5,$A$1:$Z$1,0))&amp;""),""))),""),""),"")</f>
        <v/>
      </c>
      <c r="AH786" s="41">
        <f>IF(TRIM('Open answers'!$B$5&amp;"")="","",IFERROR(TRIM(INDEX($A786:$Z786,MATCH('Open answers'!$B$5,$A$1:$Z$1,0))&amp;""),""))</f>
        <v/>
      </c>
      <c r="AI786" s="41">
        <f>IF(LEN(AH786)&gt;0,MAX($AI$1:AI785)+1,"")</f>
        <v/>
      </c>
    </row>
    <row r="787">
      <c r="AA787" s="40" t="n"/>
      <c r="AB787" s="41">
        <f>IF(TRIM('Counts'!$B$8&amp;"")="","",IFERROR(TRIM(INDEX($A787:$Z787,MATCH('Counts'!$B$8,$A$1:$Z$1,0))&amp;""),""))</f>
        <v/>
      </c>
      <c r="AC787" s="41">
        <f>IF(TRIM('Counts'!$B$26&amp;"")="","",IFERROR(TRIM(INDEX($A787:$Z787,MATCH('Counts'!$B$26,$A$1:$Z$1,0))&amp;""),""))</f>
        <v/>
      </c>
      <c r="AD787" s="41">
        <f>IF(TRIM('Counts'!$B$44&amp;"")="","",IFERROR(TRIM(INDEX($A787:$Z787,MATCH('Counts'!$B$44,$A$1:$Z$1,0))&amp;""),""))</f>
        <v/>
      </c>
      <c r="AE787" s="41">
        <f>IF(TRIM('Cross-tab'!$B$5&amp;"")="","",IFERROR(TRIM(INDEX($A787:$Z787,MATCH('Cross-tab'!$B$5,$A$1:$Z$1,0))&amp;""),""))</f>
        <v/>
      </c>
      <c r="AF787" s="41">
        <f>IF(TRIM('Cross-tab'!$B$7&amp;"")="","",IFERROR(TRIM(INDEX($A787:$Z787,MATCH('Cross-tab'!$B$7,$A$1:$Z$1,0))&amp;""),""))</f>
        <v/>
      </c>
      <c r="AG787" s="41">
        <f>IF(ISNUMBER(IFERROR(VALUE(IF(TRIM('Scale score'!$B$5&amp;"")="","",IFERROR(TRIM(INDEX($A787:$Z787,MATCH('Scale score'!$B$5,$A$1:$Z$1,0))&amp;""),""))),"")),IF(AND(IFERROR(VALUE(IF(TRIM('Scale score'!$B$5&amp;"")="","",IFERROR(TRIM(INDEX($A787:$Z787,MATCH('Scale score'!$B$5,$A$1:$Z$1,0))&amp;""),""))),"")&gt;='Scale score'!$B$6,IFERROR(VALUE(IF(TRIM('Scale score'!$B$5&amp;"")="","",IFERROR(TRIM(INDEX($A787:$Z787,MATCH('Scale score'!$B$5,$A$1:$Z$1,0))&amp;""),""))),"")&lt;='Scale score'!$B$7),IFERROR(VALUE(IF(TRIM('Scale score'!$B$5&amp;"")="","",IFERROR(TRIM(INDEX($A787:$Z787,MATCH('Scale score'!$B$5,$A$1:$Z$1,0))&amp;""),""))),""),""),"")</f>
        <v/>
      </c>
      <c r="AH787" s="41">
        <f>IF(TRIM('Open answers'!$B$5&amp;"")="","",IFERROR(TRIM(INDEX($A787:$Z787,MATCH('Open answers'!$B$5,$A$1:$Z$1,0))&amp;""),""))</f>
        <v/>
      </c>
      <c r="AI787" s="41">
        <f>IF(LEN(AH787)&gt;0,MAX($AI$1:AI786)+1,"")</f>
        <v/>
      </c>
    </row>
    <row r="788">
      <c r="AA788" s="40" t="n"/>
      <c r="AB788" s="41">
        <f>IF(TRIM('Counts'!$B$8&amp;"")="","",IFERROR(TRIM(INDEX($A788:$Z788,MATCH('Counts'!$B$8,$A$1:$Z$1,0))&amp;""),""))</f>
        <v/>
      </c>
      <c r="AC788" s="41">
        <f>IF(TRIM('Counts'!$B$26&amp;"")="","",IFERROR(TRIM(INDEX($A788:$Z788,MATCH('Counts'!$B$26,$A$1:$Z$1,0))&amp;""),""))</f>
        <v/>
      </c>
      <c r="AD788" s="41">
        <f>IF(TRIM('Counts'!$B$44&amp;"")="","",IFERROR(TRIM(INDEX($A788:$Z788,MATCH('Counts'!$B$44,$A$1:$Z$1,0))&amp;""),""))</f>
        <v/>
      </c>
      <c r="AE788" s="41">
        <f>IF(TRIM('Cross-tab'!$B$5&amp;"")="","",IFERROR(TRIM(INDEX($A788:$Z788,MATCH('Cross-tab'!$B$5,$A$1:$Z$1,0))&amp;""),""))</f>
        <v/>
      </c>
      <c r="AF788" s="41">
        <f>IF(TRIM('Cross-tab'!$B$7&amp;"")="","",IFERROR(TRIM(INDEX($A788:$Z788,MATCH('Cross-tab'!$B$7,$A$1:$Z$1,0))&amp;""),""))</f>
        <v/>
      </c>
      <c r="AG788" s="41">
        <f>IF(ISNUMBER(IFERROR(VALUE(IF(TRIM('Scale score'!$B$5&amp;"")="","",IFERROR(TRIM(INDEX($A788:$Z788,MATCH('Scale score'!$B$5,$A$1:$Z$1,0))&amp;""),""))),"")),IF(AND(IFERROR(VALUE(IF(TRIM('Scale score'!$B$5&amp;"")="","",IFERROR(TRIM(INDEX($A788:$Z788,MATCH('Scale score'!$B$5,$A$1:$Z$1,0))&amp;""),""))),"")&gt;='Scale score'!$B$6,IFERROR(VALUE(IF(TRIM('Scale score'!$B$5&amp;"")="","",IFERROR(TRIM(INDEX($A788:$Z788,MATCH('Scale score'!$B$5,$A$1:$Z$1,0))&amp;""),""))),"")&lt;='Scale score'!$B$7),IFERROR(VALUE(IF(TRIM('Scale score'!$B$5&amp;"")="","",IFERROR(TRIM(INDEX($A788:$Z788,MATCH('Scale score'!$B$5,$A$1:$Z$1,0))&amp;""),""))),""),""),"")</f>
        <v/>
      </c>
      <c r="AH788" s="41">
        <f>IF(TRIM('Open answers'!$B$5&amp;"")="","",IFERROR(TRIM(INDEX($A788:$Z788,MATCH('Open answers'!$B$5,$A$1:$Z$1,0))&amp;""),""))</f>
        <v/>
      </c>
      <c r="AI788" s="41">
        <f>IF(LEN(AH788)&gt;0,MAX($AI$1:AI787)+1,"")</f>
        <v/>
      </c>
    </row>
    <row r="789">
      <c r="AA789" s="40" t="n"/>
      <c r="AB789" s="41">
        <f>IF(TRIM('Counts'!$B$8&amp;"")="","",IFERROR(TRIM(INDEX($A789:$Z789,MATCH('Counts'!$B$8,$A$1:$Z$1,0))&amp;""),""))</f>
        <v/>
      </c>
      <c r="AC789" s="41">
        <f>IF(TRIM('Counts'!$B$26&amp;"")="","",IFERROR(TRIM(INDEX($A789:$Z789,MATCH('Counts'!$B$26,$A$1:$Z$1,0))&amp;""),""))</f>
        <v/>
      </c>
      <c r="AD789" s="41">
        <f>IF(TRIM('Counts'!$B$44&amp;"")="","",IFERROR(TRIM(INDEX($A789:$Z789,MATCH('Counts'!$B$44,$A$1:$Z$1,0))&amp;""),""))</f>
        <v/>
      </c>
      <c r="AE789" s="41">
        <f>IF(TRIM('Cross-tab'!$B$5&amp;"")="","",IFERROR(TRIM(INDEX($A789:$Z789,MATCH('Cross-tab'!$B$5,$A$1:$Z$1,0))&amp;""),""))</f>
        <v/>
      </c>
      <c r="AF789" s="41">
        <f>IF(TRIM('Cross-tab'!$B$7&amp;"")="","",IFERROR(TRIM(INDEX($A789:$Z789,MATCH('Cross-tab'!$B$7,$A$1:$Z$1,0))&amp;""),""))</f>
        <v/>
      </c>
      <c r="AG789" s="41">
        <f>IF(ISNUMBER(IFERROR(VALUE(IF(TRIM('Scale score'!$B$5&amp;"")="","",IFERROR(TRIM(INDEX($A789:$Z789,MATCH('Scale score'!$B$5,$A$1:$Z$1,0))&amp;""),""))),"")),IF(AND(IFERROR(VALUE(IF(TRIM('Scale score'!$B$5&amp;"")="","",IFERROR(TRIM(INDEX($A789:$Z789,MATCH('Scale score'!$B$5,$A$1:$Z$1,0))&amp;""),""))),"")&gt;='Scale score'!$B$6,IFERROR(VALUE(IF(TRIM('Scale score'!$B$5&amp;"")="","",IFERROR(TRIM(INDEX($A789:$Z789,MATCH('Scale score'!$B$5,$A$1:$Z$1,0))&amp;""),""))),"")&lt;='Scale score'!$B$7),IFERROR(VALUE(IF(TRIM('Scale score'!$B$5&amp;"")="","",IFERROR(TRIM(INDEX($A789:$Z789,MATCH('Scale score'!$B$5,$A$1:$Z$1,0))&amp;""),""))),""),""),"")</f>
        <v/>
      </c>
      <c r="AH789" s="41">
        <f>IF(TRIM('Open answers'!$B$5&amp;"")="","",IFERROR(TRIM(INDEX($A789:$Z789,MATCH('Open answers'!$B$5,$A$1:$Z$1,0))&amp;""),""))</f>
        <v/>
      </c>
      <c r="AI789" s="41">
        <f>IF(LEN(AH789)&gt;0,MAX($AI$1:AI788)+1,"")</f>
        <v/>
      </c>
    </row>
    <row r="790">
      <c r="AA790" s="40" t="n"/>
      <c r="AB790" s="41">
        <f>IF(TRIM('Counts'!$B$8&amp;"")="","",IFERROR(TRIM(INDEX($A790:$Z790,MATCH('Counts'!$B$8,$A$1:$Z$1,0))&amp;""),""))</f>
        <v/>
      </c>
      <c r="AC790" s="41">
        <f>IF(TRIM('Counts'!$B$26&amp;"")="","",IFERROR(TRIM(INDEX($A790:$Z790,MATCH('Counts'!$B$26,$A$1:$Z$1,0))&amp;""),""))</f>
        <v/>
      </c>
      <c r="AD790" s="41">
        <f>IF(TRIM('Counts'!$B$44&amp;"")="","",IFERROR(TRIM(INDEX($A790:$Z790,MATCH('Counts'!$B$44,$A$1:$Z$1,0))&amp;""),""))</f>
        <v/>
      </c>
      <c r="AE790" s="41">
        <f>IF(TRIM('Cross-tab'!$B$5&amp;"")="","",IFERROR(TRIM(INDEX($A790:$Z790,MATCH('Cross-tab'!$B$5,$A$1:$Z$1,0))&amp;""),""))</f>
        <v/>
      </c>
      <c r="AF790" s="41">
        <f>IF(TRIM('Cross-tab'!$B$7&amp;"")="","",IFERROR(TRIM(INDEX($A790:$Z790,MATCH('Cross-tab'!$B$7,$A$1:$Z$1,0))&amp;""),""))</f>
        <v/>
      </c>
      <c r="AG790" s="41">
        <f>IF(ISNUMBER(IFERROR(VALUE(IF(TRIM('Scale score'!$B$5&amp;"")="","",IFERROR(TRIM(INDEX($A790:$Z790,MATCH('Scale score'!$B$5,$A$1:$Z$1,0))&amp;""),""))),"")),IF(AND(IFERROR(VALUE(IF(TRIM('Scale score'!$B$5&amp;"")="","",IFERROR(TRIM(INDEX($A790:$Z790,MATCH('Scale score'!$B$5,$A$1:$Z$1,0))&amp;""),""))),"")&gt;='Scale score'!$B$6,IFERROR(VALUE(IF(TRIM('Scale score'!$B$5&amp;"")="","",IFERROR(TRIM(INDEX($A790:$Z790,MATCH('Scale score'!$B$5,$A$1:$Z$1,0))&amp;""),""))),"")&lt;='Scale score'!$B$7),IFERROR(VALUE(IF(TRIM('Scale score'!$B$5&amp;"")="","",IFERROR(TRIM(INDEX($A790:$Z790,MATCH('Scale score'!$B$5,$A$1:$Z$1,0))&amp;""),""))),""),""),"")</f>
        <v/>
      </c>
      <c r="AH790" s="41">
        <f>IF(TRIM('Open answers'!$B$5&amp;"")="","",IFERROR(TRIM(INDEX($A790:$Z790,MATCH('Open answers'!$B$5,$A$1:$Z$1,0))&amp;""),""))</f>
        <v/>
      </c>
      <c r="AI790" s="41">
        <f>IF(LEN(AH790)&gt;0,MAX($AI$1:AI789)+1,"")</f>
        <v/>
      </c>
    </row>
    <row r="791">
      <c r="AA791" s="40" t="n"/>
      <c r="AB791" s="41">
        <f>IF(TRIM('Counts'!$B$8&amp;"")="","",IFERROR(TRIM(INDEX($A791:$Z791,MATCH('Counts'!$B$8,$A$1:$Z$1,0))&amp;""),""))</f>
        <v/>
      </c>
      <c r="AC791" s="41">
        <f>IF(TRIM('Counts'!$B$26&amp;"")="","",IFERROR(TRIM(INDEX($A791:$Z791,MATCH('Counts'!$B$26,$A$1:$Z$1,0))&amp;""),""))</f>
        <v/>
      </c>
      <c r="AD791" s="41">
        <f>IF(TRIM('Counts'!$B$44&amp;"")="","",IFERROR(TRIM(INDEX($A791:$Z791,MATCH('Counts'!$B$44,$A$1:$Z$1,0))&amp;""),""))</f>
        <v/>
      </c>
      <c r="AE791" s="41">
        <f>IF(TRIM('Cross-tab'!$B$5&amp;"")="","",IFERROR(TRIM(INDEX($A791:$Z791,MATCH('Cross-tab'!$B$5,$A$1:$Z$1,0))&amp;""),""))</f>
        <v/>
      </c>
      <c r="AF791" s="41">
        <f>IF(TRIM('Cross-tab'!$B$7&amp;"")="","",IFERROR(TRIM(INDEX($A791:$Z791,MATCH('Cross-tab'!$B$7,$A$1:$Z$1,0))&amp;""),""))</f>
        <v/>
      </c>
      <c r="AG791" s="41">
        <f>IF(ISNUMBER(IFERROR(VALUE(IF(TRIM('Scale score'!$B$5&amp;"")="","",IFERROR(TRIM(INDEX($A791:$Z791,MATCH('Scale score'!$B$5,$A$1:$Z$1,0))&amp;""),""))),"")),IF(AND(IFERROR(VALUE(IF(TRIM('Scale score'!$B$5&amp;"")="","",IFERROR(TRIM(INDEX($A791:$Z791,MATCH('Scale score'!$B$5,$A$1:$Z$1,0))&amp;""),""))),"")&gt;='Scale score'!$B$6,IFERROR(VALUE(IF(TRIM('Scale score'!$B$5&amp;"")="","",IFERROR(TRIM(INDEX($A791:$Z791,MATCH('Scale score'!$B$5,$A$1:$Z$1,0))&amp;""),""))),"")&lt;='Scale score'!$B$7),IFERROR(VALUE(IF(TRIM('Scale score'!$B$5&amp;"")="","",IFERROR(TRIM(INDEX($A791:$Z791,MATCH('Scale score'!$B$5,$A$1:$Z$1,0))&amp;""),""))),""),""),"")</f>
        <v/>
      </c>
      <c r="AH791" s="41">
        <f>IF(TRIM('Open answers'!$B$5&amp;"")="","",IFERROR(TRIM(INDEX($A791:$Z791,MATCH('Open answers'!$B$5,$A$1:$Z$1,0))&amp;""),""))</f>
        <v/>
      </c>
      <c r="AI791" s="41">
        <f>IF(LEN(AH791)&gt;0,MAX($AI$1:AI790)+1,"")</f>
        <v/>
      </c>
    </row>
    <row r="792">
      <c r="AA792" s="40" t="n"/>
      <c r="AB792" s="41">
        <f>IF(TRIM('Counts'!$B$8&amp;"")="","",IFERROR(TRIM(INDEX($A792:$Z792,MATCH('Counts'!$B$8,$A$1:$Z$1,0))&amp;""),""))</f>
        <v/>
      </c>
      <c r="AC792" s="41">
        <f>IF(TRIM('Counts'!$B$26&amp;"")="","",IFERROR(TRIM(INDEX($A792:$Z792,MATCH('Counts'!$B$26,$A$1:$Z$1,0))&amp;""),""))</f>
        <v/>
      </c>
      <c r="AD792" s="41">
        <f>IF(TRIM('Counts'!$B$44&amp;"")="","",IFERROR(TRIM(INDEX($A792:$Z792,MATCH('Counts'!$B$44,$A$1:$Z$1,0))&amp;""),""))</f>
        <v/>
      </c>
      <c r="AE792" s="41">
        <f>IF(TRIM('Cross-tab'!$B$5&amp;"")="","",IFERROR(TRIM(INDEX($A792:$Z792,MATCH('Cross-tab'!$B$5,$A$1:$Z$1,0))&amp;""),""))</f>
        <v/>
      </c>
      <c r="AF792" s="41">
        <f>IF(TRIM('Cross-tab'!$B$7&amp;"")="","",IFERROR(TRIM(INDEX($A792:$Z792,MATCH('Cross-tab'!$B$7,$A$1:$Z$1,0))&amp;""),""))</f>
        <v/>
      </c>
      <c r="AG792" s="41">
        <f>IF(ISNUMBER(IFERROR(VALUE(IF(TRIM('Scale score'!$B$5&amp;"")="","",IFERROR(TRIM(INDEX($A792:$Z792,MATCH('Scale score'!$B$5,$A$1:$Z$1,0))&amp;""),""))),"")),IF(AND(IFERROR(VALUE(IF(TRIM('Scale score'!$B$5&amp;"")="","",IFERROR(TRIM(INDEX($A792:$Z792,MATCH('Scale score'!$B$5,$A$1:$Z$1,0))&amp;""),""))),"")&gt;='Scale score'!$B$6,IFERROR(VALUE(IF(TRIM('Scale score'!$B$5&amp;"")="","",IFERROR(TRIM(INDEX($A792:$Z792,MATCH('Scale score'!$B$5,$A$1:$Z$1,0))&amp;""),""))),"")&lt;='Scale score'!$B$7),IFERROR(VALUE(IF(TRIM('Scale score'!$B$5&amp;"")="","",IFERROR(TRIM(INDEX($A792:$Z792,MATCH('Scale score'!$B$5,$A$1:$Z$1,0))&amp;""),""))),""),""),"")</f>
        <v/>
      </c>
      <c r="AH792" s="41">
        <f>IF(TRIM('Open answers'!$B$5&amp;"")="","",IFERROR(TRIM(INDEX($A792:$Z792,MATCH('Open answers'!$B$5,$A$1:$Z$1,0))&amp;""),""))</f>
        <v/>
      </c>
      <c r="AI792" s="41">
        <f>IF(LEN(AH792)&gt;0,MAX($AI$1:AI791)+1,"")</f>
        <v/>
      </c>
    </row>
    <row r="793">
      <c r="AA793" s="40" t="n"/>
      <c r="AB793" s="41">
        <f>IF(TRIM('Counts'!$B$8&amp;"")="","",IFERROR(TRIM(INDEX($A793:$Z793,MATCH('Counts'!$B$8,$A$1:$Z$1,0))&amp;""),""))</f>
        <v/>
      </c>
      <c r="AC793" s="41">
        <f>IF(TRIM('Counts'!$B$26&amp;"")="","",IFERROR(TRIM(INDEX($A793:$Z793,MATCH('Counts'!$B$26,$A$1:$Z$1,0))&amp;""),""))</f>
        <v/>
      </c>
      <c r="AD793" s="41">
        <f>IF(TRIM('Counts'!$B$44&amp;"")="","",IFERROR(TRIM(INDEX($A793:$Z793,MATCH('Counts'!$B$44,$A$1:$Z$1,0))&amp;""),""))</f>
        <v/>
      </c>
      <c r="AE793" s="41">
        <f>IF(TRIM('Cross-tab'!$B$5&amp;"")="","",IFERROR(TRIM(INDEX($A793:$Z793,MATCH('Cross-tab'!$B$5,$A$1:$Z$1,0))&amp;""),""))</f>
        <v/>
      </c>
      <c r="AF793" s="41">
        <f>IF(TRIM('Cross-tab'!$B$7&amp;"")="","",IFERROR(TRIM(INDEX($A793:$Z793,MATCH('Cross-tab'!$B$7,$A$1:$Z$1,0))&amp;""),""))</f>
        <v/>
      </c>
      <c r="AG793" s="41">
        <f>IF(ISNUMBER(IFERROR(VALUE(IF(TRIM('Scale score'!$B$5&amp;"")="","",IFERROR(TRIM(INDEX($A793:$Z793,MATCH('Scale score'!$B$5,$A$1:$Z$1,0))&amp;""),""))),"")),IF(AND(IFERROR(VALUE(IF(TRIM('Scale score'!$B$5&amp;"")="","",IFERROR(TRIM(INDEX($A793:$Z793,MATCH('Scale score'!$B$5,$A$1:$Z$1,0))&amp;""),""))),"")&gt;='Scale score'!$B$6,IFERROR(VALUE(IF(TRIM('Scale score'!$B$5&amp;"")="","",IFERROR(TRIM(INDEX($A793:$Z793,MATCH('Scale score'!$B$5,$A$1:$Z$1,0))&amp;""),""))),"")&lt;='Scale score'!$B$7),IFERROR(VALUE(IF(TRIM('Scale score'!$B$5&amp;"")="","",IFERROR(TRIM(INDEX($A793:$Z793,MATCH('Scale score'!$B$5,$A$1:$Z$1,0))&amp;""),""))),""),""),"")</f>
        <v/>
      </c>
      <c r="AH793" s="41">
        <f>IF(TRIM('Open answers'!$B$5&amp;"")="","",IFERROR(TRIM(INDEX($A793:$Z793,MATCH('Open answers'!$B$5,$A$1:$Z$1,0))&amp;""),""))</f>
        <v/>
      </c>
      <c r="AI793" s="41">
        <f>IF(LEN(AH793)&gt;0,MAX($AI$1:AI792)+1,"")</f>
        <v/>
      </c>
    </row>
    <row r="794">
      <c r="AA794" s="40" t="n"/>
      <c r="AB794" s="41">
        <f>IF(TRIM('Counts'!$B$8&amp;"")="","",IFERROR(TRIM(INDEX($A794:$Z794,MATCH('Counts'!$B$8,$A$1:$Z$1,0))&amp;""),""))</f>
        <v/>
      </c>
      <c r="AC794" s="41">
        <f>IF(TRIM('Counts'!$B$26&amp;"")="","",IFERROR(TRIM(INDEX($A794:$Z794,MATCH('Counts'!$B$26,$A$1:$Z$1,0))&amp;""),""))</f>
        <v/>
      </c>
      <c r="AD794" s="41">
        <f>IF(TRIM('Counts'!$B$44&amp;"")="","",IFERROR(TRIM(INDEX($A794:$Z794,MATCH('Counts'!$B$44,$A$1:$Z$1,0))&amp;""),""))</f>
        <v/>
      </c>
      <c r="AE794" s="41">
        <f>IF(TRIM('Cross-tab'!$B$5&amp;"")="","",IFERROR(TRIM(INDEX($A794:$Z794,MATCH('Cross-tab'!$B$5,$A$1:$Z$1,0))&amp;""),""))</f>
        <v/>
      </c>
      <c r="AF794" s="41">
        <f>IF(TRIM('Cross-tab'!$B$7&amp;"")="","",IFERROR(TRIM(INDEX($A794:$Z794,MATCH('Cross-tab'!$B$7,$A$1:$Z$1,0))&amp;""),""))</f>
        <v/>
      </c>
      <c r="AG794" s="41">
        <f>IF(ISNUMBER(IFERROR(VALUE(IF(TRIM('Scale score'!$B$5&amp;"")="","",IFERROR(TRIM(INDEX($A794:$Z794,MATCH('Scale score'!$B$5,$A$1:$Z$1,0))&amp;""),""))),"")),IF(AND(IFERROR(VALUE(IF(TRIM('Scale score'!$B$5&amp;"")="","",IFERROR(TRIM(INDEX($A794:$Z794,MATCH('Scale score'!$B$5,$A$1:$Z$1,0))&amp;""),""))),"")&gt;='Scale score'!$B$6,IFERROR(VALUE(IF(TRIM('Scale score'!$B$5&amp;"")="","",IFERROR(TRIM(INDEX($A794:$Z794,MATCH('Scale score'!$B$5,$A$1:$Z$1,0))&amp;""),""))),"")&lt;='Scale score'!$B$7),IFERROR(VALUE(IF(TRIM('Scale score'!$B$5&amp;"")="","",IFERROR(TRIM(INDEX($A794:$Z794,MATCH('Scale score'!$B$5,$A$1:$Z$1,0))&amp;""),""))),""),""),"")</f>
        <v/>
      </c>
      <c r="AH794" s="41">
        <f>IF(TRIM('Open answers'!$B$5&amp;"")="","",IFERROR(TRIM(INDEX($A794:$Z794,MATCH('Open answers'!$B$5,$A$1:$Z$1,0))&amp;""),""))</f>
        <v/>
      </c>
      <c r="AI794" s="41">
        <f>IF(LEN(AH794)&gt;0,MAX($AI$1:AI793)+1,"")</f>
        <v/>
      </c>
    </row>
    <row r="795">
      <c r="AA795" s="40" t="n"/>
      <c r="AB795" s="41">
        <f>IF(TRIM('Counts'!$B$8&amp;"")="","",IFERROR(TRIM(INDEX($A795:$Z795,MATCH('Counts'!$B$8,$A$1:$Z$1,0))&amp;""),""))</f>
        <v/>
      </c>
      <c r="AC795" s="41">
        <f>IF(TRIM('Counts'!$B$26&amp;"")="","",IFERROR(TRIM(INDEX($A795:$Z795,MATCH('Counts'!$B$26,$A$1:$Z$1,0))&amp;""),""))</f>
        <v/>
      </c>
      <c r="AD795" s="41">
        <f>IF(TRIM('Counts'!$B$44&amp;"")="","",IFERROR(TRIM(INDEX($A795:$Z795,MATCH('Counts'!$B$44,$A$1:$Z$1,0))&amp;""),""))</f>
        <v/>
      </c>
      <c r="AE795" s="41">
        <f>IF(TRIM('Cross-tab'!$B$5&amp;"")="","",IFERROR(TRIM(INDEX($A795:$Z795,MATCH('Cross-tab'!$B$5,$A$1:$Z$1,0))&amp;""),""))</f>
        <v/>
      </c>
      <c r="AF795" s="41">
        <f>IF(TRIM('Cross-tab'!$B$7&amp;"")="","",IFERROR(TRIM(INDEX($A795:$Z795,MATCH('Cross-tab'!$B$7,$A$1:$Z$1,0))&amp;""),""))</f>
        <v/>
      </c>
      <c r="AG795" s="41">
        <f>IF(ISNUMBER(IFERROR(VALUE(IF(TRIM('Scale score'!$B$5&amp;"")="","",IFERROR(TRIM(INDEX($A795:$Z795,MATCH('Scale score'!$B$5,$A$1:$Z$1,0))&amp;""),""))),"")),IF(AND(IFERROR(VALUE(IF(TRIM('Scale score'!$B$5&amp;"")="","",IFERROR(TRIM(INDEX($A795:$Z795,MATCH('Scale score'!$B$5,$A$1:$Z$1,0))&amp;""),""))),"")&gt;='Scale score'!$B$6,IFERROR(VALUE(IF(TRIM('Scale score'!$B$5&amp;"")="","",IFERROR(TRIM(INDEX($A795:$Z795,MATCH('Scale score'!$B$5,$A$1:$Z$1,0))&amp;""),""))),"")&lt;='Scale score'!$B$7),IFERROR(VALUE(IF(TRIM('Scale score'!$B$5&amp;"")="","",IFERROR(TRIM(INDEX($A795:$Z795,MATCH('Scale score'!$B$5,$A$1:$Z$1,0))&amp;""),""))),""),""),"")</f>
        <v/>
      </c>
      <c r="AH795" s="41">
        <f>IF(TRIM('Open answers'!$B$5&amp;"")="","",IFERROR(TRIM(INDEX($A795:$Z795,MATCH('Open answers'!$B$5,$A$1:$Z$1,0))&amp;""),""))</f>
        <v/>
      </c>
      <c r="AI795" s="41">
        <f>IF(LEN(AH795)&gt;0,MAX($AI$1:AI794)+1,"")</f>
        <v/>
      </c>
    </row>
    <row r="796">
      <c r="AA796" s="40" t="n"/>
      <c r="AB796" s="41">
        <f>IF(TRIM('Counts'!$B$8&amp;"")="","",IFERROR(TRIM(INDEX($A796:$Z796,MATCH('Counts'!$B$8,$A$1:$Z$1,0))&amp;""),""))</f>
        <v/>
      </c>
      <c r="AC796" s="41">
        <f>IF(TRIM('Counts'!$B$26&amp;"")="","",IFERROR(TRIM(INDEX($A796:$Z796,MATCH('Counts'!$B$26,$A$1:$Z$1,0))&amp;""),""))</f>
        <v/>
      </c>
      <c r="AD796" s="41">
        <f>IF(TRIM('Counts'!$B$44&amp;"")="","",IFERROR(TRIM(INDEX($A796:$Z796,MATCH('Counts'!$B$44,$A$1:$Z$1,0))&amp;""),""))</f>
        <v/>
      </c>
      <c r="AE796" s="41">
        <f>IF(TRIM('Cross-tab'!$B$5&amp;"")="","",IFERROR(TRIM(INDEX($A796:$Z796,MATCH('Cross-tab'!$B$5,$A$1:$Z$1,0))&amp;""),""))</f>
        <v/>
      </c>
      <c r="AF796" s="41">
        <f>IF(TRIM('Cross-tab'!$B$7&amp;"")="","",IFERROR(TRIM(INDEX($A796:$Z796,MATCH('Cross-tab'!$B$7,$A$1:$Z$1,0))&amp;""),""))</f>
        <v/>
      </c>
      <c r="AG796" s="41">
        <f>IF(ISNUMBER(IFERROR(VALUE(IF(TRIM('Scale score'!$B$5&amp;"")="","",IFERROR(TRIM(INDEX($A796:$Z796,MATCH('Scale score'!$B$5,$A$1:$Z$1,0))&amp;""),""))),"")),IF(AND(IFERROR(VALUE(IF(TRIM('Scale score'!$B$5&amp;"")="","",IFERROR(TRIM(INDEX($A796:$Z796,MATCH('Scale score'!$B$5,$A$1:$Z$1,0))&amp;""),""))),"")&gt;='Scale score'!$B$6,IFERROR(VALUE(IF(TRIM('Scale score'!$B$5&amp;"")="","",IFERROR(TRIM(INDEX($A796:$Z796,MATCH('Scale score'!$B$5,$A$1:$Z$1,0))&amp;""),""))),"")&lt;='Scale score'!$B$7),IFERROR(VALUE(IF(TRIM('Scale score'!$B$5&amp;"")="","",IFERROR(TRIM(INDEX($A796:$Z796,MATCH('Scale score'!$B$5,$A$1:$Z$1,0))&amp;""),""))),""),""),"")</f>
        <v/>
      </c>
      <c r="AH796" s="41">
        <f>IF(TRIM('Open answers'!$B$5&amp;"")="","",IFERROR(TRIM(INDEX($A796:$Z796,MATCH('Open answers'!$B$5,$A$1:$Z$1,0))&amp;""),""))</f>
        <v/>
      </c>
      <c r="AI796" s="41">
        <f>IF(LEN(AH796)&gt;0,MAX($AI$1:AI795)+1,"")</f>
        <v/>
      </c>
    </row>
    <row r="797">
      <c r="AA797" s="40" t="n"/>
      <c r="AB797" s="41">
        <f>IF(TRIM('Counts'!$B$8&amp;"")="","",IFERROR(TRIM(INDEX($A797:$Z797,MATCH('Counts'!$B$8,$A$1:$Z$1,0))&amp;""),""))</f>
        <v/>
      </c>
      <c r="AC797" s="41">
        <f>IF(TRIM('Counts'!$B$26&amp;"")="","",IFERROR(TRIM(INDEX($A797:$Z797,MATCH('Counts'!$B$26,$A$1:$Z$1,0))&amp;""),""))</f>
        <v/>
      </c>
      <c r="AD797" s="41">
        <f>IF(TRIM('Counts'!$B$44&amp;"")="","",IFERROR(TRIM(INDEX($A797:$Z797,MATCH('Counts'!$B$44,$A$1:$Z$1,0))&amp;""),""))</f>
        <v/>
      </c>
      <c r="AE797" s="41">
        <f>IF(TRIM('Cross-tab'!$B$5&amp;"")="","",IFERROR(TRIM(INDEX($A797:$Z797,MATCH('Cross-tab'!$B$5,$A$1:$Z$1,0))&amp;""),""))</f>
        <v/>
      </c>
      <c r="AF797" s="41">
        <f>IF(TRIM('Cross-tab'!$B$7&amp;"")="","",IFERROR(TRIM(INDEX($A797:$Z797,MATCH('Cross-tab'!$B$7,$A$1:$Z$1,0))&amp;""),""))</f>
        <v/>
      </c>
      <c r="AG797" s="41">
        <f>IF(ISNUMBER(IFERROR(VALUE(IF(TRIM('Scale score'!$B$5&amp;"")="","",IFERROR(TRIM(INDEX($A797:$Z797,MATCH('Scale score'!$B$5,$A$1:$Z$1,0))&amp;""),""))),"")),IF(AND(IFERROR(VALUE(IF(TRIM('Scale score'!$B$5&amp;"")="","",IFERROR(TRIM(INDEX($A797:$Z797,MATCH('Scale score'!$B$5,$A$1:$Z$1,0))&amp;""),""))),"")&gt;='Scale score'!$B$6,IFERROR(VALUE(IF(TRIM('Scale score'!$B$5&amp;"")="","",IFERROR(TRIM(INDEX($A797:$Z797,MATCH('Scale score'!$B$5,$A$1:$Z$1,0))&amp;""),""))),"")&lt;='Scale score'!$B$7),IFERROR(VALUE(IF(TRIM('Scale score'!$B$5&amp;"")="","",IFERROR(TRIM(INDEX($A797:$Z797,MATCH('Scale score'!$B$5,$A$1:$Z$1,0))&amp;""),""))),""),""),"")</f>
        <v/>
      </c>
      <c r="AH797" s="41">
        <f>IF(TRIM('Open answers'!$B$5&amp;"")="","",IFERROR(TRIM(INDEX($A797:$Z797,MATCH('Open answers'!$B$5,$A$1:$Z$1,0))&amp;""),""))</f>
        <v/>
      </c>
      <c r="AI797" s="41">
        <f>IF(LEN(AH797)&gt;0,MAX($AI$1:AI796)+1,"")</f>
        <v/>
      </c>
    </row>
    <row r="798">
      <c r="AA798" s="40" t="n"/>
      <c r="AB798" s="41">
        <f>IF(TRIM('Counts'!$B$8&amp;"")="","",IFERROR(TRIM(INDEX($A798:$Z798,MATCH('Counts'!$B$8,$A$1:$Z$1,0))&amp;""),""))</f>
        <v/>
      </c>
      <c r="AC798" s="41">
        <f>IF(TRIM('Counts'!$B$26&amp;"")="","",IFERROR(TRIM(INDEX($A798:$Z798,MATCH('Counts'!$B$26,$A$1:$Z$1,0))&amp;""),""))</f>
        <v/>
      </c>
      <c r="AD798" s="41">
        <f>IF(TRIM('Counts'!$B$44&amp;"")="","",IFERROR(TRIM(INDEX($A798:$Z798,MATCH('Counts'!$B$44,$A$1:$Z$1,0))&amp;""),""))</f>
        <v/>
      </c>
      <c r="AE798" s="41">
        <f>IF(TRIM('Cross-tab'!$B$5&amp;"")="","",IFERROR(TRIM(INDEX($A798:$Z798,MATCH('Cross-tab'!$B$5,$A$1:$Z$1,0))&amp;""),""))</f>
        <v/>
      </c>
      <c r="AF798" s="41">
        <f>IF(TRIM('Cross-tab'!$B$7&amp;"")="","",IFERROR(TRIM(INDEX($A798:$Z798,MATCH('Cross-tab'!$B$7,$A$1:$Z$1,0))&amp;""),""))</f>
        <v/>
      </c>
      <c r="AG798" s="41">
        <f>IF(ISNUMBER(IFERROR(VALUE(IF(TRIM('Scale score'!$B$5&amp;"")="","",IFERROR(TRIM(INDEX($A798:$Z798,MATCH('Scale score'!$B$5,$A$1:$Z$1,0))&amp;""),""))),"")),IF(AND(IFERROR(VALUE(IF(TRIM('Scale score'!$B$5&amp;"")="","",IFERROR(TRIM(INDEX($A798:$Z798,MATCH('Scale score'!$B$5,$A$1:$Z$1,0))&amp;""),""))),"")&gt;='Scale score'!$B$6,IFERROR(VALUE(IF(TRIM('Scale score'!$B$5&amp;"")="","",IFERROR(TRIM(INDEX($A798:$Z798,MATCH('Scale score'!$B$5,$A$1:$Z$1,0))&amp;""),""))),"")&lt;='Scale score'!$B$7),IFERROR(VALUE(IF(TRIM('Scale score'!$B$5&amp;"")="","",IFERROR(TRIM(INDEX($A798:$Z798,MATCH('Scale score'!$B$5,$A$1:$Z$1,0))&amp;""),""))),""),""),"")</f>
        <v/>
      </c>
      <c r="AH798" s="41">
        <f>IF(TRIM('Open answers'!$B$5&amp;"")="","",IFERROR(TRIM(INDEX($A798:$Z798,MATCH('Open answers'!$B$5,$A$1:$Z$1,0))&amp;""),""))</f>
        <v/>
      </c>
      <c r="AI798" s="41">
        <f>IF(LEN(AH798)&gt;0,MAX($AI$1:AI797)+1,"")</f>
        <v/>
      </c>
    </row>
    <row r="799">
      <c r="AA799" s="40" t="n"/>
      <c r="AB799" s="41">
        <f>IF(TRIM('Counts'!$B$8&amp;"")="","",IFERROR(TRIM(INDEX($A799:$Z799,MATCH('Counts'!$B$8,$A$1:$Z$1,0))&amp;""),""))</f>
        <v/>
      </c>
      <c r="AC799" s="41">
        <f>IF(TRIM('Counts'!$B$26&amp;"")="","",IFERROR(TRIM(INDEX($A799:$Z799,MATCH('Counts'!$B$26,$A$1:$Z$1,0))&amp;""),""))</f>
        <v/>
      </c>
      <c r="AD799" s="41">
        <f>IF(TRIM('Counts'!$B$44&amp;"")="","",IFERROR(TRIM(INDEX($A799:$Z799,MATCH('Counts'!$B$44,$A$1:$Z$1,0))&amp;""),""))</f>
        <v/>
      </c>
      <c r="AE799" s="41">
        <f>IF(TRIM('Cross-tab'!$B$5&amp;"")="","",IFERROR(TRIM(INDEX($A799:$Z799,MATCH('Cross-tab'!$B$5,$A$1:$Z$1,0))&amp;""),""))</f>
        <v/>
      </c>
      <c r="AF799" s="41">
        <f>IF(TRIM('Cross-tab'!$B$7&amp;"")="","",IFERROR(TRIM(INDEX($A799:$Z799,MATCH('Cross-tab'!$B$7,$A$1:$Z$1,0))&amp;""),""))</f>
        <v/>
      </c>
      <c r="AG799" s="41">
        <f>IF(ISNUMBER(IFERROR(VALUE(IF(TRIM('Scale score'!$B$5&amp;"")="","",IFERROR(TRIM(INDEX($A799:$Z799,MATCH('Scale score'!$B$5,$A$1:$Z$1,0))&amp;""),""))),"")),IF(AND(IFERROR(VALUE(IF(TRIM('Scale score'!$B$5&amp;"")="","",IFERROR(TRIM(INDEX($A799:$Z799,MATCH('Scale score'!$B$5,$A$1:$Z$1,0))&amp;""),""))),"")&gt;='Scale score'!$B$6,IFERROR(VALUE(IF(TRIM('Scale score'!$B$5&amp;"")="","",IFERROR(TRIM(INDEX($A799:$Z799,MATCH('Scale score'!$B$5,$A$1:$Z$1,0))&amp;""),""))),"")&lt;='Scale score'!$B$7),IFERROR(VALUE(IF(TRIM('Scale score'!$B$5&amp;"")="","",IFERROR(TRIM(INDEX($A799:$Z799,MATCH('Scale score'!$B$5,$A$1:$Z$1,0))&amp;""),""))),""),""),"")</f>
        <v/>
      </c>
      <c r="AH799" s="41">
        <f>IF(TRIM('Open answers'!$B$5&amp;"")="","",IFERROR(TRIM(INDEX($A799:$Z799,MATCH('Open answers'!$B$5,$A$1:$Z$1,0))&amp;""),""))</f>
        <v/>
      </c>
      <c r="AI799" s="41">
        <f>IF(LEN(AH799)&gt;0,MAX($AI$1:AI798)+1,"")</f>
        <v/>
      </c>
    </row>
    <row r="800">
      <c r="AA800" s="40" t="n"/>
      <c r="AB800" s="41">
        <f>IF(TRIM('Counts'!$B$8&amp;"")="","",IFERROR(TRIM(INDEX($A800:$Z800,MATCH('Counts'!$B$8,$A$1:$Z$1,0))&amp;""),""))</f>
        <v/>
      </c>
      <c r="AC800" s="41">
        <f>IF(TRIM('Counts'!$B$26&amp;"")="","",IFERROR(TRIM(INDEX($A800:$Z800,MATCH('Counts'!$B$26,$A$1:$Z$1,0))&amp;""),""))</f>
        <v/>
      </c>
      <c r="AD800" s="41">
        <f>IF(TRIM('Counts'!$B$44&amp;"")="","",IFERROR(TRIM(INDEX($A800:$Z800,MATCH('Counts'!$B$44,$A$1:$Z$1,0))&amp;""),""))</f>
        <v/>
      </c>
      <c r="AE800" s="41">
        <f>IF(TRIM('Cross-tab'!$B$5&amp;"")="","",IFERROR(TRIM(INDEX($A800:$Z800,MATCH('Cross-tab'!$B$5,$A$1:$Z$1,0))&amp;""),""))</f>
        <v/>
      </c>
      <c r="AF800" s="41">
        <f>IF(TRIM('Cross-tab'!$B$7&amp;"")="","",IFERROR(TRIM(INDEX($A800:$Z800,MATCH('Cross-tab'!$B$7,$A$1:$Z$1,0))&amp;""),""))</f>
        <v/>
      </c>
      <c r="AG800" s="41">
        <f>IF(ISNUMBER(IFERROR(VALUE(IF(TRIM('Scale score'!$B$5&amp;"")="","",IFERROR(TRIM(INDEX($A800:$Z800,MATCH('Scale score'!$B$5,$A$1:$Z$1,0))&amp;""),""))),"")),IF(AND(IFERROR(VALUE(IF(TRIM('Scale score'!$B$5&amp;"")="","",IFERROR(TRIM(INDEX($A800:$Z800,MATCH('Scale score'!$B$5,$A$1:$Z$1,0))&amp;""),""))),"")&gt;='Scale score'!$B$6,IFERROR(VALUE(IF(TRIM('Scale score'!$B$5&amp;"")="","",IFERROR(TRIM(INDEX($A800:$Z800,MATCH('Scale score'!$B$5,$A$1:$Z$1,0))&amp;""),""))),"")&lt;='Scale score'!$B$7),IFERROR(VALUE(IF(TRIM('Scale score'!$B$5&amp;"")="","",IFERROR(TRIM(INDEX($A800:$Z800,MATCH('Scale score'!$B$5,$A$1:$Z$1,0))&amp;""),""))),""),""),"")</f>
        <v/>
      </c>
      <c r="AH800" s="41">
        <f>IF(TRIM('Open answers'!$B$5&amp;"")="","",IFERROR(TRIM(INDEX($A800:$Z800,MATCH('Open answers'!$B$5,$A$1:$Z$1,0))&amp;""),""))</f>
        <v/>
      </c>
      <c r="AI800" s="41">
        <f>IF(LEN(AH800)&gt;0,MAX($AI$1:AI799)+1,"")</f>
        <v/>
      </c>
    </row>
    <row r="801">
      <c r="AA801" s="40" t="n"/>
      <c r="AB801" s="41">
        <f>IF(TRIM('Counts'!$B$8&amp;"")="","",IFERROR(TRIM(INDEX($A801:$Z801,MATCH('Counts'!$B$8,$A$1:$Z$1,0))&amp;""),""))</f>
        <v/>
      </c>
      <c r="AC801" s="41">
        <f>IF(TRIM('Counts'!$B$26&amp;"")="","",IFERROR(TRIM(INDEX($A801:$Z801,MATCH('Counts'!$B$26,$A$1:$Z$1,0))&amp;""),""))</f>
        <v/>
      </c>
      <c r="AD801" s="41">
        <f>IF(TRIM('Counts'!$B$44&amp;"")="","",IFERROR(TRIM(INDEX($A801:$Z801,MATCH('Counts'!$B$44,$A$1:$Z$1,0))&amp;""),""))</f>
        <v/>
      </c>
      <c r="AE801" s="41">
        <f>IF(TRIM('Cross-tab'!$B$5&amp;"")="","",IFERROR(TRIM(INDEX($A801:$Z801,MATCH('Cross-tab'!$B$5,$A$1:$Z$1,0))&amp;""),""))</f>
        <v/>
      </c>
      <c r="AF801" s="41">
        <f>IF(TRIM('Cross-tab'!$B$7&amp;"")="","",IFERROR(TRIM(INDEX($A801:$Z801,MATCH('Cross-tab'!$B$7,$A$1:$Z$1,0))&amp;""),""))</f>
        <v/>
      </c>
      <c r="AG801" s="41">
        <f>IF(ISNUMBER(IFERROR(VALUE(IF(TRIM('Scale score'!$B$5&amp;"")="","",IFERROR(TRIM(INDEX($A801:$Z801,MATCH('Scale score'!$B$5,$A$1:$Z$1,0))&amp;""),""))),"")),IF(AND(IFERROR(VALUE(IF(TRIM('Scale score'!$B$5&amp;"")="","",IFERROR(TRIM(INDEX($A801:$Z801,MATCH('Scale score'!$B$5,$A$1:$Z$1,0))&amp;""),""))),"")&gt;='Scale score'!$B$6,IFERROR(VALUE(IF(TRIM('Scale score'!$B$5&amp;"")="","",IFERROR(TRIM(INDEX($A801:$Z801,MATCH('Scale score'!$B$5,$A$1:$Z$1,0))&amp;""),""))),"")&lt;='Scale score'!$B$7),IFERROR(VALUE(IF(TRIM('Scale score'!$B$5&amp;"")="","",IFERROR(TRIM(INDEX($A801:$Z801,MATCH('Scale score'!$B$5,$A$1:$Z$1,0))&amp;""),""))),""),""),"")</f>
        <v/>
      </c>
      <c r="AH801" s="41">
        <f>IF(TRIM('Open answers'!$B$5&amp;"")="","",IFERROR(TRIM(INDEX($A801:$Z801,MATCH('Open answers'!$B$5,$A$1:$Z$1,0))&amp;""),""))</f>
        <v/>
      </c>
      <c r="AI801" s="41">
        <f>IF(LEN(AH801)&gt;0,MAX($AI$1:AI800)+1,"")</f>
        <v/>
      </c>
    </row>
    <row r="802">
      <c r="AA802" s="40" t="n"/>
      <c r="AB802" s="41">
        <f>IF(TRIM('Counts'!$B$8&amp;"")="","",IFERROR(TRIM(INDEX($A802:$Z802,MATCH('Counts'!$B$8,$A$1:$Z$1,0))&amp;""),""))</f>
        <v/>
      </c>
      <c r="AC802" s="41">
        <f>IF(TRIM('Counts'!$B$26&amp;"")="","",IFERROR(TRIM(INDEX($A802:$Z802,MATCH('Counts'!$B$26,$A$1:$Z$1,0))&amp;""),""))</f>
        <v/>
      </c>
      <c r="AD802" s="41">
        <f>IF(TRIM('Counts'!$B$44&amp;"")="","",IFERROR(TRIM(INDEX($A802:$Z802,MATCH('Counts'!$B$44,$A$1:$Z$1,0))&amp;""),""))</f>
        <v/>
      </c>
      <c r="AE802" s="41">
        <f>IF(TRIM('Cross-tab'!$B$5&amp;"")="","",IFERROR(TRIM(INDEX($A802:$Z802,MATCH('Cross-tab'!$B$5,$A$1:$Z$1,0))&amp;""),""))</f>
        <v/>
      </c>
      <c r="AF802" s="41">
        <f>IF(TRIM('Cross-tab'!$B$7&amp;"")="","",IFERROR(TRIM(INDEX($A802:$Z802,MATCH('Cross-tab'!$B$7,$A$1:$Z$1,0))&amp;""),""))</f>
        <v/>
      </c>
      <c r="AG802" s="41">
        <f>IF(ISNUMBER(IFERROR(VALUE(IF(TRIM('Scale score'!$B$5&amp;"")="","",IFERROR(TRIM(INDEX($A802:$Z802,MATCH('Scale score'!$B$5,$A$1:$Z$1,0))&amp;""),""))),"")),IF(AND(IFERROR(VALUE(IF(TRIM('Scale score'!$B$5&amp;"")="","",IFERROR(TRIM(INDEX($A802:$Z802,MATCH('Scale score'!$B$5,$A$1:$Z$1,0))&amp;""),""))),"")&gt;='Scale score'!$B$6,IFERROR(VALUE(IF(TRIM('Scale score'!$B$5&amp;"")="","",IFERROR(TRIM(INDEX($A802:$Z802,MATCH('Scale score'!$B$5,$A$1:$Z$1,0))&amp;""),""))),"")&lt;='Scale score'!$B$7),IFERROR(VALUE(IF(TRIM('Scale score'!$B$5&amp;"")="","",IFERROR(TRIM(INDEX($A802:$Z802,MATCH('Scale score'!$B$5,$A$1:$Z$1,0))&amp;""),""))),""),""),"")</f>
        <v/>
      </c>
      <c r="AH802" s="41">
        <f>IF(TRIM('Open answers'!$B$5&amp;"")="","",IFERROR(TRIM(INDEX($A802:$Z802,MATCH('Open answers'!$B$5,$A$1:$Z$1,0))&amp;""),""))</f>
        <v/>
      </c>
      <c r="AI802" s="41">
        <f>IF(LEN(AH802)&gt;0,MAX($AI$1:AI801)+1,"")</f>
        <v/>
      </c>
    </row>
    <row r="803">
      <c r="AA803" s="40" t="n"/>
      <c r="AB803" s="41">
        <f>IF(TRIM('Counts'!$B$8&amp;"")="","",IFERROR(TRIM(INDEX($A803:$Z803,MATCH('Counts'!$B$8,$A$1:$Z$1,0))&amp;""),""))</f>
        <v/>
      </c>
      <c r="AC803" s="41">
        <f>IF(TRIM('Counts'!$B$26&amp;"")="","",IFERROR(TRIM(INDEX($A803:$Z803,MATCH('Counts'!$B$26,$A$1:$Z$1,0))&amp;""),""))</f>
        <v/>
      </c>
      <c r="AD803" s="41">
        <f>IF(TRIM('Counts'!$B$44&amp;"")="","",IFERROR(TRIM(INDEX($A803:$Z803,MATCH('Counts'!$B$44,$A$1:$Z$1,0))&amp;""),""))</f>
        <v/>
      </c>
      <c r="AE803" s="41">
        <f>IF(TRIM('Cross-tab'!$B$5&amp;"")="","",IFERROR(TRIM(INDEX($A803:$Z803,MATCH('Cross-tab'!$B$5,$A$1:$Z$1,0))&amp;""),""))</f>
        <v/>
      </c>
      <c r="AF803" s="41">
        <f>IF(TRIM('Cross-tab'!$B$7&amp;"")="","",IFERROR(TRIM(INDEX($A803:$Z803,MATCH('Cross-tab'!$B$7,$A$1:$Z$1,0))&amp;""),""))</f>
        <v/>
      </c>
      <c r="AG803" s="41">
        <f>IF(ISNUMBER(IFERROR(VALUE(IF(TRIM('Scale score'!$B$5&amp;"")="","",IFERROR(TRIM(INDEX($A803:$Z803,MATCH('Scale score'!$B$5,$A$1:$Z$1,0))&amp;""),""))),"")),IF(AND(IFERROR(VALUE(IF(TRIM('Scale score'!$B$5&amp;"")="","",IFERROR(TRIM(INDEX($A803:$Z803,MATCH('Scale score'!$B$5,$A$1:$Z$1,0))&amp;""),""))),"")&gt;='Scale score'!$B$6,IFERROR(VALUE(IF(TRIM('Scale score'!$B$5&amp;"")="","",IFERROR(TRIM(INDEX($A803:$Z803,MATCH('Scale score'!$B$5,$A$1:$Z$1,0))&amp;""),""))),"")&lt;='Scale score'!$B$7),IFERROR(VALUE(IF(TRIM('Scale score'!$B$5&amp;"")="","",IFERROR(TRIM(INDEX($A803:$Z803,MATCH('Scale score'!$B$5,$A$1:$Z$1,0))&amp;""),""))),""),""),"")</f>
        <v/>
      </c>
      <c r="AH803" s="41">
        <f>IF(TRIM('Open answers'!$B$5&amp;"")="","",IFERROR(TRIM(INDEX($A803:$Z803,MATCH('Open answers'!$B$5,$A$1:$Z$1,0))&amp;""),""))</f>
        <v/>
      </c>
      <c r="AI803" s="41">
        <f>IF(LEN(AH803)&gt;0,MAX($AI$1:AI802)+1,"")</f>
        <v/>
      </c>
    </row>
    <row r="804">
      <c r="AA804" s="40" t="n"/>
      <c r="AB804" s="41">
        <f>IF(TRIM('Counts'!$B$8&amp;"")="","",IFERROR(TRIM(INDEX($A804:$Z804,MATCH('Counts'!$B$8,$A$1:$Z$1,0))&amp;""),""))</f>
        <v/>
      </c>
      <c r="AC804" s="41">
        <f>IF(TRIM('Counts'!$B$26&amp;"")="","",IFERROR(TRIM(INDEX($A804:$Z804,MATCH('Counts'!$B$26,$A$1:$Z$1,0))&amp;""),""))</f>
        <v/>
      </c>
      <c r="AD804" s="41">
        <f>IF(TRIM('Counts'!$B$44&amp;"")="","",IFERROR(TRIM(INDEX($A804:$Z804,MATCH('Counts'!$B$44,$A$1:$Z$1,0))&amp;""),""))</f>
        <v/>
      </c>
      <c r="AE804" s="41">
        <f>IF(TRIM('Cross-tab'!$B$5&amp;"")="","",IFERROR(TRIM(INDEX($A804:$Z804,MATCH('Cross-tab'!$B$5,$A$1:$Z$1,0))&amp;""),""))</f>
        <v/>
      </c>
      <c r="AF804" s="41">
        <f>IF(TRIM('Cross-tab'!$B$7&amp;"")="","",IFERROR(TRIM(INDEX($A804:$Z804,MATCH('Cross-tab'!$B$7,$A$1:$Z$1,0))&amp;""),""))</f>
        <v/>
      </c>
      <c r="AG804" s="41">
        <f>IF(ISNUMBER(IFERROR(VALUE(IF(TRIM('Scale score'!$B$5&amp;"")="","",IFERROR(TRIM(INDEX($A804:$Z804,MATCH('Scale score'!$B$5,$A$1:$Z$1,0))&amp;""),""))),"")),IF(AND(IFERROR(VALUE(IF(TRIM('Scale score'!$B$5&amp;"")="","",IFERROR(TRIM(INDEX($A804:$Z804,MATCH('Scale score'!$B$5,$A$1:$Z$1,0))&amp;""),""))),"")&gt;='Scale score'!$B$6,IFERROR(VALUE(IF(TRIM('Scale score'!$B$5&amp;"")="","",IFERROR(TRIM(INDEX($A804:$Z804,MATCH('Scale score'!$B$5,$A$1:$Z$1,0))&amp;""),""))),"")&lt;='Scale score'!$B$7),IFERROR(VALUE(IF(TRIM('Scale score'!$B$5&amp;"")="","",IFERROR(TRIM(INDEX($A804:$Z804,MATCH('Scale score'!$B$5,$A$1:$Z$1,0))&amp;""),""))),""),""),"")</f>
        <v/>
      </c>
      <c r="AH804" s="41">
        <f>IF(TRIM('Open answers'!$B$5&amp;"")="","",IFERROR(TRIM(INDEX($A804:$Z804,MATCH('Open answers'!$B$5,$A$1:$Z$1,0))&amp;""),""))</f>
        <v/>
      </c>
      <c r="AI804" s="41">
        <f>IF(LEN(AH804)&gt;0,MAX($AI$1:AI803)+1,"")</f>
        <v/>
      </c>
    </row>
    <row r="805">
      <c r="AA805" s="40" t="n"/>
      <c r="AB805" s="41">
        <f>IF(TRIM('Counts'!$B$8&amp;"")="","",IFERROR(TRIM(INDEX($A805:$Z805,MATCH('Counts'!$B$8,$A$1:$Z$1,0))&amp;""),""))</f>
        <v/>
      </c>
      <c r="AC805" s="41">
        <f>IF(TRIM('Counts'!$B$26&amp;"")="","",IFERROR(TRIM(INDEX($A805:$Z805,MATCH('Counts'!$B$26,$A$1:$Z$1,0))&amp;""),""))</f>
        <v/>
      </c>
      <c r="AD805" s="41">
        <f>IF(TRIM('Counts'!$B$44&amp;"")="","",IFERROR(TRIM(INDEX($A805:$Z805,MATCH('Counts'!$B$44,$A$1:$Z$1,0))&amp;""),""))</f>
        <v/>
      </c>
      <c r="AE805" s="41">
        <f>IF(TRIM('Cross-tab'!$B$5&amp;"")="","",IFERROR(TRIM(INDEX($A805:$Z805,MATCH('Cross-tab'!$B$5,$A$1:$Z$1,0))&amp;""),""))</f>
        <v/>
      </c>
      <c r="AF805" s="41">
        <f>IF(TRIM('Cross-tab'!$B$7&amp;"")="","",IFERROR(TRIM(INDEX($A805:$Z805,MATCH('Cross-tab'!$B$7,$A$1:$Z$1,0))&amp;""),""))</f>
        <v/>
      </c>
      <c r="AG805" s="41">
        <f>IF(ISNUMBER(IFERROR(VALUE(IF(TRIM('Scale score'!$B$5&amp;"")="","",IFERROR(TRIM(INDEX($A805:$Z805,MATCH('Scale score'!$B$5,$A$1:$Z$1,0))&amp;""),""))),"")),IF(AND(IFERROR(VALUE(IF(TRIM('Scale score'!$B$5&amp;"")="","",IFERROR(TRIM(INDEX($A805:$Z805,MATCH('Scale score'!$B$5,$A$1:$Z$1,0))&amp;""),""))),"")&gt;='Scale score'!$B$6,IFERROR(VALUE(IF(TRIM('Scale score'!$B$5&amp;"")="","",IFERROR(TRIM(INDEX($A805:$Z805,MATCH('Scale score'!$B$5,$A$1:$Z$1,0))&amp;""),""))),"")&lt;='Scale score'!$B$7),IFERROR(VALUE(IF(TRIM('Scale score'!$B$5&amp;"")="","",IFERROR(TRIM(INDEX($A805:$Z805,MATCH('Scale score'!$B$5,$A$1:$Z$1,0))&amp;""),""))),""),""),"")</f>
        <v/>
      </c>
      <c r="AH805" s="41">
        <f>IF(TRIM('Open answers'!$B$5&amp;"")="","",IFERROR(TRIM(INDEX($A805:$Z805,MATCH('Open answers'!$B$5,$A$1:$Z$1,0))&amp;""),""))</f>
        <v/>
      </c>
      <c r="AI805" s="41">
        <f>IF(LEN(AH805)&gt;0,MAX($AI$1:AI804)+1,"")</f>
        <v/>
      </c>
    </row>
    <row r="806">
      <c r="AA806" s="40" t="n"/>
      <c r="AB806" s="41">
        <f>IF(TRIM('Counts'!$B$8&amp;"")="","",IFERROR(TRIM(INDEX($A806:$Z806,MATCH('Counts'!$B$8,$A$1:$Z$1,0))&amp;""),""))</f>
        <v/>
      </c>
      <c r="AC806" s="41">
        <f>IF(TRIM('Counts'!$B$26&amp;"")="","",IFERROR(TRIM(INDEX($A806:$Z806,MATCH('Counts'!$B$26,$A$1:$Z$1,0))&amp;""),""))</f>
        <v/>
      </c>
      <c r="AD806" s="41">
        <f>IF(TRIM('Counts'!$B$44&amp;"")="","",IFERROR(TRIM(INDEX($A806:$Z806,MATCH('Counts'!$B$44,$A$1:$Z$1,0))&amp;""),""))</f>
        <v/>
      </c>
      <c r="AE806" s="41">
        <f>IF(TRIM('Cross-tab'!$B$5&amp;"")="","",IFERROR(TRIM(INDEX($A806:$Z806,MATCH('Cross-tab'!$B$5,$A$1:$Z$1,0))&amp;""),""))</f>
        <v/>
      </c>
      <c r="AF806" s="41">
        <f>IF(TRIM('Cross-tab'!$B$7&amp;"")="","",IFERROR(TRIM(INDEX($A806:$Z806,MATCH('Cross-tab'!$B$7,$A$1:$Z$1,0))&amp;""),""))</f>
        <v/>
      </c>
      <c r="AG806" s="41">
        <f>IF(ISNUMBER(IFERROR(VALUE(IF(TRIM('Scale score'!$B$5&amp;"")="","",IFERROR(TRIM(INDEX($A806:$Z806,MATCH('Scale score'!$B$5,$A$1:$Z$1,0))&amp;""),""))),"")),IF(AND(IFERROR(VALUE(IF(TRIM('Scale score'!$B$5&amp;"")="","",IFERROR(TRIM(INDEX($A806:$Z806,MATCH('Scale score'!$B$5,$A$1:$Z$1,0))&amp;""),""))),"")&gt;='Scale score'!$B$6,IFERROR(VALUE(IF(TRIM('Scale score'!$B$5&amp;"")="","",IFERROR(TRIM(INDEX($A806:$Z806,MATCH('Scale score'!$B$5,$A$1:$Z$1,0))&amp;""),""))),"")&lt;='Scale score'!$B$7),IFERROR(VALUE(IF(TRIM('Scale score'!$B$5&amp;"")="","",IFERROR(TRIM(INDEX($A806:$Z806,MATCH('Scale score'!$B$5,$A$1:$Z$1,0))&amp;""),""))),""),""),"")</f>
        <v/>
      </c>
      <c r="AH806" s="41">
        <f>IF(TRIM('Open answers'!$B$5&amp;"")="","",IFERROR(TRIM(INDEX($A806:$Z806,MATCH('Open answers'!$B$5,$A$1:$Z$1,0))&amp;""),""))</f>
        <v/>
      </c>
      <c r="AI806" s="41">
        <f>IF(LEN(AH806)&gt;0,MAX($AI$1:AI805)+1,"")</f>
        <v/>
      </c>
    </row>
    <row r="807">
      <c r="AA807" s="40" t="n"/>
      <c r="AB807" s="41">
        <f>IF(TRIM('Counts'!$B$8&amp;"")="","",IFERROR(TRIM(INDEX($A807:$Z807,MATCH('Counts'!$B$8,$A$1:$Z$1,0))&amp;""),""))</f>
        <v/>
      </c>
      <c r="AC807" s="41">
        <f>IF(TRIM('Counts'!$B$26&amp;"")="","",IFERROR(TRIM(INDEX($A807:$Z807,MATCH('Counts'!$B$26,$A$1:$Z$1,0))&amp;""),""))</f>
        <v/>
      </c>
      <c r="AD807" s="41">
        <f>IF(TRIM('Counts'!$B$44&amp;"")="","",IFERROR(TRIM(INDEX($A807:$Z807,MATCH('Counts'!$B$44,$A$1:$Z$1,0))&amp;""),""))</f>
        <v/>
      </c>
      <c r="AE807" s="41">
        <f>IF(TRIM('Cross-tab'!$B$5&amp;"")="","",IFERROR(TRIM(INDEX($A807:$Z807,MATCH('Cross-tab'!$B$5,$A$1:$Z$1,0))&amp;""),""))</f>
        <v/>
      </c>
      <c r="AF807" s="41">
        <f>IF(TRIM('Cross-tab'!$B$7&amp;"")="","",IFERROR(TRIM(INDEX($A807:$Z807,MATCH('Cross-tab'!$B$7,$A$1:$Z$1,0))&amp;""),""))</f>
        <v/>
      </c>
      <c r="AG807" s="41">
        <f>IF(ISNUMBER(IFERROR(VALUE(IF(TRIM('Scale score'!$B$5&amp;"")="","",IFERROR(TRIM(INDEX($A807:$Z807,MATCH('Scale score'!$B$5,$A$1:$Z$1,0))&amp;""),""))),"")),IF(AND(IFERROR(VALUE(IF(TRIM('Scale score'!$B$5&amp;"")="","",IFERROR(TRIM(INDEX($A807:$Z807,MATCH('Scale score'!$B$5,$A$1:$Z$1,0))&amp;""),""))),"")&gt;='Scale score'!$B$6,IFERROR(VALUE(IF(TRIM('Scale score'!$B$5&amp;"")="","",IFERROR(TRIM(INDEX($A807:$Z807,MATCH('Scale score'!$B$5,$A$1:$Z$1,0))&amp;""),""))),"")&lt;='Scale score'!$B$7),IFERROR(VALUE(IF(TRIM('Scale score'!$B$5&amp;"")="","",IFERROR(TRIM(INDEX($A807:$Z807,MATCH('Scale score'!$B$5,$A$1:$Z$1,0))&amp;""),""))),""),""),"")</f>
        <v/>
      </c>
      <c r="AH807" s="41">
        <f>IF(TRIM('Open answers'!$B$5&amp;"")="","",IFERROR(TRIM(INDEX($A807:$Z807,MATCH('Open answers'!$B$5,$A$1:$Z$1,0))&amp;""),""))</f>
        <v/>
      </c>
      <c r="AI807" s="41">
        <f>IF(LEN(AH807)&gt;0,MAX($AI$1:AI806)+1,"")</f>
        <v/>
      </c>
    </row>
    <row r="808">
      <c r="AA808" s="40" t="n"/>
      <c r="AB808" s="41">
        <f>IF(TRIM('Counts'!$B$8&amp;"")="","",IFERROR(TRIM(INDEX($A808:$Z808,MATCH('Counts'!$B$8,$A$1:$Z$1,0))&amp;""),""))</f>
        <v/>
      </c>
      <c r="AC808" s="41">
        <f>IF(TRIM('Counts'!$B$26&amp;"")="","",IFERROR(TRIM(INDEX($A808:$Z808,MATCH('Counts'!$B$26,$A$1:$Z$1,0))&amp;""),""))</f>
        <v/>
      </c>
      <c r="AD808" s="41">
        <f>IF(TRIM('Counts'!$B$44&amp;"")="","",IFERROR(TRIM(INDEX($A808:$Z808,MATCH('Counts'!$B$44,$A$1:$Z$1,0))&amp;""),""))</f>
        <v/>
      </c>
      <c r="AE808" s="41">
        <f>IF(TRIM('Cross-tab'!$B$5&amp;"")="","",IFERROR(TRIM(INDEX($A808:$Z808,MATCH('Cross-tab'!$B$5,$A$1:$Z$1,0))&amp;""),""))</f>
        <v/>
      </c>
      <c r="AF808" s="41">
        <f>IF(TRIM('Cross-tab'!$B$7&amp;"")="","",IFERROR(TRIM(INDEX($A808:$Z808,MATCH('Cross-tab'!$B$7,$A$1:$Z$1,0))&amp;""),""))</f>
        <v/>
      </c>
      <c r="AG808" s="41">
        <f>IF(ISNUMBER(IFERROR(VALUE(IF(TRIM('Scale score'!$B$5&amp;"")="","",IFERROR(TRIM(INDEX($A808:$Z808,MATCH('Scale score'!$B$5,$A$1:$Z$1,0))&amp;""),""))),"")),IF(AND(IFERROR(VALUE(IF(TRIM('Scale score'!$B$5&amp;"")="","",IFERROR(TRIM(INDEX($A808:$Z808,MATCH('Scale score'!$B$5,$A$1:$Z$1,0))&amp;""),""))),"")&gt;='Scale score'!$B$6,IFERROR(VALUE(IF(TRIM('Scale score'!$B$5&amp;"")="","",IFERROR(TRIM(INDEX($A808:$Z808,MATCH('Scale score'!$B$5,$A$1:$Z$1,0))&amp;""),""))),"")&lt;='Scale score'!$B$7),IFERROR(VALUE(IF(TRIM('Scale score'!$B$5&amp;"")="","",IFERROR(TRIM(INDEX($A808:$Z808,MATCH('Scale score'!$B$5,$A$1:$Z$1,0))&amp;""),""))),""),""),"")</f>
        <v/>
      </c>
      <c r="AH808" s="41">
        <f>IF(TRIM('Open answers'!$B$5&amp;"")="","",IFERROR(TRIM(INDEX($A808:$Z808,MATCH('Open answers'!$B$5,$A$1:$Z$1,0))&amp;""),""))</f>
        <v/>
      </c>
      <c r="AI808" s="41">
        <f>IF(LEN(AH808)&gt;0,MAX($AI$1:AI807)+1,"")</f>
        <v/>
      </c>
    </row>
    <row r="809">
      <c r="AA809" s="40" t="n"/>
      <c r="AB809" s="41">
        <f>IF(TRIM('Counts'!$B$8&amp;"")="","",IFERROR(TRIM(INDEX($A809:$Z809,MATCH('Counts'!$B$8,$A$1:$Z$1,0))&amp;""),""))</f>
        <v/>
      </c>
      <c r="AC809" s="41">
        <f>IF(TRIM('Counts'!$B$26&amp;"")="","",IFERROR(TRIM(INDEX($A809:$Z809,MATCH('Counts'!$B$26,$A$1:$Z$1,0))&amp;""),""))</f>
        <v/>
      </c>
      <c r="AD809" s="41">
        <f>IF(TRIM('Counts'!$B$44&amp;"")="","",IFERROR(TRIM(INDEX($A809:$Z809,MATCH('Counts'!$B$44,$A$1:$Z$1,0))&amp;""),""))</f>
        <v/>
      </c>
      <c r="AE809" s="41">
        <f>IF(TRIM('Cross-tab'!$B$5&amp;"")="","",IFERROR(TRIM(INDEX($A809:$Z809,MATCH('Cross-tab'!$B$5,$A$1:$Z$1,0))&amp;""),""))</f>
        <v/>
      </c>
      <c r="AF809" s="41">
        <f>IF(TRIM('Cross-tab'!$B$7&amp;"")="","",IFERROR(TRIM(INDEX($A809:$Z809,MATCH('Cross-tab'!$B$7,$A$1:$Z$1,0))&amp;""),""))</f>
        <v/>
      </c>
      <c r="AG809" s="41">
        <f>IF(ISNUMBER(IFERROR(VALUE(IF(TRIM('Scale score'!$B$5&amp;"")="","",IFERROR(TRIM(INDEX($A809:$Z809,MATCH('Scale score'!$B$5,$A$1:$Z$1,0))&amp;""),""))),"")),IF(AND(IFERROR(VALUE(IF(TRIM('Scale score'!$B$5&amp;"")="","",IFERROR(TRIM(INDEX($A809:$Z809,MATCH('Scale score'!$B$5,$A$1:$Z$1,0))&amp;""),""))),"")&gt;='Scale score'!$B$6,IFERROR(VALUE(IF(TRIM('Scale score'!$B$5&amp;"")="","",IFERROR(TRIM(INDEX($A809:$Z809,MATCH('Scale score'!$B$5,$A$1:$Z$1,0))&amp;""),""))),"")&lt;='Scale score'!$B$7),IFERROR(VALUE(IF(TRIM('Scale score'!$B$5&amp;"")="","",IFERROR(TRIM(INDEX($A809:$Z809,MATCH('Scale score'!$B$5,$A$1:$Z$1,0))&amp;""),""))),""),""),"")</f>
        <v/>
      </c>
      <c r="AH809" s="41">
        <f>IF(TRIM('Open answers'!$B$5&amp;"")="","",IFERROR(TRIM(INDEX($A809:$Z809,MATCH('Open answers'!$B$5,$A$1:$Z$1,0))&amp;""),""))</f>
        <v/>
      </c>
      <c r="AI809" s="41">
        <f>IF(LEN(AH809)&gt;0,MAX($AI$1:AI808)+1,"")</f>
        <v/>
      </c>
    </row>
    <row r="810">
      <c r="AA810" s="40" t="n"/>
      <c r="AB810" s="41">
        <f>IF(TRIM('Counts'!$B$8&amp;"")="","",IFERROR(TRIM(INDEX($A810:$Z810,MATCH('Counts'!$B$8,$A$1:$Z$1,0))&amp;""),""))</f>
        <v/>
      </c>
      <c r="AC810" s="41">
        <f>IF(TRIM('Counts'!$B$26&amp;"")="","",IFERROR(TRIM(INDEX($A810:$Z810,MATCH('Counts'!$B$26,$A$1:$Z$1,0))&amp;""),""))</f>
        <v/>
      </c>
      <c r="AD810" s="41">
        <f>IF(TRIM('Counts'!$B$44&amp;"")="","",IFERROR(TRIM(INDEX($A810:$Z810,MATCH('Counts'!$B$44,$A$1:$Z$1,0))&amp;""),""))</f>
        <v/>
      </c>
      <c r="AE810" s="41">
        <f>IF(TRIM('Cross-tab'!$B$5&amp;"")="","",IFERROR(TRIM(INDEX($A810:$Z810,MATCH('Cross-tab'!$B$5,$A$1:$Z$1,0))&amp;""),""))</f>
        <v/>
      </c>
      <c r="AF810" s="41">
        <f>IF(TRIM('Cross-tab'!$B$7&amp;"")="","",IFERROR(TRIM(INDEX($A810:$Z810,MATCH('Cross-tab'!$B$7,$A$1:$Z$1,0))&amp;""),""))</f>
        <v/>
      </c>
      <c r="AG810" s="41">
        <f>IF(ISNUMBER(IFERROR(VALUE(IF(TRIM('Scale score'!$B$5&amp;"")="","",IFERROR(TRIM(INDEX($A810:$Z810,MATCH('Scale score'!$B$5,$A$1:$Z$1,0))&amp;""),""))),"")),IF(AND(IFERROR(VALUE(IF(TRIM('Scale score'!$B$5&amp;"")="","",IFERROR(TRIM(INDEX($A810:$Z810,MATCH('Scale score'!$B$5,$A$1:$Z$1,0))&amp;""),""))),"")&gt;='Scale score'!$B$6,IFERROR(VALUE(IF(TRIM('Scale score'!$B$5&amp;"")="","",IFERROR(TRIM(INDEX($A810:$Z810,MATCH('Scale score'!$B$5,$A$1:$Z$1,0))&amp;""),""))),"")&lt;='Scale score'!$B$7),IFERROR(VALUE(IF(TRIM('Scale score'!$B$5&amp;"")="","",IFERROR(TRIM(INDEX($A810:$Z810,MATCH('Scale score'!$B$5,$A$1:$Z$1,0))&amp;""),""))),""),""),"")</f>
        <v/>
      </c>
      <c r="AH810" s="41">
        <f>IF(TRIM('Open answers'!$B$5&amp;"")="","",IFERROR(TRIM(INDEX($A810:$Z810,MATCH('Open answers'!$B$5,$A$1:$Z$1,0))&amp;""),""))</f>
        <v/>
      </c>
      <c r="AI810" s="41">
        <f>IF(LEN(AH810)&gt;0,MAX($AI$1:AI809)+1,"")</f>
        <v/>
      </c>
    </row>
    <row r="811">
      <c r="AA811" s="40" t="n"/>
      <c r="AB811" s="41">
        <f>IF(TRIM('Counts'!$B$8&amp;"")="","",IFERROR(TRIM(INDEX($A811:$Z811,MATCH('Counts'!$B$8,$A$1:$Z$1,0))&amp;""),""))</f>
        <v/>
      </c>
      <c r="AC811" s="41">
        <f>IF(TRIM('Counts'!$B$26&amp;"")="","",IFERROR(TRIM(INDEX($A811:$Z811,MATCH('Counts'!$B$26,$A$1:$Z$1,0))&amp;""),""))</f>
        <v/>
      </c>
      <c r="AD811" s="41">
        <f>IF(TRIM('Counts'!$B$44&amp;"")="","",IFERROR(TRIM(INDEX($A811:$Z811,MATCH('Counts'!$B$44,$A$1:$Z$1,0))&amp;""),""))</f>
        <v/>
      </c>
      <c r="AE811" s="41">
        <f>IF(TRIM('Cross-tab'!$B$5&amp;"")="","",IFERROR(TRIM(INDEX($A811:$Z811,MATCH('Cross-tab'!$B$5,$A$1:$Z$1,0))&amp;""),""))</f>
        <v/>
      </c>
      <c r="AF811" s="41">
        <f>IF(TRIM('Cross-tab'!$B$7&amp;"")="","",IFERROR(TRIM(INDEX($A811:$Z811,MATCH('Cross-tab'!$B$7,$A$1:$Z$1,0))&amp;""),""))</f>
        <v/>
      </c>
      <c r="AG811" s="41">
        <f>IF(ISNUMBER(IFERROR(VALUE(IF(TRIM('Scale score'!$B$5&amp;"")="","",IFERROR(TRIM(INDEX($A811:$Z811,MATCH('Scale score'!$B$5,$A$1:$Z$1,0))&amp;""),""))),"")),IF(AND(IFERROR(VALUE(IF(TRIM('Scale score'!$B$5&amp;"")="","",IFERROR(TRIM(INDEX($A811:$Z811,MATCH('Scale score'!$B$5,$A$1:$Z$1,0))&amp;""),""))),"")&gt;='Scale score'!$B$6,IFERROR(VALUE(IF(TRIM('Scale score'!$B$5&amp;"")="","",IFERROR(TRIM(INDEX($A811:$Z811,MATCH('Scale score'!$B$5,$A$1:$Z$1,0))&amp;""),""))),"")&lt;='Scale score'!$B$7),IFERROR(VALUE(IF(TRIM('Scale score'!$B$5&amp;"")="","",IFERROR(TRIM(INDEX($A811:$Z811,MATCH('Scale score'!$B$5,$A$1:$Z$1,0))&amp;""),""))),""),""),"")</f>
        <v/>
      </c>
      <c r="AH811" s="41">
        <f>IF(TRIM('Open answers'!$B$5&amp;"")="","",IFERROR(TRIM(INDEX($A811:$Z811,MATCH('Open answers'!$B$5,$A$1:$Z$1,0))&amp;""),""))</f>
        <v/>
      </c>
      <c r="AI811" s="41">
        <f>IF(LEN(AH811)&gt;0,MAX($AI$1:AI810)+1,"")</f>
        <v/>
      </c>
    </row>
    <row r="812">
      <c r="AA812" s="40" t="n"/>
      <c r="AB812" s="41">
        <f>IF(TRIM('Counts'!$B$8&amp;"")="","",IFERROR(TRIM(INDEX($A812:$Z812,MATCH('Counts'!$B$8,$A$1:$Z$1,0))&amp;""),""))</f>
        <v/>
      </c>
      <c r="AC812" s="41">
        <f>IF(TRIM('Counts'!$B$26&amp;"")="","",IFERROR(TRIM(INDEX($A812:$Z812,MATCH('Counts'!$B$26,$A$1:$Z$1,0))&amp;""),""))</f>
        <v/>
      </c>
      <c r="AD812" s="41">
        <f>IF(TRIM('Counts'!$B$44&amp;"")="","",IFERROR(TRIM(INDEX($A812:$Z812,MATCH('Counts'!$B$44,$A$1:$Z$1,0))&amp;""),""))</f>
        <v/>
      </c>
      <c r="AE812" s="41">
        <f>IF(TRIM('Cross-tab'!$B$5&amp;"")="","",IFERROR(TRIM(INDEX($A812:$Z812,MATCH('Cross-tab'!$B$5,$A$1:$Z$1,0))&amp;""),""))</f>
        <v/>
      </c>
      <c r="AF812" s="41">
        <f>IF(TRIM('Cross-tab'!$B$7&amp;"")="","",IFERROR(TRIM(INDEX($A812:$Z812,MATCH('Cross-tab'!$B$7,$A$1:$Z$1,0))&amp;""),""))</f>
        <v/>
      </c>
      <c r="AG812" s="41">
        <f>IF(ISNUMBER(IFERROR(VALUE(IF(TRIM('Scale score'!$B$5&amp;"")="","",IFERROR(TRIM(INDEX($A812:$Z812,MATCH('Scale score'!$B$5,$A$1:$Z$1,0))&amp;""),""))),"")),IF(AND(IFERROR(VALUE(IF(TRIM('Scale score'!$B$5&amp;"")="","",IFERROR(TRIM(INDEX($A812:$Z812,MATCH('Scale score'!$B$5,$A$1:$Z$1,0))&amp;""),""))),"")&gt;='Scale score'!$B$6,IFERROR(VALUE(IF(TRIM('Scale score'!$B$5&amp;"")="","",IFERROR(TRIM(INDEX($A812:$Z812,MATCH('Scale score'!$B$5,$A$1:$Z$1,0))&amp;""),""))),"")&lt;='Scale score'!$B$7),IFERROR(VALUE(IF(TRIM('Scale score'!$B$5&amp;"")="","",IFERROR(TRIM(INDEX($A812:$Z812,MATCH('Scale score'!$B$5,$A$1:$Z$1,0))&amp;""),""))),""),""),"")</f>
        <v/>
      </c>
      <c r="AH812" s="41">
        <f>IF(TRIM('Open answers'!$B$5&amp;"")="","",IFERROR(TRIM(INDEX($A812:$Z812,MATCH('Open answers'!$B$5,$A$1:$Z$1,0))&amp;""),""))</f>
        <v/>
      </c>
      <c r="AI812" s="41">
        <f>IF(LEN(AH812)&gt;0,MAX($AI$1:AI811)+1,"")</f>
        <v/>
      </c>
    </row>
    <row r="813">
      <c r="AA813" s="40" t="n"/>
      <c r="AB813" s="41">
        <f>IF(TRIM('Counts'!$B$8&amp;"")="","",IFERROR(TRIM(INDEX($A813:$Z813,MATCH('Counts'!$B$8,$A$1:$Z$1,0))&amp;""),""))</f>
        <v/>
      </c>
      <c r="AC813" s="41">
        <f>IF(TRIM('Counts'!$B$26&amp;"")="","",IFERROR(TRIM(INDEX($A813:$Z813,MATCH('Counts'!$B$26,$A$1:$Z$1,0))&amp;""),""))</f>
        <v/>
      </c>
      <c r="AD813" s="41">
        <f>IF(TRIM('Counts'!$B$44&amp;"")="","",IFERROR(TRIM(INDEX($A813:$Z813,MATCH('Counts'!$B$44,$A$1:$Z$1,0))&amp;""),""))</f>
        <v/>
      </c>
      <c r="AE813" s="41">
        <f>IF(TRIM('Cross-tab'!$B$5&amp;"")="","",IFERROR(TRIM(INDEX($A813:$Z813,MATCH('Cross-tab'!$B$5,$A$1:$Z$1,0))&amp;""),""))</f>
        <v/>
      </c>
      <c r="AF813" s="41">
        <f>IF(TRIM('Cross-tab'!$B$7&amp;"")="","",IFERROR(TRIM(INDEX($A813:$Z813,MATCH('Cross-tab'!$B$7,$A$1:$Z$1,0))&amp;""),""))</f>
        <v/>
      </c>
      <c r="AG813" s="41">
        <f>IF(ISNUMBER(IFERROR(VALUE(IF(TRIM('Scale score'!$B$5&amp;"")="","",IFERROR(TRIM(INDEX($A813:$Z813,MATCH('Scale score'!$B$5,$A$1:$Z$1,0))&amp;""),""))),"")),IF(AND(IFERROR(VALUE(IF(TRIM('Scale score'!$B$5&amp;"")="","",IFERROR(TRIM(INDEX($A813:$Z813,MATCH('Scale score'!$B$5,$A$1:$Z$1,0))&amp;""),""))),"")&gt;='Scale score'!$B$6,IFERROR(VALUE(IF(TRIM('Scale score'!$B$5&amp;"")="","",IFERROR(TRIM(INDEX($A813:$Z813,MATCH('Scale score'!$B$5,$A$1:$Z$1,0))&amp;""),""))),"")&lt;='Scale score'!$B$7),IFERROR(VALUE(IF(TRIM('Scale score'!$B$5&amp;"")="","",IFERROR(TRIM(INDEX($A813:$Z813,MATCH('Scale score'!$B$5,$A$1:$Z$1,0))&amp;""),""))),""),""),"")</f>
        <v/>
      </c>
      <c r="AH813" s="41">
        <f>IF(TRIM('Open answers'!$B$5&amp;"")="","",IFERROR(TRIM(INDEX($A813:$Z813,MATCH('Open answers'!$B$5,$A$1:$Z$1,0))&amp;""),""))</f>
        <v/>
      </c>
      <c r="AI813" s="41">
        <f>IF(LEN(AH813)&gt;0,MAX($AI$1:AI812)+1,"")</f>
        <v/>
      </c>
    </row>
    <row r="814">
      <c r="AA814" s="40" t="n"/>
      <c r="AB814" s="41">
        <f>IF(TRIM('Counts'!$B$8&amp;"")="","",IFERROR(TRIM(INDEX($A814:$Z814,MATCH('Counts'!$B$8,$A$1:$Z$1,0))&amp;""),""))</f>
        <v/>
      </c>
      <c r="AC814" s="41">
        <f>IF(TRIM('Counts'!$B$26&amp;"")="","",IFERROR(TRIM(INDEX($A814:$Z814,MATCH('Counts'!$B$26,$A$1:$Z$1,0))&amp;""),""))</f>
        <v/>
      </c>
      <c r="AD814" s="41">
        <f>IF(TRIM('Counts'!$B$44&amp;"")="","",IFERROR(TRIM(INDEX($A814:$Z814,MATCH('Counts'!$B$44,$A$1:$Z$1,0))&amp;""),""))</f>
        <v/>
      </c>
      <c r="AE814" s="41">
        <f>IF(TRIM('Cross-tab'!$B$5&amp;"")="","",IFERROR(TRIM(INDEX($A814:$Z814,MATCH('Cross-tab'!$B$5,$A$1:$Z$1,0))&amp;""),""))</f>
        <v/>
      </c>
      <c r="AF814" s="41">
        <f>IF(TRIM('Cross-tab'!$B$7&amp;"")="","",IFERROR(TRIM(INDEX($A814:$Z814,MATCH('Cross-tab'!$B$7,$A$1:$Z$1,0))&amp;""),""))</f>
        <v/>
      </c>
      <c r="AG814" s="41">
        <f>IF(ISNUMBER(IFERROR(VALUE(IF(TRIM('Scale score'!$B$5&amp;"")="","",IFERROR(TRIM(INDEX($A814:$Z814,MATCH('Scale score'!$B$5,$A$1:$Z$1,0))&amp;""),""))),"")),IF(AND(IFERROR(VALUE(IF(TRIM('Scale score'!$B$5&amp;"")="","",IFERROR(TRIM(INDEX($A814:$Z814,MATCH('Scale score'!$B$5,$A$1:$Z$1,0))&amp;""),""))),"")&gt;='Scale score'!$B$6,IFERROR(VALUE(IF(TRIM('Scale score'!$B$5&amp;"")="","",IFERROR(TRIM(INDEX($A814:$Z814,MATCH('Scale score'!$B$5,$A$1:$Z$1,0))&amp;""),""))),"")&lt;='Scale score'!$B$7),IFERROR(VALUE(IF(TRIM('Scale score'!$B$5&amp;"")="","",IFERROR(TRIM(INDEX($A814:$Z814,MATCH('Scale score'!$B$5,$A$1:$Z$1,0))&amp;""),""))),""),""),"")</f>
        <v/>
      </c>
      <c r="AH814" s="41">
        <f>IF(TRIM('Open answers'!$B$5&amp;"")="","",IFERROR(TRIM(INDEX($A814:$Z814,MATCH('Open answers'!$B$5,$A$1:$Z$1,0))&amp;""),""))</f>
        <v/>
      </c>
      <c r="AI814" s="41">
        <f>IF(LEN(AH814)&gt;0,MAX($AI$1:AI813)+1,"")</f>
        <v/>
      </c>
    </row>
    <row r="815">
      <c r="AA815" s="40" t="n"/>
      <c r="AB815" s="41">
        <f>IF(TRIM('Counts'!$B$8&amp;"")="","",IFERROR(TRIM(INDEX($A815:$Z815,MATCH('Counts'!$B$8,$A$1:$Z$1,0))&amp;""),""))</f>
        <v/>
      </c>
      <c r="AC815" s="41">
        <f>IF(TRIM('Counts'!$B$26&amp;"")="","",IFERROR(TRIM(INDEX($A815:$Z815,MATCH('Counts'!$B$26,$A$1:$Z$1,0))&amp;""),""))</f>
        <v/>
      </c>
      <c r="AD815" s="41">
        <f>IF(TRIM('Counts'!$B$44&amp;"")="","",IFERROR(TRIM(INDEX($A815:$Z815,MATCH('Counts'!$B$44,$A$1:$Z$1,0))&amp;""),""))</f>
        <v/>
      </c>
      <c r="AE815" s="41">
        <f>IF(TRIM('Cross-tab'!$B$5&amp;"")="","",IFERROR(TRIM(INDEX($A815:$Z815,MATCH('Cross-tab'!$B$5,$A$1:$Z$1,0))&amp;""),""))</f>
        <v/>
      </c>
      <c r="AF815" s="41">
        <f>IF(TRIM('Cross-tab'!$B$7&amp;"")="","",IFERROR(TRIM(INDEX($A815:$Z815,MATCH('Cross-tab'!$B$7,$A$1:$Z$1,0))&amp;""),""))</f>
        <v/>
      </c>
      <c r="AG815" s="41">
        <f>IF(ISNUMBER(IFERROR(VALUE(IF(TRIM('Scale score'!$B$5&amp;"")="","",IFERROR(TRIM(INDEX($A815:$Z815,MATCH('Scale score'!$B$5,$A$1:$Z$1,0))&amp;""),""))),"")),IF(AND(IFERROR(VALUE(IF(TRIM('Scale score'!$B$5&amp;"")="","",IFERROR(TRIM(INDEX($A815:$Z815,MATCH('Scale score'!$B$5,$A$1:$Z$1,0))&amp;""),""))),"")&gt;='Scale score'!$B$6,IFERROR(VALUE(IF(TRIM('Scale score'!$B$5&amp;"")="","",IFERROR(TRIM(INDEX($A815:$Z815,MATCH('Scale score'!$B$5,$A$1:$Z$1,0))&amp;""),""))),"")&lt;='Scale score'!$B$7),IFERROR(VALUE(IF(TRIM('Scale score'!$B$5&amp;"")="","",IFERROR(TRIM(INDEX($A815:$Z815,MATCH('Scale score'!$B$5,$A$1:$Z$1,0))&amp;""),""))),""),""),"")</f>
        <v/>
      </c>
      <c r="AH815" s="41">
        <f>IF(TRIM('Open answers'!$B$5&amp;"")="","",IFERROR(TRIM(INDEX($A815:$Z815,MATCH('Open answers'!$B$5,$A$1:$Z$1,0))&amp;""),""))</f>
        <v/>
      </c>
      <c r="AI815" s="41">
        <f>IF(LEN(AH815)&gt;0,MAX($AI$1:AI814)+1,"")</f>
        <v/>
      </c>
    </row>
    <row r="816">
      <c r="AA816" s="40" t="n"/>
      <c r="AB816" s="41">
        <f>IF(TRIM('Counts'!$B$8&amp;"")="","",IFERROR(TRIM(INDEX($A816:$Z816,MATCH('Counts'!$B$8,$A$1:$Z$1,0))&amp;""),""))</f>
        <v/>
      </c>
      <c r="AC816" s="41">
        <f>IF(TRIM('Counts'!$B$26&amp;"")="","",IFERROR(TRIM(INDEX($A816:$Z816,MATCH('Counts'!$B$26,$A$1:$Z$1,0))&amp;""),""))</f>
        <v/>
      </c>
      <c r="AD816" s="41">
        <f>IF(TRIM('Counts'!$B$44&amp;"")="","",IFERROR(TRIM(INDEX($A816:$Z816,MATCH('Counts'!$B$44,$A$1:$Z$1,0))&amp;""),""))</f>
        <v/>
      </c>
      <c r="AE816" s="41">
        <f>IF(TRIM('Cross-tab'!$B$5&amp;"")="","",IFERROR(TRIM(INDEX($A816:$Z816,MATCH('Cross-tab'!$B$5,$A$1:$Z$1,0))&amp;""),""))</f>
        <v/>
      </c>
      <c r="AF816" s="41">
        <f>IF(TRIM('Cross-tab'!$B$7&amp;"")="","",IFERROR(TRIM(INDEX($A816:$Z816,MATCH('Cross-tab'!$B$7,$A$1:$Z$1,0))&amp;""),""))</f>
        <v/>
      </c>
      <c r="AG816" s="41">
        <f>IF(ISNUMBER(IFERROR(VALUE(IF(TRIM('Scale score'!$B$5&amp;"")="","",IFERROR(TRIM(INDEX($A816:$Z816,MATCH('Scale score'!$B$5,$A$1:$Z$1,0))&amp;""),""))),"")),IF(AND(IFERROR(VALUE(IF(TRIM('Scale score'!$B$5&amp;"")="","",IFERROR(TRIM(INDEX($A816:$Z816,MATCH('Scale score'!$B$5,$A$1:$Z$1,0))&amp;""),""))),"")&gt;='Scale score'!$B$6,IFERROR(VALUE(IF(TRIM('Scale score'!$B$5&amp;"")="","",IFERROR(TRIM(INDEX($A816:$Z816,MATCH('Scale score'!$B$5,$A$1:$Z$1,0))&amp;""),""))),"")&lt;='Scale score'!$B$7),IFERROR(VALUE(IF(TRIM('Scale score'!$B$5&amp;"")="","",IFERROR(TRIM(INDEX($A816:$Z816,MATCH('Scale score'!$B$5,$A$1:$Z$1,0))&amp;""),""))),""),""),"")</f>
        <v/>
      </c>
      <c r="AH816" s="41">
        <f>IF(TRIM('Open answers'!$B$5&amp;"")="","",IFERROR(TRIM(INDEX($A816:$Z816,MATCH('Open answers'!$B$5,$A$1:$Z$1,0))&amp;""),""))</f>
        <v/>
      </c>
      <c r="AI816" s="41">
        <f>IF(LEN(AH816)&gt;0,MAX($AI$1:AI815)+1,"")</f>
        <v/>
      </c>
    </row>
    <row r="817">
      <c r="AA817" s="40" t="n"/>
      <c r="AB817" s="41">
        <f>IF(TRIM('Counts'!$B$8&amp;"")="","",IFERROR(TRIM(INDEX($A817:$Z817,MATCH('Counts'!$B$8,$A$1:$Z$1,0))&amp;""),""))</f>
        <v/>
      </c>
      <c r="AC817" s="41">
        <f>IF(TRIM('Counts'!$B$26&amp;"")="","",IFERROR(TRIM(INDEX($A817:$Z817,MATCH('Counts'!$B$26,$A$1:$Z$1,0))&amp;""),""))</f>
        <v/>
      </c>
      <c r="AD817" s="41">
        <f>IF(TRIM('Counts'!$B$44&amp;"")="","",IFERROR(TRIM(INDEX($A817:$Z817,MATCH('Counts'!$B$44,$A$1:$Z$1,0))&amp;""),""))</f>
        <v/>
      </c>
      <c r="AE817" s="41">
        <f>IF(TRIM('Cross-tab'!$B$5&amp;"")="","",IFERROR(TRIM(INDEX($A817:$Z817,MATCH('Cross-tab'!$B$5,$A$1:$Z$1,0))&amp;""),""))</f>
        <v/>
      </c>
      <c r="AF817" s="41">
        <f>IF(TRIM('Cross-tab'!$B$7&amp;"")="","",IFERROR(TRIM(INDEX($A817:$Z817,MATCH('Cross-tab'!$B$7,$A$1:$Z$1,0))&amp;""),""))</f>
        <v/>
      </c>
      <c r="AG817" s="41">
        <f>IF(ISNUMBER(IFERROR(VALUE(IF(TRIM('Scale score'!$B$5&amp;"")="","",IFERROR(TRIM(INDEX($A817:$Z817,MATCH('Scale score'!$B$5,$A$1:$Z$1,0))&amp;""),""))),"")),IF(AND(IFERROR(VALUE(IF(TRIM('Scale score'!$B$5&amp;"")="","",IFERROR(TRIM(INDEX($A817:$Z817,MATCH('Scale score'!$B$5,$A$1:$Z$1,0))&amp;""),""))),"")&gt;='Scale score'!$B$6,IFERROR(VALUE(IF(TRIM('Scale score'!$B$5&amp;"")="","",IFERROR(TRIM(INDEX($A817:$Z817,MATCH('Scale score'!$B$5,$A$1:$Z$1,0))&amp;""),""))),"")&lt;='Scale score'!$B$7),IFERROR(VALUE(IF(TRIM('Scale score'!$B$5&amp;"")="","",IFERROR(TRIM(INDEX($A817:$Z817,MATCH('Scale score'!$B$5,$A$1:$Z$1,0))&amp;""),""))),""),""),"")</f>
        <v/>
      </c>
      <c r="AH817" s="41">
        <f>IF(TRIM('Open answers'!$B$5&amp;"")="","",IFERROR(TRIM(INDEX($A817:$Z817,MATCH('Open answers'!$B$5,$A$1:$Z$1,0))&amp;""),""))</f>
        <v/>
      </c>
      <c r="AI817" s="41">
        <f>IF(LEN(AH817)&gt;0,MAX($AI$1:AI816)+1,"")</f>
        <v/>
      </c>
    </row>
    <row r="818">
      <c r="AA818" s="40" t="n"/>
      <c r="AB818" s="41">
        <f>IF(TRIM('Counts'!$B$8&amp;"")="","",IFERROR(TRIM(INDEX($A818:$Z818,MATCH('Counts'!$B$8,$A$1:$Z$1,0))&amp;""),""))</f>
        <v/>
      </c>
      <c r="AC818" s="41">
        <f>IF(TRIM('Counts'!$B$26&amp;"")="","",IFERROR(TRIM(INDEX($A818:$Z818,MATCH('Counts'!$B$26,$A$1:$Z$1,0))&amp;""),""))</f>
        <v/>
      </c>
      <c r="AD818" s="41">
        <f>IF(TRIM('Counts'!$B$44&amp;"")="","",IFERROR(TRIM(INDEX($A818:$Z818,MATCH('Counts'!$B$44,$A$1:$Z$1,0))&amp;""),""))</f>
        <v/>
      </c>
      <c r="AE818" s="41">
        <f>IF(TRIM('Cross-tab'!$B$5&amp;"")="","",IFERROR(TRIM(INDEX($A818:$Z818,MATCH('Cross-tab'!$B$5,$A$1:$Z$1,0))&amp;""),""))</f>
        <v/>
      </c>
      <c r="AF818" s="41">
        <f>IF(TRIM('Cross-tab'!$B$7&amp;"")="","",IFERROR(TRIM(INDEX($A818:$Z818,MATCH('Cross-tab'!$B$7,$A$1:$Z$1,0))&amp;""),""))</f>
        <v/>
      </c>
      <c r="AG818" s="41">
        <f>IF(ISNUMBER(IFERROR(VALUE(IF(TRIM('Scale score'!$B$5&amp;"")="","",IFERROR(TRIM(INDEX($A818:$Z818,MATCH('Scale score'!$B$5,$A$1:$Z$1,0))&amp;""),""))),"")),IF(AND(IFERROR(VALUE(IF(TRIM('Scale score'!$B$5&amp;"")="","",IFERROR(TRIM(INDEX($A818:$Z818,MATCH('Scale score'!$B$5,$A$1:$Z$1,0))&amp;""),""))),"")&gt;='Scale score'!$B$6,IFERROR(VALUE(IF(TRIM('Scale score'!$B$5&amp;"")="","",IFERROR(TRIM(INDEX($A818:$Z818,MATCH('Scale score'!$B$5,$A$1:$Z$1,0))&amp;""),""))),"")&lt;='Scale score'!$B$7),IFERROR(VALUE(IF(TRIM('Scale score'!$B$5&amp;"")="","",IFERROR(TRIM(INDEX($A818:$Z818,MATCH('Scale score'!$B$5,$A$1:$Z$1,0))&amp;""),""))),""),""),"")</f>
        <v/>
      </c>
      <c r="AH818" s="41">
        <f>IF(TRIM('Open answers'!$B$5&amp;"")="","",IFERROR(TRIM(INDEX($A818:$Z818,MATCH('Open answers'!$B$5,$A$1:$Z$1,0))&amp;""),""))</f>
        <v/>
      </c>
      <c r="AI818" s="41">
        <f>IF(LEN(AH818)&gt;0,MAX($AI$1:AI817)+1,"")</f>
        <v/>
      </c>
    </row>
    <row r="819">
      <c r="AA819" s="40" t="n"/>
      <c r="AB819" s="41">
        <f>IF(TRIM('Counts'!$B$8&amp;"")="","",IFERROR(TRIM(INDEX($A819:$Z819,MATCH('Counts'!$B$8,$A$1:$Z$1,0))&amp;""),""))</f>
        <v/>
      </c>
      <c r="AC819" s="41">
        <f>IF(TRIM('Counts'!$B$26&amp;"")="","",IFERROR(TRIM(INDEX($A819:$Z819,MATCH('Counts'!$B$26,$A$1:$Z$1,0))&amp;""),""))</f>
        <v/>
      </c>
      <c r="AD819" s="41">
        <f>IF(TRIM('Counts'!$B$44&amp;"")="","",IFERROR(TRIM(INDEX($A819:$Z819,MATCH('Counts'!$B$44,$A$1:$Z$1,0))&amp;""),""))</f>
        <v/>
      </c>
      <c r="AE819" s="41">
        <f>IF(TRIM('Cross-tab'!$B$5&amp;"")="","",IFERROR(TRIM(INDEX($A819:$Z819,MATCH('Cross-tab'!$B$5,$A$1:$Z$1,0))&amp;""),""))</f>
        <v/>
      </c>
      <c r="AF819" s="41">
        <f>IF(TRIM('Cross-tab'!$B$7&amp;"")="","",IFERROR(TRIM(INDEX($A819:$Z819,MATCH('Cross-tab'!$B$7,$A$1:$Z$1,0))&amp;""),""))</f>
        <v/>
      </c>
      <c r="AG819" s="41">
        <f>IF(ISNUMBER(IFERROR(VALUE(IF(TRIM('Scale score'!$B$5&amp;"")="","",IFERROR(TRIM(INDEX($A819:$Z819,MATCH('Scale score'!$B$5,$A$1:$Z$1,0))&amp;""),""))),"")),IF(AND(IFERROR(VALUE(IF(TRIM('Scale score'!$B$5&amp;"")="","",IFERROR(TRIM(INDEX($A819:$Z819,MATCH('Scale score'!$B$5,$A$1:$Z$1,0))&amp;""),""))),"")&gt;='Scale score'!$B$6,IFERROR(VALUE(IF(TRIM('Scale score'!$B$5&amp;"")="","",IFERROR(TRIM(INDEX($A819:$Z819,MATCH('Scale score'!$B$5,$A$1:$Z$1,0))&amp;""),""))),"")&lt;='Scale score'!$B$7),IFERROR(VALUE(IF(TRIM('Scale score'!$B$5&amp;"")="","",IFERROR(TRIM(INDEX($A819:$Z819,MATCH('Scale score'!$B$5,$A$1:$Z$1,0))&amp;""),""))),""),""),"")</f>
        <v/>
      </c>
      <c r="AH819" s="41">
        <f>IF(TRIM('Open answers'!$B$5&amp;"")="","",IFERROR(TRIM(INDEX($A819:$Z819,MATCH('Open answers'!$B$5,$A$1:$Z$1,0))&amp;""),""))</f>
        <v/>
      </c>
      <c r="AI819" s="41">
        <f>IF(LEN(AH819)&gt;0,MAX($AI$1:AI818)+1,"")</f>
        <v/>
      </c>
    </row>
    <row r="820">
      <c r="AA820" s="40" t="n"/>
      <c r="AB820" s="41">
        <f>IF(TRIM('Counts'!$B$8&amp;"")="","",IFERROR(TRIM(INDEX($A820:$Z820,MATCH('Counts'!$B$8,$A$1:$Z$1,0))&amp;""),""))</f>
        <v/>
      </c>
      <c r="AC820" s="41">
        <f>IF(TRIM('Counts'!$B$26&amp;"")="","",IFERROR(TRIM(INDEX($A820:$Z820,MATCH('Counts'!$B$26,$A$1:$Z$1,0))&amp;""),""))</f>
        <v/>
      </c>
      <c r="AD820" s="41">
        <f>IF(TRIM('Counts'!$B$44&amp;"")="","",IFERROR(TRIM(INDEX($A820:$Z820,MATCH('Counts'!$B$44,$A$1:$Z$1,0))&amp;""),""))</f>
        <v/>
      </c>
      <c r="AE820" s="41">
        <f>IF(TRIM('Cross-tab'!$B$5&amp;"")="","",IFERROR(TRIM(INDEX($A820:$Z820,MATCH('Cross-tab'!$B$5,$A$1:$Z$1,0))&amp;""),""))</f>
        <v/>
      </c>
      <c r="AF820" s="41">
        <f>IF(TRIM('Cross-tab'!$B$7&amp;"")="","",IFERROR(TRIM(INDEX($A820:$Z820,MATCH('Cross-tab'!$B$7,$A$1:$Z$1,0))&amp;""),""))</f>
        <v/>
      </c>
      <c r="AG820" s="41">
        <f>IF(ISNUMBER(IFERROR(VALUE(IF(TRIM('Scale score'!$B$5&amp;"")="","",IFERROR(TRIM(INDEX($A820:$Z820,MATCH('Scale score'!$B$5,$A$1:$Z$1,0))&amp;""),""))),"")),IF(AND(IFERROR(VALUE(IF(TRIM('Scale score'!$B$5&amp;"")="","",IFERROR(TRIM(INDEX($A820:$Z820,MATCH('Scale score'!$B$5,$A$1:$Z$1,0))&amp;""),""))),"")&gt;='Scale score'!$B$6,IFERROR(VALUE(IF(TRIM('Scale score'!$B$5&amp;"")="","",IFERROR(TRIM(INDEX($A820:$Z820,MATCH('Scale score'!$B$5,$A$1:$Z$1,0))&amp;""),""))),"")&lt;='Scale score'!$B$7),IFERROR(VALUE(IF(TRIM('Scale score'!$B$5&amp;"")="","",IFERROR(TRIM(INDEX($A820:$Z820,MATCH('Scale score'!$B$5,$A$1:$Z$1,0))&amp;""),""))),""),""),"")</f>
        <v/>
      </c>
      <c r="AH820" s="41">
        <f>IF(TRIM('Open answers'!$B$5&amp;"")="","",IFERROR(TRIM(INDEX($A820:$Z820,MATCH('Open answers'!$B$5,$A$1:$Z$1,0))&amp;""),""))</f>
        <v/>
      </c>
      <c r="AI820" s="41">
        <f>IF(LEN(AH820)&gt;0,MAX($AI$1:AI819)+1,"")</f>
        <v/>
      </c>
    </row>
    <row r="821">
      <c r="AA821" s="40" t="n"/>
      <c r="AB821" s="41">
        <f>IF(TRIM('Counts'!$B$8&amp;"")="","",IFERROR(TRIM(INDEX($A821:$Z821,MATCH('Counts'!$B$8,$A$1:$Z$1,0))&amp;""),""))</f>
        <v/>
      </c>
      <c r="AC821" s="41">
        <f>IF(TRIM('Counts'!$B$26&amp;"")="","",IFERROR(TRIM(INDEX($A821:$Z821,MATCH('Counts'!$B$26,$A$1:$Z$1,0))&amp;""),""))</f>
        <v/>
      </c>
      <c r="AD821" s="41">
        <f>IF(TRIM('Counts'!$B$44&amp;"")="","",IFERROR(TRIM(INDEX($A821:$Z821,MATCH('Counts'!$B$44,$A$1:$Z$1,0))&amp;""),""))</f>
        <v/>
      </c>
      <c r="AE821" s="41">
        <f>IF(TRIM('Cross-tab'!$B$5&amp;"")="","",IFERROR(TRIM(INDEX($A821:$Z821,MATCH('Cross-tab'!$B$5,$A$1:$Z$1,0))&amp;""),""))</f>
        <v/>
      </c>
      <c r="AF821" s="41">
        <f>IF(TRIM('Cross-tab'!$B$7&amp;"")="","",IFERROR(TRIM(INDEX($A821:$Z821,MATCH('Cross-tab'!$B$7,$A$1:$Z$1,0))&amp;""),""))</f>
        <v/>
      </c>
      <c r="AG821" s="41">
        <f>IF(ISNUMBER(IFERROR(VALUE(IF(TRIM('Scale score'!$B$5&amp;"")="","",IFERROR(TRIM(INDEX($A821:$Z821,MATCH('Scale score'!$B$5,$A$1:$Z$1,0))&amp;""),""))),"")),IF(AND(IFERROR(VALUE(IF(TRIM('Scale score'!$B$5&amp;"")="","",IFERROR(TRIM(INDEX($A821:$Z821,MATCH('Scale score'!$B$5,$A$1:$Z$1,0))&amp;""),""))),"")&gt;='Scale score'!$B$6,IFERROR(VALUE(IF(TRIM('Scale score'!$B$5&amp;"")="","",IFERROR(TRIM(INDEX($A821:$Z821,MATCH('Scale score'!$B$5,$A$1:$Z$1,0))&amp;""),""))),"")&lt;='Scale score'!$B$7),IFERROR(VALUE(IF(TRIM('Scale score'!$B$5&amp;"")="","",IFERROR(TRIM(INDEX($A821:$Z821,MATCH('Scale score'!$B$5,$A$1:$Z$1,0))&amp;""),""))),""),""),"")</f>
        <v/>
      </c>
      <c r="AH821" s="41">
        <f>IF(TRIM('Open answers'!$B$5&amp;"")="","",IFERROR(TRIM(INDEX($A821:$Z821,MATCH('Open answers'!$B$5,$A$1:$Z$1,0))&amp;""),""))</f>
        <v/>
      </c>
      <c r="AI821" s="41">
        <f>IF(LEN(AH821)&gt;0,MAX($AI$1:AI820)+1,"")</f>
        <v/>
      </c>
    </row>
    <row r="822">
      <c r="AA822" s="40" t="n"/>
      <c r="AB822" s="41">
        <f>IF(TRIM('Counts'!$B$8&amp;"")="","",IFERROR(TRIM(INDEX($A822:$Z822,MATCH('Counts'!$B$8,$A$1:$Z$1,0))&amp;""),""))</f>
        <v/>
      </c>
      <c r="AC822" s="41">
        <f>IF(TRIM('Counts'!$B$26&amp;"")="","",IFERROR(TRIM(INDEX($A822:$Z822,MATCH('Counts'!$B$26,$A$1:$Z$1,0))&amp;""),""))</f>
        <v/>
      </c>
      <c r="AD822" s="41">
        <f>IF(TRIM('Counts'!$B$44&amp;"")="","",IFERROR(TRIM(INDEX($A822:$Z822,MATCH('Counts'!$B$44,$A$1:$Z$1,0))&amp;""),""))</f>
        <v/>
      </c>
      <c r="AE822" s="41">
        <f>IF(TRIM('Cross-tab'!$B$5&amp;"")="","",IFERROR(TRIM(INDEX($A822:$Z822,MATCH('Cross-tab'!$B$5,$A$1:$Z$1,0))&amp;""),""))</f>
        <v/>
      </c>
      <c r="AF822" s="41">
        <f>IF(TRIM('Cross-tab'!$B$7&amp;"")="","",IFERROR(TRIM(INDEX($A822:$Z822,MATCH('Cross-tab'!$B$7,$A$1:$Z$1,0))&amp;""),""))</f>
        <v/>
      </c>
      <c r="AG822" s="41">
        <f>IF(ISNUMBER(IFERROR(VALUE(IF(TRIM('Scale score'!$B$5&amp;"")="","",IFERROR(TRIM(INDEX($A822:$Z822,MATCH('Scale score'!$B$5,$A$1:$Z$1,0))&amp;""),""))),"")),IF(AND(IFERROR(VALUE(IF(TRIM('Scale score'!$B$5&amp;"")="","",IFERROR(TRIM(INDEX($A822:$Z822,MATCH('Scale score'!$B$5,$A$1:$Z$1,0))&amp;""),""))),"")&gt;='Scale score'!$B$6,IFERROR(VALUE(IF(TRIM('Scale score'!$B$5&amp;"")="","",IFERROR(TRIM(INDEX($A822:$Z822,MATCH('Scale score'!$B$5,$A$1:$Z$1,0))&amp;""),""))),"")&lt;='Scale score'!$B$7),IFERROR(VALUE(IF(TRIM('Scale score'!$B$5&amp;"")="","",IFERROR(TRIM(INDEX($A822:$Z822,MATCH('Scale score'!$B$5,$A$1:$Z$1,0))&amp;""),""))),""),""),"")</f>
        <v/>
      </c>
      <c r="AH822" s="41">
        <f>IF(TRIM('Open answers'!$B$5&amp;"")="","",IFERROR(TRIM(INDEX($A822:$Z822,MATCH('Open answers'!$B$5,$A$1:$Z$1,0))&amp;""),""))</f>
        <v/>
      </c>
      <c r="AI822" s="41">
        <f>IF(LEN(AH822)&gt;0,MAX($AI$1:AI821)+1,"")</f>
        <v/>
      </c>
    </row>
    <row r="823">
      <c r="AA823" s="40" t="n"/>
      <c r="AB823" s="41">
        <f>IF(TRIM('Counts'!$B$8&amp;"")="","",IFERROR(TRIM(INDEX($A823:$Z823,MATCH('Counts'!$B$8,$A$1:$Z$1,0))&amp;""),""))</f>
        <v/>
      </c>
      <c r="AC823" s="41">
        <f>IF(TRIM('Counts'!$B$26&amp;"")="","",IFERROR(TRIM(INDEX($A823:$Z823,MATCH('Counts'!$B$26,$A$1:$Z$1,0))&amp;""),""))</f>
        <v/>
      </c>
      <c r="AD823" s="41">
        <f>IF(TRIM('Counts'!$B$44&amp;"")="","",IFERROR(TRIM(INDEX($A823:$Z823,MATCH('Counts'!$B$44,$A$1:$Z$1,0))&amp;""),""))</f>
        <v/>
      </c>
      <c r="AE823" s="41">
        <f>IF(TRIM('Cross-tab'!$B$5&amp;"")="","",IFERROR(TRIM(INDEX($A823:$Z823,MATCH('Cross-tab'!$B$5,$A$1:$Z$1,0))&amp;""),""))</f>
        <v/>
      </c>
      <c r="AF823" s="41">
        <f>IF(TRIM('Cross-tab'!$B$7&amp;"")="","",IFERROR(TRIM(INDEX($A823:$Z823,MATCH('Cross-tab'!$B$7,$A$1:$Z$1,0))&amp;""),""))</f>
        <v/>
      </c>
      <c r="AG823" s="41">
        <f>IF(ISNUMBER(IFERROR(VALUE(IF(TRIM('Scale score'!$B$5&amp;"")="","",IFERROR(TRIM(INDEX($A823:$Z823,MATCH('Scale score'!$B$5,$A$1:$Z$1,0))&amp;""),""))),"")),IF(AND(IFERROR(VALUE(IF(TRIM('Scale score'!$B$5&amp;"")="","",IFERROR(TRIM(INDEX($A823:$Z823,MATCH('Scale score'!$B$5,$A$1:$Z$1,0))&amp;""),""))),"")&gt;='Scale score'!$B$6,IFERROR(VALUE(IF(TRIM('Scale score'!$B$5&amp;"")="","",IFERROR(TRIM(INDEX($A823:$Z823,MATCH('Scale score'!$B$5,$A$1:$Z$1,0))&amp;""),""))),"")&lt;='Scale score'!$B$7),IFERROR(VALUE(IF(TRIM('Scale score'!$B$5&amp;"")="","",IFERROR(TRIM(INDEX($A823:$Z823,MATCH('Scale score'!$B$5,$A$1:$Z$1,0))&amp;""),""))),""),""),"")</f>
        <v/>
      </c>
      <c r="AH823" s="41">
        <f>IF(TRIM('Open answers'!$B$5&amp;"")="","",IFERROR(TRIM(INDEX($A823:$Z823,MATCH('Open answers'!$B$5,$A$1:$Z$1,0))&amp;""),""))</f>
        <v/>
      </c>
      <c r="AI823" s="41">
        <f>IF(LEN(AH823)&gt;0,MAX($AI$1:AI822)+1,"")</f>
        <v/>
      </c>
    </row>
    <row r="824">
      <c r="AA824" s="40" t="n"/>
      <c r="AB824" s="41">
        <f>IF(TRIM('Counts'!$B$8&amp;"")="","",IFERROR(TRIM(INDEX($A824:$Z824,MATCH('Counts'!$B$8,$A$1:$Z$1,0))&amp;""),""))</f>
        <v/>
      </c>
      <c r="AC824" s="41">
        <f>IF(TRIM('Counts'!$B$26&amp;"")="","",IFERROR(TRIM(INDEX($A824:$Z824,MATCH('Counts'!$B$26,$A$1:$Z$1,0))&amp;""),""))</f>
        <v/>
      </c>
      <c r="AD824" s="41">
        <f>IF(TRIM('Counts'!$B$44&amp;"")="","",IFERROR(TRIM(INDEX($A824:$Z824,MATCH('Counts'!$B$44,$A$1:$Z$1,0))&amp;""),""))</f>
        <v/>
      </c>
      <c r="AE824" s="41">
        <f>IF(TRIM('Cross-tab'!$B$5&amp;"")="","",IFERROR(TRIM(INDEX($A824:$Z824,MATCH('Cross-tab'!$B$5,$A$1:$Z$1,0))&amp;""),""))</f>
        <v/>
      </c>
      <c r="AF824" s="41">
        <f>IF(TRIM('Cross-tab'!$B$7&amp;"")="","",IFERROR(TRIM(INDEX($A824:$Z824,MATCH('Cross-tab'!$B$7,$A$1:$Z$1,0))&amp;""),""))</f>
        <v/>
      </c>
      <c r="AG824" s="41">
        <f>IF(ISNUMBER(IFERROR(VALUE(IF(TRIM('Scale score'!$B$5&amp;"")="","",IFERROR(TRIM(INDEX($A824:$Z824,MATCH('Scale score'!$B$5,$A$1:$Z$1,0))&amp;""),""))),"")),IF(AND(IFERROR(VALUE(IF(TRIM('Scale score'!$B$5&amp;"")="","",IFERROR(TRIM(INDEX($A824:$Z824,MATCH('Scale score'!$B$5,$A$1:$Z$1,0))&amp;""),""))),"")&gt;='Scale score'!$B$6,IFERROR(VALUE(IF(TRIM('Scale score'!$B$5&amp;"")="","",IFERROR(TRIM(INDEX($A824:$Z824,MATCH('Scale score'!$B$5,$A$1:$Z$1,0))&amp;""),""))),"")&lt;='Scale score'!$B$7),IFERROR(VALUE(IF(TRIM('Scale score'!$B$5&amp;"")="","",IFERROR(TRIM(INDEX($A824:$Z824,MATCH('Scale score'!$B$5,$A$1:$Z$1,0))&amp;""),""))),""),""),"")</f>
        <v/>
      </c>
      <c r="AH824" s="41">
        <f>IF(TRIM('Open answers'!$B$5&amp;"")="","",IFERROR(TRIM(INDEX($A824:$Z824,MATCH('Open answers'!$B$5,$A$1:$Z$1,0))&amp;""),""))</f>
        <v/>
      </c>
      <c r="AI824" s="41">
        <f>IF(LEN(AH824)&gt;0,MAX($AI$1:AI823)+1,"")</f>
        <v/>
      </c>
    </row>
    <row r="825">
      <c r="AA825" s="40" t="n"/>
      <c r="AB825" s="41">
        <f>IF(TRIM('Counts'!$B$8&amp;"")="","",IFERROR(TRIM(INDEX($A825:$Z825,MATCH('Counts'!$B$8,$A$1:$Z$1,0))&amp;""),""))</f>
        <v/>
      </c>
      <c r="AC825" s="41">
        <f>IF(TRIM('Counts'!$B$26&amp;"")="","",IFERROR(TRIM(INDEX($A825:$Z825,MATCH('Counts'!$B$26,$A$1:$Z$1,0))&amp;""),""))</f>
        <v/>
      </c>
      <c r="AD825" s="41">
        <f>IF(TRIM('Counts'!$B$44&amp;"")="","",IFERROR(TRIM(INDEX($A825:$Z825,MATCH('Counts'!$B$44,$A$1:$Z$1,0))&amp;""),""))</f>
        <v/>
      </c>
      <c r="AE825" s="41">
        <f>IF(TRIM('Cross-tab'!$B$5&amp;"")="","",IFERROR(TRIM(INDEX($A825:$Z825,MATCH('Cross-tab'!$B$5,$A$1:$Z$1,0))&amp;""),""))</f>
        <v/>
      </c>
      <c r="AF825" s="41">
        <f>IF(TRIM('Cross-tab'!$B$7&amp;"")="","",IFERROR(TRIM(INDEX($A825:$Z825,MATCH('Cross-tab'!$B$7,$A$1:$Z$1,0))&amp;""),""))</f>
        <v/>
      </c>
      <c r="AG825" s="41">
        <f>IF(ISNUMBER(IFERROR(VALUE(IF(TRIM('Scale score'!$B$5&amp;"")="","",IFERROR(TRIM(INDEX($A825:$Z825,MATCH('Scale score'!$B$5,$A$1:$Z$1,0))&amp;""),""))),"")),IF(AND(IFERROR(VALUE(IF(TRIM('Scale score'!$B$5&amp;"")="","",IFERROR(TRIM(INDEX($A825:$Z825,MATCH('Scale score'!$B$5,$A$1:$Z$1,0))&amp;""),""))),"")&gt;='Scale score'!$B$6,IFERROR(VALUE(IF(TRIM('Scale score'!$B$5&amp;"")="","",IFERROR(TRIM(INDEX($A825:$Z825,MATCH('Scale score'!$B$5,$A$1:$Z$1,0))&amp;""),""))),"")&lt;='Scale score'!$B$7),IFERROR(VALUE(IF(TRIM('Scale score'!$B$5&amp;"")="","",IFERROR(TRIM(INDEX($A825:$Z825,MATCH('Scale score'!$B$5,$A$1:$Z$1,0))&amp;""),""))),""),""),"")</f>
        <v/>
      </c>
      <c r="AH825" s="41">
        <f>IF(TRIM('Open answers'!$B$5&amp;"")="","",IFERROR(TRIM(INDEX($A825:$Z825,MATCH('Open answers'!$B$5,$A$1:$Z$1,0))&amp;""),""))</f>
        <v/>
      </c>
      <c r="AI825" s="41">
        <f>IF(LEN(AH825)&gt;0,MAX($AI$1:AI824)+1,"")</f>
        <v/>
      </c>
    </row>
    <row r="826">
      <c r="AA826" s="40" t="n"/>
      <c r="AB826" s="41">
        <f>IF(TRIM('Counts'!$B$8&amp;"")="","",IFERROR(TRIM(INDEX($A826:$Z826,MATCH('Counts'!$B$8,$A$1:$Z$1,0))&amp;""),""))</f>
        <v/>
      </c>
      <c r="AC826" s="41">
        <f>IF(TRIM('Counts'!$B$26&amp;"")="","",IFERROR(TRIM(INDEX($A826:$Z826,MATCH('Counts'!$B$26,$A$1:$Z$1,0))&amp;""),""))</f>
        <v/>
      </c>
      <c r="AD826" s="41">
        <f>IF(TRIM('Counts'!$B$44&amp;"")="","",IFERROR(TRIM(INDEX($A826:$Z826,MATCH('Counts'!$B$44,$A$1:$Z$1,0))&amp;""),""))</f>
        <v/>
      </c>
      <c r="AE826" s="41">
        <f>IF(TRIM('Cross-tab'!$B$5&amp;"")="","",IFERROR(TRIM(INDEX($A826:$Z826,MATCH('Cross-tab'!$B$5,$A$1:$Z$1,0))&amp;""),""))</f>
        <v/>
      </c>
      <c r="AF826" s="41">
        <f>IF(TRIM('Cross-tab'!$B$7&amp;"")="","",IFERROR(TRIM(INDEX($A826:$Z826,MATCH('Cross-tab'!$B$7,$A$1:$Z$1,0))&amp;""),""))</f>
        <v/>
      </c>
      <c r="AG826" s="41">
        <f>IF(ISNUMBER(IFERROR(VALUE(IF(TRIM('Scale score'!$B$5&amp;"")="","",IFERROR(TRIM(INDEX($A826:$Z826,MATCH('Scale score'!$B$5,$A$1:$Z$1,0))&amp;""),""))),"")),IF(AND(IFERROR(VALUE(IF(TRIM('Scale score'!$B$5&amp;"")="","",IFERROR(TRIM(INDEX($A826:$Z826,MATCH('Scale score'!$B$5,$A$1:$Z$1,0))&amp;""),""))),"")&gt;='Scale score'!$B$6,IFERROR(VALUE(IF(TRIM('Scale score'!$B$5&amp;"")="","",IFERROR(TRIM(INDEX($A826:$Z826,MATCH('Scale score'!$B$5,$A$1:$Z$1,0))&amp;""),""))),"")&lt;='Scale score'!$B$7),IFERROR(VALUE(IF(TRIM('Scale score'!$B$5&amp;"")="","",IFERROR(TRIM(INDEX($A826:$Z826,MATCH('Scale score'!$B$5,$A$1:$Z$1,0))&amp;""),""))),""),""),"")</f>
        <v/>
      </c>
      <c r="AH826" s="41">
        <f>IF(TRIM('Open answers'!$B$5&amp;"")="","",IFERROR(TRIM(INDEX($A826:$Z826,MATCH('Open answers'!$B$5,$A$1:$Z$1,0))&amp;""),""))</f>
        <v/>
      </c>
      <c r="AI826" s="41">
        <f>IF(LEN(AH826)&gt;0,MAX($AI$1:AI825)+1,"")</f>
        <v/>
      </c>
    </row>
    <row r="827">
      <c r="AA827" s="40" t="n"/>
      <c r="AB827" s="41">
        <f>IF(TRIM('Counts'!$B$8&amp;"")="","",IFERROR(TRIM(INDEX($A827:$Z827,MATCH('Counts'!$B$8,$A$1:$Z$1,0))&amp;""),""))</f>
        <v/>
      </c>
      <c r="AC827" s="41">
        <f>IF(TRIM('Counts'!$B$26&amp;"")="","",IFERROR(TRIM(INDEX($A827:$Z827,MATCH('Counts'!$B$26,$A$1:$Z$1,0))&amp;""),""))</f>
        <v/>
      </c>
      <c r="AD827" s="41">
        <f>IF(TRIM('Counts'!$B$44&amp;"")="","",IFERROR(TRIM(INDEX($A827:$Z827,MATCH('Counts'!$B$44,$A$1:$Z$1,0))&amp;""),""))</f>
        <v/>
      </c>
      <c r="AE827" s="41">
        <f>IF(TRIM('Cross-tab'!$B$5&amp;"")="","",IFERROR(TRIM(INDEX($A827:$Z827,MATCH('Cross-tab'!$B$5,$A$1:$Z$1,0))&amp;""),""))</f>
        <v/>
      </c>
      <c r="AF827" s="41">
        <f>IF(TRIM('Cross-tab'!$B$7&amp;"")="","",IFERROR(TRIM(INDEX($A827:$Z827,MATCH('Cross-tab'!$B$7,$A$1:$Z$1,0))&amp;""),""))</f>
        <v/>
      </c>
      <c r="AG827" s="41">
        <f>IF(ISNUMBER(IFERROR(VALUE(IF(TRIM('Scale score'!$B$5&amp;"")="","",IFERROR(TRIM(INDEX($A827:$Z827,MATCH('Scale score'!$B$5,$A$1:$Z$1,0))&amp;""),""))),"")),IF(AND(IFERROR(VALUE(IF(TRIM('Scale score'!$B$5&amp;"")="","",IFERROR(TRIM(INDEX($A827:$Z827,MATCH('Scale score'!$B$5,$A$1:$Z$1,0))&amp;""),""))),"")&gt;='Scale score'!$B$6,IFERROR(VALUE(IF(TRIM('Scale score'!$B$5&amp;"")="","",IFERROR(TRIM(INDEX($A827:$Z827,MATCH('Scale score'!$B$5,$A$1:$Z$1,0))&amp;""),""))),"")&lt;='Scale score'!$B$7),IFERROR(VALUE(IF(TRIM('Scale score'!$B$5&amp;"")="","",IFERROR(TRIM(INDEX($A827:$Z827,MATCH('Scale score'!$B$5,$A$1:$Z$1,0))&amp;""),""))),""),""),"")</f>
        <v/>
      </c>
      <c r="AH827" s="41">
        <f>IF(TRIM('Open answers'!$B$5&amp;"")="","",IFERROR(TRIM(INDEX($A827:$Z827,MATCH('Open answers'!$B$5,$A$1:$Z$1,0))&amp;""),""))</f>
        <v/>
      </c>
      <c r="AI827" s="41">
        <f>IF(LEN(AH827)&gt;0,MAX($AI$1:AI826)+1,"")</f>
        <v/>
      </c>
    </row>
    <row r="828">
      <c r="AA828" s="40" t="n"/>
      <c r="AB828" s="41">
        <f>IF(TRIM('Counts'!$B$8&amp;"")="","",IFERROR(TRIM(INDEX($A828:$Z828,MATCH('Counts'!$B$8,$A$1:$Z$1,0))&amp;""),""))</f>
        <v/>
      </c>
      <c r="AC828" s="41">
        <f>IF(TRIM('Counts'!$B$26&amp;"")="","",IFERROR(TRIM(INDEX($A828:$Z828,MATCH('Counts'!$B$26,$A$1:$Z$1,0))&amp;""),""))</f>
        <v/>
      </c>
      <c r="AD828" s="41">
        <f>IF(TRIM('Counts'!$B$44&amp;"")="","",IFERROR(TRIM(INDEX($A828:$Z828,MATCH('Counts'!$B$44,$A$1:$Z$1,0))&amp;""),""))</f>
        <v/>
      </c>
      <c r="AE828" s="41">
        <f>IF(TRIM('Cross-tab'!$B$5&amp;"")="","",IFERROR(TRIM(INDEX($A828:$Z828,MATCH('Cross-tab'!$B$5,$A$1:$Z$1,0))&amp;""),""))</f>
        <v/>
      </c>
      <c r="AF828" s="41">
        <f>IF(TRIM('Cross-tab'!$B$7&amp;"")="","",IFERROR(TRIM(INDEX($A828:$Z828,MATCH('Cross-tab'!$B$7,$A$1:$Z$1,0))&amp;""),""))</f>
        <v/>
      </c>
      <c r="AG828" s="41">
        <f>IF(ISNUMBER(IFERROR(VALUE(IF(TRIM('Scale score'!$B$5&amp;"")="","",IFERROR(TRIM(INDEX($A828:$Z828,MATCH('Scale score'!$B$5,$A$1:$Z$1,0))&amp;""),""))),"")),IF(AND(IFERROR(VALUE(IF(TRIM('Scale score'!$B$5&amp;"")="","",IFERROR(TRIM(INDEX($A828:$Z828,MATCH('Scale score'!$B$5,$A$1:$Z$1,0))&amp;""),""))),"")&gt;='Scale score'!$B$6,IFERROR(VALUE(IF(TRIM('Scale score'!$B$5&amp;"")="","",IFERROR(TRIM(INDEX($A828:$Z828,MATCH('Scale score'!$B$5,$A$1:$Z$1,0))&amp;""),""))),"")&lt;='Scale score'!$B$7),IFERROR(VALUE(IF(TRIM('Scale score'!$B$5&amp;"")="","",IFERROR(TRIM(INDEX($A828:$Z828,MATCH('Scale score'!$B$5,$A$1:$Z$1,0))&amp;""),""))),""),""),"")</f>
        <v/>
      </c>
      <c r="AH828" s="41">
        <f>IF(TRIM('Open answers'!$B$5&amp;"")="","",IFERROR(TRIM(INDEX($A828:$Z828,MATCH('Open answers'!$B$5,$A$1:$Z$1,0))&amp;""),""))</f>
        <v/>
      </c>
      <c r="AI828" s="41">
        <f>IF(LEN(AH828)&gt;0,MAX($AI$1:AI827)+1,"")</f>
        <v/>
      </c>
    </row>
    <row r="829">
      <c r="AA829" s="40" t="n"/>
      <c r="AB829" s="41">
        <f>IF(TRIM('Counts'!$B$8&amp;"")="","",IFERROR(TRIM(INDEX($A829:$Z829,MATCH('Counts'!$B$8,$A$1:$Z$1,0))&amp;""),""))</f>
        <v/>
      </c>
      <c r="AC829" s="41">
        <f>IF(TRIM('Counts'!$B$26&amp;"")="","",IFERROR(TRIM(INDEX($A829:$Z829,MATCH('Counts'!$B$26,$A$1:$Z$1,0))&amp;""),""))</f>
        <v/>
      </c>
      <c r="AD829" s="41">
        <f>IF(TRIM('Counts'!$B$44&amp;"")="","",IFERROR(TRIM(INDEX($A829:$Z829,MATCH('Counts'!$B$44,$A$1:$Z$1,0))&amp;""),""))</f>
        <v/>
      </c>
      <c r="AE829" s="41">
        <f>IF(TRIM('Cross-tab'!$B$5&amp;"")="","",IFERROR(TRIM(INDEX($A829:$Z829,MATCH('Cross-tab'!$B$5,$A$1:$Z$1,0))&amp;""),""))</f>
        <v/>
      </c>
      <c r="AF829" s="41">
        <f>IF(TRIM('Cross-tab'!$B$7&amp;"")="","",IFERROR(TRIM(INDEX($A829:$Z829,MATCH('Cross-tab'!$B$7,$A$1:$Z$1,0))&amp;""),""))</f>
        <v/>
      </c>
      <c r="AG829" s="41">
        <f>IF(ISNUMBER(IFERROR(VALUE(IF(TRIM('Scale score'!$B$5&amp;"")="","",IFERROR(TRIM(INDEX($A829:$Z829,MATCH('Scale score'!$B$5,$A$1:$Z$1,0))&amp;""),""))),"")),IF(AND(IFERROR(VALUE(IF(TRIM('Scale score'!$B$5&amp;"")="","",IFERROR(TRIM(INDEX($A829:$Z829,MATCH('Scale score'!$B$5,$A$1:$Z$1,0))&amp;""),""))),"")&gt;='Scale score'!$B$6,IFERROR(VALUE(IF(TRIM('Scale score'!$B$5&amp;"")="","",IFERROR(TRIM(INDEX($A829:$Z829,MATCH('Scale score'!$B$5,$A$1:$Z$1,0))&amp;""),""))),"")&lt;='Scale score'!$B$7),IFERROR(VALUE(IF(TRIM('Scale score'!$B$5&amp;"")="","",IFERROR(TRIM(INDEX($A829:$Z829,MATCH('Scale score'!$B$5,$A$1:$Z$1,0))&amp;""),""))),""),""),"")</f>
        <v/>
      </c>
      <c r="AH829" s="41">
        <f>IF(TRIM('Open answers'!$B$5&amp;"")="","",IFERROR(TRIM(INDEX($A829:$Z829,MATCH('Open answers'!$B$5,$A$1:$Z$1,0))&amp;""),""))</f>
        <v/>
      </c>
      <c r="AI829" s="41">
        <f>IF(LEN(AH829)&gt;0,MAX($AI$1:AI828)+1,"")</f>
        <v/>
      </c>
    </row>
    <row r="830">
      <c r="AA830" s="40" t="n"/>
      <c r="AB830" s="41">
        <f>IF(TRIM('Counts'!$B$8&amp;"")="","",IFERROR(TRIM(INDEX($A830:$Z830,MATCH('Counts'!$B$8,$A$1:$Z$1,0))&amp;""),""))</f>
        <v/>
      </c>
      <c r="AC830" s="41">
        <f>IF(TRIM('Counts'!$B$26&amp;"")="","",IFERROR(TRIM(INDEX($A830:$Z830,MATCH('Counts'!$B$26,$A$1:$Z$1,0))&amp;""),""))</f>
        <v/>
      </c>
      <c r="AD830" s="41">
        <f>IF(TRIM('Counts'!$B$44&amp;"")="","",IFERROR(TRIM(INDEX($A830:$Z830,MATCH('Counts'!$B$44,$A$1:$Z$1,0))&amp;""),""))</f>
        <v/>
      </c>
      <c r="AE830" s="41">
        <f>IF(TRIM('Cross-tab'!$B$5&amp;"")="","",IFERROR(TRIM(INDEX($A830:$Z830,MATCH('Cross-tab'!$B$5,$A$1:$Z$1,0))&amp;""),""))</f>
        <v/>
      </c>
      <c r="AF830" s="41">
        <f>IF(TRIM('Cross-tab'!$B$7&amp;"")="","",IFERROR(TRIM(INDEX($A830:$Z830,MATCH('Cross-tab'!$B$7,$A$1:$Z$1,0))&amp;""),""))</f>
        <v/>
      </c>
      <c r="AG830" s="41">
        <f>IF(ISNUMBER(IFERROR(VALUE(IF(TRIM('Scale score'!$B$5&amp;"")="","",IFERROR(TRIM(INDEX($A830:$Z830,MATCH('Scale score'!$B$5,$A$1:$Z$1,0))&amp;""),""))),"")),IF(AND(IFERROR(VALUE(IF(TRIM('Scale score'!$B$5&amp;"")="","",IFERROR(TRIM(INDEX($A830:$Z830,MATCH('Scale score'!$B$5,$A$1:$Z$1,0))&amp;""),""))),"")&gt;='Scale score'!$B$6,IFERROR(VALUE(IF(TRIM('Scale score'!$B$5&amp;"")="","",IFERROR(TRIM(INDEX($A830:$Z830,MATCH('Scale score'!$B$5,$A$1:$Z$1,0))&amp;""),""))),"")&lt;='Scale score'!$B$7),IFERROR(VALUE(IF(TRIM('Scale score'!$B$5&amp;"")="","",IFERROR(TRIM(INDEX($A830:$Z830,MATCH('Scale score'!$B$5,$A$1:$Z$1,0))&amp;""),""))),""),""),"")</f>
        <v/>
      </c>
      <c r="AH830" s="41">
        <f>IF(TRIM('Open answers'!$B$5&amp;"")="","",IFERROR(TRIM(INDEX($A830:$Z830,MATCH('Open answers'!$B$5,$A$1:$Z$1,0))&amp;""),""))</f>
        <v/>
      </c>
      <c r="AI830" s="41">
        <f>IF(LEN(AH830)&gt;0,MAX($AI$1:AI829)+1,"")</f>
        <v/>
      </c>
    </row>
    <row r="831">
      <c r="AA831" s="40" t="n"/>
      <c r="AB831" s="41">
        <f>IF(TRIM('Counts'!$B$8&amp;"")="","",IFERROR(TRIM(INDEX($A831:$Z831,MATCH('Counts'!$B$8,$A$1:$Z$1,0))&amp;""),""))</f>
        <v/>
      </c>
      <c r="AC831" s="41">
        <f>IF(TRIM('Counts'!$B$26&amp;"")="","",IFERROR(TRIM(INDEX($A831:$Z831,MATCH('Counts'!$B$26,$A$1:$Z$1,0))&amp;""),""))</f>
        <v/>
      </c>
      <c r="AD831" s="41">
        <f>IF(TRIM('Counts'!$B$44&amp;"")="","",IFERROR(TRIM(INDEX($A831:$Z831,MATCH('Counts'!$B$44,$A$1:$Z$1,0))&amp;""),""))</f>
        <v/>
      </c>
      <c r="AE831" s="41">
        <f>IF(TRIM('Cross-tab'!$B$5&amp;"")="","",IFERROR(TRIM(INDEX($A831:$Z831,MATCH('Cross-tab'!$B$5,$A$1:$Z$1,0))&amp;""),""))</f>
        <v/>
      </c>
      <c r="AF831" s="41">
        <f>IF(TRIM('Cross-tab'!$B$7&amp;"")="","",IFERROR(TRIM(INDEX($A831:$Z831,MATCH('Cross-tab'!$B$7,$A$1:$Z$1,0))&amp;""),""))</f>
        <v/>
      </c>
      <c r="AG831" s="41">
        <f>IF(ISNUMBER(IFERROR(VALUE(IF(TRIM('Scale score'!$B$5&amp;"")="","",IFERROR(TRIM(INDEX($A831:$Z831,MATCH('Scale score'!$B$5,$A$1:$Z$1,0))&amp;""),""))),"")),IF(AND(IFERROR(VALUE(IF(TRIM('Scale score'!$B$5&amp;"")="","",IFERROR(TRIM(INDEX($A831:$Z831,MATCH('Scale score'!$B$5,$A$1:$Z$1,0))&amp;""),""))),"")&gt;='Scale score'!$B$6,IFERROR(VALUE(IF(TRIM('Scale score'!$B$5&amp;"")="","",IFERROR(TRIM(INDEX($A831:$Z831,MATCH('Scale score'!$B$5,$A$1:$Z$1,0))&amp;""),""))),"")&lt;='Scale score'!$B$7),IFERROR(VALUE(IF(TRIM('Scale score'!$B$5&amp;"")="","",IFERROR(TRIM(INDEX($A831:$Z831,MATCH('Scale score'!$B$5,$A$1:$Z$1,0))&amp;""),""))),""),""),"")</f>
        <v/>
      </c>
      <c r="AH831" s="41">
        <f>IF(TRIM('Open answers'!$B$5&amp;"")="","",IFERROR(TRIM(INDEX($A831:$Z831,MATCH('Open answers'!$B$5,$A$1:$Z$1,0))&amp;""),""))</f>
        <v/>
      </c>
      <c r="AI831" s="41">
        <f>IF(LEN(AH831)&gt;0,MAX($AI$1:AI830)+1,"")</f>
        <v/>
      </c>
    </row>
    <row r="832">
      <c r="AA832" s="40" t="n"/>
      <c r="AB832" s="41">
        <f>IF(TRIM('Counts'!$B$8&amp;"")="","",IFERROR(TRIM(INDEX($A832:$Z832,MATCH('Counts'!$B$8,$A$1:$Z$1,0))&amp;""),""))</f>
        <v/>
      </c>
      <c r="AC832" s="41">
        <f>IF(TRIM('Counts'!$B$26&amp;"")="","",IFERROR(TRIM(INDEX($A832:$Z832,MATCH('Counts'!$B$26,$A$1:$Z$1,0))&amp;""),""))</f>
        <v/>
      </c>
      <c r="AD832" s="41">
        <f>IF(TRIM('Counts'!$B$44&amp;"")="","",IFERROR(TRIM(INDEX($A832:$Z832,MATCH('Counts'!$B$44,$A$1:$Z$1,0))&amp;""),""))</f>
        <v/>
      </c>
      <c r="AE832" s="41">
        <f>IF(TRIM('Cross-tab'!$B$5&amp;"")="","",IFERROR(TRIM(INDEX($A832:$Z832,MATCH('Cross-tab'!$B$5,$A$1:$Z$1,0))&amp;""),""))</f>
        <v/>
      </c>
      <c r="AF832" s="41">
        <f>IF(TRIM('Cross-tab'!$B$7&amp;"")="","",IFERROR(TRIM(INDEX($A832:$Z832,MATCH('Cross-tab'!$B$7,$A$1:$Z$1,0))&amp;""),""))</f>
        <v/>
      </c>
      <c r="AG832" s="41">
        <f>IF(ISNUMBER(IFERROR(VALUE(IF(TRIM('Scale score'!$B$5&amp;"")="","",IFERROR(TRIM(INDEX($A832:$Z832,MATCH('Scale score'!$B$5,$A$1:$Z$1,0))&amp;""),""))),"")),IF(AND(IFERROR(VALUE(IF(TRIM('Scale score'!$B$5&amp;"")="","",IFERROR(TRIM(INDEX($A832:$Z832,MATCH('Scale score'!$B$5,$A$1:$Z$1,0))&amp;""),""))),"")&gt;='Scale score'!$B$6,IFERROR(VALUE(IF(TRIM('Scale score'!$B$5&amp;"")="","",IFERROR(TRIM(INDEX($A832:$Z832,MATCH('Scale score'!$B$5,$A$1:$Z$1,0))&amp;""),""))),"")&lt;='Scale score'!$B$7),IFERROR(VALUE(IF(TRIM('Scale score'!$B$5&amp;"")="","",IFERROR(TRIM(INDEX($A832:$Z832,MATCH('Scale score'!$B$5,$A$1:$Z$1,0))&amp;""),""))),""),""),"")</f>
        <v/>
      </c>
      <c r="AH832" s="41">
        <f>IF(TRIM('Open answers'!$B$5&amp;"")="","",IFERROR(TRIM(INDEX($A832:$Z832,MATCH('Open answers'!$B$5,$A$1:$Z$1,0))&amp;""),""))</f>
        <v/>
      </c>
      <c r="AI832" s="41">
        <f>IF(LEN(AH832)&gt;0,MAX($AI$1:AI831)+1,"")</f>
        <v/>
      </c>
    </row>
    <row r="833">
      <c r="AA833" s="40" t="n"/>
      <c r="AB833" s="41">
        <f>IF(TRIM('Counts'!$B$8&amp;"")="","",IFERROR(TRIM(INDEX($A833:$Z833,MATCH('Counts'!$B$8,$A$1:$Z$1,0))&amp;""),""))</f>
        <v/>
      </c>
      <c r="AC833" s="41">
        <f>IF(TRIM('Counts'!$B$26&amp;"")="","",IFERROR(TRIM(INDEX($A833:$Z833,MATCH('Counts'!$B$26,$A$1:$Z$1,0))&amp;""),""))</f>
        <v/>
      </c>
      <c r="AD833" s="41">
        <f>IF(TRIM('Counts'!$B$44&amp;"")="","",IFERROR(TRIM(INDEX($A833:$Z833,MATCH('Counts'!$B$44,$A$1:$Z$1,0))&amp;""),""))</f>
        <v/>
      </c>
      <c r="AE833" s="41">
        <f>IF(TRIM('Cross-tab'!$B$5&amp;"")="","",IFERROR(TRIM(INDEX($A833:$Z833,MATCH('Cross-tab'!$B$5,$A$1:$Z$1,0))&amp;""),""))</f>
        <v/>
      </c>
      <c r="AF833" s="41">
        <f>IF(TRIM('Cross-tab'!$B$7&amp;"")="","",IFERROR(TRIM(INDEX($A833:$Z833,MATCH('Cross-tab'!$B$7,$A$1:$Z$1,0))&amp;""),""))</f>
        <v/>
      </c>
      <c r="AG833" s="41">
        <f>IF(ISNUMBER(IFERROR(VALUE(IF(TRIM('Scale score'!$B$5&amp;"")="","",IFERROR(TRIM(INDEX($A833:$Z833,MATCH('Scale score'!$B$5,$A$1:$Z$1,0))&amp;""),""))),"")),IF(AND(IFERROR(VALUE(IF(TRIM('Scale score'!$B$5&amp;"")="","",IFERROR(TRIM(INDEX($A833:$Z833,MATCH('Scale score'!$B$5,$A$1:$Z$1,0))&amp;""),""))),"")&gt;='Scale score'!$B$6,IFERROR(VALUE(IF(TRIM('Scale score'!$B$5&amp;"")="","",IFERROR(TRIM(INDEX($A833:$Z833,MATCH('Scale score'!$B$5,$A$1:$Z$1,0))&amp;""),""))),"")&lt;='Scale score'!$B$7),IFERROR(VALUE(IF(TRIM('Scale score'!$B$5&amp;"")="","",IFERROR(TRIM(INDEX($A833:$Z833,MATCH('Scale score'!$B$5,$A$1:$Z$1,0))&amp;""),""))),""),""),"")</f>
        <v/>
      </c>
      <c r="AH833" s="41">
        <f>IF(TRIM('Open answers'!$B$5&amp;"")="","",IFERROR(TRIM(INDEX($A833:$Z833,MATCH('Open answers'!$B$5,$A$1:$Z$1,0))&amp;""),""))</f>
        <v/>
      </c>
      <c r="AI833" s="41">
        <f>IF(LEN(AH833)&gt;0,MAX($AI$1:AI832)+1,"")</f>
        <v/>
      </c>
    </row>
    <row r="834">
      <c r="AA834" s="40" t="n"/>
      <c r="AB834" s="41">
        <f>IF(TRIM('Counts'!$B$8&amp;"")="","",IFERROR(TRIM(INDEX($A834:$Z834,MATCH('Counts'!$B$8,$A$1:$Z$1,0))&amp;""),""))</f>
        <v/>
      </c>
      <c r="AC834" s="41">
        <f>IF(TRIM('Counts'!$B$26&amp;"")="","",IFERROR(TRIM(INDEX($A834:$Z834,MATCH('Counts'!$B$26,$A$1:$Z$1,0))&amp;""),""))</f>
        <v/>
      </c>
      <c r="AD834" s="41">
        <f>IF(TRIM('Counts'!$B$44&amp;"")="","",IFERROR(TRIM(INDEX($A834:$Z834,MATCH('Counts'!$B$44,$A$1:$Z$1,0))&amp;""),""))</f>
        <v/>
      </c>
      <c r="AE834" s="41">
        <f>IF(TRIM('Cross-tab'!$B$5&amp;"")="","",IFERROR(TRIM(INDEX($A834:$Z834,MATCH('Cross-tab'!$B$5,$A$1:$Z$1,0))&amp;""),""))</f>
        <v/>
      </c>
      <c r="AF834" s="41">
        <f>IF(TRIM('Cross-tab'!$B$7&amp;"")="","",IFERROR(TRIM(INDEX($A834:$Z834,MATCH('Cross-tab'!$B$7,$A$1:$Z$1,0))&amp;""),""))</f>
        <v/>
      </c>
      <c r="AG834" s="41">
        <f>IF(ISNUMBER(IFERROR(VALUE(IF(TRIM('Scale score'!$B$5&amp;"")="","",IFERROR(TRIM(INDEX($A834:$Z834,MATCH('Scale score'!$B$5,$A$1:$Z$1,0))&amp;""),""))),"")),IF(AND(IFERROR(VALUE(IF(TRIM('Scale score'!$B$5&amp;"")="","",IFERROR(TRIM(INDEX($A834:$Z834,MATCH('Scale score'!$B$5,$A$1:$Z$1,0))&amp;""),""))),"")&gt;='Scale score'!$B$6,IFERROR(VALUE(IF(TRIM('Scale score'!$B$5&amp;"")="","",IFERROR(TRIM(INDEX($A834:$Z834,MATCH('Scale score'!$B$5,$A$1:$Z$1,0))&amp;""),""))),"")&lt;='Scale score'!$B$7),IFERROR(VALUE(IF(TRIM('Scale score'!$B$5&amp;"")="","",IFERROR(TRIM(INDEX($A834:$Z834,MATCH('Scale score'!$B$5,$A$1:$Z$1,0))&amp;""),""))),""),""),"")</f>
        <v/>
      </c>
      <c r="AH834" s="41">
        <f>IF(TRIM('Open answers'!$B$5&amp;"")="","",IFERROR(TRIM(INDEX($A834:$Z834,MATCH('Open answers'!$B$5,$A$1:$Z$1,0))&amp;""),""))</f>
        <v/>
      </c>
      <c r="AI834" s="41">
        <f>IF(LEN(AH834)&gt;0,MAX($AI$1:AI833)+1,"")</f>
        <v/>
      </c>
    </row>
    <row r="835">
      <c r="AA835" s="40" t="n"/>
      <c r="AB835" s="41">
        <f>IF(TRIM('Counts'!$B$8&amp;"")="","",IFERROR(TRIM(INDEX($A835:$Z835,MATCH('Counts'!$B$8,$A$1:$Z$1,0))&amp;""),""))</f>
        <v/>
      </c>
      <c r="AC835" s="41">
        <f>IF(TRIM('Counts'!$B$26&amp;"")="","",IFERROR(TRIM(INDEX($A835:$Z835,MATCH('Counts'!$B$26,$A$1:$Z$1,0))&amp;""),""))</f>
        <v/>
      </c>
      <c r="AD835" s="41">
        <f>IF(TRIM('Counts'!$B$44&amp;"")="","",IFERROR(TRIM(INDEX($A835:$Z835,MATCH('Counts'!$B$44,$A$1:$Z$1,0))&amp;""),""))</f>
        <v/>
      </c>
      <c r="AE835" s="41">
        <f>IF(TRIM('Cross-tab'!$B$5&amp;"")="","",IFERROR(TRIM(INDEX($A835:$Z835,MATCH('Cross-tab'!$B$5,$A$1:$Z$1,0))&amp;""),""))</f>
        <v/>
      </c>
      <c r="AF835" s="41">
        <f>IF(TRIM('Cross-tab'!$B$7&amp;"")="","",IFERROR(TRIM(INDEX($A835:$Z835,MATCH('Cross-tab'!$B$7,$A$1:$Z$1,0))&amp;""),""))</f>
        <v/>
      </c>
      <c r="AG835" s="41">
        <f>IF(ISNUMBER(IFERROR(VALUE(IF(TRIM('Scale score'!$B$5&amp;"")="","",IFERROR(TRIM(INDEX($A835:$Z835,MATCH('Scale score'!$B$5,$A$1:$Z$1,0))&amp;""),""))),"")),IF(AND(IFERROR(VALUE(IF(TRIM('Scale score'!$B$5&amp;"")="","",IFERROR(TRIM(INDEX($A835:$Z835,MATCH('Scale score'!$B$5,$A$1:$Z$1,0))&amp;""),""))),"")&gt;='Scale score'!$B$6,IFERROR(VALUE(IF(TRIM('Scale score'!$B$5&amp;"")="","",IFERROR(TRIM(INDEX($A835:$Z835,MATCH('Scale score'!$B$5,$A$1:$Z$1,0))&amp;""),""))),"")&lt;='Scale score'!$B$7),IFERROR(VALUE(IF(TRIM('Scale score'!$B$5&amp;"")="","",IFERROR(TRIM(INDEX($A835:$Z835,MATCH('Scale score'!$B$5,$A$1:$Z$1,0))&amp;""),""))),""),""),"")</f>
        <v/>
      </c>
      <c r="AH835" s="41">
        <f>IF(TRIM('Open answers'!$B$5&amp;"")="","",IFERROR(TRIM(INDEX($A835:$Z835,MATCH('Open answers'!$B$5,$A$1:$Z$1,0))&amp;""),""))</f>
        <v/>
      </c>
      <c r="AI835" s="41">
        <f>IF(LEN(AH835)&gt;0,MAX($AI$1:AI834)+1,"")</f>
        <v/>
      </c>
    </row>
    <row r="836">
      <c r="AA836" s="40" t="n"/>
      <c r="AB836" s="41">
        <f>IF(TRIM('Counts'!$B$8&amp;"")="","",IFERROR(TRIM(INDEX($A836:$Z836,MATCH('Counts'!$B$8,$A$1:$Z$1,0))&amp;""),""))</f>
        <v/>
      </c>
      <c r="AC836" s="41">
        <f>IF(TRIM('Counts'!$B$26&amp;"")="","",IFERROR(TRIM(INDEX($A836:$Z836,MATCH('Counts'!$B$26,$A$1:$Z$1,0))&amp;""),""))</f>
        <v/>
      </c>
      <c r="AD836" s="41">
        <f>IF(TRIM('Counts'!$B$44&amp;"")="","",IFERROR(TRIM(INDEX($A836:$Z836,MATCH('Counts'!$B$44,$A$1:$Z$1,0))&amp;""),""))</f>
        <v/>
      </c>
      <c r="AE836" s="41">
        <f>IF(TRIM('Cross-tab'!$B$5&amp;"")="","",IFERROR(TRIM(INDEX($A836:$Z836,MATCH('Cross-tab'!$B$5,$A$1:$Z$1,0))&amp;""),""))</f>
        <v/>
      </c>
      <c r="AF836" s="41">
        <f>IF(TRIM('Cross-tab'!$B$7&amp;"")="","",IFERROR(TRIM(INDEX($A836:$Z836,MATCH('Cross-tab'!$B$7,$A$1:$Z$1,0))&amp;""),""))</f>
        <v/>
      </c>
      <c r="AG836" s="41">
        <f>IF(ISNUMBER(IFERROR(VALUE(IF(TRIM('Scale score'!$B$5&amp;"")="","",IFERROR(TRIM(INDEX($A836:$Z836,MATCH('Scale score'!$B$5,$A$1:$Z$1,0))&amp;""),""))),"")),IF(AND(IFERROR(VALUE(IF(TRIM('Scale score'!$B$5&amp;"")="","",IFERROR(TRIM(INDEX($A836:$Z836,MATCH('Scale score'!$B$5,$A$1:$Z$1,0))&amp;""),""))),"")&gt;='Scale score'!$B$6,IFERROR(VALUE(IF(TRIM('Scale score'!$B$5&amp;"")="","",IFERROR(TRIM(INDEX($A836:$Z836,MATCH('Scale score'!$B$5,$A$1:$Z$1,0))&amp;""),""))),"")&lt;='Scale score'!$B$7),IFERROR(VALUE(IF(TRIM('Scale score'!$B$5&amp;"")="","",IFERROR(TRIM(INDEX($A836:$Z836,MATCH('Scale score'!$B$5,$A$1:$Z$1,0))&amp;""),""))),""),""),"")</f>
        <v/>
      </c>
      <c r="AH836" s="41">
        <f>IF(TRIM('Open answers'!$B$5&amp;"")="","",IFERROR(TRIM(INDEX($A836:$Z836,MATCH('Open answers'!$B$5,$A$1:$Z$1,0))&amp;""),""))</f>
        <v/>
      </c>
      <c r="AI836" s="41">
        <f>IF(LEN(AH836)&gt;0,MAX($AI$1:AI835)+1,"")</f>
        <v/>
      </c>
    </row>
    <row r="837">
      <c r="AA837" s="40" t="n"/>
      <c r="AB837" s="41">
        <f>IF(TRIM('Counts'!$B$8&amp;"")="","",IFERROR(TRIM(INDEX($A837:$Z837,MATCH('Counts'!$B$8,$A$1:$Z$1,0))&amp;""),""))</f>
        <v/>
      </c>
      <c r="AC837" s="41">
        <f>IF(TRIM('Counts'!$B$26&amp;"")="","",IFERROR(TRIM(INDEX($A837:$Z837,MATCH('Counts'!$B$26,$A$1:$Z$1,0))&amp;""),""))</f>
        <v/>
      </c>
      <c r="AD837" s="41">
        <f>IF(TRIM('Counts'!$B$44&amp;"")="","",IFERROR(TRIM(INDEX($A837:$Z837,MATCH('Counts'!$B$44,$A$1:$Z$1,0))&amp;""),""))</f>
        <v/>
      </c>
      <c r="AE837" s="41">
        <f>IF(TRIM('Cross-tab'!$B$5&amp;"")="","",IFERROR(TRIM(INDEX($A837:$Z837,MATCH('Cross-tab'!$B$5,$A$1:$Z$1,0))&amp;""),""))</f>
        <v/>
      </c>
      <c r="AF837" s="41">
        <f>IF(TRIM('Cross-tab'!$B$7&amp;"")="","",IFERROR(TRIM(INDEX($A837:$Z837,MATCH('Cross-tab'!$B$7,$A$1:$Z$1,0))&amp;""),""))</f>
        <v/>
      </c>
      <c r="AG837" s="41">
        <f>IF(ISNUMBER(IFERROR(VALUE(IF(TRIM('Scale score'!$B$5&amp;"")="","",IFERROR(TRIM(INDEX($A837:$Z837,MATCH('Scale score'!$B$5,$A$1:$Z$1,0))&amp;""),""))),"")),IF(AND(IFERROR(VALUE(IF(TRIM('Scale score'!$B$5&amp;"")="","",IFERROR(TRIM(INDEX($A837:$Z837,MATCH('Scale score'!$B$5,$A$1:$Z$1,0))&amp;""),""))),"")&gt;='Scale score'!$B$6,IFERROR(VALUE(IF(TRIM('Scale score'!$B$5&amp;"")="","",IFERROR(TRIM(INDEX($A837:$Z837,MATCH('Scale score'!$B$5,$A$1:$Z$1,0))&amp;""),""))),"")&lt;='Scale score'!$B$7),IFERROR(VALUE(IF(TRIM('Scale score'!$B$5&amp;"")="","",IFERROR(TRIM(INDEX($A837:$Z837,MATCH('Scale score'!$B$5,$A$1:$Z$1,0))&amp;""),""))),""),""),"")</f>
        <v/>
      </c>
      <c r="AH837" s="41">
        <f>IF(TRIM('Open answers'!$B$5&amp;"")="","",IFERROR(TRIM(INDEX($A837:$Z837,MATCH('Open answers'!$B$5,$A$1:$Z$1,0))&amp;""),""))</f>
        <v/>
      </c>
      <c r="AI837" s="41">
        <f>IF(LEN(AH837)&gt;0,MAX($AI$1:AI836)+1,"")</f>
        <v/>
      </c>
    </row>
    <row r="838">
      <c r="AA838" s="40" t="n"/>
      <c r="AB838" s="41">
        <f>IF(TRIM('Counts'!$B$8&amp;"")="","",IFERROR(TRIM(INDEX($A838:$Z838,MATCH('Counts'!$B$8,$A$1:$Z$1,0))&amp;""),""))</f>
        <v/>
      </c>
      <c r="AC838" s="41">
        <f>IF(TRIM('Counts'!$B$26&amp;"")="","",IFERROR(TRIM(INDEX($A838:$Z838,MATCH('Counts'!$B$26,$A$1:$Z$1,0))&amp;""),""))</f>
        <v/>
      </c>
      <c r="AD838" s="41">
        <f>IF(TRIM('Counts'!$B$44&amp;"")="","",IFERROR(TRIM(INDEX($A838:$Z838,MATCH('Counts'!$B$44,$A$1:$Z$1,0))&amp;""),""))</f>
        <v/>
      </c>
      <c r="AE838" s="41">
        <f>IF(TRIM('Cross-tab'!$B$5&amp;"")="","",IFERROR(TRIM(INDEX($A838:$Z838,MATCH('Cross-tab'!$B$5,$A$1:$Z$1,0))&amp;""),""))</f>
        <v/>
      </c>
      <c r="AF838" s="41">
        <f>IF(TRIM('Cross-tab'!$B$7&amp;"")="","",IFERROR(TRIM(INDEX($A838:$Z838,MATCH('Cross-tab'!$B$7,$A$1:$Z$1,0))&amp;""),""))</f>
        <v/>
      </c>
      <c r="AG838" s="41">
        <f>IF(ISNUMBER(IFERROR(VALUE(IF(TRIM('Scale score'!$B$5&amp;"")="","",IFERROR(TRIM(INDEX($A838:$Z838,MATCH('Scale score'!$B$5,$A$1:$Z$1,0))&amp;""),""))),"")),IF(AND(IFERROR(VALUE(IF(TRIM('Scale score'!$B$5&amp;"")="","",IFERROR(TRIM(INDEX($A838:$Z838,MATCH('Scale score'!$B$5,$A$1:$Z$1,0))&amp;""),""))),"")&gt;='Scale score'!$B$6,IFERROR(VALUE(IF(TRIM('Scale score'!$B$5&amp;"")="","",IFERROR(TRIM(INDEX($A838:$Z838,MATCH('Scale score'!$B$5,$A$1:$Z$1,0))&amp;""),""))),"")&lt;='Scale score'!$B$7),IFERROR(VALUE(IF(TRIM('Scale score'!$B$5&amp;"")="","",IFERROR(TRIM(INDEX($A838:$Z838,MATCH('Scale score'!$B$5,$A$1:$Z$1,0))&amp;""),""))),""),""),"")</f>
        <v/>
      </c>
      <c r="AH838" s="41">
        <f>IF(TRIM('Open answers'!$B$5&amp;"")="","",IFERROR(TRIM(INDEX($A838:$Z838,MATCH('Open answers'!$B$5,$A$1:$Z$1,0))&amp;""),""))</f>
        <v/>
      </c>
      <c r="AI838" s="41">
        <f>IF(LEN(AH838)&gt;0,MAX($AI$1:AI837)+1,"")</f>
        <v/>
      </c>
    </row>
    <row r="839">
      <c r="AA839" s="40" t="n"/>
      <c r="AB839" s="41">
        <f>IF(TRIM('Counts'!$B$8&amp;"")="","",IFERROR(TRIM(INDEX($A839:$Z839,MATCH('Counts'!$B$8,$A$1:$Z$1,0))&amp;""),""))</f>
        <v/>
      </c>
      <c r="AC839" s="41">
        <f>IF(TRIM('Counts'!$B$26&amp;"")="","",IFERROR(TRIM(INDEX($A839:$Z839,MATCH('Counts'!$B$26,$A$1:$Z$1,0))&amp;""),""))</f>
        <v/>
      </c>
      <c r="AD839" s="41">
        <f>IF(TRIM('Counts'!$B$44&amp;"")="","",IFERROR(TRIM(INDEX($A839:$Z839,MATCH('Counts'!$B$44,$A$1:$Z$1,0))&amp;""),""))</f>
        <v/>
      </c>
      <c r="AE839" s="41">
        <f>IF(TRIM('Cross-tab'!$B$5&amp;"")="","",IFERROR(TRIM(INDEX($A839:$Z839,MATCH('Cross-tab'!$B$5,$A$1:$Z$1,0))&amp;""),""))</f>
        <v/>
      </c>
      <c r="AF839" s="41">
        <f>IF(TRIM('Cross-tab'!$B$7&amp;"")="","",IFERROR(TRIM(INDEX($A839:$Z839,MATCH('Cross-tab'!$B$7,$A$1:$Z$1,0))&amp;""),""))</f>
        <v/>
      </c>
      <c r="AG839" s="41">
        <f>IF(ISNUMBER(IFERROR(VALUE(IF(TRIM('Scale score'!$B$5&amp;"")="","",IFERROR(TRIM(INDEX($A839:$Z839,MATCH('Scale score'!$B$5,$A$1:$Z$1,0))&amp;""),""))),"")),IF(AND(IFERROR(VALUE(IF(TRIM('Scale score'!$B$5&amp;"")="","",IFERROR(TRIM(INDEX($A839:$Z839,MATCH('Scale score'!$B$5,$A$1:$Z$1,0))&amp;""),""))),"")&gt;='Scale score'!$B$6,IFERROR(VALUE(IF(TRIM('Scale score'!$B$5&amp;"")="","",IFERROR(TRIM(INDEX($A839:$Z839,MATCH('Scale score'!$B$5,$A$1:$Z$1,0))&amp;""),""))),"")&lt;='Scale score'!$B$7),IFERROR(VALUE(IF(TRIM('Scale score'!$B$5&amp;"")="","",IFERROR(TRIM(INDEX($A839:$Z839,MATCH('Scale score'!$B$5,$A$1:$Z$1,0))&amp;""),""))),""),""),"")</f>
        <v/>
      </c>
      <c r="AH839" s="41">
        <f>IF(TRIM('Open answers'!$B$5&amp;"")="","",IFERROR(TRIM(INDEX($A839:$Z839,MATCH('Open answers'!$B$5,$A$1:$Z$1,0))&amp;""),""))</f>
        <v/>
      </c>
      <c r="AI839" s="41">
        <f>IF(LEN(AH839)&gt;0,MAX($AI$1:AI838)+1,"")</f>
        <v/>
      </c>
    </row>
    <row r="840">
      <c r="AA840" s="40" t="n"/>
      <c r="AB840" s="41">
        <f>IF(TRIM('Counts'!$B$8&amp;"")="","",IFERROR(TRIM(INDEX($A840:$Z840,MATCH('Counts'!$B$8,$A$1:$Z$1,0))&amp;""),""))</f>
        <v/>
      </c>
      <c r="AC840" s="41">
        <f>IF(TRIM('Counts'!$B$26&amp;"")="","",IFERROR(TRIM(INDEX($A840:$Z840,MATCH('Counts'!$B$26,$A$1:$Z$1,0))&amp;""),""))</f>
        <v/>
      </c>
      <c r="AD840" s="41">
        <f>IF(TRIM('Counts'!$B$44&amp;"")="","",IFERROR(TRIM(INDEX($A840:$Z840,MATCH('Counts'!$B$44,$A$1:$Z$1,0))&amp;""),""))</f>
        <v/>
      </c>
      <c r="AE840" s="41">
        <f>IF(TRIM('Cross-tab'!$B$5&amp;"")="","",IFERROR(TRIM(INDEX($A840:$Z840,MATCH('Cross-tab'!$B$5,$A$1:$Z$1,0))&amp;""),""))</f>
        <v/>
      </c>
      <c r="AF840" s="41">
        <f>IF(TRIM('Cross-tab'!$B$7&amp;"")="","",IFERROR(TRIM(INDEX($A840:$Z840,MATCH('Cross-tab'!$B$7,$A$1:$Z$1,0))&amp;""),""))</f>
        <v/>
      </c>
      <c r="AG840" s="41">
        <f>IF(ISNUMBER(IFERROR(VALUE(IF(TRIM('Scale score'!$B$5&amp;"")="","",IFERROR(TRIM(INDEX($A840:$Z840,MATCH('Scale score'!$B$5,$A$1:$Z$1,0))&amp;""),""))),"")),IF(AND(IFERROR(VALUE(IF(TRIM('Scale score'!$B$5&amp;"")="","",IFERROR(TRIM(INDEX($A840:$Z840,MATCH('Scale score'!$B$5,$A$1:$Z$1,0))&amp;""),""))),"")&gt;='Scale score'!$B$6,IFERROR(VALUE(IF(TRIM('Scale score'!$B$5&amp;"")="","",IFERROR(TRIM(INDEX($A840:$Z840,MATCH('Scale score'!$B$5,$A$1:$Z$1,0))&amp;""),""))),"")&lt;='Scale score'!$B$7),IFERROR(VALUE(IF(TRIM('Scale score'!$B$5&amp;"")="","",IFERROR(TRIM(INDEX($A840:$Z840,MATCH('Scale score'!$B$5,$A$1:$Z$1,0))&amp;""),""))),""),""),"")</f>
        <v/>
      </c>
      <c r="AH840" s="41">
        <f>IF(TRIM('Open answers'!$B$5&amp;"")="","",IFERROR(TRIM(INDEX($A840:$Z840,MATCH('Open answers'!$B$5,$A$1:$Z$1,0))&amp;""),""))</f>
        <v/>
      </c>
      <c r="AI840" s="41">
        <f>IF(LEN(AH840)&gt;0,MAX($AI$1:AI839)+1,"")</f>
        <v/>
      </c>
    </row>
    <row r="841">
      <c r="AA841" s="40" t="n"/>
      <c r="AB841" s="41">
        <f>IF(TRIM('Counts'!$B$8&amp;"")="","",IFERROR(TRIM(INDEX($A841:$Z841,MATCH('Counts'!$B$8,$A$1:$Z$1,0))&amp;""),""))</f>
        <v/>
      </c>
      <c r="AC841" s="41">
        <f>IF(TRIM('Counts'!$B$26&amp;"")="","",IFERROR(TRIM(INDEX($A841:$Z841,MATCH('Counts'!$B$26,$A$1:$Z$1,0))&amp;""),""))</f>
        <v/>
      </c>
      <c r="AD841" s="41">
        <f>IF(TRIM('Counts'!$B$44&amp;"")="","",IFERROR(TRIM(INDEX($A841:$Z841,MATCH('Counts'!$B$44,$A$1:$Z$1,0))&amp;""),""))</f>
        <v/>
      </c>
      <c r="AE841" s="41">
        <f>IF(TRIM('Cross-tab'!$B$5&amp;"")="","",IFERROR(TRIM(INDEX($A841:$Z841,MATCH('Cross-tab'!$B$5,$A$1:$Z$1,0))&amp;""),""))</f>
        <v/>
      </c>
      <c r="AF841" s="41">
        <f>IF(TRIM('Cross-tab'!$B$7&amp;"")="","",IFERROR(TRIM(INDEX($A841:$Z841,MATCH('Cross-tab'!$B$7,$A$1:$Z$1,0))&amp;""),""))</f>
        <v/>
      </c>
      <c r="AG841" s="41">
        <f>IF(ISNUMBER(IFERROR(VALUE(IF(TRIM('Scale score'!$B$5&amp;"")="","",IFERROR(TRIM(INDEX($A841:$Z841,MATCH('Scale score'!$B$5,$A$1:$Z$1,0))&amp;""),""))),"")),IF(AND(IFERROR(VALUE(IF(TRIM('Scale score'!$B$5&amp;"")="","",IFERROR(TRIM(INDEX($A841:$Z841,MATCH('Scale score'!$B$5,$A$1:$Z$1,0))&amp;""),""))),"")&gt;='Scale score'!$B$6,IFERROR(VALUE(IF(TRIM('Scale score'!$B$5&amp;"")="","",IFERROR(TRIM(INDEX($A841:$Z841,MATCH('Scale score'!$B$5,$A$1:$Z$1,0))&amp;""),""))),"")&lt;='Scale score'!$B$7),IFERROR(VALUE(IF(TRIM('Scale score'!$B$5&amp;"")="","",IFERROR(TRIM(INDEX($A841:$Z841,MATCH('Scale score'!$B$5,$A$1:$Z$1,0))&amp;""),""))),""),""),"")</f>
        <v/>
      </c>
      <c r="AH841" s="41">
        <f>IF(TRIM('Open answers'!$B$5&amp;"")="","",IFERROR(TRIM(INDEX($A841:$Z841,MATCH('Open answers'!$B$5,$A$1:$Z$1,0))&amp;""),""))</f>
        <v/>
      </c>
      <c r="AI841" s="41">
        <f>IF(LEN(AH841)&gt;0,MAX($AI$1:AI840)+1,"")</f>
        <v/>
      </c>
    </row>
    <row r="842">
      <c r="AA842" s="40" t="n"/>
      <c r="AB842" s="41">
        <f>IF(TRIM('Counts'!$B$8&amp;"")="","",IFERROR(TRIM(INDEX($A842:$Z842,MATCH('Counts'!$B$8,$A$1:$Z$1,0))&amp;""),""))</f>
        <v/>
      </c>
      <c r="AC842" s="41">
        <f>IF(TRIM('Counts'!$B$26&amp;"")="","",IFERROR(TRIM(INDEX($A842:$Z842,MATCH('Counts'!$B$26,$A$1:$Z$1,0))&amp;""),""))</f>
        <v/>
      </c>
      <c r="AD842" s="41">
        <f>IF(TRIM('Counts'!$B$44&amp;"")="","",IFERROR(TRIM(INDEX($A842:$Z842,MATCH('Counts'!$B$44,$A$1:$Z$1,0))&amp;""),""))</f>
        <v/>
      </c>
      <c r="AE842" s="41">
        <f>IF(TRIM('Cross-tab'!$B$5&amp;"")="","",IFERROR(TRIM(INDEX($A842:$Z842,MATCH('Cross-tab'!$B$5,$A$1:$Z$1,0))&amp;""),""))</f>
        <v/>
      </c>
      <c r="AF842" s="41">
        <f>IF(TRIM('Cross-tab'!$B$7&amp;"")="","",IFERROR(TRIM(INDEX($A842:$Z842,MATCH('Cross-tab'!$B$7,$A$1:$Z$1,0))&amp;""),""))</f>
        <v/>
      </c>
      <c r="AG842" s="41">
        <f>IF(ISNUMBER(IFERROR(VALUE(IF(TRIM('Scale score'!$B$5&amp;"")="","",IFERROR(TRIM(INDEX($A842:$Z842,MATCH('Scale score'!$B$5,$A$1:$Z$1,0))&amp;""),""))),"")),IF(AND(IFERROR(VALUE(IF(TRIM('Scale score'!$B$5&amp;"")="","",IFERROR(TRIM(INDEX($A842:$Z842,MATCH('Scale score'!$B$5,$A$1:$Z$1,0))&amp;""),""))),"")&gt;='Scale score'!$B$6,IFERROR(VALUE(IF(TRIM('Scale score'!$B$5&amp;"")="","",IFERROR(TRIM(INDEX($A842:$Z842,MATCH('Scale score'!$B$5,$A$1:$Z$1,0))&amp;""),""))),"")&lt;='Scale score'!$B$7),IFERROR(VALUE(IF(TRIM('Scale score'!$B$5&amp;"")="","",IFERROR(TRIM(INDEX($A842:$Z842,MATCH('Scale score'!$B$5,$A$1:$Z$1,0))&amp;""),""))),""),""),"")</f>
        <v/>
      </c>
      <c r="AH842" s="41">
        <f>IF(TRIM('Open answers'!$B$5&amp;"")="","",IFERROR(TRIM(INDEX($A842:$Z842,MATCH('Open answers'!$B$5,$A$1:$Z$1,0))&amp;""),""))</f>
        <v/>
      </c>
      <c r="AI842" s="41">
        <f>IF(LEN(AH842)&gt;0,MAX($AI$1:AI841)+1,"")</f>
        <v/>
      </c>
    </row>
    <row r="843">
      <c r="AA843" s="40" t="n"/>
      <c r="AB843" s="41">
        <f>IF(TRIM('Counts'!$B$8&amp;"")="","",IFERROR(TRIM(INDEX($A843:$Z843,MATCH('Counts'!$B$8,$A$1:$Z$1,0))&amp;""),""))</f>
        <v/>
      </c>
      <c r="AC843" s="41">
        <f>IF(TRIM('Counts'!$B$26&amp;"")="","",IFERROR(TRIM(INDEX($A843:$Z843,MATCH('Counts'!$B$26,$A$1:$Z$1,0))&amp;""),""))</f>
        <v/>
      </c>
      <c r="AD843" s="41">
        <f>IF(TRIM('Counts'!$B$44&amp;"")="","",IFERROR(TRIM(INDEX($A843:$Z843,MATCH('Counts'!$B$44,$A$1:$Z$1,0))&amp;""),""))</f>
        <v/>
      </c>
      <c r="AE843" s="41">
        <f>IF(TRIM('Cross-tab'!$B$5&amp;"")="","",IFERROR(TRIM(INDEX($A843:$Z843,MATCH('Cross-tab'!$B$5,$A$1:$Z$1,0))&amp;""),""))</f>
        <v/>
      </c>
      <c r="AF843" s="41">
        <f>IF(TRIM('Cross-tab'!$B$7&amp;"")="","",IFERROR(TRIM(INDEX($A843:$Z843,MATCH('Cross-tab'!$B$7,$A$1:$Z$1,0))&amp;""),""))</f>
        <v/>
      </c>
      <c r="AG843" s="41">
        <f>IF(ISNUMBER(IFERROR(VALUE(IF(TRIM('Scale score'!$B$5&amp;"")="","",IFERROR(TRIM(INDEX($A843:$Z843,MATCH('Scale score'!$B$5,$A$1:$Z$1,0))&amp;""),""))),"")),IF(AND(IFERROR(VALUE(IF(TRIM('Scale score'!$B$5&amp;"")="","",IFERROR(TRIM(INDEX($A843:$Z843,MATCH('Scale score'!$B$5,$A$1:$Z$1,0))&amp;""),""))),"")&gt;='Scale score'!$B$6,IFERROR(VALUE(IF(TRIM('Scale score'!$B$5&amp;"")="","",IFERROR(TRIM(INDEX($A843:$Z843,MATCH('Scale score'!$B$5,$A$1:$Z$1,0))&amp;""),""))),"")&lt;='Scale score'!$B$7),IFERROR(VALUE(IF(TRIM('Scale score'!$B$5&amp;"")="","",IFERROR(TRIM(INDEX($A843:$Z843,MATCH('Scale score'!$B$5,$A$1:$Z$1,0))&amp;""),""))),""),""),"")</f>
        <v/>
      </c>
      <c r="AH843" s="41">
        <f>IF(TRIM('Open answers'!$B$5&amp;"")="","",IFERROR(TRIM(INDEX($A843:$Z843,MATCH('Open answers'!$B$5,$A$1:$Z$1,0))&amp;""),""))</f>
        <v/>
      </c>
      <c r="AI843" s="41">
        <f>IF(LEN(AH843)&gt;0,MAX($AI$1:AI842)+1,"")</f>
        <v/>
      </c>
    </row>
    <row r="844">
      <c r="AA844" s="40" t="n"/>
      <c r="AB844" s="41">
        <f>IF(TRIM('Counts'!$B$8&amp;"")="","",IFERROR(TRIM(INDEX($A844:$Z844,MATCH('Counts'!$B$8,$A$1:$Z$1,0))&amp;""),""))</f>
        <v/>
      </c>
      <c r="AC844" s="41">
        <f>IF(TRIM('Counts'!$B$26&amp;"")="","",IFERROR(TRIM(INDEX($A844:$Z844,MATCH('Counts'!$B$26,$A$1:$Z$1,0))&amp;""),""))</f>
        <v/>
      </c>
      <c r="AD844" s="41">
        <f>IF(TRIM('Counts'!$B$44&amp;"")="","",IFERROR(TRIM(INDEX($A844:$Z844,MATCH('Counts'!$B$44,$A$1:$Z$1,0))&amp;""),""))</f>
        <v/>
      </c>
      <c r="AE844" s="41">
        <f>IF(TRIM('Cross-tab'!$B$5&amp;"")="","",IFERROR(TRIM(INDEX($A844:$Z844,MATCH('Cross-tab'!$B$5,$A$1:$Z$1,0))&amp;""),""))</f>
        <v/>
      </c>
      <c r="AF844" s="41">
        <f>IF(TRIM('Cross-tab'!$B$7&amp;"")="","",IFERROR(TRIM(INDEX($A844:$Z844,MATCH('Cross-tab'!$B$7,$A$1:$Z$1,0))&amp;""),""))</f>
        <v/>
      </c>
      <c r="AG844" s="41">
        <f>IF(ISNUMBER(IFERROR(VALUE(IF(TRIM('Scale score'!$B$5&amp;"")="","",IFERROR(TRIM(INDEX($A844:$Z844,MATCH('Scale score'!$B$5,$A$1:$Z$1,0))&amp;""),""))),"")),IF(AND(IFERROR(VALUE(IF(TRIM('Scale score'!$B$5&amp;"")="","",IFERROR(TRIM(INDEX($A844:$Z844,MATCH('Scale score'!$B$5,$A$1:$Z$1,0))&amp;""),""))),"")&gt;='Scale score'!$B$6,IFERROR(VALUE(IF(TRIM('Scale score'!$B$5&amp;"")="","",IFERROR(TRIM(INDEX($A844:$Z844,MATCH('Scale score'!$B$5,$A$1:$Z$1,0))&amp;""),""))),"")&lt;='Scale score'!$B$7),IFERROR(VALUE(IF(TRIM('Scale score'!$B$5&amp;"")="","",IFERROR(TRIM(INDEX($A844:$Z844,MATCH('Scale score'!$B$5,$A$1:$Z$1,0))&amp;""),""))),""),""),"")</f>
        <v/>
      </c>
      <c r="AH844" s="41">
        <f>IF(TRIM('Open answers'!$B$5&amp;"")="","",IFERROR(TRIM(INDEX($A844:$Z844,MATCH('Open answers'!$B$5,$A$1:$Z$1,0))&amp;""),""))</f>
        <v/>
      </c>
      <c r="AI844" s="41">
        <f>IF(LEN(AH844)&gt;0,MAX($AI$1:AI843)+1,"")</f>
        <v/>
      </c>
    </row>
    <row r="845">
      <c r="AA845" s="40" t="n"/>
      <c r="AB845" s="41">
        <f>IF(TRIM('Counts'!$B$8&amp;"")="","",IFERROR(TRIM(INDEX($A845:$Z845,MATCH('Counts'!$B$8,$A$1:$Z$1,0))&amp;""),""))</f>
        <v/>
      </c>
      <c r="AC845" s="41">
        <f>IF(TRIM('Counts'!$B$26&amp;"")="","",IFERROR(TRIM(INDEX($A845:$Z845,MATCH('Counts'!$B$26,$A$1:$Z$1,0))&amp;""),""))</f>
        <v/>
      </c>
      <c r="AD845" s="41">
        <f>IF(TRIM('Counts'!$B$44&amp;"")="","",IFERROR(TRIM(INDEX($A845:$Z845,MATCH('Counts'!$B$44,$A$1:$Z$1,0))&amp;""),""))</f>
        <v/>
      </c>
      <c r="AE845" s="41">
        <f>IF(TRIM('Cross-tab'!$B$5&amp;"")="","",IFERROR(TRIM(INDEX($A845:$Z845,MATCH('Cross-tab'!$B$5,$A$1:$Z$1,0))&amp;""),""))</f>
        <v/>
      </c>
      <c r="AF845" s="41">
        <f>IF(TRIM('Cross-tab'!$B$7&amp;"")="","",IFERROR(TRIM(INDEX($A845:$Z845,MATCH('Cross-tab'!$B$7,$A$1:$Z$1,0))&amp;""),""))</f>
        <v/>
      </c>
      <c r="AG845" s="41">
        <f>IF(ISNUMBER(IFERROR(VALUE(IF(TRIM('Scale score'!$B$5&amp;"")="","",IFERROR(TRIM(INDEX($A845:$Z845,MATCH('Scale score'!$B$5,$A$1:$Z$1,0))&amp;""),""))),"")),IF(AND(IFERROR(VALUE(IF(TRIM('Scale score'!$B$5&amp;"")="","",IFERROR(TRIM(INDEX($A845:$Z845,MATCH('Scale score'!$B$5,$A$1:$Z$1,0))&amp;""),""))),"")&gt;='Scale score'!$B$6,IFERROR(VALUE(IF(TRIM('Scale score'!$B$5&amp;"")="","",IFERROR(TRIM(INDEX($A845:$Z845,MATCH('Scale score'!$B$5,$A$1:$Z$1,0))&amp;""),""))),"")&lt;='Scale score'!$B$7),IFERROR(VALUE(IF(TRIM('Scale score'!$B$5&amp;"")="","",IFERROR(TRIM(INDEX($A845:$Z845,MATCH('Scale score'!$B$5,$A$1:$Z$1,0))&amp;""),""))),""),""),"")</f>
        <v/>
      </c>
      <c r="AH845" s="41">
        <f>IF(TRIM('Open answers'!$B$5&amp;"")="","",IFERROR(TRIM(INDEX($A845:$Z845,MATCH('Open answers'!$B$5,$A$1:$Z$1,0))&amp;""),""))</f>
        <v/>
      </c>
      <c r="AI845" s="41">
        <f>IF(LEN(AH845)&gt;0,MAX($AI$1:AI844)+1,"")</f>
        <v/>
      </c>
    </row>
    <row r="846">
      <c r="AA846" s="40" t="n"/>
      <c r="AB846" s="41">
        <f>IF(TRIM('Counts'!$B$8&amp;"")="","",IFERROR(TRIM(INDEX($A846:$Z846,MATCH('Counts'!$B$8,$A$1:$Z$1,0))&amp;""),""))</f>
        <v/>
      </c>
      <c r="AC846" s="41">
        <f>IF(TRIM('Counts'!$B$26&amp;"")="","",IFERROR(TRIM(INDEX($A846:$Z846,MATCH('Counts'!$B$26,$A$1:$Z$1,0))&amp;""),""))</f>
        <v/>
      </c>
      <c r="AD846" s="41">
        <f>IF(TRIM('Counts'!$B$44&amp;"")="","",IFERROR(TRIM(INDEX($A846:$Z846,MATCH('Counts'!$B$44,$A$1:$Z$1,0))&amp;""),""))</f>
        <v/>
      </c>
      <c r="AE846" s="41">
        <f>IF(TRIM('Cross-tab'!$B$5&amp;"")="","",IFERROR(TRIM(INDEX($A846:$Z846,MATCH('Cross-tab'!$B$5,$A$1:$Z$1,0))&amp;""),""))</f>
        <v/>
      </c>
      <c r="AF846" s="41">
        <f>IF(TRIM('Cross-tab'!$B$7&amp;"")="","",IFERROR(TRIM(INDEX($A846:$Z846,MATCH('Cross-tab'!$B$7,$A$1:$Z$1,0))&amp;""),""))</f>
        <v/>
      </c>
      <c r="AG846" s="41">
        <f>IF(ISNUMBER(IFERROR(VALUE(IF(TRIM('Scale score'!$B$5&amp;"")="","",IFERROR(TRIM(INDEX($A846:$Z846,MATCH('Scale score'!$B$5,$A$1:$Z$1,0))&amp;""),""))),"")),IF(AND(IFERROR(VALUE(IF(TRIM('Scale score'!$B$5&amp;"")="","",IFERROR(TRIM(INDEX($A846:$Z846,MATCH('Scale score'!$B$5,$A$1:$Z$1,0))&amp;""),""))),"")&gt;='Scale score'!$B$6,IFERROR(VALUE(IF(TRIM('Scale score'!$B$5&amp;"")="","",IFERROR(TRIM(INDEX($A846:$Z846,MATCH('Scale score'!$B$5,$A$1:$Z$1,0))&amp;""),""))),"")&lt;='Scale score'!$B$7),IFERROR(VALUE(IF(TRIM('Scale score'!$B$5&amp;"")="","",IFERROR(TRIM(INDEX($A846:$Z846,MATCH('Scale score'!$B$5,$A$1:$Z$1,0))&amp;""),""))),""),""),"")</f>
        <v/>
      </c>
      <c r="AH846" s="41">
        <f>IF(TRIM('Open answers'!$B$5&amp;"")="","",IFERROR(TRIM(INDEX($A846:$Z846,MATCH('Open answers'!$B$5,$A$1:$Z$1,0))&amp;""),""))</f>
        <v/>
      </c>
      <c r="AI846" s="41">
        <f>IF(LEN(AH846)&gt;0,MAX($AI$1:AI845)+1,"")</f>
        <v/>
      </c>
    </row>
    <row r="847">
      <c r="AA847" s="40" t="n"/>
      <c r="AB847" s="41">
        <f>IF(TRIM('Counts'!$B$8&amp;"")="","",IFERROR(TRIM(INDEX($A847:$Z847,MATCH('Counts'!$B$8,$A$1:$Z$1,0))&amp;""),""))</f>
        <v/>
      </c>
      <c r="AC847" s="41">
        <f>IF(TRIM('Counts'!$B$26&amp;"")="","",IFERROR(TRIM(INDEX($A847:$Z847,MATCH('Counts'!$B$26,$A$1:$Z$1,0))&amp;""),""))</f>
        <v/>
      </c>
      <c r="AD847" s="41">
        <f>IF(TRIM('Counts'!$B$44&amp;"")="","",IFERROR(TRIM(INDEX($A847:$Z847,MATCH('Counts'!$B$44,$A$1:$Z$1,0))&amp;""),""))</f>
        <v/>
      </c>
      <c r="AE847" s="41">
        <f>IF(TRIM('Cross-tab'!$B$5&amp;"")="","",IFERROR(TRIM(INDEX($A847:$Z847,MATCH('Cross-tab'!$B$5,$A$1:$Z$1,0))&amp;""),""))</f>
        <v/>
      </c>
      <c r="AF847" s="41">
        <f>IF(TRIM('Cross-tab'!$B$7&amp;"")="","",IFERROR(TRIM(INDEX($A847:$Z847,MATCH('Cross-tab'!$B$7,$A$1:$Z$1,0))&amp;""),""))</f>
        <v/>
      </c>
      <c r="AG847" s="41">
        <f>IF(ISNUMBER(IFERROR(VALUE(IF(TRIM('Scale score'!$B$5&amp;"")="","",IFERROR(TRIM(INDEX($A847:$Z847,MATCH('Scale score'!$B$5,$A$1:$Z$1,0))&amp;""),""))),"")),IF(AND(IFERROR(VALUE(IF(TRIM('Scale score'!$B$5&amp;"")="","",IFERROR(TRIM(INDEX($A847:$Z847,MATCH('Scale score'!$B$5,$A$1:$Z$1,0))&amp;""),""))),"")&gt;='Scale score'!$B$6,IFERROR(VALUE(IF(TRIM('Scale score'!$B$5&amp;"")="","",IFERROR(TRIM(INDEX($A847:$Z847,MATCH('Scale score'!$B$5,$A$1:$Z$1,0))&amp;""),""))),"")&lt;='Scale score'!$B$7),IFERROR(VALUE(IF(TRIM('Scale score'!$B$5&amp;"")="","",IFERROR(TRIM(INDEX($A847:$Z847,MATCH('Scale score'!$B$5,$A$1:$Z$1,0))&amp;""),""))),""),""),"")</f>
        <v/>
      </c>
      <c r="AH847" s="41">
        <f>IF(TRIM('Open answers'!$B$5&amp;"")="","",IFERROR(TRIM(INDEX($A847:$Z847,MATCH('Open answers'!$B$5,$A$1:$Z$1,0))&amp;""),""))</f>
        <v/>
      </c>
      <c r="AI847" s="41">
        <f>IF(LEN(AH847)&gt;0,MAX($AI$1:AI846)+1,"")</f>
        <v/>
      </c>
    </row>
    <row r="848">
      <c r="AA848" s="40" t="n"/>
      <c r="AB848" s="41">
        <f>IF(TRIM('Counts'!$B$8&amp;"")="","",IFERROR(TRIM(INDEX($A848:$Z848,MATCH('Counts'!$B$8,$A$1:$Z$1,0))&amp;""),""))</f>
        <v/>
      </c>
      <c r="AC848" s="41">
        <f>IF(TRIM('Counts'!$B$26&amp;"")="","",IFERROR(TRIM(INDEX($A848:$Z848,MATCH('Counts'!$B$26,$A$1:$Z$1,0))&amp;""),""))</f>
        <v/>
      </c>
      <c r="AD848" s="41">
        <f>IF(TRIM('Counts'!$B$44&amp;"")="","",IFERROR(TRIM(INDEX($A848:$Z848,MATCH('Counts'!$B$44,$A$1:$Z$1,0))&amp;""),""))</f>
        <v/>
      </c>
      <c r="AE848" s="41">
        <f>IF(TRIM('Cross-tab'!$B$5&amp;"")="","",IFERROR(TRIM(INDEX($A848:$Z848,MATCH('Cross-tab'!$B$5,$A$1:$Z$1,0))&amp;""),""))</f>
        <v/>
      </c>
      <c r="AF848" s="41">
        <f>IF(TRIM('Cross-tab'!$B$7&amp;"")="","",IFERROR(TRIM(INDEX($A848:$Z848,MATCH('Cross-tab'!$B$7,$A$1:$Z$1,0))&amp;""),""))</f>
        <v/>
      </c>
      <c r="AG848" s="41">
        <f>IF(ISNUMBER(IFERROR(VALUE(IF(TRIM('Scale score'!$B$5&amp;"")="","",IFERROR(TRIM(INDEX($A848:$Z848,MATCH('Scale score'!$B$5,$A$1:$Z$1,0))&amp;""),""))),"")),IF(AND(IFERROR(VALUE(IF(TRIM('Scale score'!$B$5&amp;"")="","",IFERROR(TRIM(INDEX($A848:$Z848,MATCH('Scale score'!$B$5,$A$1:$Z$1,0))&amp;""),""))),"")&gt;='Scale score'!$B$6,IFERROR(VALUE(IF(TRIM('Scale score'!$B$5&amp;"")="","",IFERROR(TRIM(INDEX($A848:$Z848,MATCH('Scale score'!$B$5,$A$1:$Z$1,0))&amp;""),""))),"")&lt;='Scale score'!$B$7),IFERROR(VALUE(IF(TRIM('Scale score'!$B$5&amp;"")="","",IFERROR(TRIM(INDEX($A848:$Z848,MATCH('Scale score'!$B$5,$A$1:$Z$1,0))&amp;""),""))),""),""),"")</f>
        <v/>
      </c>
      <c r="AH848" s="41">
        <f>IF(TRIM('Open answers'!$B$5&amp;"")="","",IFERROR(TRIM(INDEX($A848:$Z848,MATCH('Open answers'!$B$5,$A$1:$Z$1,0))&amp;""),""))</f>
        <v/>
      </c>
      <c r="AI848" s="41">
        <f>IF(LEN(AH848)&gt;0,MAX($AI$1:AI847)+1,"")</f>
        <v/>
      </c>
    </row>
    <row r="849">
      <c r="AA849" s="40" t="n"/>
      <c r="AB849" s="41">
        <f>IF(TRIM('Counts'!$B$8&amp;"")="","",IFERROR(TRIM(INDEX($A849:$Z849,MATCH('Counts'!$B$8,$A$1:$Z$1,0))&amp;""),""))</f>
        <v/>
      </c>
      <c r="AC849" s="41">
        <f>IF(TRIM('Counts'!$B$26&amp;"")="","",IFERROR(TRIM(INDEX($A849:$Z849,MATCH('Counts'!$B$26,$A$1:$Z$1,0))&amp;""),""))</f>
        <v/>
      </c>
      <c r="AD849" s="41">
        <f>IF(TRIM('Counts'!$B$44&amp;"")="","",IFERROR(TRIM(INDEX($A849:$Z849,MATCH('Counts'!$B$44,$A$1:$Z$1,0))&amp;""),""))</f>
        <v/>
      </c>
      <c r="AE849" s="41">
        <f>IF(TRIM('Cross-tab'!$B$5&amp;"")="","",IFERROR(TRIM(INDEX($A849:$Z849,MATCH('Cross-tab'!$B$5,$A$1:$Z$1,0))&amp;""),""))</f>
        <v/>
      </c>
      <c r="AF849" s="41">
        <f>IF(TRIM('Cross-tab'!$B$7&amp;"")="","",IFERROR(TRIM(INDEX($A849:$Z849,MATCH('Cross-tab'!$B$7,$A$1:$Z$1,0))&amp;""),""))</f>
        <v/>
      </c>
      <c r="AG849" s="41">
        <f>IF(ISNUMBER(IFERROR(VALUE(IF(TRIM('Scale score'!$B$5&amp;"")="","",IFERROR(TRIM(INDEX($A849:$Z849,MATCH('Scale score'!$B$5,$A$1:$Z$1,0))&amp;""),""))),"")),IF(AND(IFERROR(VALUE(IF(TRIM('Scale score'!$B$5&amp;"")="","",IFERROR(TRIM(INDEX($A849:$Z849,MATCH('Scale score'!$B$5,$A$1:$Z$1,0))&amp;""),""))),"")&gt;='Scale score'!$B$6,IFERROR(VALUE(IF(TRIM('Scale score'!$B$5&amp;"")="","",IFERROR(TRIM(INDEX($A849:$Z849,MATCH('Scale score'!$B$5,$A$1:$Z$1,0))&amp;""),""))),"")&lt;='Scale score'!$B$7),IFERROR(VALUE(IF(TRIM('Scale score'!$B$5&amp;"")="","",IFERROR(TRIM(INDEX($A849:$Z849,MATCH('Scale score'!$B$5,$A$1:$Z$1,0))&amp;""),""))),""),""),"")</f>
        <v/>
      </c>
      <c r="AH849" s="41">
        <f>IF(TRIM('Open answers'!$B$5&amp;"")="","",IFERROR(TRIM(INDEX($A849:$Z849,MATCH('Open answers'!$B$5,$A$1:$Z$1,0))&amp;""),""))</f>
        <v/>
      </c>
      <c r="AI849" s="41">
        <f>IF(LEN(AH849)&gt;0,MAX($AI$1:AI848)+1,"")</f>
        <v/>
      </c>
    </row>
    <row r="850">
      <c r="AA850" s="40" t="n"/>
      <c r="AB850" s="41">
        <f>IF(TRIM('Counts'!$B$8&amp;"")="","",IFERROR(TRIM(INDEX($A850:$Z850,MATCH('Counts'!$B$8,$A$1:$Z$1,0))&amp;""),""))</f>
        <v/>
      </c>
      <c r="AC850" s="41">
        <f>IF(TRIM('Counts'!$B$26&amp;"")="","",IFERROR(TRIM(INDEX($A850:$Z850,MATCH('Counts'!$B$26,$A$1:$Z$1,0))&amp;""),""))</f>
        <v/>
      </c>
      <c r="AD850" s="41">
        <f>IF(TRIM('Counts'!$B$44&amp;"")="","",IFERROR(TRIM(INDEX($A850:$Z850,MATCH('Counts'!$B$44,$A$1:$Z$1,0))&amp;""),""))</f>
        <v/>
      </c>
      <c r="AE850" s="41">
        <f>IF(TRIM('Cross-tab'!$B$5&amp;"")="","",IFERROR(TRIM(INDEX($A850:$Z850,MATCH('Cross-tab'!$B$5,$A$1:$Z$1,0))&amp;""),""))</f>
        <v/>
      </c>
      <c r="AF850" s="41">
        <f>IF(TRIM('Cross-tab'!$B$7&amp;"")="","",IFERROR(TRIM(INDEX($A850:$Z850,MATCH('Cross-tab'!$B$7,$A$1:$Z$1,0))&amp;""),""))</f>
        <v/>
      </c>
      <c r="AG850" s="41">
        <f>IF(ISNUMBER(IFERROR(VALUE(IF(TRIM('Scale score'!$B$5&amp;"")="","",IFERROR(TRIM(INDEX($A850:$Z850,MATCH('Scale score'!$B$5,$A$1:$Z$1,0))&amp;""),""))),"")),IF(AND(IFERROR(VALUE(IF(TRIM('Scale score'!$B$5&amp;"")="","",IFERROR(TRIM(INDEX($A850:$Z850,MATCH('Scale score'!$B$5,$A$1:$Z$1,0))&amp;""),""))),"")&gt;='Scale score'!$B$6,IFERROR(VALUE(IF(TRIM('Scale score'!$B$5&amp;"")="","",IFERROR(TRIM(INDEX($A850:$Z850,MATCH('Scale score'!$B$5,$A$1:$Z$1,0))&amp;""),""))),"")&lt;='Scale score'!$B$7),IFERROR(VALUE(IF(TRIM('Scale score'!$B$5&amp;"")="","",IFERROR(TRIM(INDEX($A850:$Z850,MATCH('Scale score'!$B$5,$A$1:$Z$1,0))&amp;""),""))),""),""),"")</f>
        <v/>
      </c>
      <c r="AH850" s="41">
        <f>IF(TRIM('Open answers'!$B$5&amp;"")="","",IFERROR(TRIM(INDEX($A850:$Z850,MATCH('Open answers'!$B$5,$A$1:$Z$1,0))&amp;""),""))</f>
        <v/>
      </c>
      <c r="AI850" s="41">
        <f>IF(LEN(AH850)&gt;0,MAX($AI$1:AI849)+1,"")</f>
        <v/>
      </c>
    </row>
    <row r="851">
      <c r="AA851" s="40" t="n"/>
      <c r="AB851" s="41">
        <f>IF(TRIM('Counts'!$B$8&amp;"")="","",IFERROR(TRIM(INDEX($A851:$Z851,MATCH('Counts'!$B$8,$A$1:$Z$1,0))&amp;""),""))</f>
        <v/>
      </c>
      <c r="AC851" s="41">
        <f>IF(TRIM('Counts'!$B$26&amp;"")="","",IFERROR(TRIM(INDEX($A851:$Z851,MATCH('Counts'!$B$26,$A$1:$Z$1,0))&amp;""),""))</f>
        <v/>
      </c>
      <c r="AD851" s="41">
        <f>IF(TRIM('Counts'!$B$44&amp;"")="","",IFERROR(TRIM(INDEX($A851:$Z851,MATCH('Counts'!$B$44,$A$1:$Z$1,0))&amp;""),""))</f>
        <v/>
      </c>
      <c r="AE851" s="41">
        <f>IF(TRIM('Cross-tab'!$B$5&amp;"")="","",IFERROR(TRIM(INDEX($A851:$Z851,MATCH('Cross-tab'!$B$5,$A$1:$Z$1,0))&amp;""),""))</f>
        <v/>
      </c>
      <c r="AF851" s="41">
        <f>IF(TRIM('Cross-tab'!$B$7&amp;"")="","",IFERROR(TRIM(INDEX($A851:$Z851,MATCH('Cross-tab'!$B$7,$A$1:$Z$1,0))&amp;""),""))</f>
        <v/>
      </c>
      <c r="AG851" s="41">
        <f>IF(ISNUMBER(IFERROR(VALUE(IF(TRIM('Scale score'!$B$5&amp;"")="","",IFERROR(TRIM(INDEX($A851:$Z851,MATCH('Scale score'!$B$5,$A$1:$Z$1,0))&amp;""),""))),"")),IF(AND(IFERROR(VALUE(IF(TRIM('Scale score'!$B$5&amp;"")="","",IFERROR(TRIM(INDEX($A851:$Z851,MATCH('Scale score'!$B$5,$A$1:$Z$1,0))&amp;""),""))),"")&gt;='Scale score'!$B$6,IFERROR(VALUE(IF(TRIM('Scale score'!$B$5&amp;"")="","",IFERROR(TRIM(INDEX($A851:$Z851,MATCH('Scale score'!$B$5,$A$1:$Z$1,0))&amp;""),""))),"")&lt;='Scale score'!$B$7),IFERROR(VALUE(IF(TRIM('Scale score'!$B$5&amp;"")="","",IFERROR(TRIM(INDEX($A851:$Z851,MATCH('Scale score'!$B$5,$A$1:$Z$1,0))&amp;""),""))),""),""),"")</f>
        <v/>
      </c>
      <c r="AH851" s="41">
        <f>IF(TRIM('Open answers'!$B$5&amp;"")="","",IFERROR(TRIM(INDEX($A851:$Z851,MATCH('Open answers'!$B$5,$A$1:$Z$1,0))&amp;""),""))</f>
        <v/>
      </c>
      <c r="AI851" s="41">
        <f>IF(LEN(AH851)&gt;0,MAX($AI$1:AI850)+1,"")</f>
        <v/>
      </c>
    </row>
    <row r="852">
      <c r="AA852" s="40" t="n"/>
      <c r="AB852" s="41">
        <f>IF(TRIM('Counts'!$B$8&amp;"")="","",IFERROR(TRIM(INDEX($A852:$Z852,MATCH('Counts'!$B$8,$A$1:$Z$1,0))&amp;""),""))</f>
        <v/>
      </c>
      <c r="AC852" s="41">
        <f>IF(TRIM('Counts'!$B$26&amp;"")="","",IFERROR(TRIM(INDEX($A852:$Z852,MATCH('Counts'!$B$26,$A$1:$Z$1,0))&amp;""),""))</f>
        <v/>
      </c>
      <c r="AD852" s="41">
        <f>IF(TRIM('Counts'!$B$44&amp;"")="","",IFERROR(TRIM(INDEX($A852:$Z852,MATCH('Counts'!$B$44,$A$1:$Z$1,0))&amp;""),""))</f>
        <v/>
      </c>
      <c r="AE852" s="41">
        <f>IF(TRIM('Cross-tab'!$B$5&amp;"")="","",IFERROR(TRIM(INDEX($A852:$Z852,MATCH('Cross-tab'!$B$5,$A$1:$Z$1,0))&amp;""),""))</f>
        <v/>
      </c>
      <c r="AF852" s="41">
        <f>IF(TRIM('Cross-tab'!$B$7&amp;"")="","",IFERROR(TRIM(INDEX($A852:$Z852,MATCH('Cross-tab'!$B$7,$A$1:$Z$1,0))&amp;""),""))</f>
        <v/>
      </c>
      <c r="AG852" s="41">
        <f>IF(ISNUMBER(IFERROR(VALUE(IF(TRIM('Scale score'!$B$5&amp;"")="","",IFERROR(TRIM(INDEX($A852:$Z852,MATCH('Scale score'!$B$5,$A$1:$Z$1,0))&amp;""),""))),"")),IF(AND(IFERROR(VALUE(IF(TRIM('Scale score'!$B$5&amp;"")="","",IFERROR(TRIM(INDEX($A852:$Z852,MATCH('Scale score'!$B$5,$A$1:$Z$1,0))&amp;""),""))),"")&gt;='Scale score'!$B$6,IFERROR(VALUE(IF(TRIM('Scale score'!$B$5&amp;"")="","",IFERROR(TRIM(INDEX($A852:$Z852,MATCH('Scale score'!$B$5,$A$1:$Z$1,0))&amp;""),""))),"")&lt;='Scale score'!$B$7),IFERROR(VALUE(IF(TRIM('Scale score'!$B$5&amp;"")="","",IFERROR(TRIM(INDEX($A852:$Z852,MATCH('Scale score'!$B$5,$A$1:$Z$1,0))&amp;""),""))),""),""),"")</f>
        <v/>
      </c>
      <c r="AH852" s="41">
        <f>IF(TRIM('Open answers'!$B$5&amp;"")="","",IFERROR(TRIM(INDEX($A852:$Z852,MATCH('Open answers'!$B$5,$A$1:$Z$1,0))&amp;""),""))</f>
        <v/>
      </c>
      <c r="AI852" s="41">
        <f>IF(LEN(AH852)&gt;0,MAX($AI$1:AI851)+1,"")</f>
        <v/>
      </c>
    </row>
    <row r="853">
      <c r="AA853" s="40" t="n"/>
      <c r="AB853" s="41">
        <f>IF(TRIM('Counts'!$B$8&amp;"")="","",IFERROR(TRIM(INDEX($A853:$Z853,MATCH('Counts'!$B$8,$A$1:$Z$1,0))&amp;""),""))</f>
        <v/>
      </c>
      <c r="AC853" s="41">
        <f>IF(TRIM('Counts'!$B$26&amp;"")="","",IFERROR(TRIM(INDEX($A853:$Z853,MATCH('Counts'!$B$26,$A$1:$Z$1,0))&amp;""),""))</f>
        <v/>
      </c>
      <c r="AD853" s="41">
        <f>IF(TRIM('Counts'!$B$44&amp;"")="","",IFERROR(TRIM(INDEX($A853:$Z853,MATCH('Counts'!$B$44,$A$1:$Z$1,0))&amp;""),""))</f>
        <v/>
      </c>
      <c r="AE853" s="41">
        <f>IF(TRIM('Cross-tab'!$B$5&amp;"")="","",IFERROR(TRIM(INDEX($A853:$Z853,MATCH('Cross-tab'!$B$5,$A$1:$Z$1,0))&amp;""),""))</f>
        <v/>
      </c>
      <c r="AF853" s="41">
        <f>IF(TRIM('Cross-tab'!$B$7&amp;"")="","",IFERROR(TRIM(INDEX($A853:$Z853,MATCH('Cross-tab'!$B$7,$A$1:$Z$1,0))&amp;""),""))</f>
        <v/>
      </c>
      <c r="AG853" s="41">
        <f>IF(ISNUMBER(IFERROR(VALUE(IF(TRIM('Scale score'!$B$5&amp;"")="","",IFERROR(TRIM(INDEX($A853:$Z853,MATCH('Scale score'!$B$5,$A$1:$Z$1,0))&amp;""),""))),"")),IF(AND(IFERROR(VALUE(IF(TRIM('Scale score'!$B$5&amp;"")="","",IFERROR(TRIM(INDEX($A853:$Z853,MATCH('Scale score'!$B$5,$A$1:$Z$1,0))&amp;""),""))),"")&gt;='Scale score'!$B$6,IFERROR(VALUE(IF(TRIM('Scale score'!$B$5&amp;"")="","",IFERROR(TRIM(INDEX($A853:$Z853,MATCH('Scale score'!$B$5,$A$1:$Z$1,0))&amp;""),""))),"")&lt;='Scale score'!$B$7),IFERROR(VALUE(IF(TRIM('Scale score'!$B$5&amp;"")="","",IFERROR(TRIM(INDEX($A853:$Z853,MATCH('Scale score'!$B$5,$A$1:$Z$1,0))&amp;""),""))),""),""),"")</f>
        <v/>
      </c>
      <c r="AH853" s="41">
        <f>IF(TRIM('Open answers'!$B$5&amp;"")="","",IFERROR(TRIM(INDEX($A853:$Z853,MATCH('Open answers'!$B$5,$A$1:$Z$1,0))&amp;""),""))</f>
        <v/>
      </c>
      <c r="AI853" s="41">
        <f>IF(LEN(AH853)&gt;0,MAX($AI$1:AI852)+1,"")</f>
        <v/>
      </c>
    </row>
    <row r="854">
      <c r="AA854" s="40" t="n"/>
      <c r="AB854" s="41">
        <f>IF(TRIM('Counts'!$B$8&amp;"")="","",IFERROR(TRIM(INDEX($A854:$Z854,MATCH('Counts'!$B$8,$A$1:$Z$1,0))&amp;""),""))</f>
        <v/>
      </c>
      <c r="AC854" s="41">
        <f>IF(TRIM('Counts'!$B$26&amp;"")="","",IFERROR(TRIM(INDEX($A854:$Z854,MATCH('Counts'!$B$26,$A$1:$Z$1,0))&amp;""),""))</f>
        <v/>
      </c>
      <c r="AD854" s="41">
        <f>IF(TRIM('Counts'!$B$44&amp;"")="","",IFERROR(TRIM(INDEX($A854:$Z854,MATCH('Counts'!$B$44,$A$1:$Z$1,0))&amp;""),""))</f>
        <v/>
      </c>
      <c r="AE854" s="41">
        <f>IF(TRIM('Cross-tab'!$B$5&amp;"")="","",IFERROR(TRIM(INDEX($A854:$Z854,MATCH('Cross-tab'!$B$5,$A$1:$Z$1,0))&amp;""),""))</f>
        <v/>
      </c>
      <c r="AF854" s="41">
        <f>IF(TRIM('Cross-tab'!$B$7&amp;"")="","",IFERROR(TRIM(INDEX($A854:$Z854,MATCH('Cross-tab'!$B$7,$A$1:$Z$1,0))&amp;""),""))</f>
        <v/>
      </c>
      <c r="AG854" s="41">
        <f>IF(ISNUMBER(IFERROR(VALUE(IF(TRIM('Scale score'!$B$5&amp;"")="","",IFERROR(TRIM(INDEX($A854:$Z854,MATCH('Scale score'!$B$5,$A$1:$Z$1,0))&amp;""),""))),"")),IF(AND(IFERROR(VALUE(IF(TRIM('Scale score'!$B$5&amp;"")="","",IFERROR(TRIM(INDEX($A854:$Z854,MATCH('Scale score'!$B$5,$A$1:$Z$1,0))&amp;""),""))),"")&gt;='Scale score'!$B$6,IFERROR(VALUE(IF(TRIM('Scale score'!$B$5&amp;"")="","",IFERROR(TRIM(INDEX($A854:$Z854,MATCH('Scale score'!$B$5,$A$1:$Z$1,0))&amp;""),""))),"")&lt;='Scale score'!$B$7),IFERROR(VALUE(IF(TRIM('Scale score'!$B$5&amp;"")="","",IFERROR(TRIM(INDEX($A854:$Z854,MATCH('Scale score'!$B$5,$A$1:$Z$1,0))&amp;""),""))),""),""),"")</f>
        <v/>
      </c>
      <c r="AH854" s="41">
        <f>IF(TRIM('Open answers'!$B$5&amp;"")="","",IFERROR(TRIM(INDEX($A854:$Z854,MATCH('Open answers'!$B$5,$A$1:$Z$1,0))&amp;""),""))</f>
        <v/>
      </c>
      <c r="AI854" s="41">
        <f>IF(LEN(AH854)&gt;0,MAX($AI$1:AI853)+1,"")</f>
        <v/>
      </c>
    </row>
    <row r="855">
      <c r="AA855" s="40" t="n"/>
      <c r="AB855" s="41">
        <f>IF(TRIM('Counts'!$B$8&amp;"")="","",IFERROR(TRIM(INDEX($A855:$Z855,MATCH('Counts'!$B$8,$A$1:$Z$1,0))&amp;""),""))</f>
        <v/>
      </c>
      <c r="AC855" s="41">
        <f>IF(TRIM('Counts'!$B$26&amp;"")="","",IFERROR(TRIM(INDEX($A855:$Z855,MATCH('Counts'!$B$26,$A$1:$Z$1,0))&amp;""),""))</f>
        <v/>
      </c>
      <c r="AD855" s="41">
        <f>IF(TRIM('Counts'!$B$44&amp;"")="","",IFERROR(TRIM(INDEX($A855:$Z855,MATCH('Counts'!$B$44,$A$1:$Z$1,0))&amp;""),""))</f>
        <v/>
      </c>
      <c r="AE855" s="41">
        <f>IF(TRIM('Cross-tab'!$B$5&amp;"")="","",IFERROR(TRIM(INDEX($A855:$Z855,MATCH('Cross-tab'!$B$5,$A$1:$Z$1,0))&amp;""),""))</f>
        <v/>
      </c>
      <c r="AF855" s="41">
        <f>IF(TRIM('Cross-tab'!$B$7&amp;"")="","",IFERROR(TRIM(INDEX($A855:$Z855,MATCH('Cross-tab'!$B$7,$A$1:$Z$1,0))&amp;""),""))</f>
        <v/>
      </c>
      <c r="AG855" s="41">
        <f>IF(ISNUMBER(IFERROR(VALUE(IF(TRIM('Scale score'!$B$5&amp;"")="","",IFERROR(TRIM(INDEX($A855:$Z855,MATCH('Scale score'!$B$5,$A$1:$Z$1,0))&amp;""),""))),"")),IF(AND(IFERROR(VALUE(IF(TRIM('Scale score'!$B$5&amp;"")="","",IFERROR(TRIM(INDEX($A855:$Z855,MATCH('Scale score'!$B$5,$A$1:$Z$1,0))&amp;""),""))),"")&gt;='Scale score'!$B$6,IFERROR(VALUE(IF(TRIM('Scale score'!$B$5&amp;"")="","",IFERROR(TRIM(INDEX($A855:$Z855,MATCH('Scale score'!$B$5,$A$1:$Z$1,0))&amp;""),""))),"")&lt;='Scale score'!$B$7),IFERROR(VALUE(IF(TRIM('Scale score'!$B$5&amp;"")="","",IFERROR(TRIM(INDEX($A855:$Z855,MATCH('Scale score'!$B$5,$A$1:$Z$1,0))&amp;""),""))),""),""),"")</f>
        <v/>
      </c>
      <c r="AH855" s="41">
        <f>IF(TRIM('Open answers'!$B$5&amp;"")="","",IFERROR(TRIM(INDEX($A855:$Z855,MATCH('Open answers'!$B$5,$A$1:$Z$1,0))&amp;""),""))</f>
        <v/>
      </c>
      <c r="AI855" s="41">
        <f>IF(LEN(AH855)&gt;0,MAX($AI$1:AI854)+1,"")</f>
        <v/>
      </c>
    </row>
    <row r="856">
      <c r="AA856" s="40" t="n"/>
      <c r="AB856" s="41">
        <f>IF(TRIM('Counts'!$B$8&amp;"")="","",IFERROR(TRIM(INDEX($A856:$Z856,MATCH('Counts'!$B$8,$A$1:$Z$1,0))&amp;""),""))</f>
        <v/>
      </c>
      <c r="AC856" s="41">
        <f>IF(TRIM('Counts'!$B$26&amp;"")="","",IFERROR(TRIM(INDEX($A856:$Z856,MATCH('Counts'!$B$26,$A$1:$Z$1,0))&amp;""),""))</f>
        <v/>
      </c>
      <c r="AD856" s="41">
        <f>IF(TRIM('Counts'!$B$44&amp;"")="","",IFERROR(TRIM(INDEX($A856:$Z856,MATCH('Counts'!$B$44,$A$1:$Z$1,0))&amp;""),""))</f>
        <v/>
      </c>
      <c r="AE856" s="41">
        <f>IF(TRIM('Cross-tab'!$B$5&amp;"")="","",IFERROR(TRIM(INDEX($A856:$Z856,MATCH('Cross-tab'!$B$5,$A$1:$Z$1,0))&amp;""),""))</f>
        <v/>
      </c>
      <c r="AF856" s="41">
        <f>IF(TRIM('Cross-tab'!$B$7&amp;"")="","",IFERROR(TRIM(INDEX($A856:$Z856,MATCH('Cross-tab'!$B$7,$A$1:$Z$1,0))&amp;""),""))</f>
        <v/>
      </c>
      <c r="AG856" s="41">
        <f>IF(ISNUMBER(IFERROR(VALUE(IF(TRIM('Scale score'!$B$5&amp;"")="","",IFERROR(TRIM(INDEX($A856:$Z856,MATCH('Scale score'!$B$5,$A$1:$Z$1,0))&amp;""),""))),"")),IF(AND(IFERROR(VALUE(IF(TRIM('Scale score'!$B$5&amp;"")="","",IFERROR(TRIM(INDEX($A856:$Z856,MATCH('Scale score'!$B$5,$A$1:$Z$1,0))&amp;""),""))),"")&gt;='Scale score'!$B$6,IFERROR(VALUE(IF(TRIM('Scale score'!$B$5&amp;"")="","",IFERROR(TRIM(INDEX($A856:$Z856,MATCH('Scale score'!$B$5,$A$1:$Z$1,0))&amp;""),""))),"")&lt;='Scale score'!$B$7),IFERROR(VALUE(IF(TRIM('Scale score'!$B$5&amp;"")="","",IFERROR(TRIM(INDEX($A856:$Z856,MATCH('Scale score'!$B$5,$A$1:$Z$1,0))&amp;""),""))),""),""),"")</f>
        <v/>
      </c>
      <c r="AH856" s="41">
        <f>IF(TRIM('Open answers'!$B$5&amp;"")="","",IFERROR(TRIM(INDEX($A856:$Z856,MATCH('Open answers'!$B$5,$A$1:$Z$1,0))&amp;""),""))</f>
        <v/>
      </c>
      <c r="AI856" s="41">
        <f>IF(LEN(AH856)&gt;0,MAX($AI$1:AI855)+1,"")</f>
        <v/>
      </c>
    </row>
    <row r="857">
      <c r="AA857" s="40" t="n"/>
      <c r="AB857" s="41">
        <f>IF(TRIM('Counts'!$B$8&amp;"")="","",IFERROR(TRIM(INDEX($A857:$Z857,MATCH('Counts'!$B$8,$A$1:$Z$1,0))&amp;""),""))</f>
        <v/>
      </c>
      <c r="AC857" s="41">
        <f>IF(TRIM('Counts'!$B$26&amp;"")="","",IFERROR(TRIM(INDEX($A857:$Z857,MATCH('Counts'!$B$26,$A$1:$Z$1,0))&amp;""),""))</f>
        <v/>
      </c>
      <c r="AD857" s="41">
        <f>IF(TRIM('Counts'!$B$44&amp;"")="","",IFERROR(TRIM(INDEX($A857:$Z857,MATCH('Counts'!$B$44,$A$1:$Z$1,0))&amp;""),""))</f>
        <v/>
      </c>
      <c r="AE857" s="41">
        <f>IF(TRIM('Cross-tab'!$B$5&amp;"")="","",IFERROR(TRIM(INDEX($A857:$Z857,MATCH('Cross-tab'!$B$5,$A$1:$Z$1,0))&amp;""),""))</f>
        <v/>
      </c>
      <c r="AF857" s="41">
        <f>IF(TRIM('Cross-tab'!$B$7&amp;"")="","",IFERROR(TRIM(INDEX($A857:$Z857,MATCH('Cross-tab'!$B$7,$A$1:$Z$1,0))&amp;""),""))</f>
        <v/>
      </c>
      <c r="AG857" s="41">
        <f>IF(ISNUMBER(IFERROR(VALUE(IF(TRIM('Scale score'!$B$5&amp;"")="","",IFERROR(TRIM(INDEX($A857:$Z857,MATCH('Scale score'!$B$5,$A$1:$Z$1,0))&amp;""),""))),"")),IF(AND(IFERROR(VALUE(IF(TRIM('Scale score'!$B$5&amp;"")="","",IFERROR(TRIM(INDEX($A857:$Z857,MATCH('Scale score'!$B$5,$A$1:$Z$1,0))&amp;""),""))),"")&gt;='Scale score'!$B$6,IFERROR(VALUE(IF(TRIM('Scale score'!$B$5&amp;"")="","",IFERROR(TRIM(INDEX($A857:$Z857,MATCH('Scale score'!$B$5,$A$1:$Z$1,0))&amp;""),""))),"")&lt;='Scale score'!$B$7),IFERROR(VALUE(IF(TRIM('Scale score'!$B$5&amp;"")="","",IFERROR(TRIM(INDEX($A857:$Z857,MATCH('Scale score'!$B$5,$A$1:$Z$1,0))&amp;""),""))),""),""),"")</f>
        <v/>
      </c>
      <c r="AH857" s="41">
        <f>IF(TRIM('Open answers'!$B$5&amp;"")="","",IFERROR(TRIM(INDEX($A857:$Z857,MATCH('Open answers'!$B$5,$A$1:$Z$1,0))&amp;""),""))</f>
        <v/>
      </c>
      <c r="AI857" s="41">
        <f>IF(LEN(AH857)&gt;0,MAX($AI$1:AI856)+1,"")</f>
        <v/>
      </c>
    </row>
    <row r="858">
      <c r="AA858" s="40" t="n"/>
      <c r="AB858" s="41">
        <f>IF(TRIM('Counts'!$B$8&amp;"")="","",IFERROR(TRIM(INDEX($A858:$Z858,MATCH('Counts'!$B$8,$A$1:$Z$1,0))&amp;""),""))</f>
        <v/>
      </c>
      <c r="AC858" s="41">
        <f>IF(TRIM('Counts'!$B$26&amp;"")="","",IFERROR(TRIM(INDEX($A858:$Z858,MATCH('Counts'!$B$26,$A$1:$Z$1,0))&amp;""),""))</f>
        <v/>
      </c>
      <c r="AD858" s="41">
        <f>IF(TRIM('Counts'!$B$44&amp;"")="","",IFERROR(TRIM(INDEX($A858:$Z858,MATCH('Counts'!$B$44,$A$1:$Z$1,0))&amp;""),""))</f>
        <v/>
      </c>
      <c r="AE858" s="41">
        <f>IF(TRIM('Cross-tab'!$B$5&amp;"")="","",IFERROR(TRIM(INDEX($A858:$Z858,MATCH('Cross-tab'!$B$5,$A$1:$Z$1,0))&amp;""),""))</f>
        <v/>
      </c>
      <c r="AF858" s="41">
        <f>IF(TRIM('Cross-tab'!$B$7&amp;"")="","",IFERROR(TRIM(INDEX($A858:$Z858,MATCH('Cross-tab'!$B$7,$A$1:$Z$1,0))&amp;""),""))</f>
        <v/>
      </c>
      <c r="AG858" s="41">
        <f>IF(ISNUMBER(IFERROR(VALUE(IF(TRIM('Scale score'!$B$5&amp;"")="","",IFERROR(TRIM(INDEX($A858:$Z858,MATCH('Scale score'!$B$5,$A$1:$Z$1,0))&amp;""),""))),"")),IF(AND(IFERROR(VALUE(IF(TRIM('Scale score'!$B$5&amp;"")="","",IFERROR(TRIM(INDEX($A858:$Z858,MATCH('Scale score'!$B$5,$A$1:$Z$1,0))&amp;""),""))),"")&gt;='Scale score'!$B$6,IFERROR(VALUE(IF(TRIM('Scale score'!$B$5&amp;"")="","",IFERROR(TRIM(INDEX($A858:$Z858,MATCH('Scale score'!$B$5,$A$1:$Z$1,0))&amp;""),""))),"")&lt;='Scale score'!$B$7),IFERROR(VALUE(IF(TRIM('Scale score'!$B$5&amp;"")="","",IFERROR(TRIM(INDEX($A858:$Z858,MATCH('Scale score'!$B$5,$A$1:$Z$1,0))&amp;""),""))),""),""),"")</f>
        <v/>
      </c>
      <c r="AH858" s="41">
        <f>IF(TRIM('Open answers'!$B$5&amp;"")="","",IFERROR(TRIM(INDEX($A858:$Z858,MATCH('Open answers'!$B$5,$A$1:$Z$1,0))&amp;""),""))</f>
        <v/>
      </c>
      <c r="AI858" s="41">
        <f>IF(LEN(AH858)&gt;0,MAX($AI$1:AI857)+1,"")</f>
        <v/>
      </c>
    </row>
    <row r="859">
      <c r="AA859" s="40" t="n"/>
      <c r="AB859" s="41">
        <f>IF(TRIM('Counts'!$B$8&amp;"")="","",IFERROR(TRIM(INDEX($A859:$Z859,MATCH('Counts'!$B$8,$A$1:$Z$1,0))&amp;""),""))</f>
        <v/>
      </c>
      <c r="AC859" s="41">
        <f>IF(TRIM('Counts'!$B$26&amp;"")="","",IFERROR(TRIM(INDEX($A859:$Z859,MATCH('Counts'!$B$26,$A$1:$Z$1,0))&amp;""),""))</f>
        <v/>
      </c>
      <c r="AD859" s="41">
        <f>IF(TRIM('Counts'!$B$44&amp;"")="","",IFERROR(TRIM(INDEX($A859:$Z859,MATCH('Counts'!$B$44,$A$1:$Z$1,0))&amp;""),""))</f>
        <v/>
      </c>
      <c r="AE859" s="41">
        <f>IF(TRIM('Cross-tab'!$B$5&amp;"")="","",IFERROR(TRIM(INDEX($A859:$Z859,MATCH('Cross-tab'!$B$5,$A$1:$Z$1,0))&amp;""),""))</f>
        <v/>
      </c>
      <c r="AF859" s="41">
        <f>IF(TRIM('Cross-tab'!$B$7&amp;"")="","",IFERROR(TRIM(INDEX($A859:$Z859,MATCH('Cross-tab'!$B$7,$A$1:$Z$1,0))&amp;""),""))</f>
        <v/>
      </c>
      <c r="AG859" s="41">
        <f>IF(ISNUMBER(IFERROR(VALUE(IF(TRIM('Scale score'!$B$5&amp;"")="","",IFERROR(TRIM(INDEX($A859:$Z859,MATCH('Scale score'!$B$5,$A$1:$Z$1,0))&amp;""),""))),"")),IF(AND(IFERROR(VALUE(IF(TRIM('Scale score'!$B$5&amp;"")="","",IFERROR(TRIM(INDEX($A859:$Z859,MATCH('Scale score'!$B$5,$A$1:$Z$1,0))&amp;""),""))),"")&gt;='Scale score'!$B$6,IFERROR(VALUE(IF(TRIM('Scale score'!$B$5&amp;"")="","",IFERROR(TRIM(INDEX($A859:$Z859,MATCH('Scale score'!$B$5,$A$1:$Z$1,0))&amp;""),""))),"")&lt;='Scale score'!$B$7),IFERROR(VALUE(IF(TRIM('Scale score'!$B$5&amp;"")="","",IFERROR(TRIM(INDEX($A859:$Z859,MATCH('Scale score'!$B$5,$A$1:$Z$1,0))&amp;""),""))),""),""),"")</f>
        <v/>
      </c>
      <c r="AH859" s="41">
        <f>IF(TRIM('Open answers'!$B$5&amp;"")="","",IFERROR(TRIM(INDEX($A859:$Z859,MATCH('Open answers'!$B$5,$A$1:$Z$1,0))&amp;""),""))</f>
        <v/>
      </c>
      <c r="AI859" s="41">
        <f>IF(LEN(AH859)&gt;0,MAX($AI$1:AI858)+1,"")</f>
        <v/>
      </c>
    </row>
    <row r="860">
      <c r="AA860" s="40" t="n"/>
      <c r="AB860" s="41">
        <f>IF(TRIM('Counts'!$B$8&amp;"")="","",IFERROR(TRIM(INDEX($A860:$Z860,MATCH('Counts'!$B$8,$A$1:$Z$1,0))&amp;""),""))</f>
        <v/>
      </c>
      <c r="AC860" s="41">
        <f>IF(TRIM('Counts'!$B$26&amp;"")="","",IFERROR(TRIM(INDEX($A860:$Z860,MATCH('Counts'!$B$26,$A$1:$Z$1,0))&amp;""),""))</f>
        <v/>
      </c>
      <c r="AD860" s="41">
        <f>IF(TRIM('Counts'!$B$44&amp;"")="","",IFERROR(TRIM(INDEX($A860:$Z860,MATCH('Counts'!$B$44,$A$1:$Z$1,0))&amp;""),""))</f>
        <v/>
      </c>
      <c r="AE860" s="41">
        <f>IF(TRIM('Cross-tab'!$B$5&amp;"")="","",IFERROR(TRIM(INDEX($A860:$Z860,MATCH('Cross-tab'!$B$5,$A$1:$Z$1,0))&amp;""),""))</f>
        <v/>
      </c>
      <c r="AF860" s="41">
        <f>IF(TRIM('Cross-tab'!$B$7&amp;"")="","",IFERROR(TRIM(INDEX($A860:$Z860,MATCH('Cross-tab'!$B$7,$A$1:$Z$1,0))&amp;""),""))</f>
        <v/>
      </c>
      <c r="AG860" s="41">
        <f>IF(ISNUMBER(IFERROR(VALUE(IF(TRIM('Scale score'!$B$5&amp;"")="","",IFERROR(TRIM(INDEX($A860:$Z860,MATCH('Scale score'!$B$5,$A$1:$Z$1,0))&amp;""),""))),"")),IF(AND(IFERROR(VALUE(IF(TRIM('Scale score'!$B$5&amp;"")="","",IFERROR(TRIM(INDEX($A860:$Z860,MATCH('Scale score'!$B$5,$A$1:$Z$1,0))&amp;""),""))),"")&gt;='Scale score'!$B$6,IFERROR(VALUE(IF(TRIM('Scale score'!$B$5&amp;"")="","",IFERROR(TRIM(INDEX($A860:$Z860,MATCH('Scale score'!$B$5,$A$1:$Z$1,0))&amp;""),""))),"")&lt;='Scale score'!$B$7),IFERROR(VALUE(IF(TRIM('Scale score'!$B$5&amp;"")="","",IFERROR(TRIM(INDEX($A860:$Z860,MATCH('Scale score'!$B$5,$A$1:$Z$1,0))&amp;""),""))),""),""),"")</f>
        <v/>
      </c>
      <c r="AH860" s="41">
        <f>IF(TRIM('Open answers'!$B$5&amp;"")="","",IFERROR(TRIM(INDEX($A860:$Z860,MATCH('Open answers'!$B$5,$A$1:$Z$1,0))&amp;""),""))</f>
        <v/>
      </c>
      <c r="AI860" s="41">
        <f>IF(LEN(AH860)&gt;0,MAX($AI$1:AI859)+1,"")</f>
        <v/>
      </c>
    </row>
    <row r="861">
      <c r="AA861" s="40" t="n"/>
      <c r="AB861" s="41">
        <f>IF(TRIM('Counts'!$B$8&amp;"")="","",IFERROR(TRIM(INDEX($A861:$Z861,MATCH('Counts'!$B$8,$A$1:$Z$1,0))&amp;""),""))</f>
        <v/>
      </c>
      <c r="AC861" s="41">
        <f>IF(TRIM('Counts'!$B$26&amp;"")="","",IFERROR(TRIM(INDEX($A861:$Z861,MATCH('Counts'!$B$26,$A$1:$Z$1,0))&amp;""),""))</f>
        <v/>
      </c>
      <c r="AD861" s="41">
        <f>IF(TRIM('Counts'!$B$44&amp;"")="","",IFERROR(TRIM(INDEX($A861:$Z861,MATCH('Counts'!$B$44,$A$1:$Z$1,0))&amp;""),""))</f>
        <v/>
      </c>
      <c r="AE861" s="41">
        <f>IF(TRIM('Cross-tab'!$B$5&amp;"")="","",IFERROR(TRIM(INDEX($A861:$Z861,MATCH('Cross-tab'!$B$5,$A$1:$Z$1,0))&amp;""),""))</f>
        <v/>
      </c>
      <c r="AF861" s="41">
        <f>IF(TRIM('Cross-tab'!$B$7&amp;"")="","",IFERROR(TRIM(INDEX($A861:$Z861,MATCH('Cross-tab'!$B$7,$A$1:$Z$1,0))&amp;""),""))</f>
        <v/>
      </c>
      <c r="AG861" s="41">
        <f>IF(ISNUMBER(IFERROR(VALUE(IF(TRIM('Scale score'!$B$5&amp;"")="","",IFERROR(TRIM(INDEX($A861:$Z861,MATCH('Scale score'!$B$5,$A$1:$Z$1,0))&amp;""),""))),"")),IF(AND(IFERROR(VALUE(IF(TRIM('Scale score'!$B$5&amp;"")="","",IFERROR(TRIM(INDEX($A861:$Z861,MATCH('Scale score'!$B$5,$A$1:$Z$1,0))&amp;""),""))),"")&gt;='Scale score'!$B$6,IFERROR(VALUE(IF(TRIM('Scale score'!$B$5&amp;"")="","",IFERROR(TRIM(INDEX($A861:$Z861,MATCH('Scale score'!$B$5,$A$1:$Z$1,0))&amp;""),""))),"")&lt;='Scale score'!$B$7),IFERROR(VALUE(IF(TRIM('Scale score'!$B$5&amp;"")="","",IFERROR(TRIM(INDEX($A861:$Z861,MATCH('Scale score'!$B$5,$A$1:$Z$1,0))&amp;""),""))),""),""),"")</f>
        <v/>
      </c>
      <c r="AH861" s="41">
        <f>IF(TRIM('Open answers'!$B$5&amp;"")="","",IFERROR(TRIM(INDEX($A861:$Z861,MATCH('Open answers'!$B$5,$A$1:$Z$1,0))&amp;""),""))</f>
        <v/>
      </c>
      <c r="AI861" s="41">
        <f>IF(LEN(AH861)&gt;0,MAX($AI$1:AI860)+1,"")</f>
        <v/>
      </c>
    </row>
    <row r="862">
      <c r="AA862" s="40" t="n"/>
      <c r="AB862" s="41">
        <f>IF(TRIM('Counts'!$B$8&amp;"")="","",IFERROR(TRIM(INDEX($A862:$Z862,MATCH('Counts'!$B$8,$A$1:$Z$1,0))&amp;""),""))</f>
        <v/>
      </c>
      <c r="AC862" s="41">
        <f>IF(TRIM('Counts'!$B$26&amp;"")="","",IFERROR(TRIM(INDEX($A862:$Z862,MATCH('Counts'!$B$26,$A$1:$Z$1,0))&amp;""),""))</f>
        <v/>
      </c>
      <c r="AD862" s="41">
        <f>IF(TRIM('Counts'!$B$44&amp;"")="","",IFERROR(TRIM(INDEX($A862:$Z862,MATCH('Counts'!$B$44,$A$1:$Z$1,0))&amp;""),""))</f>
        <v/>
      </c>
      <c r="AE862" s="41">
        <f>IF(TRIM('Cross-tab'!$B$5&amp;"")="","",IFERROR(TRIM(INDEX($A862:$Z862,MATCH('Cross-tab'!$B$5,$A$1:$Z$1,0))&amp;""),""))</f>
        <v/>
      </c>
      <c r="AF862" s="41">
        <f>IF(TRIM('Cross-tab'!$B$7&amp;"")="","",IFERROR(TRIM(INDEX($A862:$Z862,MATCH('Cross-tab'!$B$7,$A$1:$Z$1,0))&amp;""),""))</f>
        <v/>
      </c>
      <c r="AG862" s="41">
        <f>IF(ISNUMBER(IFERROR(VALUE(IF(TRIM('Scale score'!$B$5&amp;"")="","",IFERROR(TRIM(INDEX($A862:$Z862,MATCH('Scale score'!$B$5,$A$1:$Z$1,0))&amp;""),""))),"")),IF(AND(IFERROR(VALUE(IF(TRIM('Scale score'!$B$5&amp;"")="","",IFERROR(TRIM(INDEX($A862:$Z862,MATCH('Scale score'!$B$5,$A$1:$Z$1,0))&amp;""),""))),"")&gt;='Scale score'!$B$6,IFERROR(VALUE(IF(TRIM('Scale score'!$B$5&amp;"")="","",IFERROR(TRIM(INDEX($A862:$Z862,MATCH('Scale score'!$B$5,$A$1:$Z$1,0))&amp;""),""))),"")&lt;='Scale score'!$B$7),IFERROR(VALUE(IF(TRIM('Scale score'!$B$5&amp;"")="","",IFERROR(TRIM(INDEX($A862:$Z862,MATCH('Scale score'!$B$5,$A$1:$Z$1,0))&amp;""),""))),""),""),"")</f>
        <v/>
      </c>
      <c r="AH862" s="41">
        <f>IF(TRIM('Open answers'!$B$5&amp;"")="","",IFERROR(TRIM(INDEX($A862:$Z862,MATCH('Open answers'!$B$5,$A$1:$Z$1,0))&amp;""),""))</f>
        <v/>
      </c>
      <c r="AI862" s="41">
        <f>IF(LEN(AH862)&gt;0,MAX($AI$1:AI861)+1,"")</f>
        <v/>
      </c>
    </row>
    <row r="863">
      <c r="AA863" s="40" t="n"/>
      <c r="AB863" s="41">
        <f>IF(TRIM('Counts'!$B$8&amp;"")="","",IFERROR(TRIM(INDEX($A863:$Z863,MATCH('Counts'!$B$8,$A$1:$Z$1,0))&amp;""),""))</f>
        <v/>
      </c>
      <c r="AC863" s="41">
        <f>IF(TRIM('Counts'!$B$26&amp;"")="","",IFERROR(TRIM(INDEX($A863:$Z863,MATCH('Counts'!$B$26,$A$1:$Z$1,0))&amp;""),""))</f>
        <v/>
      </c>
      <c r="AD863" s="41">
        <f>IF(TRIM('Counts'!$B$44&amp;"")="","",IFERROR(TRIM(INDEX($A863:$Z863,MATCH('Counts'!$B$44,$A$1:$Z$1,0))&amp;""),""))</f>
        <v/>
      </c>
      <c r="AE863" s="41">
        <f>IF(TRIM('Cross-tab'!$B$5&amp;"")="","",IFERROR(TRIM(INDEX($A863:$Z863,MATCH('Cross-tab'!$B$5,$A$1:$Z$1,0))&amp;""),""))</f>
        <v/>
      </c>
      <c r="AF863" s="41">
        <f>IF(TRIM('Cross-tab'!$B$7&amp;"")="","",IFERROR(TRIM(INDEX($A863:$Z863,MATCH('Cross-tab'!$B$7,$A$1:$Z$1,0))&amp;""),""))</f>
        <v/>
      </c>
      <c r="AG863" s="41">
        <f>IF(ISNUMBER(IFERROR(VALUE(IF(TRIM('Scale score'!$B$5&amp;"")="","",IFERROR(TRIM(INDEX($A863:$Z863,MATCH('Scale score'!$B$5,$A$1:$Z$1,0))&amp;""),""))),"")),IF(AND(IFERROR(VALUE(IF(TRIM('Scale score'!$B$5&amp;"")="","",IFERROR(TRIM(INDEX($A863:$Z863,MATCH('Scale score'!$B$5,$A$1:$Z$1,0))&amp;""),""))),"")&gt;='Scale score'!$B$6,IFERROR(VALUE(IF(TRIM('Scale score'!$B$5&amp;"")="","",IFERROR(TRIM(INDEX($A863:$Z863,MATCH('Scale score'!$B$5,$A$1:$Z$1,0))&amp;""),""))),"")&lt;='Scale score'!$B$7),IFERROR(VALUE(IF(TRIM('Scale score'!$B$5&amp;"")="","",IFERROR(TRIM(INDEX($A863:$Z863,MATCH('Scale score'!$B$5,$A$1:$Z$1,0))&amp;""),""))),""),""),"")</f>
        <v/>
      </c>
      <c r="AH863" s="41">
        <f>IF(TRIM('Open answers'!$B$5&amp;"")="","",IFERROR(TRIM(INDEX($A863:$Z863,MATCH('Open answers'!$B$5,$A$1:$Z$1,0))&amp;""),""))</f>
        <v/>
      </c>
      <c r="AI863" s="41">
        <f>IF(LEN(AH863)&gt;0,MAX($AI$1:AI862)+1,"")</f>
        <v/>
      </c>
    </row>
    <row r="864">
      <c r="AA864" s="40" t="n"/>
      <c r="AB864" s="41">
        <f>IF(TRIM('Counts'!$B$8&amp;"")="","",IFERROR(TRIM(INDEX($A864:$Z864,MATCH('Counts'!$B$8,$A$1:$Z$1,0))&amp;""),""))</f>
        <v/>
      </c>
      <c r="AC864" s="41">
        <f>IF(TRIM('Counts'!$B$26&amp;"")="","",IFERROR(TRIM(INDEX($A864:$Z864,MATCH('Counts'!$B$26,$A$1:$Z$1,0))&amp;""),""))</f>
        <v/>
      </c>
      <c r="AD864" s="41">
        <f>IF(TRIM('Counts'!$B$44&amp;"")="","",IFERROR(TRIM(INDEX($A864:$Z864,MATCH('Counts'!$B$44,$A$1:$Z$1,0))&amp;""),""))</f>
        <v/>
      </c>
      <c r="AE864" s="41">
        <f>IF(TRIM('Cross-tab'!$B$5&amp;"")="","",IFERROR(TRIM(INDEX($A864:$Z864,MATCH('Cross-tab'!$B$5,$A$1:$Z$1,0))&amp;""),""))</f>
        <v/>
      </c>
      <c r="AF864" s="41">
        <f>IF(TRIM('Cross-tab'!$B$7&amp;"")="","",IFERROR(TRIM(INDEX($A864:$Z864,MATCH('Cross-tab'!$B$7,$A$1:$Z$1,0))&amp;""),""))</f>
        <v/>
      </c>
      <c r="AG864" s="41">
        <f>IF(ISNUMBER(IFERROR(VALUE(IF(TRIM('Scale score'!$B$5&amp;"")="","",IFERROR(TRIM(INDEX($A864:$Z864,MATCH('Scale score'!$B$5,$A$1:$Z$1,0))&amp;""),""))),"")),IF(AND(IFERROR(VALUE(IF(TRIM('Scale score'!$B$5&amp;"")="","",IFERROR(TRIM(INDEX($A864:$Z864,MATCH('Scale score'!$B$5,$A$1:$Z$1,0))&amp;""),""))),"")&gt;='Scale score'!$B$6,IFERROR(VALUE(IF(TRIM('Scale score'!$B$5&amp;"")="","",IFERROR(TRIM(INDEX($A864:$Z864,MATCH('Scale score'!$B$5,$A$1:$Z$1,0))&amp;""),""))),"")&lt;='Scale score'!$B$7),IFERROR(VALUE(IF(TRIM('Scale score'!$B$5&amp;"")="","",IFERROR(TRIM(INDEX($A864:$Z864,MATCH('Scale score'!$B$5,$A$1:$Z$1,0))&amp;""),""))),""),""),"")</f>
        <v/>
      </c>
      <c r="AH864" s="41">
        <f>IF(TRIM('Open answers'!$B$5&amp;"")="","",IFERROR(TRIM(INDEX($A864:$Z864,MATCH('Open answers'!$B$5,$A$1:$Z$1,0))&amp;""),""))</f>
        <v/>
      </c>
      <c r="AI864" s="41">
        <f>IF(LEN(AH864)&gt;0,MAX($AI$1:AI863)+1,"")</f>
        <v/>
      </c>
    </row>
    <row r="865">
      <c r="AA865" s="40" t="n"/>
      <c r="AB865" s="41">
        <f>IF(TRIM('Counts'!$B$8&amp;"")="","",IFERROR(TRIM(INDEX($A865:$Z865,MATCH('Counts'!$B$8,$A$1:$Z$1,0))&amp;""),""))</f>
        <v/>
      </c>
      <c r="AC865" s="41">
        <f>IF(TRIM('Counts'!$B$26&amp;"")="","",IFERROR(TRIM(INDEX($A865:$Z865,MATCH('Counts'!$B$26,$A$1:$Z$1,0))&amp;""),""))</f>
        <v/>
      </c>
      <c r="AD865" s="41">
        <f>IF(TRIM('Counts'!$B$44&amp;"")="","",IFERROR(TRIM(INDEX($A865:$Z865,MATCH('Counts'!$B$44,$A$1:$Z$1,0))&amp;""),""))</f>
        <v/>
      </c>
      <c r="AE865" s="41">
        <f>IF(TRIM('Cross-tab'!$B$5&amp;"")="","",IFERROR(TRIM(INDEX($A865:$Z865,MATCH('Cross-tab'!$B$5,$A$1:$Z$1,0))&amp;""),""))</f>
        <v/>
      </c>
      <c r="AF865" s="41">
        <f>IF(TRIM('Cross-tab'!$B$7&amp;"")="","",IFERROR(TRIM(INDEX($A865:$Z865,MATCH('Cross-tab'!$B$7,$A$1:$Z$1,0))&amp;""),""))</f>
        <v/>
      </c>
      <c r="AG865" s="41">
        <f>IF(ISNUMBER(IFERROR(VALUE(IF(TRIM('Scale score'!$B$5&amp;"")="","",IFERROR(TRIM(INDEX($A865:$Z865,MATCH('Scale score'!$B$5,$A$1:$Z$1,0))&amp;""),""))),"")),IF(AND(IFERROR(VALUE(IF(TRIM('Scale score'!$B$5&amp;"")="","",IFERROR(TRIM(INDEX($A865:$Z865,MATCH('Scale score'!$B$5,$A$1:$Z$1,0))&amp;""),""))),"")&gt;='Scale score'!$B$6,IFERROR(VALUE(IF(TRIM('Scale score'!$B$5&amp;"")="","",IFERROR(TRIM(INDEX($A865:$Z865,MATCH('Scale score'!$B$5,$A$1:$Z$1,0))&amp;""),""))),"")&lt;='Scale score'!$B$7),IFERROR(VALUE(IF(TRIM('Scale score'!$B$5&amp;"")="","",IFERROR(TRIM(INDEX($A865:$Z865,MATCH('Scale score'!$B$5,$A$1:$Z$1,0))&amp;""),""))),""),""),"")</f>
        <v/>
      </c>
      <c r="AH865" s="41">
        <f>IF(TRIM('Open answers'!$B$5&amp;"")="","",IFERROR(TRIM(INDEX($A865:$Z865,MATCH('Open answers'!$B$5,$A$1:$Z$1,0))&amp;""),""))</f>
        <v/>
      </c>
      <c r="AI865" s="41">
        <f>IF(LEN(AH865)&gt;0,MAX($AI$1:AI864)+1,"")</f>
        <v/>
      </c>
    </row>
    <row r="866">
      <c r="AA866" s="40" t="n"/>
      <c r="AB866" s="41">
        <f>IF(TRIM('Counts'!$B$8&amp;"")="","",IFERROR(TRIM(INDEX($A866:$Z866,MATCH('Counts'!$B$8,$A$1:$Z$1,0))&amp;""),""))</f>
        <v/>
      </c>
      <c r="AC866" s="41">
        <f>IF(TRIM('Counts'!$B$26&amp;"")="","",IFERROR(TRIM(INDEX($A866:$Z866,MATCH('Counts'!$B$26,$A$1:$Z$1,0))&amp;""),""))</f>
        <v/>
      </c>
      <c r="AD866" s="41">
        <f>IF(TRIM('Counts'!$B$44&amp;"")="","",IFERROR(TRIM(INDEX($A866:$Z866,MATCH('Counts'!$B$44,$A$1:$Z$1,0))&amp;""),""))</f>
        <v/>
      </c>
      <c r="AE866" s="41">
        <f>IF(TRIM('Cross-tab'!$B$5&amp;"")="","",IFERROR(TRIM(INDEX($A866:$Z866,MATCH('Cross-tab'!$B$5,$A$1:$Z$1,0))&amp;""),""))</f>
        <v/>
      </c>
      <c r="AF866" s="41">
        <f>IF(TRIM('Cross-tab'!$B$7&amp;"")="","",IFERROR(TRIM(INDEX($A866:$Z866,MATCH('Cross-tab'!$B$7,$A$1:$Z$1,0))&amp;""),""))</f>
        <v/>
      </c>
      <c r="AG866" s="41">
        <f>IF(ISNUMBER(IFERROR(VALUE(IF(TRIM('Scale score'!$B$5&amp;"")="","",IFERROR(TRIM(INDEX($A866:$Z866,MATCH('Scale score'!$B$5,$A$1:$Z$1,0))&amp;""),""))),"")),IF(AND(IFERROR(VALUE(IF(TRIM('Scale score'!$B$5&amp;"")="","",IFERROR(TRIM(INDEX($A866:$Z866,MATCH('Scale score'!$B$5,$A$1:$Z$1,0))&amp;""),""))),"")&gt;='Scale score'!$B$6,IFERROR(VALUE(IF(TRIM('Scale score'!$B$5&amp;"")="","",IFERROR(TRIM(INDEX($A866:$Z866,MATCH('Scale score'!$B$5,$A$1:$Z$1,0))&amp;""),""))),"")&lt;='Scale score'!$B$7),IFERROR(VALUE(IF(TRIM('Scale score'!$B$5&amp;"")="","",IFERROR(TRIM(INDEX($A866:$Z866,MATCH('Scale score'!$B$5,$A$1:$Z$1,0))&amp;""),""))),""),""),"")</f>
        <v/>
      </c>
      <c r="AH866" s="41">
        <f>IF(TRIM('Open answers'!$B$5&amp;"")="","",IFERROR(TRIM(INDEX($A866:$Z866,MATCH('Open answers'!$B$5,$A$1:$Z$1,0))&amp;""),""))</f>
        <v/>
      </c>
      <c r="AI866" s="41">
        <f>IF(LEN(AH866)&gt;0,MAX($AI$1:AI865)+1,"")</f>
        <v/>
      </c>
    </row>
    <row r="867">
      <c r="AA867" s="40" t="n"/>
      <c r="AB867" s="41">
        <f>IF(TRIM('Counts'!$B$8&amp;"")="","",IFERROR(TRIM(INDEX($A867:$Z867,MATCH('Counts'!$B$8,$A$1:$Z$1,0))&amp;""),""))</f>
        <v/>
      </c>
      <c r="AC867" s="41">
        <f>IF(TRIM('Counts'!$B$26&amp;"")="","",IFERROR(TRIM(INDEX($A867:$Z867,MATCH('Counts'!$B$26,$A$1:$Z$1,0))&amp;""),""))</f>
        <v/>
      </c>
      <c r="AD867" s="41">
        <f>IF(TRIM('Counts'!$B$44&amp;"")="","",IFERROR(TRIM(INDEX($A867:$Z867,MATCH('Counts'!$B$44,$A$1:$Z$1,0))&amp;""),""))</f>
        <v/>
      </c>
      <c r="AE867" s="41">
        <f>IF(TRIM('Cross-tab'!$B$5&amp;"")="","",IFERROR(TRIM(INDEX($A867:$Z867,MATCH('Cross-tab'!$B$5,$A$1:$Z$1,0))&amp;""),""))</f>
        <v/>
      </c>
      <c r="AF867" s="41">
        <f>IF(TRIM('Cross-tab'!$B$7&amp;"")="","",IFERROR(TRIM(INDEX($A867:$Z867,MATCH('Cross-tab'!$B$7,$A$1:$Z$1,0))&amp;""),""))</f>
        <v/>
      </c>
      <c r="AG867" s="41">
        <f>IF(ISNUMBER(IFERROR(VALUE(IF(TRIM('Scale score'!$B$5&amp;"")="","",IFERROR(TRIM(INDEX($A867:$Z867,MATCH('Scale score'!$B$5,$A$1:$Z$1,0))&amp;""),""))),"")),IF(AND(IFERROR(VALUE(IF(TRIM('Scale score'!$B$5&amp;"")="","",IFERROR(TRIM(INDEX($A867:$Z867,MATCH('Scale score'!$B$5,$A$1:$Z$1,0))&amp;""),""))),"")&gt;='Scale score'!$B$6,IFERROR(VALUE(IF(TRIM('Scale score'!$B$5&amp;"")="","",IFERROR(TRIM(INDEX($A867:$Z867,MATCH('Scale score'!$B$5,$A$1:$Z$1,0))&amp;""),""))),"")&lt;='Scale score'!$B$7),IFERROR(VALUE(IF(TRIM('Scale score'!$B$5&amp;"")="","",IFERROR(TRIM(INDEX($A867:$Z867,MATCH('Scale score'!$B$5,$A$1:$Z$1,0))&amp;""),""))),""),""),"")</f>
        <v/>
      </c>
      <c r="AH867" s="41">
        <f>IF(TRIM('Open answers'!$B$5&amp;"")="","",IFERROR(TRIM(INDEX($A867:$Z867,MATCH('Open answers'!$B$5,$A$1:$Z$1,0))&amp;""),""))</f>
        <v/>
      </c>
      <c r="AI867" s="41">
        <f>IF(LEN(AH867)&gt;0,MAX($AI$1:AI866)+1,"")</f>
        <v/>
      </c>
    </row>
    <row r="868">
      <c r="AA868" s="40" t="n"/>
      <c r="AB868" s="41">
        <f>IF(TRIM('Counts'!$B$8&amp;"")="","",IFERROR(TRIM(INDEX($A868:$Z868,MATCH('Counts'!$B$8,$A$1:$Z$1,0))&amp;""),""))</f>
        <v/>
      </c>
      <c r="AC868" s="41">
        <f>IF(TRIM('Counts'!$B$26&amp;"")="","",IFERROR(TRIM(INDEX($A868:$Z868,MATCH('Counts'!$B$26,$A$1:$Z$1,0))&amp;""),""))</f>
        <v/>
      </c>
      <c r="AD868" s="41">
        <f>IF(TRIM('Counts'!$B$44&amp;"")="","",IFERROR(TRIM(INDEX($A868:$Z868,MATCH('Counts'!$B$44,$A$1:$Z$1,0))&amp;""),""))</f>
        <v/>
      </c>
      <c r="AE868" s="41">
        <f>IF(TRIM('Cross-tab'!$B$5&amp;"")="","",IFERROR(TRIM(INDEX($A868:$Z868,MATCH('Cross-tab'!$B$5,$A$1:$Z$1,0))&amp;""),""))</f>
        <v/>
      </c>
      <c r="AF868" s="41">
        <f>IF(TRIM('Cross-tab'!$B$7&amp;"")="","",IFERROR(TRIM(INDEX($A868:$Z868,MATCH('Cross-tab'!$B$7,$A$1:$Z$1,0))&amp;""),""))</f>
        <v/>
      </c>
      <c r="AG868" s="41">
        <f>IF(ISNUMBER(IFERROR(VALUE(IF(TRIM('Scale score'!$B$5&amp;"")="","",IFERROR(TRIM(INDEX($A868:$Z868,MATCH('Scale score'!$B$5,$A$1:$Z$1,0))&amp;""),""))),"")),IF(AND(IFERROR(VALUE(IF(TRIM('Scale score'!$B$5&amp;"")="","",IFERROR(TRIM(INDEX($A868:$Z868,MATCH('Scale score'!$B$5,$A$1:$Z$1,0))&amp;""),""))),"")&gt;='Scale score'!$B$6,IFERROR(VALUE(IF(TRIM('Scale score'!$B$5&amp;"")="","",IFERROR(TRIM(INDEX($A868:$Z868,MATCH('Scale score'!$B$5,$A$1:$Z$1,0))&amp;""),""))),"")&lt;='Scale score'!$B$7),IFERROR(VALUE(IF(TRIM('Scale score'!$B$5&amp;"")="","",IFERROR(TRIM(INDEX($A868:$Z868,MATCH('Scale score'!$B$5,$A$1:$Z$1,0))&amp;""),""))),""),""),"")</f>
        <v/>
      </c>
      <c r="AH868" s="41">
        <f>IF(TRIM('Open answers'!$B$5&amp;"")="","",IFERROR(TRIM(INDEX($A868:$Z868,MATCH('Open answers'!$B$5,$A$1:$Z$1,0))&amp;""),""))</f>
        <v/>
      </c>
      <c r="AI868" s="41">
        <f>IF(LEN(AH868)&gt;0,MAX($AI$1:AI867)+1,"")</f>
        <v/>
      </c>
    </row>
    <row r="869">
      <c r="AA869" s="40" t="n"/>
      <c r="AB869" s="41">
        <f>IF(TRIM('Counts'!$B$8&amp;"")="","",IFERROR(TRIM(INDEX($A869:$Z869,MATCH('Counts'!$B$8,$A$1:$Z$1,0))&amp;""),""))</f>
        <v/>
      </c>
      <c r="AC869" s="41">
        <f>IF(TRIM('Counts'!$B$26&amp;"")="","",IFERROR(TRIM(INDEX($A869:$Z869,MATCH('Counts'!$B$26,$A$1:$Z$1,0))&amp;""),""))</f>
        <v/>
      </c>
      <c r="AD869" s="41">
        <f>IF(TRIM('Counts'!$B$44&amp;"")="","",IFERROR(TRIM(INDEX($A869:$Z869,MATCH('Counts'!$B$44,$A$1:$Z$1,0))&amp;""),""))</f>
        <v/>
      </c>
      <c r="AE869" s="41">
        <f>IF(TRIM('Cross-tab'!$B$5&amp;"")="","",IFERROR(TRIM(INDEX($A869:$Z869,MATCH('Cross-tab'!$B$5,$A$1:$Z$1,0))&amp;""),""))</f>
        <v/>
      </c>
      <c r="AF869" s="41">
        <f>IF(TRIM('Cross-tab'!$B$7&amp;"")="","",IFERROR(TRIM(INDEX($A869:$Z869,MATCH('Cross-tab'!$B$7,$A$1:$Z$1,0))&amp;""),""))</f>
        <v/>
      </c>
      <c r="AG869" s="41">
        <f>IF(ISNUMBER(IFERROR(VALUE(IF(TRIM('Scale score'!$B$5&amp;"")="","",IFERROR(TRIM(INDEX($A869:$Z869,MATCH('Scale score'!$B$5,$A$1:$Z$1,0))&amp;""),""))),"")),IF(AND(IFERROR(VALUE(IF(TRIM('Scale score'!$B$5&amp;"")="","",IFERROR(TRIM(INDEX($A869:$Z869,MATCH('Scale score'!$B$5,$A$1:$Z$1,0))&amp;""),""))),"")&gt;='Scale score'!$B$6,IFERROR(VALUE(IF(TRIM('Scale score'!$B$5&amp;"")="","",IFERROR(TRIM(INDEX($A869:$Z869,MATCH('Scale score'!$B$5,$A$1:$Z$1,0))&amp;""),""))),"")&lt;='Scale score'!$B$7),IFERROR(VALUE(IF(TRIM('Scale score'!$B$5&amp;"")="","",IFERROR(TRIM(INDEX($A869:$Z869,MATCH('Scale score'!$B$5,$A$1:$Z$1,0))&amp;""),""))),""),""),"")</f>
        <v/>
      </c>
      <c r="AH869" s="41">
        <f>IF(TRIM('Open answers'!$B$5&amp;"")="","",IFERROR(TRIM(INDEX($A869:$Z869,MATCH('Open answers'!$B$5,$A$1:$Z$1,0))&amp;""),""))</f>
        <v/>
      </c>
      <c r="AI869" s="41">
        <f>IF(LEN(AH869)&gt;0,MAX($AI$1:AI868)+1,"")</f>
        <v/>
      </c>
    </row>
    <row r="870">
      <c r="AA870" s="40" t="n"/>
      <c r="AB870" s="41">
        <f>IF(TRIM('Counts'!$B$8&amp;"")="","",IFERROR(TRIM(INDEX($A870:$Z870,MATCH('Counts'!$B$8,$A$1:$Z$1,0))&amp;""),""))</f>
        <v/>
      </c>
      <c r="AC870" s="41">
        <f>IF(TRIM('Counts'!$B$26&amp;"")="","",IFERROR(TRIM(INDEX($A870:$Z870,MATCH('Counts'!$B$26,$A$1:$Z$1,0))&amp;""),""))</f>
        <v/>
      </c>
      <c r="AD870" s="41">
        <f>IF(TRIM('Counts'!$B$44&amp;"")="","",IFERROR(TRIM(INDEX($A870:$Z870,MATCH('Counts'!$B$44,$A$1:$Z$1,0))&amp;""),""))</f>
        <v/>
      </c>
      <c r="AE870" s="41">
        <f>IF(TRIM('Cross-tab'!$B$5&amp;"")="","",IFERROR(TRIM(INDEX($A870:$Z870,MATCH('Cross-tab'!$B$5,$A$1:$Z$1,0))&amp;""),""))</f>
        <v/>
      </c>
      <c r="AF870" s="41">
        <f>IF(TRIM('Cross-tab'!$B$7&amp;"")="","",IFERROR(TRIM(INDEX($A870:$Z870,MATCH('Cross-tab'!$B$7,$A$1:$Z$1,0))&amp;""),""))</f>
        <v/>
      </c>
      <c r="AG870" s="41">
        <f>IF(ISNUMBER(IFERROR(VALUE(IF(TRIM('Scale score'!$B$5&amp;"")="","",IFERROR(TRIM(INDEX($A870:$Z870,MATCH('Scale score'!$B$5,$A$1:$Z$1,0))&amp;""),""))),"")),IF(AND(IFERROR(VALUE(IF(TRIM('Scale score'!$B$5&amp;"")="","",IFERROR(TRIM(INDEX($A870:$Z870,MATCH('Scale score'!$B$5,$A$1:$Z$1,0))&amp;""),""))),"")&gt;='Scale score'!$B$6,IFERROR(VALUE(IF(TRIM('Scale score'!$B$5&amp;"")="","",IFERROR(TRIM(INDEX($A870:$Z870,MATCH('Scale score'!$B$5,$A$1:$Z$1,0))&amp;""),""))),"")&lt;='Scale score'!$B$7),IFERROR(VALUE(IF(TRIM('Scale score'!$B$5&amp;"")="","",IFERROR(TRIM(INDEX($A870:$Z870,MATCH('Scale score'!$B$5,$A$1:$Z$1,0))&amp;""),""))),""),""),"")</f>
        <v/>
      </c>
      <c r="AH870" s="41">
        <f>IF(TRIM('Open answers'!$B$5&amp;"")="","",IFERROR(TRIM(INDEX($A870:$Z870,MATCH('Open answers'!$B$5,$A$1:$Z$1,0))&amp;""),""))</f>
        <v/>
      </c>
      <c r="AI870" s="41">
        <f>IF(LEN(AH870)&gt;0,MAX($AI$1:AI869)+1,"")</f>
        <v/>
      </c>
    </row>
    <row r="871">
      <c r="AA871" s="40" t="n"/>
      <c r="AB871" s="41">
        <f>IF(TRIM('Counts'!$B$8&amp;"")="","",IFERROR(TRIM(INDEX($A871:$Z871,MATCH('Counts'!$B$8,$A$1:$Z$1,0))&amp;""),""))</f>
        <v/>
      </c>
      <c r="AC871" s="41">
        <f>IF(TRIM('Counts'!$B$26&amp;"")="","",IFERROR(TRIM(INDEX($A871:$Z871,MATCH('Counts'!$B$26,$A$1:$Z$1,0))&amp;""),""))</f>
        <v/>
      </c>
      <c r="AD871" s="41">
        <f>IF(TRIM('Counts'!$B$44&amp;"")="","",IFERROR(TRIM(INDEX($A871:$Z871,MATCH('Counts'!$B$44,$A$1:$Z$1,0))&amp;""),""))</f>
        <v/>
      </c>
      <c r="AE871" s="41">
        <f>IF(TRIM('Cross-tab'!$B$5&amp;"")="","",IFERROR(TRIM(INDEX($A871:$Z871,MATCH('Cross-tab'!$B$5,$A$1:$Z$1,0))&amp;""),""))</f>
        <v/>
      </c>
      <c r="AF871" s="41">
        <f>IF(TRIM('Cross-tab'!$B$7&amp;"")="","",IFERROR(TRIM(INDEX($A871:$Z871,MATCH('Cross-tab'!$B$7,$A$1:$Z$1,0))&amp;""),""))</f>
        <v/>
      </c>
      <c r="AG871" s="41">
        <f>IF(ISNUMBER(IFERROR(VALUE(IF(TRIM('Scale score'!$B$5&amp;"")="","",IFERROR(TRIM(INDEX($A871:$Z871,MATCH('Scale score'!$B$5,$A$1:$Z$1,0))&amp;""),""))),"")),IF(AND(IFERROR(VALUE(IF(TRIM('Scale score'!$B$5&amp;"")="","",IFERROR(TRIM(INDEX($A871:$Z871,MATCH('Scale score'!$B$5,$A$1:$Z$1,0))&amp;""),""))),"")&gt;='Scale score'!$B$6,IFERROR(VALUE(IF(TRIM('Scale score'!$B$5&amp;"")="","",IFERROR(TRIM(INDEX($A871:$Z871,MATCH('Scale score'!$B$5,$A$1:$Z$1,0))&amp;""),""))),"")&lt;='Scale score'!$B$7),IFERROR(VALUE(IF(TRIM('Scale score'!$B$5&amp;"")="","",IFERROR(TRIM(INDEX($A871:$Z871,MATCH('Scale score'!$B$5,$A$1:$Z$1,0))&amp;""),""))),""),""),"")</f>
        <v/>
      </c>
      <c r="AH871" s="41">
        <f>IF(TRIM('Open answers'!$B$5&amp;"")="","",IFERROR(TRIM(INDEX($A871:$Z871,MATCH('Open answers'!$B$5,$A$1:$Z$1,0))&amp;""),""))</f>
        <v/>
      </c>
      <c r="AI871" s="41">
        <f>IF(LEN(AH871)&gt;0,MAX($AI$1:AI870)+1,"")</f>
        <v/>
      </c>
    </row>
    <row r="872">
      <c r="AA872" s="40" t="n"/>
      <c r="AB872" s="41">
        <f>IF(TRIM('Counts'!$B$8&amp;"")="","",IFERROR(TRIM(INDEX($A872:$Z872,MATCH('Counts'!$B$8,$A$1:$Z$1,0))&amp;""),""))</f>
        <v/>
      </c>
      <c r="AC872" s="41">
        <f>IF(TRIM('Counts'!$B$26&amp;"")="","",IFERROR(TRIM(INDEX($A872:$Z872,MATCH('Counts'!$B$26,$A$1:$Z$1,0))&amp;""),""))</f>
        <v/>
      </c>
      <c r="AD872" s="41">
        <f>IF(TRIM('Counts'!$B$44&amp;"")="","",IFERROR(TRIM(INDEX($A872:$Z872,MATCH('Counts'!$B$44,$A$1:$Z$1,0))&amp;""),""))</f>
        <v/>
      </c>
      <c r="AE872" s="41">
        <f>IF(TRIM('Cross-tab'!$B$5&amp;"")="","",IFERROR(TRIM(INDEX($A872:$Z872,MATCH('Cross-tab'!$B$5,$A$1:$Z$1,0))&amp;""),""))</f>
        <v/>
      </c>
      <c r="AF872" s="41">
        <f>IF(TRIM('Cross-tab'!$B$7&amp;"")="","",IFERROR(TRIM(INDEX($A872:$Z872,MATCH('Cross-tab'!$B$7,$A$1:$Z$1,0))&amp;""),""))</f>
        <v/>
      </c>
      <c r="AG872" s="41">
        <f>IF(ISNUMBER(IFERROR(VALUE(IF(TRIM('Scale score'!$B$5&amp;"")="","",IFERROR(TRIM(INDEX($A872:$Z872,MATCH('Scale score'!$B$5,$A$1:$Z$1,0))&amp;""),""))),"")),IF(AND(IFERROR(VALUE(IF(TRIM('Scale score'!$B$5&amp;"")="","",IFERROR(TRIM(INDEX($A872:$Z872,MATCH('Scale score'!$B$5,$A$1:$Z$1,0))&amp;""),""))),"")&gt;='Scale score'!$B$6,IFERROR(VALUE(IF(TRIM('Scale score'!$B$5&amp;"")="","",IFERROR(TRIM(INDEX($A872:$Z872,MATCH('Scale score'!$B$5,$A$1:$Z$1,0))&amp;""),""))),"")&lt;='Scale score'!$B$7),IFERROR(VALUE(IF(TRIM('Scale score'!$B$5&amp;"")="","",IFERROR(TRIM(INDEX($A872:$Z872,MATCH('Scale score'!$B$5,$A$1:$Z$1,0))&amp;""),""))),""),""),"")</f>
        <v/>
      </c>
      <c r="AH872" s="41">
        <f>IF(TRIM('Open answers'!$B$5&amp;"")="","",IFERROR(TRIM(INDEX($A872:$Z872,MATCH('Open answers'!$B$5,$A$1:$Z$1,0))&amp;""),""))</f>
        <v/>
      </c>
      <c r="AI872" s="41">
        <f>IF(LEN(AH872)&gt;0,MAX($AI$1:AI871)+1,"")</f>
        <v/>
      </c>
    </row>
    <row r="873">
      <c r="AA873" s="40" t="n"/>
      <c r="AB873" s="41">
        <f>IF(TRIM('Counts'!$B$8&amp;"")="","",IFERROR(TRIM(INDEX($A873:$Z873,MATCH('Counts'!$B$8,$A$1:$Z$1,0))&amp;""),""))</f>
        <v/>
      </c>
      <c r="AC873" s="41">
        <f>IF(TRIM('Counts'!$B$26&amp;"")="","",IFERROR(TRIM(INDEX($A873:$Z873,MATCH('Counts'!$B$26,$A$1:$Z$1,0))&amp;""),""))</f>
        <v/>
      </c>
      <c r="AD873" s="41">
        <f>IF(TRIM('Counts'!$B$44&amp;"")="","",IFERROR(TRIM(INDEX($A873:$Z873,MATCH('Counts'!$B$44,$A$1:$Z$1,0))&amp;""),""))</f>
        <v/>
      </c>
      <c r="AE873" s="41">
        <f>IF(TRIM('Cross-tab'!$B$5&amp;"")="","",IFERROR(TRIM(INDEX($A873:$Z873,MATCH('Cross-tab'!$B$5,$A$1:$Z$1,0))&amp;""),""))</f>
        <v/>
      </c>
      <c r="AF873" s="41">
        <f>IF(TRIM('Cross-tab'!$B$7&amp;"")="","",IFERROR(TRIM(INDEX($A873:$Z873,MATCH('Cross-tab'!$B$7,$A$1:$Z$1,0))&amp;""),""))</f>
        <v/>
      </c>
      <c r="AG873" s="41">
        <f>IF(ISNUMBER(IFERROR(VALUE(IF(TRIM('Scale score'!$B$5&amp;"")="","",IFERROR(TRIM(INDEX($A873:$Z873,MATCH('Scale score'!$B$5,$A$1:$Z$1,0))&amp;""),""))),"")),IF(AND(IFERROR(VALUE(IF(TRIM('Scale score'!$B$5&amp;"")="","",IFERROR(TRIM(INDEX($A873:$Z873,MATCH('Scale score'!$B$5,$A$1:$Z$1,0))&amp;""),""))),"")&gt;='Scale score'!$B$6,IFERROR(VALUE(IF(TRIM('Scale score'!$B$5&amp;"")="","",IFERROR(TRIM(INDEX($A873:$Z873,MATCH('Scale score'!$B$5,$A$1:$Z$1,0))&amp;""),""))),"")&lt;='Scale score'!$B$7),IFERROR(VALUE(IF(TRIM('Scale score'!$B$5&amp;"")="","",IFERROR(TRIM(INDEX($A873:$Z873,MATCH('Scale score'!$B$5,$A$1:$Z$1,0))&amp;""),""))),""),""),"")</f>
        <v/>
      </c>
      <c r="AH873" s="41">
        <f>IF(TRIM('Open answers'!$B$5&amp;"")="","",IFERROR(TRIM(INDEX($A873:$Z873,MATCH('Open answers'!$B$5,$A$1:$Z$1,0))&amp;""),""))</f>
        <v/>
      </c>
      <c r="AI873" s="41">
        <f>IF(LEN(AH873)&gt;0,MAX($AI$1:AI872)+1,"")</f>
        <v/>
      </c>
    </row>
    <row r="874">
      <c r="AA874" s="40" t="n"/>
      <c r="AB874" s="41">
        <f>IF(TRIM('Counts'!$B$8&amp;"")="","",IFERROR(TRIM(INDEX($A874:$Z874,MATCH('Counts'!$B$8,$A$1:$Z$1,0))&amp;""),""))</f>
        <v/>
      </c>
      <c r="AC874" s="41">
        <f>IF(TRIM('Counts'!$B$26&amp;"")="","",IFERROR(TRIM(INDEX($A874:$Z874,MATCH('Counts'!$B$26,$A$1:$Z$1,0))&amp;""),""))</f>
        <v/>
      </c>
      <c r="AD874" s="41">
        <f>IF(TRIM('Counts'!$B$44&amp;"")="","",IFERROR(TRIM(INDEX($A874:$Z874,MATCH('Counts'!$B$44,$A$1:$Z$1,0))&amp;""),""))</f>
        <v/>
      </c>
      <c r="AE874" s="41">
        <f>IF(TRIM('Cross-tab'!$B$5&amp;"")="","",IFERROR(TRIM(INDEX($A874:$Z874,MATCH('Cross-tab'!$B$5,$A$1:$Z$1,0))&amp;""),""))</f>
        <v/>
      </c>
      <c r="AF874" s="41">
        <f>IF(TRIM('Cross-tab'!$B$7&amp;"")="","",IFERROR(TRIM(INDEX($A874:$Z874,MATCH('Cross-tab'!$B$7,$A$1:$Z$1,0))&amp;""),""))</f>
        <v/>
      </c>
      <c r="AG874" s="41">
        <f>IF(ISNUMBER(IFERROR(VALUE(IF(TRIM('Scale score'!$B$5&amp;"")="","",IFERROR(TRIM(INDEX($A874:$Z874,MATCH('Scale score'!$B$5,$A$1:$Z$1,0))&amp;""),""))),"")),IF(AND(IFERROR(VALUE(IF(TRIM('Scale score'!$B$5&amp;"")="","",IFERROR(TRIM(INDEX($A874:$Z874,MATCH('Scale score'!$B$5,$A$1:$Z$1,0))&amp;""),""))),"")&gt;='Scale score'!$B$6,IFERROR(VALUE(IF(TRIM('Scale score'!$B$5&amp;"")="","",IFERROR(TRIM(INDEX($A874:$Z874,MATCH('Scale score'!$B$5,$A$1:$Z$1,0))&amp;""),""))),"")&lt;='Scale score'!$B$7),IFERROR(VALUE(IF(TRIM('Scale score'!$B$5&amp;"")="","",IFERROR(TRIM(INDEX($A874:$Z874,MATCH('Scale score'!$B$5,$A$1:$Z$1,0))&amp;""),""))),""),""),"")</f>
        <v/>
      </c>
      <c r="AH874" s="41">
        <f>IF(TRIM('Open answers'!$B$5&amp;"")="","",IFERROR(TRIM(INDEX($A874:$Z874,MATCH('Open answers'!$B$5,$A$1:$Z$1,0))&amp;""),""))</f>
        <v/>
      </c>
      <c r="AI874" s="41">
        <f>IF(LEN(AH874)&gt;0,MAX($AI$1:AI873)+1,"")</f>
        <v/>
      </c>
    </row>
    <row r="875">
      <c r="AA875" s="40" t="n"/>
      <c r="AB875" s="41">
        <f>IF(TRIM('Counts'!$B$8&amp;"")="","",IFERROR(TRIM(INDEX($A875:$Z875,MATCH('Counts'!$B$8,$A$1:$Z$1,0))&amp;""),""))</f>
        <v/>
      </c>
      <c r="AC875" s="41">
        <f>IF(TRIM('Counts'!$B$26&amp;"")="","",IFERROR(TRIM(INDEX($A875:$Z875,MATCH('Counts'!$B$26,$A$1:$Z$1,0))&amp;""),""))</f>
        <v/>
      </c>
      <c r="AD875" s="41">
        <f>IF(TRIM('Counts'!$B$44&amp;"")="","",IFERROR(TRIM(INDEX($A875:$Z875,MATCH('Counts'!$B$44,$A$1:$Z$1,0))&amp;""),""))</f>
        <v/>
      </c>
      <c r="AE875" s="41">
        <f>IF(TRIM('Cross-tab'!$B$5&amp;"")="","",IFERROR(TRIM(INDEX($A875:$Z875,MATCH('Cross-tab'!$B$5,$A$1:$Z$1,0))&amp;""),""))</f>
        <v/>
      </c>
      <c r="AF875" s="41">
        <f>IF(TRIM('Cross-tab'!$B$7&amp;"")="","",IFERROR(TRIM(INDEX($A875:$Z875,MATCH('Cross-tab'!$B$7,$A$1:$Z$1,0))&amp;""),""))</f>
        <v/>
      </c>
      <c r="AG875" s="41">
        <f>IF(ISNUMBER(IFERROR(VALUE(IF(TRIM('Scale score'!$B$5&amp;"")="","",IFERROR(TRIM(INDEX($A875:$Z875,MATCH('Scale score'!$B$5,$A$1:$Z$1,0))&amp;""),""))),"")),IF(AND(IFERROR(VALUE(IF(TRIM('Scale score'!$B$5&amp;"")="","",IFERROR(TRIM(INDEX($A875:$Z875,MATCH('Scale score'!$B$5,$A$1:$Z$1,0))&amp;""),""))),"")&gt;='Scale score'!$B$6,IFERROR(VALUE(IF(TRIM('Scale score'!$B$5&amp;"")="","",IFERROR(TRIM(INDEX($A875:$Z875,MATCH('Scale score'!$B$5,$A$1:$Z$1,0))&amp;""),""))),"")&lt;='Scale score'!$B$7),IFERROR(VALUE(IF(TRIM('Scale score'!$B$5&amp;"")="","",IFERROR(TRIM(INDEX($A875:$Z875,MATCH('Scale score'!$B$5,$A$1:$Z$1,0))&amp;""),""))),""),""),"")</f>
        <v/>
      </c>
      <c r="AH875" s="41">
        <f>IF(TRIM('Open answers'!$B$5&amp;"")="","",IFERROR(TRIM(INDEX($A875:$Z875,MATCH('Open answers'!$B$5,$A$1:$Z$1,0))&amp;""),""))</f>
        <v/>
      </c>
      <c r="AI875" s="41">
        <f>IF(LEN(AH875)&gt;0,MAX($AI$1:AI874)+1,"")</f>
        <v/>
      </c>
    </row>
    <row r="876">
      <c r="AA876" s="40" t="n"/>
      <c r="AB876" s="41">
        <f>IF(TRIM('Counts'!$B$8&amp;"")="","",IFERROR(TRIM(INDEX($A876:$Z876,MATCH('Counts'!$B$8,$A$1:$Z$1,0))&amp;""),""))</f>
        <v/>
      </c>
      <c r="AC876" s="41">
        <f>IF(TRIM('Counts'!$B$26&amp;"")="","",IFERROR(TRIM(INDEX($A876:$Z876,MATCH('Counts'!$B$26,$A$1:$Z$1,0))&amp;""),""))</f>
        <v/>
      </c>
      <c r="AD876" s="41">
        <f>IF(TRIM('Counts'!$B$44&amp;"")="","",IFERROR(TRIM(INDEX($A876:$Z876,MATCH('Counts'!$B$44,$A$1:$Z$1,0))&amp;""),""))</f>
        <v/>
      </c>
      <c r="AE876" s="41">
        <f>IF(TRIM('Cross-tab'!$B$5&amp;"")="","",IFERROR(TRIM(INDEX($A876:$Z876,MATCH('Cross-tab'!$B$5,$A$1:$Z$1,0))&amp;""),""))</f>
        <v/>
      </c>
      <c r="AF876" s="41">
        <f>IF(TRIM('Cross-tab'!$B$7&amp;"")="","",IFERROR(TRIM(INDEX($A876:$Z876,MATCH('Cross-tab'!$B$7,$A$1:$Z$1,0))&amp;""),""))</f>
        <v/>
      </c>
      <c r="AG876" s="41">
        <f>IF(ISNUMBER(IFERROR(VALUE(IF(TRIM('Scale score'!$B$5&amp;"")="","",IFERROR(TRIM(INDEX($A876:$Z876,MATCH('Scale score'!$B$5,$A$1:$Z$1,0))&amp;""),""))),"")),IF(AND(IFERROR(VALUE(IF(TRIM('Scale score'!$B$5&amp;"")="","",IFERROR(TRIM(INDEX($A876:$Z876,MATCH('Scale score'!$B$5,$A$1:$Z$1,0))&amp;""),""))),"")&gt;='Scale score'!$B$6,IFERROR(VALUE(IF(TRIM('Scale score'!$B$5&amp;"")="","",IFERROR(TRIM(INDEX($A876:$Z876,MATCH('Scale score'!$B$5,$A$1:$Z$1,0))&amp;""),""))),"")&lt;='Scale score'!$B$7),IFERROR(VALUE(IF(TRIM('Scale score'!$B$5&amp;"")="","",IFERROR(TRIM(INDEX($A876:$Z876,MATCH('Scale score'!$B$5,$A$1:$Z$1,0))&amp;""),""))),""),""),"")</f>
        <v/>
      </c>
      <c r="AH876" s="41">
        <f>IF(TRIM('Open answers'!$B$5&amp;"")="","",IFERROR(TRIM(INDEX($A876:$Z876,MATCH('Open answers'!$B$5,$A$1:$Z$1,0))&amp;""),""))</f>
        <v/>
      </c>
      <c r="AI876" s="41">
        <f>IF(LEN(AH876)&gt;0,MAX($AI$1:AI875)+1,"")</f>
        <v/>
      </c>
    </row>
    <row r="877">
      <c r="AA877" s="40" t="n"/>
      <c r="AB877" s="41">
        <f>IF(TRIM('Counts'!$B$8&amp;"")="","",IFERROR(TRIM(INDEX($A877:$Z877,MATCH('Counts'!$B$8,$A$1:$Z$1,0))&amp;""),""))</f>
        <v/>
      </c>
      <c r="AC877" s="41">
        <f>IF(TRIM('Counts'!$B$26&amp;"")="","",IFERROR(TRIM(INDEX($A877:$Z877,MATCH('Counts'!$B$26,$A$1:$Z$1,0))&amp;""),""))</f>
        <v/>
      </c>
      <c r="AD877" s="41">
        <f>IF(TRIM('Counts'!$B$44&amp;"")="","",IFERROR(TRIM(INDEX($A877:$Z877,MATCH('Counts'!$B$44,$A$1:$Z$1,0))&amp;""),""))</f>
        <v/>
      </c>
      <c r="AE877" s="41">
        <f>IF(TRIM('Cross-tab'!$B$5&amp;"")="","",IFERROR(TRIM(INDEX($A877:$Z877,MATCH('Cross-tab'!$B$5,$A$1:$Z$1,0))&amp;""),""))</f>
        <v/>
      </c>
      <c r="AF877" s="41">
        <f>IF(TRIM('Cross-tab'!$B$7&amp;"")="","",IFERROR(TRIM(INDEX($A877:$Z877,MATCH('Cross-tab'!$B$7,$A$1:$Z$1,0))&amp;""),""))</f>
        <v/>
      </c>
      <c r="AG877" s="41">
        <f>IF(ISNUMBER(IFERROR(VALUE(IF(TRIM('Scale score'!$B$5&amp;"")="","",IFERROR(TRIM(INDEX($A877:$Z877,MATCH('Scale score'!$B$5,$A$1:$Z$1,0))&amp;""),""))),"")),IF(AND(IFERROR(VALUE(IF(TRIM('Scale score'!$B$5&amp;"")="","",IFERROR(TRIM(INDEX($A877:$Z877,MATCH('Scale score'!$B$5,$A$1:$Z$1,0))&amp;""),""))),"")&gt;='Scale score'!$B$6,IFERROR(VALUE(IF(TRIM('Scale score'!$B$5&amp;"")="","",IFERROR(TRIM(INDEX($A877:$Z877,MATCH('Scale score'!$B$5,$A$1:$Z$1,0))&amp;""),""))),"")&lt;='Scale score'!$B$7),IFERROR(VALUE(IF(TRIM('Scale score'!$B$5&amp;"")="","",IFERROR(TRIM(INDEX($A877:$Z877,MATCH('Scale score'!$B$5,$A$1:$Z$1,0))&amp;""),""))),""),""),"")</f>
        <v/>
      </c>
      <c r="AH877" s="41">
        <f>IF(TRIM('Open answers'!$B$5&amp;"")="","",IFERROR(TRIM(INDEX($A877:$Z877,MATCH('Open answers'!$B$5,$A$1:$Z$1,0))&amp;""),""))</f>
        <v/>
      </c>
      <c r="AI877" s="41">
        <f>IF(LEN(AH877)&gt;0,MAX($AI$1:AI876)+1,"")</f>
        <v/>
      </c>
    </row>
    <row r="878">
      <c r="AA878" s="40" t="n"/>
      <c r="AB878" s="41">
        <f>IF(TRIM('Counts'!$B$8&amp;"")="","",IFERROR(TRIM(INDEX($A878:$Z878,MATCH('Counts'!$B$8,$A$1:$Z$1,0))&amp;""),""))</f>
        <v/>
      </c>
      <c r="AC878" s="41">
        <f>IF(TRIM('Counts'!$B$26&amp;"")="","",IFERROR(TRIM(INDEX($A878:$Z878,MATCH('Counts'!$B$26,$A$1:$Z$1,0))&amp;""),""))</f>
        <v/>
      </c>
      <c r="AD878" s="41">
        <f>IF(TRIM('Counts'!$B$44&amp;"")="","",IFERROR(TRIM(INDEX($A878:$Z878,MATCH('Counts'!$B$44,$A$1:$Z$1,0))&amp;""),""))</f>
        <v/>
      </c>
      <c r="AE878" s="41">
        <f>IF(TRIM('Cross-tab'!$B$5&amp;"")="","",IFERROR(TRIM(INDEX($A878:$Z878,MATCH('Cross-tab'!$B$5,$A$1:$Z$1,0))&amp;""),""))</f>
        <v/>
      </c>
      <c r="AF878" s="41">
        <f>IF(TRIM('Cross-tab'!$B$7&amp;"")="","",IFERROR(TRIM(INDEX($A878:$Z878,MATCH('Cross-tab'!$B$7,$A$1:$Z$1,0))&amp;""),""))</f>
        <v/>
      </c>
      <c r="AG878" s="41">
        <f>IF(ISNUMBER(IFERROR(VALUE(IF(TRIM('Scale score'!$B$5&amp;"")="","",IFERROR(TRIM(INDEX($A878:$Z878,MATCH('Scale score'!$B$5,$A$1:$Z$1,0))&amp;""),""))),"")),IF(AND(IFERROR(VALUE(IF(TRIM('Scale score'!$B$5&amp;"")="","",IFERROR(TRIM(INDEX($A878:$Z878,MATCH('Scale score'!$B$5,$A$1:$Z$1,0))&amp;""),""))),"")&gt;='Scale score'!$B$6,IFERROR(VALUE(IF(TRIM('Scale score'!$B$5&amp;"")="","",IFERROR(TRIM(INDEX($A878:$Z878,MATCH('Scale score'!$B$5,$A$1:$Z$1,0))&amp;""),""))),"")&lt;='Scale score'!$B$7),IFERROR(VALUE(IF(TRIM('Scale score'!$B$5&amp;"")="","",IFERROR(TRIM(INDEX($A878:$Z878,MATCH('Scale score'!$B$5,$A$1:$Z$1,0))&amp;""),""))),""),""),"")</f>
        <v/>
      </c>
      <c r="AH878" s="41">
        <f>IF(TRIM('Open answers'!$B$5&amp;"")="","",IFERROR(TRIM(INDEX($A878:$Z878,MATCH('Open answers'!$B$5,$A$1:$Z$1,0))&amp;""),""))</f>
        <v/>
      </c>
      <c r="AI878" s="41">
        <f>IF(LEN(AH878)&gt;0,MAX($AI$1:AI877)+1,"")</f>
        <v/>
      </c>
    </row>
    <row r="879">
      <c r="AA879" s="40" t="n"/>
      <c r="AB879" s="41">
        <f>IF(TRIM('Counts'!$B$8&amp;"")="","",IFERROR(TRIM(INDEX($A879:$Z879,MATCH('Counts'!$B$8,$A$1:$Z$1,0))&amp;""),""))</f>
        <v/>
      </c>
      <c r="AC879" s="41">
        <f>IF(TRIM('Counts'!$B$26&amp;"")="","",IFERROR(TRIM(INDEX($A879:$Z879,MATCH('Counts'!$B$26,$A$1:$Z$1,0))&amp;""),""))</f>
        <v/>
      </c>
      <c r="AD879" s="41">
        <f>IF(TRIM('Counts'!$B$44&amp;"")="","",IFERROR(TRIM(INDEX($A879:$Z879,MATCH('Counts'!$B$44,$A$1:$Z$1,0))&amp;""),""))</f>
        <v/>
      </c>
      <c r="AE879" s="41">
        <f>IF(TRIM('Cross-tab'!$B$5&amp;"")="","",IFERROR(TRIM(INDEX($A879:$Z879,MATCH('Cross-tab'!$B$5,$A$1:$Z$1,0))&amp;""),""))</f>
        <v/>
      </c>
      <c r="AF879" s="41">
        <f>IF(TRIM('Cross-tab'!$B$7&amp;"")="","",IFERROR(TRIM(INDEX($A879:$Z879,MATCH('Cross-tab'!$B$7,$A$1:$Z$1,0))&amp;""),""))</f>
        <v/>
      </c>
      <c r="AG879" s="41">
        <f>IF(ISNUMBER(IFERROR(VALUE(IF(TRIM('Scale score'!$B$5&amp;"")="","",IFERROR(TRIM(INDEX($A879:$Z879,MATCH('Scale score'!$B$5,$A$1:$Z$1,0))&amp;""),""))),"")),IF(AND(IFERROR(VALUE(IF(TRIM('Scale score'!$B$5&amp;"")="","",IFERROR(TRIM(INDEX($A879:$Z879,MATCH('Scale score'!$B$5,$A$1:$Z$1,0))&amp;""),""))),"")&gt;='Scale score'!$B$6,IFERROR(VALUE(IF(TRIM('Scale score'!$B$5&amp;"")="","",IFERROR(TRIM(INDEX($A879:$Z879,MATCH('Scale score'!$B$5,$A$1:$Z$1,0))&amp;""),""))),"")&lt;='Scale score'!$B$7),IFERROR(VALUE(IF(TRIM('Scale score'!$B$5&amp;"")="","",IFERROR(TRIM(INDEX($A879:$Z879,MATCH('Scale score'!$B$5,$A$1:$Z$1,0))&amp;""),""))),""),""),"")</f>
        <v/>
      </c>
      <c r="AH879" s="41">
        <f>IF(TRIM('Open answers'!$B$5&amp;"")="","",IFERROR(TRIM(INDEX($A879:$Z879,MATCH('Open answers'!$B$5,$A$1:$Z$1,0))&amp;""),""))</f>
        <v/>
      </c>
      <c r="AI879" s="41">
        <f>IF(LEN(AH879)&gt;0,MAX($AI$1:AI878)+1,"")</f>
        <v/>
      </c>
    </row>
    <row r="880">
      <c r="AA880" s="40" t="n"/>
      <c r="AB880" s="41">
        <f>IF(TRIM('Counts'!$B$8&amp;"")="","",IFERROR(TRIM(INDEX($A880:$Z880,MATCH('Counts'!$B$8,$A$1:$Z$1,0))&amp;""),""))</f>
        <v/>
      </c>
      <c r="AC880" s="41">
        <f>IF(TRIM('Counts'!$B$26&amp;"")="","",IFERROR(TRIM(INDEX($A880:$Z880,MATCH('Counts'!$B$26,$A$1:$Z$1,0))&amp;""),""))</f>
        <v/>
      </c>
      <c r="AD880" s="41">
        <f>IF(TRIM('Counts'!$B$44&amp;"")="","",IFERROR(TRIM(INDEX($A880:$Z880,MATCH('Counts'!$B$44,$A$1:$Z$1,0))&amp;""),""))</f>
        <v/>
      </c>
      <c r="AE880" s="41">
        <f>IF(TRIM('Cross-tab'!$B$5&amp;"")="","",IFERROR(TRIM(INDEX($A880:$Z880,MATCH('Cross-tab'!$B$5,$A$1:$Z$1,0))&amp;""),""))</f>
        <v/>
      </c>
      <c r="AF880" s="41">
        <f>IF(TRIM('Cross-tab'!$B$7&amp;"")="","",IFERROR(TRIM(INDEX($A880:$Z880,MATCH('Cross-tab'!$B$7,$A$1:$Z$1,0))&amp;""),""))</f>
        <v/>
      </c>
      <c r="AG880" s="41">
        <f>IF(ISNUMBER(IFERROR(VALUE(IF(TRIM('Scale score'!$B$5&amp;"")="","",IFERROR(TRIM(INDEX($A880:$Z880,MATCH('Scale score'!$B$5,$A$1:$Z$1,0))&amp;""),""))),"")),IF(AND(IFERROR(VALUE(IF(TRIM('Scale score'!$B$5&amp;"")="","",IFERROR(TRIM(INDEX($A880:$Z880,MATCH('Scale score'!$B$5,$A$1:$Z$1,0))&amp;""),""))),"")&gt;='Scale score'!$B$6,IFERROR(VALUE(IF(TRIM('Scale score'!$B$5&amp;"")="","",IFERROR(TRIM(INDEX($A880:$Z880,MATCH('Scale score'!$B$5,$A$1:$Z$1,0))&amp;""),""))),"")&lt;='Scale score'!$B$7),IFERROR(VALUE(IF(TRIM('Scale score'!$B$5&amp;"")="","",IFERROR(TRIM(INDEX($A880:$Z880,MATCH('Scale score'!$B$5,$A$1:$Z$1,0))&amp;""),""))),""),""),"")</f>
        <v/>
      </c>
      <c r="AH880" s="41">
        <f>IF(TRIM('Open answers'!$B$5&amp;"")="","",IFERROR(TRIM(INDEX($A880:$Z880,MATCH('Open answers'!$B$5,$A$1:$Z$1,0))&amp;""),""))</f>
        <v/>
      </c>
      <c r="AI880" s="41">
        <f>IF(LEN(AH880)&gt;0,MAX($AI$1:AI879)+1,"")</f>
        <v/>
      </c>
    </row>
    <row r="881">
      <c r="AA881" s="40" t="n"/>
      <c r="AB881" s="41">
        <f>IF(TRIM('Counts'!$B$8&amp;"")="","",IFERROR(TRIM(INDEX($A881:$Z881,MATCH('Counts'!$B$8,$A$1:$Z$1,0))&amp;""),""))</f>
        <v/>
      </c>
      <c r="AC881" s="41">
        <f>IF(TRIM('Counts'!$B$26&amp;"")="","",IFERROR(TRIM(INDEX($A881:$Z881,MATCH('Counts'!$B$26,$A$1:$Z$1,0))&amp;""),""))</f>
        <v/>
      </c>
      <c r="AD881" s="41">
        <f>IF(TRIM('Counts'!$B$44&amp;"")="","",IFERROR(TRIM(INDEX($A881:$Z881,MATCH('Counts'!$B$44,$A$1:$Z$1,0))&amp;""),""))</f>
        <v/>
      </c>
      <c r="AE881" s="41">
        <f>IF(TRIM('Cross-tab'!$B$5&amp;"")="","",IFERROR(TRIM(INDEX($A881:$Z881,MATCH('Cross-tab'!$B$5,$A$1:$Z$1,0))&amp;""),""))</f>
        <v/>
      </c>
      <c r="AF881" s="41">
        <f>IF(TRIM('Cross-tab'!$B$7&amp;"")="","",IFERROR(TRIM(INDEX($A881:$Z881,MATCH('Cross-tab'!$B$7,$A$1:$Z$1,0))&amp;""),""))</f>
        <v/>
      </c>
      <c r="AG881" s="41">
        <f>IF(ISNUMBER(IFERROR(VALUE(IF(TRIM('Scale score'!$B$5&amp;"")="","",IFERROR(TRIM(INDEX($A881:$Z881,MATCH('Scale score'!$B$5,$A$1:$Z$1,0))&amp;""),""))),"")),IF(AND(IFERROR(VALUE(IF(TRIM('Scale score'!$B$5&amp;"")="","",IFERROR(TRIM(INDEX($A881:$Z881,MATCH('Scale score'!$B$5,$A$1:$Z$1,0))&amp;""),""))),"")&gt;='Scale score'!$B$6,IFERROR(VALUE(IF(TRIM('Scale score'!$B$5&amp;"")="","",IFERROR(TRIM(INDEX($A881:$Z881,MATCH('Scale score'!$B$5,$A$1:$Z$1,0))&amp;""),""))),"")&lt;='Scale score'!$B$7),IFERROR(VALUE(IF(TRIM('Scale score'!$B$5&amp;"")="","",IFERROR(TRIM(INDEX($A881:$Z881,MATCH('Scale score'!$B$5,$A$1:$Z$1,0))&amp;""),""))),""),""),"")</f>
        <v/>
      </c>
      <c r="AH881" s="41">
        <f>IF(TRIM('Open answers'!$B$5&amp;"")="","",IFERROR(TRIM(INDEX($A881:$Z881,MATCH('Open answers'!$B$5,$A$1:$Z$1,0))&amp;""),""))</f>
        <v/>
      </c>
      <c r="AI881" s="41">
        <f>IF(LEN(AH881)&gt;0,MAX($AI$1:AI880)+1,"")</f>
        <v/>
      </c>
    </row>
    <row r="882">
      <c r="AA882" s="40" t="n"/>
      <c r="AB882" s="41">
        <f>IF(TRIM('Counts'!$B$8&amp;"")="","",IFERROR(TRIM(INDEX($A882:$Z882,MATCH('Counts'!$B$8,$A$1:$Z$1,0))&amp;""),""))</f>
        <v/>
      </c>
      <c r="AC882" s="41">
        <f>IF(TRIM('Counts'!$B$26&amp;"")="","",IFERROR(TRIM(INDEX($A882:$Z882,MATCH('Counts'!$B$26,$A$1:$Z$1,0))&amp;""),""))</f>
        <v/>
      </c>
      <c r="AD882" s="41">
        <f>IF(TRIM('Counts'!$B$44&amp;"")="","",IFERROR(TRIM(INDEX($A882:$Z882,MATCH('Counts'!$B$44,$A$1:$Z$1,0))&amp;""),""))</f>
        <v/>
      </c>
      <c r="AE882" s="41">
        <f>IF(TRIM('Cross-tab'!$B$5&amp;"")="","",IFERROR(TRIM(INDEX($A882:$Z882,MATCH('Cross-tab'!$B$5,$A$1:$Z$1,0))&amp;""),""))</f>
        <v/>
      </c>
      <c r="AF882" s="41">
        <f>IF(TRIM('Cross-tab'!$B$7&amp;"")="","",IFERROR(TRIM(INDEX($A882:$Z882,MATCH('Cross-tab'!$B$7,$A$1:$Z$1,0))&amp;""),""))</f>
        <v/>
      </c>
      <c r="AG882" s="41">
        <f>IF(ISNUMBER(IFERROR(VALUE(IF(TRIM('Scale score'!$B$5&amp;"")="","",IFERROR(TRIM(INDEX($A882:$Z882,MATCH('Scale score'!$B$5,$A$1:$Z$1,0))&amp;""),""))),"")),IF(AND(IFERROR(VALUE(IF(TRIM('Scale score'!$B$5&amp;"")="","",IFERROR(TRIM(INDEX($A882:$Z882,MATCH('Scale score'!$B$5,$A$1:$Z$1,0))&amp;""),""))),"")&gt;='Scale score'!$B$6,IFERROR(VALUE(IF(TRIM('Scale score'!$B$5&amp;"")="","",IFERROR(TRIM(INDEX($A882:$Z882,MATCH('Scale score'!$B$5,$A$1:$Z$1,0))&amp;""),""))),"")&lt;='Scale score'!$B$7),IFERROR(VALUE(IF(TRIM('Scale score'!$B$5&amp;"")="","",IFERROR(TRIM(INDEX($A882:$Z882,MATCH('Scale score'!$B$5,$A$1:$Z$1,0))&amp;""),""))),""),""),"")</f>
        <v/>
      </c>
      <c r="AH882" s="41">
        <f>IF(TRIM('Open answers'!$B$5&amp;"")="","",IFERROR(TRIM(INDEX($A882:$Z882,MATCH('Open answers'!$B$5,$A$1:$Z$1,0))&amp;""),""))</f>
        <v/>
      </c>
      <c r="AI882" s="41">
        <f>IF(LEN(AH882)&gt;0,MAX($AI$1:AI881)+1,"")</f>
        <v/>
      </c>
    </row>
    <row r="883">
      <c r="AA883" s="40" t="n"/>
      <c r="AB883" s="41">
        <f>IF(TRIM('Counts'!$B$8&amp;"")="","",IFERROR(TRIM(INDEX($A883:$Z883,MATCH('Counts'!$B$8,$A$1:$Z$1,0))&amp;""),""))</f>
        <v/>
      </c>
      <c r="AC883" s="41">
        <f>IF(TRIM('Counts'!$B$26&amp;"")="","",IFERROR(TRIM(INDEX($A883:$Z883,MATCH('Counts'!$B$26,$A$1:$Z$1,0))&amp;""),""))</f>
        <v/>
      </c>
      <c r="AD883" s="41">
        <f>IF(TRIM('Counts'!$B$44&amp;"")="","",IFERROR(TRIM(INDEX($A883:$Z883,MATCH('Counts'!$B$44,$A$1:$Z$1,0))&amp;""),""))</f>
        <v/>
      </c>
      <c r="AE883" s="41">
        <f>IF(TRIM('Cross-tab'!$B$5&amp;"")="","",IFERROR(TRIM(INDEX($A883:$Z883,MATCH('Cross-tab'!$B$5,$A$1:$Z$1,0))&amp;""),""))</f>
        <v/>
      </c>
      <c r="AF883" s="41">
        <f>IF(TRIM('Cross-tab'!$B$7&amp;"")="","",IFERROR(TRIM(INDEX($A883:$Z883,MATCH('Cross-tab'!$B$7,$A$1:$Z$1,0))&amp;""),""))</f>
        <v/>
      </c>
      <c r="AG883" s="41">
        <f>IF(ISNUMBER(IFERROR(VALUE(IF(TRIM('Scale score'!$B$5&amp;"")="","",IFERROR(TRIM(INDEX($A883:$Z883,MATCH('Scale score'!$B$5,$A$1:$Z$1,0))&amp;""),""))),"")),IF(AND(IFERROR(VALUE(IF(TRIM('Scale score'!$B$5&amp;"")="","",IFERROR(TRIM(INDEX($A883:$Z883,MATCH('Scale score'!$B$5,$A$1:$Z$1,0))&amp;""),""))),"")&gt;='Scale score'!$B$6,IFERROR(VALUE(IF(TRIM('Scale score'!$B$5&amp;"")="","",IFERROR(TRIM(INDEX($A883:$Z883,MATCH('Scale score'!$B$5,$A$1:$Z$1,0))&amp;""),""))),"")&lt;='Scale score'!$B$7),IFERROR(VALUE(IF(TRIM('Scale score'!$B$5&amp;"")="","",IFERROR(TRIM(INDEX($A883:$Z883,MATCH('Scale score'!$B$5,$A$1:$Z$1,0))&amp;""),""))),""),""),"")</f>
        <v/>
      </c>
      <c r="AH883" s="41">
        <f>IF(TRIM('Open answers'!$B$5&amp;"")="","",IFERROR(TRIM(INDEX($A883:$Z883,MATCH('Open answers'!$B$5,$A$1:$Z$1,0))&amp;""),""))</f>
        <v/>
      </c>
      <c r="AI883" s="41">
        <f>IF(LEN(AH883)&gt;0,MAX($AI$1:AI882)+1,"")</f>
        <v/>
      </c>
    </row>
    <row r="884">
      <c r="AA884" s="40" t="n"/>
      <c r="AB884" s="41">
        <f>IF(TRIM('Counts'!$B$8&amp;"")="","",IFERROR(TRIM(INDEX($A884:$Z884,MATCH('Counts'!$B$8,$A$1:$Z$1,0))&amp;""),""))</f>
        <v/>
      </c>
      <c r="AC884" s="41">
        <f>IF(TRIM('Counts'!$B$26&amp;"")="","",IFERROR(TRIM(INDEX($A884:$Z884,MATCH('Counts'!$B$26,$A$1:$Z$1,0))&amp;""),""))</f>
        <v/>
      </c>
      <c r="AD884" s="41">
        <f>IF(TRIM('Counts'!$B$44&amp;"")="","",IFERROR(TRIM(INDEX($A884:$Z884,MATCH('Counts'!$B$44,$A$1:$Z$1,0))&amp;""),""))</f>
        <v/>
      </c>
      <c r="AE884" s="41">
        <f>IF(TRIM('Cross-tab'!$B$5&amp;"")="","",IFERROR(TRIM(INDEX($A884:$Z884,MATCH('Cross-tab'!$B$5,$A$1:$Z$1,0))&amp;""),""))</f>
        <v/>
      </c>
      <c r="AF884" s="41">
        <f>IF(TRIM('Cross-tab'!$B$7&amp;"")="","",IFERROR(TRIM(INDEX($A884:$Z884,MATCH('Cross-tab'!$B$7,$A$1:$Z$1,0))&amp;""),""))</f>
        <v/>
      </c>
      <c r="AG884" s="41">
        <f>IF(ISNUMBER(IFERROR(VALUE(IF(TRIM('Scale score'!$B$5&amp;"")="","",IFERROR(TRIM(INDEX($A884:$Z884,MATCH('Scale score'!$B$5,$A$1:$Z$1,0))&amp;""),""))),"")),IF(AND(IFERROR(VALUE(IF(TRIM('Scale score'!$B$5&amp;"")="","",IFERROR(TRIM(INDEX($A884:$Z884,MATCH('Scale score'!$B$5,$A$1:$Z$1,0))&amp;""),""))),"")&gt;='Scale score'!$B$6,IFERROR(VALUE(IF(TRIM('Scale score'!$B$5&amp;"")="","",IFERROR(TRIM(INDEX($A884:$Z884,MATCH('Scale score'!$B$5,$A$1:$Z$1,0))&amp;""),""))),"")&lt;='Scale score'!$B$7),IFERROR(VALUE(IF(TRIM('Scale score'!$B$5&amp;"")="","",IFERROR(TRIM(INDEX($A884:$Z884,MATCH('Scale score'!$B$5,$A$1:$Z$1,0))&amp;""),""))),""),""),"")</f>
        <v/>
      </c>
      <c r="AH884" s="41">
        <f>IF(TRIM('Open answers'!$B$5&amp;"")="","",IFERROR(TRIM(INDEX($A884:$Z884,MATCH('Open answers'!$B$5,$A$1:$Z$1,0))&amp;""),""))</f>
        <v/>
      </c>
      <c r="AI884" s="41">
        <f>IF(LEN(AH884)&gt;0,MAX($AI$1:AI883)+1,"")</f>
        <v/>
      </c>
    </row>
    <row r="885">
      <c r="AA885" s="40" t="n"/>
      <c r="AB885" s="41">
        <f>IF(TRIM('Counts'!$B$8&amp;"")="","",IFERROR(TRIM(INDEX($A885:$Z885,MATCH('Counts'!$B$8,$A$1:$Z$1,0))&amp;""),""))</f>
        <v/>
      </c>
      <c r="AC885" s="41">
        <f>IF(TRIM('Counts'!$B$26&amp;"")="","",IFERROR(TRIM(INDEX($A885:$Z885,MATCH('Counts'!$B$26,$A$1:$Z$1,0))&amp;""),""))</f>
        <v/>
      </c>
      <c r="AD885" s="41">
        <f>IF(TRIM('Counts'!$B$44&amp;"")="","",IFERROR(TRIM(INDEX($A885:$Z885,MATCH('Counts'!$B$44,$A$1:$Z$1,0))&amp;""),""))</f>
        <v/>
      </c>
      <c r="AE885" s="41">
        <f>IF(TRIM('Cross-tab'!$B$5&amp;"")="","",IFERROR(TRIM(INDEX($A885:$Z885,MATCH('Cross-tab'!$B$5,$A$1:$Z$1,0))&amp;""),""))</f>
        <v/>
      </c>
      <c r="AF885" s="41">
        <f>IF(TRIM('Cross-tab'!$B$7&amp;"")="","",IFERROR(TRIM(INDEX($A885:$Z885,MATCH('Cross-tab'!$B$7,$A$1:$Z$1,0))&amp;""),""))</f>
        <v/>
      </c>
      <c r="AG885" s="41">
        <f>IF(ISNUMBER(IFERROR(VALUE(IF(TRIM('Scale score'!$B$5&amp;"")="","",IFERROR(TRIM(INDEX($A885:$Z885,MATCH('Scale score'!$B$5,$A$1:$Z$1,0))&amp;""),""))),"")),IF(AND(IFERROR(VALUE(IF(TRIM('Scale score'!$B$5&amp;"")="","",IFERROR(TRIM(INDEX($A885:$Z885,MATCH('Scale score'!$B$5,$A$1:$Z$1,0))&amp;""),""))),"")&gt;='Scale score'!$B$6,IFERROR(VALUE(IF(TRIM('Scale score'!$B$5&amp;"")="","",IFERROR(TRIM(INDEX($A885:$Z885,MATCH('Scale score'!$B$5,$A$1:$Z$1,0))&amp;""),""))),"")&lt;='Scale score'!$B$7),IFERROR(VALUE(IF(TRIM('Scale score'!$B$5&amp;"")="","",IFERROR(TRIM(INDEX($A885:$Z885,MATCH('Scale score'!$B$5,$A$1:$Z$1,0))&amp;""),""))),""),""),"")</f>
        <v/>
      </c>
      <c r="AH885" s="41">
        <f>IF(TRIM('Open answers'!$B$5&amp;"")="","",IFERROR(TRIM(INDEX($A885:$Z885,MATCH('Open answers'!$B$5,$A$1:$Z$1,0))&amp;""),""))</f>
        <v/>
      </c>
      <c r="AI885" s="41">
        <f>IF(LEN(AH885)&gt;0,MAX($AI$1:AI884)+1,"")</f>
        <v/>
      </c>
    </row>
    <row r="886">
      <c r="AA886" s="40" t="n"/>
      <c r="AB886" s="41">
        <f>IF(TRIM('Counts'!$B$8&amp;"")="","",IFERROR(TRIM(INDEX($A886:$Z886,MATCH('Counts'!$B$8,$A$1:$Z$1,0))&amp;""),""))</f>
        <v/>
      </c>
      <c r="AC886" s="41">
        <f>IF(TRIM('Counts'!$B$26&amp;"")="","",IFERROR(TRIM(INDEX($A886:$Z886,MATCH('Counts'!$B$26,$A$1:$Z$1,0))&amp;""),""))</f>
        <v/>
      </c>
      <c r="AD886" s="41">
        <f>IF(TRIM('Counts'!$B$44&amp;"")="","",IFERROR(TRIM(INDEX($A886:$Z886,MATCH('Counts'!$B$44,$A$1:$Z$1,0))&amp;""),""))</f>
        <v/>
      </c>
      <c r="AE886" s="41">
        <f>IF(TRIM('Cross-tab'!$B$5&amp;"")="","",IFERROR(TRIM(INDEX($A886:$Z886,MATCH('Cross-tab'!$B$5,$A$1:$Z$1,0))&amp;""),""))</f>
        <v/>
      </c>
      <c r="AF886" s="41">
        <f>IF(TRIM('Cross-tab'!$B$7&amp;"")="","",IFERROR(TRIM(INDEX($A886:$Z886,MATCH('Cross-tab'!$B$7,$A$1:$Z$1,0))&amp;""),""))</f>
        <v/>
      </c>
      <c r="AG886" s="41">
        <f>IF(ISNUMBER(IFERROR(VALUE(IF(TRIM('Scale score'!$B$5&amp;"")="","",IFERROR(TRIM(INDEX($A886:$Z886,MATCH('Scale score'!$B$5,$A$1:$Z$1,0))&amp;""),""))),"")),IF(AND(IFERROR(VALUE(IF(TRIM('Scale score'!$B$5&amp;"")="","",IFERROR(TRIM(INDEX($A886:$Z886,MATCH('Scale score'!$B$5,$A$1:$Z$1,0))&amp;""),""))),"")&gt;='Scale score'!$B$6,IFERROR(VALUE(IF(TRIM('Scale score'!$B$5&amp;"")="","",IFERROR(TRIM(INDEX($A886:$Z886,MATCH('Scale score'!$B$5,$A$1:$Z$1,0))&amp;""),""))),"")&lt;='Scale score'!$B$7),IFERROR(VALUE(IF(TRIM('Scale score'!$B$5&amp;"")="","",IFERROR(TRIM(INDEX($A886:$Z886,MATCH('Scale score'!$B$5,$A$1:$Z$1,0))&amp;""),""))),""),""),"")</f>
        <v/>
      </c>
      <c r="AH886" s="41">
        <f>IF(TRIM('Open answers'!$B$5&amp;"")="","",IFERROR(TRIM(INDEX($A886:$Z886,MATCH('Open answers'!$B$5,$A$1:$Z$1,0))&amp;""),""))</f>
        <v/>
      </c>
      <c r="AI886" s="41">
        <f>IF(LEN(AH886)&gt;0,MAX($AI$1:AI885)+1,"")</f>
        <v/>
      </c>
    </row>
    <row r="887">
      <c r="AA887" s="40" t="n"/>
      <c r="AB887" s="41">
        <f>IF(TRIM('Counts'!$B$8&amp;"")="","",IFERROR(TRIM(INDEX($A887:$Z887,MATCH('Counts'!$B$8,$A$1:$Z$1,0))&amp;""),""))</f>
        <v/>
      </c>
      <c r="AC887" s="41">
        <f>IF(TRIM('Counts'!$B$26&amp;"")="","",IFERROR(TRIM(INDEX($A887:$Z887,MATCH('Counts'!$B$26,$A$1:$Z$1,0))&amp;""),""))</f>
        <v/>
      </c>
      <c r="AD887" s="41">
        <f>IF(TRIM('Counts'!$B$44&amp;"")="","",IFERROR(TRIM(INDEX($A887:$Z887,MATCH('Counts'!$B$44,$A$1:$Z$1,0))&amp;""),""))</f>
        <v/>
      </c>
      <c r="AE887" s="41">
        <f>IF(TRIM('Cross-tab'!$B$5&amp;"")="","",IFERROR(TRIM(INDEX($A887:$Z887,MATCH('Cross-tab'!$B$5,$A$1:$Z$1,0))&amp;""),""))</f>
        <v/>
      </c>
      <c r="AF887" s="41">
        <f>IF(TRIM('Cross-tab'!$B$7&amp;"")="","",IFERROR(TRIM(INDEX($A887:$Z887,MATCH('Cross-tab'!$B$7,$A$1:$Z$1,0))&amp;""),""))</f>
        <v/>
      </c>
      <c r="AG887" s="41">
        <f>IF(ISNUMBER(IFERROR(VALUE(IF(TRIM('Scale score'!$B$5&amp;"")="","",IFERROR(TRIM(INDEX($A887:$Z887,MATCH('Scale score'!$B$5,$A$1:$Z$1,0))&amp;""),""))),"")),IF(AND(IFERROR(VALUE(IF(TRIM('Scale score'!$B$5&amp;"")="","",IFERROR(TRIM(INDEX($A887:$Z887,MATCH('Scale score'!$B$5,$A$1:$Z$1,0))&amp;""),""))),"")&gt;='Scale score'!$B$6,IFERROR(VALUE(IF(TRIM('Scale score'!$B$5&amp;"")="","",IFERROR(TRIM(INDEX($A887:$Z887,MATCH('Scale score'!$B$5,$A$1:$Z$1,0))&amp;""),""))),"")&lt;='Scale score'!$B$7),IFERROR(VALUE(IF(TRIM('Scale score'!$B$5&amp;"")="","",IFERROR(TRIM(INDEX($A887:$Z887,MATCH('Scale score'!$B$5,$A$1:$Z$1,0))&amp;""),""))),""),""),"")</f>
        <v/>
      </c>
      <c r="AH887" s="41">
        <f>IF(TRIM('Open answers'!$B$5&amp;"")="","",IFERROR(TRIM(INDEX($A887:$Z887,MATCH('Open answers'!$B$5,$A$1:$Z$1,0))&amp;""),""))</f>
        <v/>
      </c>
      <c r="AI887" s="41">
        <f>IF(LEN(AH887)&gt;0,MAX($AI$1:AI886)+1,"")</f>
        <v/>
      </c>
    </row>
    <row r="888">
      <c r="AA888" s="40" t="n"/>
      <c r="AB888" s="41">
        <f>IF(TRIM('Counts'!$B$8&amp;"")="","",IFERROR(TRIM(INDEX($A888:$Z888,MATCH('Counts'!$B$8,$A$1:$Z$1,0))&amp;""),""))</f>
        <v/>
      </c>
      <c r="AC888" s="41">
        <f>IF(TRIM('Counts'!$B$26&amp;"")="","",IFERROR(TRIM(INDEX($A888:$Z888,MATCH('Counts'!$B$26,$A$1:$Z$1,0))&amp;""),""))</f>
        <v/>
      </c>
      <c r="AD888" s="41">
        <f>IF(TRIM('Counts'!$B$44&amp;"")="","",IFERROR(TRIM(INDEX($A888:$Z888,MATCH('Counts'!$B$44,$A$1:$Z$1,0))&amp;""),""))</f>
        <v/>
      </c>
      <c r="AE888" s="41">
        <f>IF(TRIM('Cross-tab'!$B$5&amp;"")="","",IFERROR(TRIM(INDEX($A888:$Z888,MATCH('Cross-tab'!$B$5,$A$1:$Z$1,0))&amp;""),""))</f>
        <v/>
      </c>
      <c r="AF888" s="41">
        <f>IF(TRIM('Cross-tab'!$B$7&amp;"")="","",IFERROR(TRIM(INDEX($A888:$Z888,MATCH('Cross-tab'!$B$7,$A$1:$Z$1,0))&amp;""),""))</f>
        <v/>
      </c>
      <c r="AG888" s="41">
        <f>IF(ISNUMBER(IFERROR(VALUE(IF(TRIM('Scale score'!$B$5&amp;"")="","",IFERROR(TRIM(INDEX($A888:$Z888,MATCH('Scale score'!$B$5,$A$1:$Z$1,0))&amp;""),""))),"")),IF(AND(IFERROR(VALUE(IF(TRIM('Scale score'!$B$5&amp;"")="","",IFERROR(TRIM(INDEX($A888:$Z888,MATCH('Scale score'!$B$5,$A$1:$Z$1,0))&amp;""),""))),"")&gt;='Scale score'!$B$6,IFERROR(VALUE(IF(TRIM('Scale score'!$B$5&amp;"")="","",IFERROR(TRIM(INDEX($A888:$Z888,MATCH('Scale score'!$B$5,$A$1:$Z$1,0))&amp;""),""))),"")&lt;='Scale score'!$B$7),IFERROR(VALUE(IF(TRIM('Scale score'!$B$5&amp;"")="","",IFERROR(TRIM(INDEX($A888:$Z888,MATCH('Scale score'!$B$5,$A$1:$Z$1,0))&amp;""),""))),""),""),"")</f>
        <v/>
      </c>
      <c r="AH888" s="41">
        <f>IF(TRIM('Open answers'!$B$5&amp;"")="","",IFERROR(TRIM(INDEX($A888:$Z888,MATCH('Open answers'!$B$5,$A$1:$Z$1,0))&amp;""),""))</f>
        <v/>
      </c>
      <c r="AI888" s="41">
        <f>IF(LEN(AH888)&gt;0,MAX($AI$1:AI887)+1,"")</f>
        <v/>
      </c>
    </row>
    <row r="889">
      <c r="AA889" s="40" t="n"/>
      <c r="AB889" s="41">
        <f>IF(TRIM('Counts'!$B$8&amp;"")="","",IFERROR(TRIM(INDEX($A889:$Z889,MATCH('Counts'!$B$8,$A$1:$Z$1,0))&amp;""),""))</f>
        <v/>
      </c>
      <c r="AC889" s="41">
        <f>IF(TRIM('Counts'!$B$26&amp;"")="","",IFERROR(TRIM(INDEX($A889:$Z889,MATCH('Counts'!$B$26,$A$1:$Z$1,0))&amp;""),""))</f>
        <v/>
      </c>
      <c r="AD889" s="41">
        <f>IF(TRIM('Counts'!$B$44&amp;"")="","",IFERROR(TRIM(INDEX($A889:$Z889,MATCH('Counts'!$B$44,$A$1:$Z$1,0))&amp;""),""))</f>
        <v/>
      </c>
      <c r="AE889" s="41">
        <f>IF(TRIM('Cross-tab'!$B$5&amp;"")="","",IFERROR(TRIM(INDEX($A889:$Z889,MATCH('Cross-tab'!$B$5,$A$1:$Z$1,0))&amp;""),""))</f>
        <v/>
      </c>
      <c r="AF889" s="41">
        <f>IF(TRIM('Cross-tab'!$B$7&amp;"")="","",IFERROR(TRIM(INDEX($A889:$Z889,MATCH('Cross-tab'!$B$7,$A$1:$Z$1,0))&amp;""),""))</f>
        <v/>
      </c>
      <c r="AG889" s="41">
        <f>IF(ISNUMBER(IFERROR(VALUE(IF(TRIM('Scale score'!$B$5&amp;"")="","",IFERROR(TRIM(INDEX($A889:$Z889,MATCH('Scale score'!$B$5,$A$1:$Z$1,0))&amp;""),""))),"")),IF(AND(IFERROR(VALUE(IF(TRIM('Scale score'!$B$5&amp;"")="","",IFERROR(TRIM(INDEX($A889:$Z889,MATCH('Scale score'!$B$5,$A$1:$Z$1,0))&amp;""),""))),"")&gt;='Scale score'!$B$6,IFERROR(VALUE(IF(TRIM('Scale score'!$B$5&amp;"")="","",IFERROR(TRIM(INDEX($A889:$Z889,MATCH('Scale score'!$B$5,$A$1:$Z$1,0))&amp;""),""))),"")&lt;='Scale score'!$B$7),IFERROR(VALUE(IF(TRIM('Scale score'!$B$5&amp;"")="","",IFERROR(TRIM(INDEX($A889:$Z889,MATCH('Scale score'!$B$5,$A$1:$Z$1,0))&amp;""),""))),""),""),"")</f>
        <v/>
      </c>
      <c r="AH889" s="41">
        <f>IF(TRIM('Open answers'!$B$5&amp;"")="","",IFERROR(TRIM(INDEX($A889:$Z889,MATCH('Open answers'!$B$5,$A$1:$Z$1,0))&amp;""),""))</f>
        <v/>
      </c>
      <c r="AI889" s="41">
        <f>IF(LEN(AH889)&gt;0,MAX($AI$1:AI888)+1,"")</f>
        <v/>
      </c>
    </row>
    <row r="890">
      <c r="AA890" s="40" t="n"/>
      <c r="AB890" s="41">
        <f>IF(TRIM('Counts'!$B$8&amp;"")="","",IFERROR(TRIM(INDEX($A890:$Z890,MATCH('Counts'!$B$8,$A$1:$Z$1,0))&amp;""),""))</f>
        <v/>
      </c>
      <c r="AC890" s="41">
        <f>IF(TRIM('Counts'!$B$26&amp;"")="","",IFERROR(TRIM(INDEX($A890:$Z890,MATCH('Counts'!$B$26,$A$1:$Z$1,0))&amp;""),""))</f>
        <v/>
      </c>
      <c r="AD890" s="41">
        <f>IF(TRIM('Counts'!$B$44&amp;"")="","",IFERROR(TRIM(INDEX($A890:$Z890,MATCH('Counts'!$B$44,$A$1:$Z$1,0))&amp;""),""))</f>
        <v/>
      </c>
      <c r="AE890" s="41">
        <f>IF(TRIM('Cross-tab'!$B$5&amp;"")="","",IFERROR(TRIM(INDEX($A890:$Z890,MATCH('Cross-tab'!$B$5,$A$1:$Z$1,0))&amp;""),""))</f>
        <v/>
      </c>
      <c r="AF890" s="41">
        <f>IF(TRIM('Cross-tab'!$B$7&amp;"")="","",IFERROR(TRIM(INDEX($A890:$Z890,MATCH('Cross-tab'!$B$7,$A$1:$Z$1,0))&amp;""),""))</f>
        <v/>
      </c>
      <c r="AG890" s="41">
        <f>IF(ISNUMBER(IFERROR(VALUE(IF(TRIM('Scale score'!$B$5&amp;"")="","",IFERROR(TRIM(INDEX($A890:$Z890,MATCH('Scale score'!$B$5,$A$1:$Z$1,0))&amp;""),""))),"")),IF(AND(IFERROR(VALUE(IF(TRIM('Scale score'!$B$5&amp;"")="","",IFERROR(TRIM(INDEX($A890:$Z890,MATCH('Scale score'!$B$5,$A$1:$Z$1,0))&amp;""),""))),"")&gt;='Scale score'!$B$6,IFERROR(VALUE(IF(TRIM('Scale score'!$B$5&amp;"")="","",IFERROR(TRIM(INDEX($A890:$Z890,MATCH('Scale score'!$B$5,$A$1:$Z$1,0))&amp;""),""))),"")&lt;='Scale score'!$B$7),IFERROR(VALUE(IF(TRIM('Scale score'!$B$5&amp;"")="","",IFERROR(TRIM(INDEX($A890:$Z890,MATCH('Scale score'!$B$5,$A$1:$Z$1,0))&amp;""),""))),""),""),"")</f>
        <v/>
      </c>
      <c r="AH890" s="41">
        <f>IF(TRIM('Open answers'!$B$5&amp;"")="","",IFERROR(TRIM(INDEX($A890:$Z890,MATCH('Open answers'!$B$5,$A$1:$Z$1,0))&amp;""),""))</f>
        <v/>
      </c>
      <c r="AI890" s="41">
        <f>IF(LEN(AH890)&gt;0,MAX($AI$1:AI889)+1,"")</f>
        <v/>
      </c>
    </row>
    <row r="891">
      <c r="AA891" s="40" t="n"/>
      <c r="AB891" s="41">
        <f>IF(TRIM('Counts'!$B$8&amp;"")="","",IFERROR(TRIM(INDEX($A891:$Z891,MATCH('Counts'!$B$8,$A$1:$Z$1,0))&amp;""),""))</f>
        <v/>
      </c>
      <c r="AC891" s="41">
        <f>IF(TRIM('Counts'!$B$26&amp;"")="","",IFERROR(TRIM(INDEX($A891:$Z891,MATCH('Counts'!$B$26,$A$1:$Z$1,0))&amp;""),""))</f>
        <v/>
      </c>
      <c r="AD891" s="41">
        <f>IF(TRIM('Counts'!$B$44&amp;"")="","",IFERROR(TRIM(INDEX($A891:$Z891,MATCH('Counts'!$B$44,$A$1:$Z$1,0))&amp;""),""))</f>
        <v/>
      </c>
      <c r="AE891" s="41">
        <f>IF(TRIM('Cross-tab'!$B$5&amp;"")="","",IFERROR(TRIM(INDEX($A891:$Z891,MATCH('Cross-tab'!$B$5,$A$1:$Z$1,0))&amp;""),""))</f>
        <v/>
      </c>
      <c r="AF891" s="41">
        <f>IF(TRIM('Cross-tab'!$B$7&amp;"")="","",IFERROR(TRIM(INDEX($A891:$Z891,MATCH('Cross-tab'!$B$7,$A$1:$Z$1,0))&amp;""),""))</f>
        <v/>
      </c>
      <c r="AG891" s="41">
        <f>IF(ISNUMBER(IFERROR(VALUE(IF(TRIM('Scale score'!$B$5&amp;"")="","",IFERROR(TRIM(INDEX($A891:$Z891,MATCH('Scale score'!$B$5,$A$1:$Z$1,0))&amp;""),""))),"")),IF(AND(IFERROR(VALUE(IF(TRIM('Scale score'!$B$5&amp;"")="","",IFERROR(TRIM(INDEX($A891:$Z891,MATCH('Scale score'!$B$5,$A$1:$Z$1,0))&amp;""),""))),"")&gt;='Scale score'!$B$6,IFERROR(VALUE(IF(TRIM('Scale score'!$B$5&amp;"")="","",IFERROR(TRIM(INDEX($A891:$Z891,MATCH('Scale score'!$B$5,$A$1:$Z$1,0))&amp;""),""))),"")&lt;='Scale score'!$B$7),IFERROR(VALUE(IF(TRIM('Scale score'!$B$5&amp;"")="","",IFERROR(TRIM(INDEX($A891:$Z891,MATCH('Scale score'!$B$5,$A$1:$Z$1,0))&amp;""),""))),""),""),"")</f>
        <v/>
      </c>
      <c r="AH891" s="41">
        <f>IF(TRIM('Open answers'!$B$5&amp;"")="","",IFERROR(TRIM(INDEX($A891:$Z891,MATCH('Open answers'!$B$5,$A$1:$Z$1,0))&amp;""),""))</f>
        <v/>
      </c>
      <c r="AI891" s="41">
        <f>IF(LEN(AH891)&gt;0,MAX($AI$1:AI890)+1,"")</f>
        <v/>
      </c>
    </row>
    <row r="892">
      <c r="AA892" s="40" t="n"/>
      <c r="AB892" s="41">
        <f>IF(TRIM('Counts'!$B$8&amp;"")="","",IFERROR(TRIM(INDEX($A892:$Z892,MATCH('Counts'!$B$8,$A$1:$Z$1,0))&amp;""),""))</f>
        <v/>
      </c>
      <c r="AC892" s="41">
        <f>IF(TRIM('Counts'!$B$26&amp;"")="","",IFERROR(TRIM(INDEX($A892:$Z892,MATCH('Counts'!$B$26,$A$1:$Z$1,0))&amp;""),""))</f>
        <v/>
      </c>
      <c r="AD892" s="41">
        <f>IF(TRIM('Counts'!$B$44&amp;"")="","",IFERROR(TRIM(INDEX($A892:$Z892,MATCH('Counts'!$B$44,$A$1:$Z$1,0))&amp;""),""))</f>
        <v/>
      </c>
      <c r="AE892" s="41">
        <f>IF(TRIM('Cross-tab'!$B$5&amp;"")="","",IFERROR(TRIM(INDEX($A892:$Z892,MATCH('Cross-tab'!$B$5,$A$1:$Z$1,0))&amp;""),""))</f>
        <v/>
      </c>
      <c r="AF892" s="41">
        <f>IF(TRIM('Cross-tab'!$B$7&amp;"")="","",IFERROR(TRIM(INDEX($A892:$Z892,MATCH('Cross-tab'!$B$7,$A$1:$Z$1,0))&amp;""),""))</f>
        <v/>
      </c>
      <c r="AG892" s="41">
        <f>IF(ISNUMBER(IFERROR(VALUE(IF(TRIM('Scale score'!$B$5&amp;"")="","",IFERROR(TRIM(INDEX($A892:$Z892,MATCH('Scale score'!$B$5,$A$1:$Z$1,0))&amp;""),""))),"")),IF(AND(IFERROR(VALUE(IF(TRIM('Scale score'!$B$5&amp;"")="","",IFERROR(TRIM(INDEX($A892:$Z892,MATCH('Scale score'!$B$5,$A$1:$Z$1,0))&amp;""),""))),"")&gt;='Scale score'!$B$6,IFERROR(VALUE(IF(TRIM('Scale score'!$B$5&amp;"")="","",IFERROR(TRIM(INDEX($A892:$Z892,MATCH('Scale score'!$B$5,$A$1:$Z$1,0))&amp;""),""))),"")&lt;='Scale score'!$B$7),IFERROR(VALUE(IF(TRIM('Scale score'!$B$5&amp;"")="","",IFERROR(TRIM(INDEX($A892:$Z892,MATCH('Scale score'!$B$5,$A$1:$Z$1,0))&amp;""),""))),""),""),"")</f>
        <v/>
      </c>
      <c r="AH892" s="41">
        <f>IF(TRIM('Open answers'!$B$5&amp;"")="","",IFERROR(TRIM(INDEX($A892:$Z892,MATCH('Open answers'!$B$5,$A$1:$Z$1,0))&amp;""),""))</f>
        <v/>
      </c>
      <c r="AI892" s="41">
        <f>IF(LEN(AH892)&gt;0,MAX($AI$1:AI891)+1,"")</f>
        <v/>
      </c>
    </row>
    <row r="893">
      <c r="AA893" s="40" t="n"/>
      <c r="AB893" s="41">
        <f>IF(TRIM('Counts'!$B$8&amp;"")="","",IFERROR(TRIM(INDEX($A893:$Z893,MATCH('Counts'!$B$8,$A$1:$Z$1,0))&amp;""),""))</f>
        <v/>
      </c>
      <c r="AC893" s="41">
        <f>IF(TRIM('Counts'!$B$26&amp;"")="","",IFERROR(TRIM(INDEX($A893:$Z893,MATCH('Counts'!$B$26,$A$1:$Z$1,0))&amp;""),""))</f>
        <v/>
      </c>
      <c r="AD893" s="41">
        <f>IF(TRIM('Counts'!$B$44&amp;"")="","",IFERROR(TRIM(INDEX($A893:$Z893,MATCH('Counts'!$B$44,$A$1:$Z$1,0))&amp;""),""))</f>
        <v/>
      </c>
      <c r="AE893" s="41">
        <f>IF(TRIM('Cross-tab'!$B$5&amp;"")="","",IFERROR(TRIM(INDEX($A893:$Z893,MATCH('Cross-tab'!$B$5,$A$1:$Z$1,0))&amp;""),""))</f>
        <v/>
      </c>
      <c r="AF893" s="41">
        <f>IF(TRIM('Cross-tab'!$B$7&amp;"")="","",IFERROR(TRIM(INDEX($A893:$Z893,MATCH('Cross-tab'!$B$7,$A$1:$Z$1,0))&amp;""),""))</f>
        <v/>
      </c>
      <c r="AG893" s="41">
        <f>IF(ISNUMBER(IFERROR(VALUE(IF(TRIM('Scale score'!$B$5&amp;"")="","",IFERROR(TRIM(INDEX($A893:$Z893,MATCH('Scale score'!$B$5,$A$1:$Z$1,0))&amp;""),""))),"")),IF(AND(IFERROR(VALUE(IF(TRIM('Scale score'!$B$5&amp;"")="","",IFERROR(TRIM(INDEX($A893:$Z893,MATCH('Scale score'!$B$5,$A$1:$Z$1,0))&amp;""),""))),"")&gt;='Scale score'!$B$6,IFERROR(VALUE(IF(TRIM('Scale score'!$B$5&amp;"")="","",IFERROR(TRIM(INDEX($A893:$Z893,MATCH('Scale score'!$B$5,$A$1:$Z$1,0))&amp;""),""))),"")&lt;='Scale score'!$B$7),IFERROR(VALUE(IF(TRIM('Scale score'!$B$5&amp;"")="","",IFERROR(TRIM(INDEX($A893:$Z893,MATCH('Scale score'!$B$5,$A$1:$Z$1,0))&amp;""),""))),""),""),"")</f>
        <v/>
      </c>
      <c r="AH893" s="41">
        <f>IF(TRIM('Open answers'!$B$5&amp;"")="","",IFERROR(TRIM(INDEX($A893:$Z893,MATCH('Open answers'!$B$5,$A$1:$Z$1,0))&amp;""),""))</f>
        <v/>
      </c>
      <c r="AI893" s="41">
        <f>IF(LEN(AH893)&gt;0,MAX($AI$1:AI892)+1,"")</f>
        <v/>
      </c>
    </row>
    <row r="894">
      <c r="AA894" s="40" t="n"/>
      <c r="AB894" s="41">
        <f>IF(TRIM('Counts'!$B$8&amp;"")="","",IFERROR(TRIM(INDEX($A894:$Z894,MATCH('Counts'!$B$8,$A$1:$Z$1,0))&amp;""),""))</f>
        <v/>
      </c>
      <c r="AC894" s="41">
        <f>IF(TRIM('Counts'!$B$26&amp;"")="","",IFERROR(TRIM(INDEX($A894:$Z894,MATCH('Counts'!$B$26,$A$1:$Z$1,0))&amp;""),""))</f>
        <v/>
      </c>
      <c r="AD894" s="41">
        <f>IF(TRIM('Counts'!$B$44&amp;"")="","",IFERROR(TRIM(INDEX($A894:$Z894,MATCH('Counts'!$B$44,$A$1:$Z$1,0))&amp;""),""))</f>
        <v/>
      </c>
      <c r="AE894" s="41">
        <f>IF(TRIM('Cross-tab'!$B$5&amp;"")="","",IFERROR(TRIM(INDEX($A894:$Z894,MATCH('Cross-tab'!$B$5,$A$1:$Z$1,0))&amp;""),""))</f>
        <v/>
      </c>
      <c r="AF894" s="41">
        <f>IF(TRIM('Cross-tab'!$B$7&amp;"")="","",IFERROR(TRIM(INDEX($A894:$Z894,MATCH('Cross-tab'!$B$7,$A$1:$Z$1,0))&amp;""),""))</f>
        <v/>
      </c>
      <c r="AG894" s="41">
        <f>IF(ISNUMBER(IFERROR(VALUE(IF(TRIM('Scale score'!$B$5&amp;"")="","",IFERROR(TRIM(INDEX($A894:$Z894,MATCH('Scale score'!$B$5,$A$1:$Z$1,0))&amp;""),""))),"")),IF(AND(IFERROR(VALUE(IF(TRIM('Scale score'!$B$5&amp;"")="","",IFERROR(TRIM(INDEX($A894:$Z894,MATCH('Scale score'!$B$5,$A$1:$Z$1,0))&amp;""),""))),"")&gt;='Scale score'!$B$6,IFERROR(VALUE(IF(TRIM('Scale score'!$B$5&amp;"")="","",IFERROR(TRIM(INDEX($A894:$Z894,MATCH('Scale score'!$B$5,$A$1:$Z$1,0))&amp;""),""))),"")&lt;='Scale score'!$B$7),IFERROR(VALUE(IF(TRIM('Scale score'!$B$5&amp;"")="","",IFERROR(TRIM(INDEX($A894:$Z894,MATCH('Scale score'!$B$5,$A$1:$Z$1,0))&amp;""),""))),""),""),"")</f>
        <v/>
      </c>
      <c r="AH894" s="41">
        <f>IF(TRIM('Open answers'!$B$5&amp;"")="","",IFERROR(TRIM(INDEX($A894:$Z894,MATCH('Open answers'!$B$5,$A$1:$Z$1,0))&amp;""),""))</f>
        <v/>
      </c>
      <c r="AI894" s="41">
        <f>IF(LEN(AH894)&gt;0,MAX($AI$1:AI893)+1,"")</f>
        <v/>
      </c>
    </row>
    <row r="895">
      <c r="AA895" s="40" t="n"/>
      <c r="AB895" s="41">
        <f>IF(TRIM('Counts'!$B$8&amp;"")="","",IFERROR(TRIM(INDEX($A895:$Z895,MATCH('Counts'!$B$8,$A$1:$Z$1,0))&amp;""),""))</f>
        <v/>
      </c>
      <c r="AC895" s="41">
        <f>IF(TRIM('Counts'!$B$26&amp;"")="","",IFERROR(TRIM(INDEX($A895:$Z895,MATCH('Counts'!$B$26,$A$1:$Z$1,0))&amp;""),""))</f>
        <v/>
      </c>
      <c r="AD895" s="41">
        <f>IF(TRIM('Counts'!$B$44&amp;"")="","",IFERROR(TRIM(INDEX($A895:$Z895,MATCH('Counts'!$B$44,$A$1:$Z$1,0))&amp;""),""))</f>
        <v/>
      </c>
      <c r="AE895" s="41">
        <f>IF(TRIM('Cross-tab'!$B$5&amp;"")="","",IFERROR(TRIM(INDEX($A895:$Z895,MATCH('Cross-tab'!$B$5,$A$1:$Z$1,0))&amp;""),""))</f>
        <v/>
      </c>
      <c r="AF895" s="41">
        <f>IF(TRIM('Cross-tab'!$B$7&amp;"")="","",IFERROR(TRIM(INDEX($A895:$Z895,MATCH('Cross-tab'!$B$7,$A$1:$Z$1,0))&amp;""),""))</f>
        <v/>
      </c>
      <c r="AG895" s="41">
        <f>IF(ISNUMBER(IFERROR(VALUE(IF(TRIM('Scale score'!$B$5&amp;"")="","",IFERROR(TRIM(INDEX($A895:$Z895,MATCH('Scale score'!$B$5,$A$1:$Z$1,0))&amp;""),""))),"")),IF(AND(IFERROR(VALUE(IF(TRIM('Scale score'!$B$5&amp;"")="","",IFERROR(TRIM(INDEX($A895:$Z895,MATCH('Scale score'!$B$5,$A$1:$Z$1,0))&amp;""),""))),"")&gt;='Scale score'!$B$6,IFERROR(VALUE(IF(TRIM('Scale score'!$B$5&amp;"")="","",IFERROR(TRIM(INDEX($A895:$Z895,MATCH('Scale score'!$B$5,$A$1:$Z$1,0))&amp;""),""))),"")&lt;='Scale score'!$B$7),IFERROR(VALUE(IF(TRIM('Scale score'!$B$5&amp;"")="","",IFERROR(TRIM(INDEX($A895:$Z895,MATCH('Scale score'!$B$5,$A$1:$Z$1,0))&amp;""),""))),""),""),"")</f>
        <v/>
      </c>
      <c r="AH895" s="41">
        <f>IF(TRIM('Open answers'!$B$5&amp;"")="","",IFERROR(TRIM(INDEX($A895:$Z895,MATCH('Open answers'!$B$5,$A$1:$Z$1,0))&amp;""),""))</f>
        <v/>
      </c>
      <c r="AI895" s="41">
        <f>IF(LEN(AH895)&gt;0,MAX($AI$1:AI894)+1,"")</f>
        <v/>
      </c>
    </row>
    <row r="896">
      <c r="AA896" s="40" t="n"/>
      <c r="AB896" s="41">
        <f>IF(TRIM('Counts'!$B$8&amp;"")="","",IFERROR(TRIM(INDEX($A896:$Z896,MATCH('Counts'!$B$8,$A$1:$Z$1,0))&amp;""),""))</f>
        <v/>
      </c>
      <c r="AC896" s="41">
        <f>IF(TRIM('Counts'!$B$26&amp;"")="","",IFERROR(TRIM(INDEX($A896:$Z896,MATCH('Counts'!$B$26,$A$1:$Z$1,0))&amp;""),""))</f>
        <v/>
      </c>
      <c r="AD896" s="41">
        <f>IF(TRIM('Counts'!$B$44&amp;"")="","",IFERROR(TRIM(INDEX($A896:$Z896,MATCH('Counts'!$B$44,$A$1:$Z$1,0))&amp;""),""))</f>
        <v/>
      </c>
      <c r="AE896" s="41">
        <f>IF(TRIM('Cross-tab'!$B$5&amp;"")="","",IFERROR(TRIM(INDEX($A896:$Z896,MATCH('Cross-tab'!$B$5,$A$1:$Z$1,0))&amp;""),""))</f>
        <v/>
      </c>
      <c r="AF896" s="41">
        <f>IF(TRIM('Cross-tab'!$B$7&amp;"")="","",IFERROR(TRIM(INDEX($A896:$Z896,MATCH('Cross-tab'!$B$7,$A$1:$Z$1,0))&amp;""),""))</f>
        <v/>
      </c>
      <c r="AG896" s="41">
        <f>IF(ISNUMBER(IFERROR(VALUE(IF(TRIM('Scale score'!$B$5&amp;"")="","",IFERROR(TRIM(INDEX($A896:$Z896,MATCH('Scale score'!$B$5,$A$1:$Z$1,0))&amp;""),""))),"")),IF(AND(IFERROR(VALUE(IF(TRIM('Scale score'!$B$5&amp;"")="","",IFERROR(TRIM(INDEX($A896:$Z896,MATCH('Scale score'!$B$5,$A$1:$Z$1,0))&amp;""),""))),"")&gt;='Scale score'!$B$6,IFERROR(VALUE(IF(TRIM('Scale score'!$B$5&amp;"")="","",IFERROR(TRIM(INDEX($A896:$Z896,MATCH('Scale score'!$B$5,$A$1:$Z$1,0))&amp;""),""))),"")&lt;='Scale score'!$B$7),IFERROR(VALUE(IF(TRIM('Scale score'!$B$5&amp;"")="","",IFERROR(TRIM(INDEX($A896:$Z896,MATCH('Scale score'!$B$5,$A$1:$Z$1,0))&amp;""),""))),""),""),"")</f>
        <v/>
      </c>
      <c r="AH896" s="41">
        <f>IF(TRIM('Open answers'!$B$5&amp;"")="","",IFERROR(TRIM(INDEX($A896:$Z896,MATCH('Open answers'!$B$5,$A$1:$Z$1,0))&amp;""),""))</f>
        <v/>
      </c>
      <c r="AI896" s="41">
        <f>IF(LEN(AH896)&gt;0,MAX($AI$1:AI895)+1,"")</f>
        <v/>
      </c>
    </row>
    <row r="897">
      <c r="AA897" s="40" t="n"/>
      <c r="AB897" s="41">
        <f>IF(TRIM('Counts'!$B$8&amp;"")="","",IFERROR(TRIM(INDEX($A897:$Z897,MATCH('Counts'!$B$8,$A$1:$Z$1,0))&amp;""),""))</f>
        <v/>
      </c>
      <c r="AC897" s="41">
        <f>IF(TRIM('Counts'!$B$26&amp;"")="","",IFERROR(TRIM(INDEX($A897:$Z897,MATCH('Counts'!$B$26,$A$1:$Z$1,0))&amp;""),""))</f>
        <v/>
      </c>
      <c r="AD897" s="41">
        <f>IF(TRIM('Counts'!$B$44&amp;"")="","",IFERROR(TRIM(INDEX($A897:$Z897,MATCH('Counts'!$B$44,$A$1:$Z$1,0))&amp;""),""))</f>
        <v/>
      </c>
      <c r="AE897" s="41">
        <f>IF(TRIM('Cross-tab'!$B$5&amp;"")="","",IFERROR(TRIM(INDEX($A897:$Z897,MATCH('Cross-tab'!$B$5,$A$1:$Z$1,0))&amp;""),""))</f>
        <v/>
      </c>
      <c r="AF897" s="41">
        <f>IF(TRIM('Cross-tab'!$B$7&amp;"")="","",IFERROR(TRIM(INDEX($A897:$Z897,MATCH('Cross-tab'!$B$7,$A$1:$Z$1,0))&amp;""),""))</f>
        <v/>
      </c>
      <c r="AG897" s="41">
        <f>IF(ISNUMBER(IFERROR(VALUE(IF(TRIM('Scale score'!$B$5&amp;"")="","",IFERROR(TRIM(INDEX($A897:$Z897,MATCH('Scale score'!$B$5,$A$1:$Z$1,0))&amp;""),""))),"")),IF(AND(IFERROR(VALUE(IF(TRIM('Scale score'!$B$5&amp;"")="","",IFERROR(TRIM(INDEX($A897:$Z897,MATCH('Scale score'!$B$5,$A$1:$Z$1,0))&amp;""),""))),"")&gt;='Scale score'!$B$6,IFERROR(VALUE(IF(TRIM('Scale score'!$B$5&amp;"")="","",IFERROR(TRIM(INDEX($A897:$Z897,MATCH('Scale score'!$B$5,$A$1:$Z$1,0))&amp;""),""))),"")&lt;='Scale score'!$B$7),IFERROR(VALUE(IF(TRIM('Scale score'!$B$5&amp;"")="","",IFERROR(TRIM(INDEX($A897:$Z897,MATCH('Scale score'!$B$5,$A$1:$Z$1,0))&amp;""),""))),""),""),"")</f>
        <v/>
      </c>
      <c r="AH897" s="41">
        <f>IF(TRIM('Open answers'!$B$5&amp;"")="","",IFERROR(TRIM(INDEX($A897:$Z897,MATCH('Open answers'!$B$5,$A$1:$Z$1,0))&amp;""),""))</f>
        <v/>
      </c>
      <c r="AI897" s="41">
        <f>IF(LEN(AH897)&gt;0,MAX($AI$1:AI896)+1,"")</f>
        <v/>
      </c>
    </row>
    <row r="898">
      <c r="AA898" s="40" t="n"/>
      <c r="AB898" s="41">
        <f>IF(TRIM('Counts'!$B$8&amp;"")="","",IFERROR(TRIM(INDEX($A898:$Z898,MATCH('Counts'!$B$8,$A$1:$Z$1,0))&amp;""),""))</f>
        <v/>
      </c>
      <c r="AC898" s="41">
        <f>IF(TRIM('Counts'!$B$26&amp;"")="","",IFERROR(TRIM(INDEX($A898:$Z898,MATCH('Counts'!$B$26,$A$1:$Z$1,0))&amp;""),""))</f>
        <v/>
      </c>
      <c r="AD898" s="41">
        <f>IF(TRIM('Counts'!$B$44&amp;"")="","",IFERROR(TRIM(INDEX($A898:$Z898,MATCH('Counts'!$B$44,$A$1:$Z$1,0))&amp;""),""))</f>
        <v/>
      </c>
      <c r="AE898" s="41">
        <f>IF(TRIM('Cross-tab'!$B$5&amp;"")="","",IFERROR(TRIM(INDEX($A898:$Z898,MATCH('Cross-tab'!$B$5,$A$1:$Z$1,0))&amp;""),""))</f>
        <v/>
      </c>
      <c r="AF898" s="41">
        <f>IF(TRIM('Cross-tab'!$B$7&amp;"")="","",IFERROR(TRIM(INDEX($A898:$Z898,MATCH('Cross-tab'!$B$7,$A$1:$Z$1,0))&amp;""),""))</f>
        <v/>
      </c>
      <c r="AG898" s="41">
        <f>IF(ISNUMBER(IFERROR(VALUE(IF(TRIM('Scale score'!$B$5&amp;"")="","",IFERROR(TRIM(INDEX($A898:$Z898,MATCH('Scale score'!$B$5,$A$1:$Z$1,0))&amp;""),""))),"")),IF(AND(IFERROR(VALUE(IF(TRIM('Scale score'!$B$5&amp;"")="","",IFERROR(TRIM(INDEX($A898:$Z898,MATCH('Scale score'!$B$5,$A$1:$Z$1,0))&amp;""),""))),"")&gt;='Scale score'!$B$6,IFERROR(VALUE(IF(TRIM('Scale score'!$B$5&amp;"")="","",IFERROR(TRIM(INDEX($A898:$Z898,MATCH('Scale score'!$B$5,$A$1:$Z$1,0))&amp;""),""))),"")&lt;='Scale score'!$B$7),IFERROR(VALUE(IF(TRIM('Scale score'!$B$5&amp;"")="","",IFERROR(TRIM(INDEX($A898:$Z898,MATCH('Scale score'!$B$5,$A$1:$Z$1,0))&amp;""),""))),""),""),"")</f>
        <v/>
      </c>
      <c r="AH898" s="41">
        <f>IF(TRIM('Open answers'!$B$5&amp;"")="","",IFERROR(TRIM(INDEX($A898:$Z898,MATCH('Open answers'!$B$5,$A$1:$Z$1,0))&amp;""),""))</f>
        <v/>
      </c>
      <c r="AI898" s="41">
        <f>IF(LEN(AH898)&gt;0,MAX($AI$1:AI897)+1,"")</f>
        <v/>
      </c>
    </row>
    <row r="899">
      <c r="AA899" s="40" t="n"/>
      <c r="AB899" s="41">
        <f>IF(TRIM('Counts'!$B$8&amp;"")="","",IFERROR(TRIM(INDEX($A899:$Z899,MATCH('Counts'!$B$8,$A$1:$Z$1,0))&amp;""),""))</f>
        <v/>
      </c>
      <c r="AC899" s="41">
        <f>IF(TRIM('Counts'!$B$26&amp;"")="","",IFERROR(TRIM(INDEX($A899:$Z899,MATCH('Counts'!$B$26,$A$1:$Z$1,0))&amp;""),""))</f>
        <v/>
      </c>
      <c r="AD899" s="41">
        <f>IF(TRIM('Counts'!$B$44&amp;"")="","",IFERROR(TRIM(INDEX($A899:$Z899,MATCH('Counts'!$B$44,$A$1:$Z$1,0))&amp;""),""))</f>
        <v/>
      </c>
      <c r="AE899" s="41">
        <f>IF(TRIM('Cross-tab'!$B$5&amp;"")="","",IFERROR(TRIM(INDEX($A899:$Z899,MATCH('Cross-tab'!$B$5,$A$1:$Z$1,0))&amp;""),""))</f>
        <v/>
      </c>
      <c r="AF899" s="41">
        <f>IF(TRIM('Cross-tab'!$B$7&amp;"")="","",IFERROR(TRIM(INDEX($A899:$Z899,MATCH('Cross-tab'!$B$7,$A$1:$Z$1,0))&amp;""),""))</f>
        <v/>
      </c>
      <c r="AG899" s="41">
        <f>IF(ISNUMBER(IFERROR(VALUE(IF(TRIM('Scale score'!$B$5&amp;"")="","",IFERROR(TRIM(INDEX($A899:$Z899,MATCH('Scale score'!$B$5,$A$1:$Z$1,0))&amp;""),""))),"")),IF(AND(IFERROR(VALUE(IF(TRIM('Scale score'!$B$5&amp;"")="","",IFERROR(TRIM(INDEX($A899:$Z899,MATCH('Scale score'!$B$5,$A$1:$Z$1,0))&amp;""),""))),"")&gt;='Scale score'!$B$6,IFERROR(VALUE(IF(TRIM('Scale score'!$B$5&amp;"")="","",IFERROR(TRIM(INDEX($A899:$Z899,MATCH('Scale score'!$B$5,$A$1:$Z$1,0))&amp;""),""))),"")&lt;='Scale score'!$B$7),IFERROR(VALUE(IF(TRIM('Scale score'!$B$5&amp;"")="","",IFERROR(TRIM(INDEX($A899:$Z899,MATCH('Scale score'!$B$5,$A$1:$Z$1,0))&amp;""),""))),""),""),"")</f>
        <v/>
      </c>
      <c r="AH899" s="41">
        <f>IF(TRIM('Open answers'!$B$5&amp;"")="","",IFERROR(TRIM(INDEX($A899:$Z899,MATCH('Open answers'!$B$5,$A$1:$Z$1,0))&amp;""),""))</f>
        <v/>
      </c>
      <c r="AI899" s="41">
        <f>IF(LEN(AH899)&gt;0,MAX($AI$1:AI898)+1,"")</f>
        <v/>
      </c>
    </row>
    <row r="900">
      <c r="AA900" s="40" t="n"/>
      <c r="AB900" s="41">
        <f>IF(TRIM('Counts'!$B$8&amp;"")="","",IFERROR(TRIM(INDEX($A900:$Z900,MATCH('Counts'!$B$8,$A$1:$Z$1,0))&amp;""),""))</f>
        <v/>
      </c>
      <c r="AC900" s="41">
        <f>IF(TRIM('Counts'!$B$26&amp;"")="","",IFERROR(TRIM(INDEX($A900:$Z900,MATCH('Counts'!$B$26,$A$1:$Z$1,0))&amp;""),""))</f>
        <v/>
      </c>
      <c r="AD900" s="41">
        <f>IF(TRIM('Counts'!$B$44&amp;"")="","",IFERROR(TRIM(INDEX($A900:$Z900,MATCH('Counts'!$B$44,$A$1:$Z$1,0))&amp;""),""))</f>
        <v/>
      </c>
      <c r="AE900" s="41">
        <f>IF(TRIM('Cross-tab'!$B$5&amp;"")="","",IFERROR(TRIM(INDEX($A900:$Z900,MATCH('Cross-tab'!$B$5,$A$1:$Z$1,0))&amp;""),""))</f>
        <v/>
      </c>
      <c r="AF900" s="41">
        <f>IF(TRIM('Cross-tab'!$B$7&amp;"")="","",IFERROR(TRIM(INDEX($A900:$Z900,MATCH('Cross-tab'!$B$7,$A$1:$Z$1,0))&amp;""),""))</f>
        <v/>
      </c>
      <c r="AG900" s="41">
        <f>IF(ISNUMBER(IFERROR(VALUE(IF(TRIM('Scale score'!$B$5&amp;"")="","",IFERROR(TRIM(INDEX($A900:$Z900,MATCH('Scale score'!$B$5,$A$1:$Z$1,0))&amp;""),""))),"")),IF(AND(IFERROR(VALUE(IF(TRIM('Scale score'!$B$5&amp;"")="","",IFERROR(TRIM(INDEX($A900:$Z900,MATCH('Scale score'!$B$5,$A$1:$Z$1,0))&amp;""),""))),"")&gt;='Scale score'!$B$6,IFERROR(VALUE(IF(TRIM('Scale score'!$B$5&amp;"")="","",IFERROR(TRIM(INDEX($A900:$Z900,MATCH('Scale score'!$B$5,$A$1:$Z$1,0))&amp;""),""))),"")&lt;='Scale score'!$B$7),IFERROR(VALUE(IF(TRIM('Scale score'!$B$5&amp;"")="","",IFERROR(TRIM(INDEX($A900:$Z900,MATCH('Scale score'!$B$5,$A$1:$Z$1,0))&amp;""),""))),""),""),"")</f>
        <v/>
      </c>
      <c r="AH900" s="41">
        <f>IF(TRIM('Open answers'!$B$5&amp;"")="","",IFERROR(TRIM(INDEX($A900:$Z900,MATCH('Open answers'!$B$5,$A$1:$Z$1,0))&amp;""),""))</f>
        <v/>
      </c>
      <c r="AI900" s="41">
        <f>IF(LEN(AH900)&gt;0,MAX($AI$1:AI899)+1,"")</f>
        <v/>
      </c>
    </row>
    <row r="901">
      <c r="AA901" s="40" t="n"/>
      <c r="AB901" s="41">
        <f>IF(TRIM('Counts'!$B$8&amp;"")="","",IFERROR(TRIM(INDEX($A901:$Z901,MATCH('Counts'!$B$8,$A$1:$Z$1,0))&amp;""),""))</f>
        <v/>
      </c>
      <c r="AC901" s="41">
        <f>IF(TRIM('Counts'!$B$26&amp;"")="","",IFERROR(TRIM(INDEX($A901:$Z901,MATCH('Counts'!$B$26,$A$1:$Z$1,0))&amp;""),""))</f>
        <v/>
      </c>
      <c r="AD901" s="41">
        <f>IF(TRIM('Counts'!$B$44&amp;"")="","",IFERROR(TRIM(INDEX($A901:$Z901,MATCH('Counts'!$B$44,$A$1:$Z$1,0))&amp;""),""))</f>
        <v/>
      </c>
      <c r="AE901" s="41">
        <f>IF(TRIM('Cross-tab'!$B$5&amp;"")="","",IFERROR(TRIM(INDEX($A901:$Z901,MATCH('Cross-tab'!$B$5,$A$1:$Z$1,0))&amp;""),""))</f>
        <v/>
      </c>
      <c r="AF901" s="41">
        <f>IF(TRIM('Cross-tab'!$B$7&amp;"")="","",IFERROR(TRIM(INDEX($A901:$Z901,MATCH('Cross-tab'!$B$7,$A$1:$Z$1,0))&amp;""),""))</f>
        <v/>
      </c>
      <c r="AG901" s="41">
        <f>IF(ISNUMBER(IFERROR(VALUE(IF(TRIM('Scale score'!$B$5&amp;"")="","",IFERROR(TRIM(INDEX($A901:$Z901,MATCH('Scale score'!$B$5,$A$1:$Z$1,0))&amp;""),""))),"")),IF(AND(IFERROR(VALUE(IF(TRIM('Scale score'!$B$5&amp;"")="","",IFERROR(TRIM(INDEX($A901:$Z901,MATCH('Scale score'!$B$5,$A$1:$Z$1,0))&amp;""),""))),"")&gt;='Scale score'!$B$6,IFERROR(VALUE(IF(TRIM('Scale score'!$B$5&amp;"")="","",IFERROR(TRIM(INDEX($A901:$Z901,MATCH('Scale score'!$B$5,$A$1:$Z$1,0))&amp;""),""))),"")&lt;='Scale score'!$B$7),IFERROR(VALUE(IF(TRIM('Scale score'!$B$5&amp;"")="","",IFERROR(TRIM(INDEX($A901:$Z901,MATCH('Scale score'!$B$5,$A$1:$Z$1,0))&amp;""),""))),""),""),"")</f>
        <v/>
      </c>
      <c r="AH901" s="41">
        <f>IF(TRIM('Open answers'!$B$5&amp;"")="","",IFERROR(TRIM(INDEX($A901:$Z901,MATCH('Open answers'!$B$5,$A$1:$Z$1,0))&amp;""),""))</f>
        <v/>
      </c>
      <c r="AI901" s="41">
        <f>IF(LEN(AH901)&gt;0,MAX($AI$1:AI900)+1,"")</f>
        <v/>
      </c>
    </row>
    <row r="902">
      <c r="AA902" s="40" t="n"/>
      <c r="AB902" s="41">
        <f>IF(TRIM('Counts'!$B$8&amp;"")="","",IFERROR(TRIM(INDEX($A902:$Z902,MATCH('Counts'!$B$8,$A$1:$Z$1,0))&amp;""),""))</f>
        <v/>
      </c>
      <c r="AC902" s="41">
        <f>IF(TRIM('Counts'!$B$26&amp;"")="","",IFERROR(TRIM(INDEX($A902:$Z902,MATCH('Counts'!$B$26,$A$1:$Z$1,0))&amp;""),""))</f>
        <v/>
      </c>
      <c r="AD902" s="41">
        <f>IF(TRIM('Counts'!$B$44&amp;"")="","",IFERROR(TRIM(INDEX($A902:$Z902,MATCH('Counts'!$B$44,$A$1:$Z$1,0))&amp;""),""))</f>
        <v/>
      </c>
      <c r="AE902" s="41">
        <f>IF(TRIM('Cross-tab'!$B$5&amp;"")="","",IFERROR(TRIM(INDEX($A902:$Z902,MATCH('Cross-tab'!$B$5,$A$1:$Z$1,0))&amp;""),""))</f>
        <v/>
      </c>
      <c r="AF902" s="41">
        <f>IF(TRIM('Cross-tab'!$B$7&amp;"")="","",IFERROR(TRIM(INDEX($A902:$Z902,MATCH('Cross-tab'!$B$7,$A$1:$Z$1,0))&amp;""),""))</f>
        <v/>
      </c>
      <c r="AG902" s="41">
        <f>IF(ISNUMBER(IFERROR(VALUE(IF(TRIM('Scale score'!$B$5&amp;"")="","",IFERROR(TRIM(INDEX($A902:$Z902,MATCH('Scale score'!$B$5,$A$1:$Z$1,0))&amp;""),""))),"")),IF(AND(IFERROR(VALUE(IF(TRIM('Scale score'!$B$5&amp;"")="","",IFERROR(TRIM(INDEX($A902:$Z902,MATCH('Scale score'!$B$5,$A$1:$Z$1,0))&amp;""),""))),"")&gt;='Scale score'!$B$6,IFERROR(VALUE(IF(TRIM('Scale score'!$B$5&amp;"")="","",IFERROR(TRIM(INDEX($A902:$Z902,MATCH('Scale score'!$B$5,$A$1:$Z$1,0))&amp;""),""))),"")&lt;='Scale score'!$B$7),IFERROR(VALUE(IF(TRIM('Scale score'!$B$5&amp;"")="","",IFERROR(TRIM(INDEX($A902:$Z902,MATCH('Scale score'!$B$5,$A$1:$Z$1,0))&amp;""),""))),""),""),"")</f>
        <v/>
      </c>
      <c r="AH902" s="41">
        <f>IF(TRIM('Open answers'!$B$5&amp;"")="","",IFERROR(TRIM(INDEX($A902:$Z902,MATCH('Open answers'!$B$5,$A$1:$Z$1,0))&amp;""),""))</f>
        <v/>
      </c>
      <c r="AI902" s="41">
        <f>IF(LEN(AH902)&gt;0,MAX($AI$1:AI901)+1,"")</f>
        <v/>
      </c>
    </row>
    <row r="903">
      <c r="AA903" s="40" t="n"/>
      <c r="AB903" s="41">
        <f>IF(TRIM('Counts'!$B$8&amp;"")="","",IFERROR(TRIM(INDEX($A903:$Z903,MATCH('Counts'!$B$8,$A$1:$Z$1,0))&amp;""),""))</f>
        <v/>
      </c>
      <c r="AC903" s="41">
        <f>IF(TRIM('Counts'!$B$26&amp;"")="","",IFERROR(TRIM(INDEX($A903:$Z903,MATCH('Counts'!$B$26,$A$1:$Z$1,0))&amp;""),""))</f>
        <v/>
      </c>
      <c r="AD903" s="41">
        <f>IF(TRIM('Counts'!$B$44&amp;"")="","",IFERROR(TRIM(INDEX($A903:$Z903,MATCH('Counts'!$B$44,$A$1:$Z$1,0))&amp;""),""))</f>
        <v/>
      </c>
      <c r="AE903" s="41">
        <f>IF(TRIM('Cross-tab'!$B$5&amp;"")="","",IFERROR(TRIM(INDEX($A903:$Z903,MATCH('Cross-tab'!$B$5,$A$1:$Z$1,0))&amp;""),""))</f>
        <v/>
      </c>
      <c r="AF903" s="41">
        <f>IF(TRIM('Cross-tab'!$B$7&amp;"")="","",IFERROR(TRIM(INDEX($A903:$Z903,MATCH('Cross-tab'!$B$7,$A$1:$Z$1,0))&amp;""),""))</f>
        <v/>
      </c>
      <c r="AG903" s="41">
        <f>IF(ISNUMBER(IFERROR(VALUE(IF(TRIM('Scale score'!$B$5&amp;"")="","",IFERROR(TRIM(INDEX($A903:$Z903,MATCH('Scale score'!$B$5,$A$1:$Z$1,0))&amp;""),""))),"")),IF(AND(IFERROR(VALUE(IF(TRIM('Scale score'!$B$5&amp;"")="","",IFERROR(TRIM(INDEX($A903:$Z903,MATCH('Scale score'!$B$5,$A$1:$Z$1,0))&amp;""),""))),"")&gt;='Scale score'!$B$6,IFERROR(VALUE(IF(TRIM('Scale score'!$B$5&amp;"")="","",IFERROR(TRIM(INDEX($A903:$Z903,MATCH('Scale score'!$B$5,$A$1:$Z$1,0))&amp;""),""))),"")&lt;='Scale score'!$B$7),IFERROR(VALUE(IF(TRIM('Scale score'!$B$5&amp;"")="","",IFERROR(TRIM(INDEX($A903:$Z903,MATCH('Scale score'!$B$5,$A$1:$Z$1,0))&amp;""),""))),""),""),"")</f>
        <v/>
      </c>
      <c r="AH903" s="41">
        <f>IF(TRIM('Open answers'!$B$5&amp;"")="","",IFERROR(TRIM(INDEX($A903:$Z903,MATCH('Open answers'!$B$5,$A$1:$Z$1,0))&amp;""),""))</f>
        <v/>
      </c>
      <c r="AI903" s="41">
        <f>IF(LEN(AH903)&gt;0,MAX($AI$1:AI902)+1,"")</f>
        <v/>
      </c>
    </row>
    <row r="904">
      <c r="AA904" s="40" t="n"/>
      <c r="AB904" s="41">
        <f>IF(TRIM('Counts'!$B$8&amp;"")="","",IFERROR(TRIM(INDEX($A904:$Z904,MATCH('Counts'!$B$8,$A$1:$Z$1,0))&amp;""),""))</f>
        <v/>
      </c>
      <c r="AC904" s="41">
        <f>IF(TRIM('Counts'!$B$26&amp;"")="","",IFERROR(TRIM(INDEX($A904:$Z904,MATCH('Counts'!$B$26,$A$1:$Z$1,0))&amp;""),""))</f>
        <v/>
      </c>
      <c r="AD904" s="41">
        <f>IF(TRIM('Counts'!$B$44&amp;"")="","",IFERROR(TRIM(INDEX($A904:$Z904,MATCH('Counts'!$B$44,$A$1:$Z$1,0))&amp;""),""))</f>
        <v/>
      </c>
      <c r="AE904" s="41">
        <f>IF(TRIM('Cross-tab'!$B$5&amp;"")="","",IFERROR(TRIM(INDEX($A904:$Z904,MATCH('Cross-tab'!$B$5,$A$1:$Z$1,0))&amp;""),""))</f>
        <v/>
      </c>
      <c r="AF904" s="41">
        <f>IF(TRIM('Cross-tab'!$B$7&amp;"")="","",IFERROR(TRIM(INDEX($A904:$Z904,MATCH('Cross-tab'!$B$7,$A$1:$Z$1,0))&amp;""),""))</f>
        <v/>
      </c>
      <c r="AG904" s="41">
        <f>IF(ISNUMBER(IFERROR(VALUE(IF(TRIM('Scale score'!$B$5&amp;"")="","",IFERROR(TRIM(INDEX($A904:$Z904,MATCH('Scale score'!$B$5,$A$1:$Z$1,0))&amp;""),""))),"")),IF(AND(IFERROR(VALUE(IF(TRIM('Scale score'!$B$5&amp;"")="","",IFERROR(TRIM(INDEX($A904:$Z904,MATCH('Scale score'!$B$5,$A$1:$Z$1,0))&amp;""),""))),"")&gt;='Scale score'!$B$6,IFERROR(VALUE(IF(TRIM('Scale score'!$B$5&amp;"")="","",IFERROR(TRIM(INDEX($A904:$Z904,MATCH('Scale score'!$B$5,$A$1:$Z$1,0))&amp;""),""))),"")&lt;='Scale score'!$B$7),IFERROR(VALUE(IF(TRIM('Scale score'!$B$5&amp;"")="","",IFERROR(TRIM(INDEX($A904:$Z904,MATCH('Scale score'!$B$5,$A$1:$Z$1,0))&amp;""),""))),""),""),"")</f>
        <v/>
      </c>
      <c r="AH904" s="41">
        <f>IF(TRIM('Open answers'!$B$5&amp;"")="","",IFERROR(TRIM(INDEX($A904:$Z904,MATCH('Open answers'!$B$5,$A$1:$Z$1,0))&amp;""),""))</f>
        <v/>
      </c>
      <c r="AI904" s="41">
        <f>IF(LEN(AH904)&gt;0,MAX($AI$1:AI903)+1,"")</f>
        <v/>
      </c>
    </row>
    <row r="905">
      <c r="AA905" s="40" t="n"/>
      <c r="AB905" s="41">
        <f>IF(TRIM('Counts'!$B$8&amp;"")="","",IFERROR(TRIM(INDEX($A905:$Z905,MATCH('Counts'!$B$8,$A$1:$Z$1,0))&amp;""),""))</f>
        <v/>
      </c>
      <c r="AC905" s="41">
        <f>IF(TRIM('Counts'!$B$26&amp;"")="","",IFERROR(TRIM(INDEX($A905:$Z905,MATCH('Counts'!$B$26,$A$1:$Z$1,0))&amp;""),""))</f>
        <v/>
      </c>
      <c r="AD905" s="41">
        <f>IF(TRIM('Counts'!$B$44&amp;"")="","",IFERROR(TRIM(INDEX($A905:$Z905,MATCH('Counts'!$B$44,$A$1:$Z$1,0))&amp;""),""))</f>
        <v/>
      </c>
      <c r="AE905" s="41">
        <f>IF(TRIM('Cross-tab'!$B$5&amp;"")="","",IFERROR(TRIM(INDEX($A905:$Z905,MATCH('Cross-tab'!$B$5,$A$1:$Z$1,0))&amp;""),""))</f>
        <v/>
      </c>
      <c r="AF905" s="41">
        <f>IF(TRIM('Cross-tab'!$B$7&amp;"")="","",IFERROR(TRIM(INDEX($A905:$Z905,MATCH('Cross-tab'!$B$7,$A$1:$Z$1,0))&amp;""),""))</f>
        <v/>
      </c>
      <c r="AG905" s="41">
        <f>IF(ISNUMBER(IFERROR(VALUE(IF(TRIM('Scale score'!$B$5&amp;"")="","",IFERROR(TRIM(INDEX($A905:$Z905,MATCH('Scale score'!$B$5,$A$1:$Z$1,0))&amp;""),""))),"")),IF(AND(IFERROR(VALUE(IF(TRIM('Scale score'!$B$5&amp;"")="","",IFERROR(TRIM(INDEX($A905:$Z905,MATCH('Scale score'!$B$5,$A$1:$Z$1,0))&amp;""),""))),"")&gt;='Scale score'!$B$6,IFERROR(VALUE(IF(TRIM('Scale score'!$B$5&amp;"")="","",IFERROR(TRIM(INDEX($A905:$Z905,MATCH('Scale score'!$B$5,$A$1:$Z$1,0))&amp;""),""))),"")&lt;='Scale score'!$B$7),IFERROR(VALUE(IF(TRIM('Scale score'!$B$5&amp;"")="","",IFERROR(TRIM(INDEX($A905:$Z905,MATCH('Scale score'!$B$5,$A$1:$Z$1,0))&amp;""),""))),""),""),"")</f>
        <v/>
      </c>
      <c r="AH905" s="41">
        <f>IF(TRIM('Open answers'!$B$5&amp;"")="","",IFERROR(TRIM(INDEX($A905:$Z905,MATCH('Open answers'!$B$5,$A$1:$Z$1,0))&amp;""),""))</f>
        <v/>
      </c>
      <c r="AI905" s="41">
        <f>IF(LEN(AH905)&gt;0,MAX($AI$1:AI904)+1,"")</f>
        <v/>
      </c>
    </row>
    <row r="906">
      <c r="AA906" s="40" t="n"/>
      <c r="AB906" s="41">
        <f>IF(TRIM('Counts'!$B$8&amp;"")="","",IFERROR(TRIM(INDEX($A906:$Z906,MATCH('Counts'!$B$8,$A$1:$Z$1,0))&amp;""),""))</f>
        <v/>
      </c>
      <c r="AC906" s="41">
        <f>IF(TRIM('Counts'!$B$26&amp;"")="","",IFERROR(TRIM(INDEX($A906:$Z906,MATCH('Counts'!$B$26,$A$1:$Z$1,0))&amp;""),""))</f>
        <v/>
      </c>
      <c r="AD906" s="41">
        <f>IF(TRIM('Counts'!$B$44&amp;"")="","",IFERROR(TRIM(INDEX($A906:$Z906,MATCH('Counts'!$B$44,$A$1:$Z$1,0))&amp;""),""))</f>
        <v/>
      </c>
      <c r="AE906" s="41">
        <f>IF(TRIM('Cross-tab'!$B$5&amp;"")="","",IFERROR(TRIM(INDEX($A906:$Z906,MATCH('Cross-tab'!$B$5,$A$1:$Z$1,0))&amp;""),""))</f>
        <v/>
      </c>
      <c r="AF906" s="41">
        <f>IF(TRIM('Cross-tab'!$B$7&amp;"")="","",IFERROR(TRIM(INDEX($A906:$Z906,MATCH('Cross-tab'!$B$7,$A$1:$Z$1,0))&amp;""),""))</f>
        <v/>
      </c>
      <c r="AG906" s="41">
        <f>IF(ISNUMBER(IFERROR(VALUE(IF(TRIM('Scale score'!$B$5&amp;"")="","",IFERROR(TRIM(INDEX($A906:$Z906,MATCH('Scale score'!$B$5,$A$1:$Z$1,0))&amp;""),""))),"")),IF(AND(IFERROR(VALUE(IF(TRIM('Scale score'!$B$5&amp;"")="","",IFERROR(TRIM(INDEX($A906:$Z906,MATCH('Scale score'!$B$5,$A$1:$Z$1,0))&amp;""),""))),"")&gt;='Scale score'!$B$6,IFERROR(VALUE(IF(TRIM('Scale score'!$B$5&amp;"")="","",IFERROR(TRIM(INDEX($A906:$Z906,MATCH('Scale score'!$B$5,$A$1:$Z$1,0))&amp;""),""))),"")&lt;='Scale score'!$B$7),IFERROR(VALUE(IF(TRIM('Scale score'!$B$5&amp;"")="","",IFERROR(TRIM(INDEX($A906:$Z906,MATCH('Scale score'!$B$5,$A$1:$Z$1,0))&amp;""),""))),""),""),"")</f>
        <v/>
      </c>
      <c r="AH906" s="41">
        <f>IF(TRIM('Open answers'!$B$5&amp;"")="","",IFERROR(TRIM(INDEX($A906:$Z906,MATCH('Open answers'!$B$5,$A$1:$Z$1,0))&amp;""),""))</f>
        <v/>
      </c>
      <c r="AI906" s="41">
        <f>IF(LEN(AH906)&gt;0,MAX($AI$1:AI905)+1,"")</f>
        <v/>
      </c>
    </row>
    <row r="907">
      <c r="AA907" s="40" t="n"/>
      <c r="AB907" s="41">
        <f>IF(TRIM('Counts'!$B$8&amp;"")="","",IFERROR(TRIM(INDEX($A907:$Z907,MATCH('Counts'!$B$8,$A$1:$Z$1,0))&amp;""),""))</f>
        <v/>
      </c>
      <c r="AC907" s="41">
        <f>IF(TRIM('Counts'!$B$26&amp;"")="","",IFERROR(TRIM(INDEX($A907:$Z907,MATCH('Counts'!$B$26,$A$1:$Z$1,0))&amp;""),""))</f>
        <v/>
      </c>
      <c r="AD907" s="41">
        <f>IF(TRIM('Counts'!$B$44&amp;"")="","",IFERROR(TRIM(INDEX($A907:$Z907,MATCH('Counts'!$B$44,$A$1:$Z$1,0))&amp;""),""))</f>
        <v/>
      </c>
      <c r="AE907" s="41">
        <f>IF(TRIM('Cross-tab'!$B$5&amp;"")="","",IFERROR(TRIM(INDEX($A907:$Z907,MATCH('Cross-tab'!$B$5,$A$1:$Z$1,0))&amp;""),""))</f>
        <v/>
      </c>
      <c r="AF907" s="41">
        <f>IF(TRIM('Cross-tab'!$B$7&amp;"")="","",IFERROR(TRIM(INDEX($A907:$Z907,MATCH('Cross-tab'!$B$7,$A$1:$Z$1,0))&amp;""),""))</f>
        <v/>
      </c>
      <c r="AG907" s="41">
        <f>IF(ISNUMBER(IFERROR(VALUE(IF(TRIM('Scale score'!$B$5&amp;"")="","",IFERROR(TRIM(INDEX($A907:$Z907,MATCH('Scale score'!$B$5,$A$1:$Z$1,0))&amp;""),""))),"")),IF(AND(IFERROR(VALUE(IF(TRIM('Scale score'!$B$5&amp;"")="","",IFERROR(TRIM(INDEX($A907:$Z907,MATCH('Scale score'!$B$5,$A$1:$Z$1,0))&amp;""),""))),"")&gt;='Scale score'!$B$6,IFERROR(VALUE(IF(TRIM('Scale score'!$B$5&amp;"")="","",IFERROR(TRIM(INDEX($A907:$Z907,MATCH('Scale score'!$B$5,$A$1:$Z$1,0))&amp;""),""))),"")&lt;='Scale score'!$B$7),IFERROR(VALUE(IF(TRIM('Scale score'!$B$5&amp;"")="","",IFERROR(TRIM(INDEX($A907:$Z907,MATCH('Scale score'!$B$5,$A$1:$Z$1,0))&amp;""),""))),""),""),"")</f>
        <v/>
      </c>
      <c r="AH907" s="41">
        <f>IF(TRIM('Open answers'!$B$5&amp;"")="","",IFERROR(TRIM(INDEX($A907:$Z907,MATCH('Open answers'!$B$5,$A$1:$Z$1,0))&amp;""),""))</f>
        <v/>
      </c>
      <c r="AI907" s="41">
        <f>IF(LEN(AH907)&gt;0,MAX($AI$1:AI906)+1,"")</f>
        <v/>
      </c>
    </row>
    <row r="908">
      <c r="AA908" s="40" t="n"/>
      <c r="AB908" s="41">
        <f>IF(TRIM('Counts'!$B$8&amp;"")="","",IFERROR(TRIM(INDEX($A908:$Z908,MATCH('Counts'!$B$8,$A$1:$Z$1,0))&amp;""),""))</f>
        <v/>
      </c>
      <c r="AC908" s="41">
        <f>IF(TRIM('Counts'!$B$26&amp;"")="","",IFERROR(TRIM(INDEX($A908:$Z908,MATCH('Counts'!$B$26,$A$1:$Z$1,0))&amp;""),""))</f>
        <v/>
      </c>
      <c r="AD908" s="41">
        <f>IF(TRIM('Counts'!$B$44&amp;"")="","",IFERROR(TRIM(INDEX($A908:$Z908,MATCH('Counts'!$B$44,$A$1:$Z$1,0))&amp;""),""))</f>
        <v/>
      </c>
      <c r="AE908" s="41">
        <f>IF(TRIM('Cross-tab'!$B$5&amp;"")="","",IFERROR(TRIM(INDEX($A908:$Z908,MATCH('Cross-tab'!$B$5,$A$1:$Z$1,0))&amp;""),""))</f>
        <v/>
      </c>
      <c r="AF908" s="41">
        <f>IF(TRIM('Cross-tab'!$B$7&amp;"")="","",IFERROR(TRIM(INDEX($A908:$Z908,MATCH('Cross-tab'!$B$7,$A$1:$Z$1,0))&amp;""),""))</f>
        <v/>
      </c>
      <c r="AG908" s="41">
        <f>IF(ISNUMBER(IFERROR(VALUE(IF(TRIM('Scale score'!$B$5&amp;"")="","",IFERROR(TRIM(INDEX($A908:$Z908,MATCH('Scale score'!$B$5,$A$1:$Z$1,0))&amp;""),""))),"")),IF(AND(IFERROR(VALUE(IF(TRIM('Scale score'!$B$5&amp;"")="","",IFERROR(TRIM(INDEX($A908:$Z908,MATCH('Scale score'!$B$5,$A$1:$Z$1,0))&amp;""),""))),"")&gt;='Scale score'!$B$6,IFERROR(VALUE(IF(TRIM('Scale score'!$B$5&amp;"")="","",IFERROR(TRIM(INDEX($A908:$Z908,MATCH('Scale score'!$B$5,$A$1:$Z$1,0))&amp;""),""))),"")&lt;='Scale score'!$B$7),IFERROR(VALUE(IF(TRIM('Scale score'!$B$5&amp;"")="","",IFERROR(TRIM(INDEX($A908:$Z908,MATCH('Scale score'!$B$5,$A$1:$Z$1,0))&amp;""),""))),""),""),"")</f>
        <v/>
      </c>
      <c r="AH908" s="41">
        <f>IF(TRIM('Open answers'!$B$5&amp;"")="","",IFERROR(TRIM(INDEX($A908:$Z908,MATCH('Open answers'!$B$5,$A$1:$Z$1,0))&amp;""),""))</f>
        <v/>
      </c>
      <c r="AI908" s="41">
        <f>IF(LEN(AH908)&gt;0,MAX($AI$1:AI907)+1,"")</f>
        <v/>
      </c>
    </row>
    <row r="909">
      <c r="AA909" s="40" t="n"/>
      <c r="AB909" s="41">
        <f>IF(TRIM('Counts'!$B$8&amp;"")="","",IFERROR(TRIM(INDEX($A909:$Z909,MATCH('Counts'!$B$8,$A$1:$Z$1,0))&amp;""),""))</f>
        <v/>
      </c>
      <c r="AC909" s="41">
        <f>IF(TRIM('Counts'!$B$26&amp;"")="","",IFERROR(TRIM(INDEX($A909:$Z909,MATCH('Counts'!$B$26,$A$1:$Z$1,0))&amp;""),""))</f>
        <v/>
      </c>
      <c r="AD909" s="41">
        <f>IF(TRIM('Counts'!$B$44&amp;"")="","",IFERROR(TRIM(INDEX($A909:$Z909,MATCH('Counts'!$B$44,$A$1:$Z$1,0))&amp;""),""))</f>
        <v/>
      </c>
      <c r="AE909" s="41">
        <f>IF(TRIM('Cross-tab'!$B$5&amp;"")="","",IFERROR(TRIM(INDEX($A909:$Z909,MATCH('Cross-tab'!$B$5,$A$1:$Z$1,0))&amp;""),""))</f>
        <v/>
      </c>
      <c r="AF909" s="41">
        <f>IF(TRIM('Cross-tab'!$B$7&amp;"")="","",IFERROR(TRIM(INDEX($A909:$Z909,MATCH('Cross-tab'!$B$7,$A$1:$Z$1,0))&amp;""),""))</f>
        <v/>
      </c>
      <c r="AG909" s="41">
        <f>IF(ISNUMBER(IFERROR(VALUE(IF(TRIM('Scale score'!$B$5&amp;"")="","",IFERROR(TRIM(INDEX($A909:$Z909,MATCH('Scale score'!$B$5,$A$1:$Z$1,0))&amp;""),""))),"")),IF(AND(IFERROR(VALUE(IF(TRIM('Scale score'!$B$5&amp;"")="","",IFERROR(TRIM(INDEX($A909:$Z909,MATCH('Scale score'!$B$5,$A$1:$Z$1,0))&amp;""),""))),"")&gt;='Scale score'!$B$6,IFERROR(VALUE(IF(TRIM('Scale score'!$B$5&amp;"")="","",IFERROR(TRIM(INDEX($A909:$Z909,MATCH('Scale score'!$B$5,$A$1:$Z$1,0))&amp;""),""))),"")&lt;='Scale score'!$B$7),IFERROR(VALUE(IF(TRIM('Scale score'!$B$5&amp;"")="","",IFERROR(TRIM(INDEX($A909:$Z909,MATCH('Scale score'!$B$5,$A$1:$Z$1,0))&amp;""),""))),""),""),"")</f>
        <v/>
      </c>
      <c r="AH909" s="41">
        <f>IF(TRIM('Open answers'!$B$5&amp;"")="","",IFERROR(TRIM(INDEX($A909:$Z909,MATCH('Open answers'!$B$5,$A$1:$Z$1,0))&amp;""),""))</f>
        <v/>
      </c>
      <c r="AI909" s="41">
        <f>IF(LEN(AH909)&gt;0,MAX($AI$1:AI908)+1,"")</f>
        <v/>
      </c>
    </row>
    <row r="910">
      <c r="AA910" s="40" t="n"/>
      <c r="AB910" s="41">
        <f>IF(TRIM('Counts'!$B$8&amp;"")="","",IFERROR(TRIM(INDEX($A910:$Z910,MATCH('Counts'!$B$8,$A$1:$Z$1,0))&amp;""),""))</f>
        <v/>
      </c>
      <c r="AC910" s="41">
        <f>IF(TRIM('Counts'!$B$26&amp;"")="","",IFERROR(TRIM(INDEX($A910:$Z910,MATCH('Counts'!$B$26,$A$1:$Z$1,0))&amp;""),""))</f>
        <v/>
      </c>
      <c r="AD910" s="41">
        <f>IF(TRIM('Counts'!$B$44&amp;"")="","",IFERROR(TRIM(INDEX($A910:$Z910,MATCH('Counts'!$B$44,$A$1:$Z$1,0))&amp;""),""))</f>
        <v/>
      </c>
      <c r="AE910" s="41">
        <f>IF(TRIM('Cross-tab'!$B$5&amp;"")="","",IFERROR(TRIM(INDEX($A910:$Z910,MATCH('Cross-tab'!$B$5,$A$1:$Z$1,0))&amp;""),""))</f>
        <v/>
      </c>
      <c r="AF910" s="41">
        <f>IF(TRIM('Cross-tab'!$B$7&amp;"")="","",IFERROR(TRIM(INDEX($A910:$Z910,MATCH('Cross-tab'!$B$7,$A$1:$Z$1,0))&amp;""),""))</f>
        <v/>
      </c>
      <c r="AG910" s="41">
        <f>IF(ISNUMBER(IFERROR(VALUE(IF(TRIM('Scale score'!$B$5&amp;"")="","",IFERROR(TRIM(INDEX($A910:$Z910,MATCH('Scale score'!$B$5,$A$1:$Z$1,0))&amp;""),""))),"")),IF(AND(IFERROR(VALUE(IF(TRIM('Scale score'!$B$5&amp;"")="","",IFERROR(TRIM(INDEX($A910:$Z910,MATCH('Scale score'!$B$5,$A$1:$Z$1,0))&amp;""),""))),"")&gt;='Scale score'!$B$6,IFERROR(VALUE(IF(TRIM('Scale score'!$B$5&amp;"")="","",IFERROR(TRIM(INDEX($A910:$Z910,MATCH('Scale score'!$B$5,$A$1:$Z$1,0))&amp;""),""))),"")&lt;='Scale score'!$B$7),IFERROR(VALUE(IF(TRIM('Scale score'!$B$5&amp;"")="","",IFERROR(TRIM(INDEX($A910:$Z910,MATCH('Scale score'!$B$5,$A$1:$Z$1,0))&amp;""),""))),""),""),"")</f>
        <v/>
      </c>
      <c r="AH910" s="41">
        <f>IF(TRIM('Open answers'!$B$5&amp;"")="","",IFERROR(TRIM(INDEX($A910:$Z910,MATCH('Open answers'!$B$5,$A$1:$Z$1,0))&amp;""),""))</f>
        <v/>
      </c>
      <c r="AI910" s="41">
        <f>IF(LEN(AH910)&gt;0,MAX($AI$1:AI909)+1,"")</f>
        <v/>
      </c>
    </row>
    <row r="911">
      <c r="AA911" s="40" t="n"/>
      <c r="AB911" s="41">
        <f>IF(TRIM('Counts'!$B$8&amp;"")="","",IFERROR(TRIM(INDEX($A911:$Z911,MATCH('Counts'!$B$8,$A$1:$Z$1,0))&amp;""),""))</f>
        <v/>
      </c>
      <c r="AC911" s="41">
        <f>IF(TRIM('Counts'!$B$26&amp;"")="","",IFERROR(TRIM(INDEX($A911:$Z911,MATCH('Counts'!$B$26,$A$1:$Z$1,0))&amp;""),""))</f>
        <v/>
      </c>
      <c r="AD911" s="41">
        <f>IF(TRIM('Counts'!$B$44&amp;"")="","",IFERROR(TRIM(INDEX($A911:$Z911,MATCH('Counts'!$B$44,$A$1:$Z$1,0))&amp;""),""))</f>
        <v/>
      </c>
      <c r="AE911" s="41">
        <f>IF(TRIM('Cross-tab'!$B$5&amp;"")="","",IFERROR(TRIM(INDEX($A911:$Z911,MATCH('Cross-tab'!$B$5,$A$1:$Z$1,0))&amp;""),""))</f>
        <v/>
      </c>
      <c r="AF911" s="41">
        <f>IF(TRIM('Cross-tab'!$B$7&amp;"")="","",IFERROR(TRIM(INDEX($A911:$Z911,MATCH('Cross-tab'!$B$7,$A$1:$Z$1,0))&amp;""),""))</f>
        <v/>
      </c>
      <c r="AG911" s="41">
        <f>IF(ISNUMBER(IFERROR(VALUE(IF(TRIM('Scale score'!$B$5&amp;"")="","",IFERROR(TRIM(INDEX($A911:$Z911,MATCH('Scale score'!$B$5,$A$1:$Z$1,0))&amp;""),""))),"")),IF(AND(IFERROR(VALUE(IF(TRIM('Scale score'!$B$5&amp;"")="","",IFERROR(TRIM(INDEX($A911:$Z911,MATCH('Scale score'!$B$5,$A$1:$Z$1,0))&amp;""),""))),"")&gt;='Scale score'!$B$6,IFERROR(VALUE(IF(TRIM('Scale score'!$B$5&amp;"")="","",IFERROR(TRIM(INDEX($A911:$Z911,MATCH('Scale score'!$B$5,$A$1:$Z$1,0))&amp;""),""))),"")&lt;='Scale score'!$B$7),IFERROR(VALUE(IF(TRIM('Scale score'!$B$5&amp;"")="","",IFERROR(TRIM(INDEX($A911:$Z911,MATCH('Scale score'!$B$5,$A$1:$Z$1,0))&amp;""),""))),""),""),"")</f>
        <v/>
      </c>
      <c r="AH911" s="41">
        <f>IF(TRIM('Open answers'!$B$5&amp;"")="","",IFERROR(TRIM(INDEX($A911:$Z911,MATCH('Open answers'!$B$5,$A$1:$Z$1,0))&amp;""),""))</f>
        <v/>
      </c>
      <c r="AI911" s="41">
        <f>IF(LEN(AH911)&gt;0,MAX($AI$1:AI910)+1,"")</f>
        <v/>
      </c>
    </row>
    <row r="912">
      <c r="AA912" s="40" t="n"/>
      <c r="AB912" s="41">
        <f>IF(TRIM('Counts'!$B$8&amp;"")="","",IFERROR(TRIM(INDEX($A912:$Z912,MATCH('Counts'!$B$8,$A$1:$Z$1,0))&amp;""),""))</f>
        <v/>
      </c>
      <c r="AC912" s="41">
        <f>IF(TRIM('Counts'!$B$26&amp;"")="","",IFERROR(TRIM(INDEX($A912:$Z912,MATCH('Counts'!$B$26,$A$1:$Z$1,0))&amp;""),""))</f>
        <v/>
      </c>
      <c r="AD912" s="41">
        <f>IF(TRIM('Counts'!$B$44&amp;"")="","",IFERROR(TRIM(INDEX($A912:$Z912,MATCH('Counts'!$B$44,$A$1:$Z$1,0))&amp;""),""))</f>
        <v/>
      </c>
      <c r="AE912" s="41">
        <f>IF(TRIM('Cross-tab'!$B$5&amp;"")="","",IFERROR(TRIM(INDEX($A912:$Z912,MATCH('Cross-tab'!$B$5,$A$1:$Z$1,0))&amp;""),""))</f>
        <v/>
      </c>
      <c r="AF912" s="41">
        <f>IF(TRIM('Cross-tab'!$B$7&amp;"")="","",IFERROR(TRIM(INDEX($A912:$Z912,MATCH('Cross-tab'!$B$7,$A$1:$Z$1,0))&amp;""),""))</f>
        <v/>
      </c>
      <c r="AG912" s="41">
        <f>IF(ISNUMBER(IFERROR(VALUE(IF(TRIM('Scale score'!$B$5&amp;"")="","",IFERROR(TRIM(INDEX($A912:$Z912,MATCH('Scale score'!$B$5,$A$1:$Z$1,0))&amp;""),""))),"")),IF(AND(IFERROR(VALUE(IF(TRIM('Scale score'!$B$5&amp;"")="","",IFERROR(TRIM(INDEX($A912:$Z912,MATCH('Scale score'!$B$5,$A$1:$Z$1,0))&amp;""),""))),"")&gt;='Scale score'!$B$6,IFERROR(VALUE(IF(TRIM('Scale score'!$B$5&amp;"")="","",IFERROR(TRIM(INDEX($A912:$Z912,MATCH('Scale score'!$B$5,$A$1:$Z$1,0))&amp;""),""))),"")&lt;='Scale score'!$B$7),IFERROR(VALUE(IF(TRIM('Scale score'!$B$5&amp;"")="","",IFERROR(TRIM(INDEX($A912:$Z912,MATCH('Scale score'!$B$5,$A$1:$Z$1,0))&amp;""),""))),""),""),"")</f>
        <v/>
      </c>
      <c r="AH912" s="41">
        <f>IF(TRIM('Open answers'!$B$5&amp;"")="","",IFERROR(TRIM(INDEX($A912:$Z912,MATCH('Open answers'!$B$5,$A$1:$Z$1,0))&amp;""),""))</f>
        <v/>
      </c>
      <c r="AI912" s="41">
        <f>IF(LEN(AH912)&gt;0,MAX($AI$1:AI911)+1,"")</f>
        <v/>
      </c>
    </row>
    <row r="913">
      <c r="AA913" s="40" t="n"/>
      <c r="AB913" s="41">
        <f>IF(TRIM('Counts'!$B$8&amp;"")="","",IFERROR(TRIM(INDEX($A913:$Z913,MATCH('Counts'!$B$8,$A$1:$Z$1,0))&amp;""),""))</f>
        <v/>
      </c>
      <c r="AC913" s="41">
        <f>IF(TRIM('Counts'!$B$26&amp;"")="","",IFERROR(TRIM(INDEX($A913:$Z913,MATCH('Counts'!$B$26,$A$1:$Z$1,0))&amp;""),""))</f>
        <v/>
      </c>
      <c r="AD913" s="41">
        <f>IF(TRIM('Counts'!$B$44&amp;"")="","",IFERROR(TRIM(INDEX($A913:$Z913,MATCH('Counts'!$B$44,$A$1:$Z$1,0))&amp;""),""))</f>
        <v/>
      </c>
      <c r="AE913" s="41">
        <f>IF(TRIM('Cross-tab'!$B$5&amp;"")="","",IFERROR(TRIM(INDEX($A913:$Z913,MATCH('Cross-tab'!$B$5,$A$1:$Z$1,0))&amp;""),""))</f>
        <v/>
      </c>
      <c r="AF913" s="41">
        <f>IF(TRIM('Cross-tab'!$B$7&amp;"")="","",IFERROR(TRIM(INDEX($A913:$Z913,MATCH('Cross-tab'!$B$7,$A$1:$Z$1,0))&amp;""),""))</f>
        <v/>
      </c>
      <c r="AG913" s="41">
        <f>IF(ISNUMBER(IFERROR(VALUE(IF(TRIM('Scale score'!$B$5&amp;"")="","",IFERROR(TRIM(INDEX($A913:$Z913,MATCH('Scale score'!$B$5,$A$1:$Z$1,0))&amp;""),""))),"")),IF(AND(IFERROR(VALUE(IF(TRIM('Scale score'!$B$5&amp;"")="","",IFERROR(TRIM(INDEX($A913:$Z913,MATCH('Scale score'!$B$5,$A$1:$Z$1,0))&amp;""),""))),"")&gt;='Scale score'!$B$6,IFERROR(VALUE(IF(TRIM('Scale score'!$B$5&amp;"")="","",IFERROR(TRIM(INDEX($A913:$Z913,MATCH('Scale score'!$B$5,$A$1:$Z$1,0))&amp;""),""))),"")&lt;='Scale score'!$B$7),IFERROR(VALUE(IF(TRIM('Scale score'!$B$5&amp;"")="","",IFERROR(TRIM(INDEX($A913:$Z913,MATCH('Scale score'!$B$5,$A$1:$Z$1,0))&amp;""),""))),""),""),"")</f>
        <v/>
      </c>
      <c r="AH913" s="41">
        <f>IF(TRIM('Open answers'!$B$5&amp;"")="","",IFERROR(TRIM(INDEX($A913:$Z913,MATCH('Open answers'!$B$5,$A$1:$Z$1,0))&amp;""),""))</f>
        <v/>
      </c>
      <c r="AI913" s="41">
        <f>IF(LEN(AH913)&gt;0,MAX($AI$1:AI912)+1,"")</f>
        <v/>
      </c>
    </row>
    <row r="914">
      <c r="AA914" s="40" t="n"/>
      <c r="AB914" s="41">
        <f>IF(TRIM('Counts'!$B$8&amp;"")="","",IFERROR(TRIM(INDEX($A914:$Z914,MATCH('Counts'!$B$8,$A$1:$Z$1,0))&amp;""),""))</f>
        <v/>
      </c>
      <c r="AC914" s="41">
        <f>IF(TRIM('Counts'!$B$26&amp;"")="","",IFERROR(TRIM(INDEX($A914:$Z914,MATCH('Counts'!$B$26,$A$1:$Z$1,0))&amp;""),""))</f>
        <v/>
      </c>
      <c r="AD914" s="41">
        <f>IF(TRIM('Counts'!$B$44&amp;"")="","",IFERROR(TRIM(INDEX($A914:$Z914,MATCH('Counts'!$B$44,$A$1:$Z$1,0))&amp;""),""))</f>
        <v/>
      </c>
      <c r="AE914" s="41">
        <f>IF(TRIM('Cross-tab'!$B$5&amp;"")="","",IFERROR(TRIM(INDEX($A914:$Z914,MATCH('Cross-tab'!$B$5,$A$1:$Z$1,0))&amp;""),""))</f>
        <v/>
      </c>
      <c r="AF914" s="41">
        <f>IF(TRIM('Cross-tab'!$B$7&amp;"")="","",IFERROR(TRIM(INDEX($A914:$Z914,MATCH('Cross-tab'!$B$7,$A$1:$Z$1,0))&amp;""),""))</f>
        <v/>
      </c>
      <c r="AG914" s="41">
        <f>IF(ISNUMBER(IFERROR(VALUE(IF(TRIM('Scale score'!$B$5&amp;"")="","",IFERROR(TRIM(INDEX($A914:$Z914,MATCH('Scale score'!$B$5,$A$1:$Z$1,0))&amp;""),""))),"")),IF(AND(IFERROR(VALUE(IF(TRIM('Scale score'!$B$5&amp;"")="","",IFERROR(TRIM(INDEX($A914:$Z914,MATCH('Scale score'!$B$5,$A$1:$Z$1,0))&amp;""),""))),"")&gt;='Scale score'!$B$6,IFERROR(VALUE(IF(TRIM('Scale score'!$B$5&amp;"")="","",IFERROR(TRIM(INDEX($A914:$Z914,MATCH('Scale score'!$B$5,$A$1:$Z$1,0))&amp;""),""))),"")&lt;='Scale score'!$B$7),IFERROR(VALUE(IF(TRIM('Scale score'!$B$5&amp;"")="","",IFERROR(TRIM(INDEX($A914:$Z914,MATCH('Scale score'!$B$5,$A$1:$Z$1,0))&amp;""),""))),""),""),"")</f>
        <v/>
      </c>
      <c r="AH914" s="41">
        <f>IF(TRIM('Open answers'!$B$5&amp;"")="","",IFERROR(TRIM(INDEX($A914:$Z914,MATCH('Open answers'!$B$5,$A$1:$Z$1,0))&amp;""),""))</f>
        <v/>
      </c>
      <c r="AI914" s="41">
        <f>IF(LEN(AH914)&gt;0,MAX($AI$1:AI913)+1,"")</f>
        <v/>
      </c>
    </row>
    <row r="915">
      <c r="AA915" s="40" t="n"/>
      <c r="AB915" s="41">
        <f>IF(TRIM('Counts'!$B$8&amp;"")="","",IFERROR(TRIM(INDEX($A915:$Z915,MATCH('Counts'!$B$8,$A$1:$Z$1,0))&amp;""),""))</f>
        <v/>
      </c>
      <c r="AC915" s="41">
        <f>IF(TRIM('Counts'!$B$26&amp;"")="","",IFERROR(TRIM(INDEX($A915:$Z915,MATCH('Counts'!$B$26,$A$1:$Z$1,0))&amp;""),""))</f>
        <v/>
      </c>
      <c r="AD915" s="41">
        <f>IF(TRIM('Counts'!$B$44&amp;"")="","",IFERROR(TRIM(INDEX($A915:$Z915,MATCH('Counts'!$B$44,$A$1:$Z$1,0))&amp;""),""))</f>
        <v/>
      </c>
      <c r="AE915" s="41">
        <f>IF(TRIM('Cross-tab'!$B$5&amp;"")="","",IFERROR(TRIM(INDEX($A915:$Z915,MATCH('Cross-tab'!$B$5,$A$1:$Z$1,0))&amp;""),""))</f>
        <v/>
      </c>
      <c r="AF915" s="41">
        <f>IF(TRIM('Cross-tab'!$B$7&amp;"")="","",IFERROR(TRIM(INDEX($A915:$Z915,MATCH('Cross-tab'!$B$7,$A$1:$Z$1,0))&amp;""),""))</f>
        <v/>
      </c>
      <c r="AG915" s="41">
        <f>IF(ISNUMBER(IFERROR(VALUE(IF(TRIM('Scale score'!$B$5&amp;"")="","",IFERROR(TRIM(INDEX($A915:$Z915,MATCH('Scale score'!$B$5,$A$1:$Z$1,0))&amp;""),""))),"")),IF(AND(IFERROR(VALUE(IF(TRIM('Scale score'!$B$5&amp;"")="","",IFERROR(TRIM(INDEX($A915:$Z915,MATCH('Scale score'!$B$5,$A$1:$Z$1,0))&amp;""),""))),"")&gt;='Scale score'!$B$6,IFERROR(VALUE(IF(TRIM('Scale score'!$B$5&amp;"")="","",IFERROR(TRIM(INDEX($A915:$Z915,MATCH('Scale score'!$B$5,$A$1:$Z$1,0))&amp;""),""))),"")&lt;='Scale score'!$B$7),IFERROR(VALUE(IF(TRIM('Scale score'!$B$5&amp;"")="","",IFERROR(TRIM(INDEX($A915:$Z915,MATCH('Scale score'!$B$5,$A$1:$Z$1,0))&amp;""),""))),""),""),"")</f>
        <v/>
      </c>
      <c r="AH915" s="41">
        <f>IF(TRIM('Open answers'!$B$5&amp;"")="","",IFERROR(TRIM(INDEX($A915:$Z915,MATCH('Open answers'!$B$5,$A$1:$Z$1,0))&amp;""),""))</f>
        <v/>
      </c>
      <c r="AI915" s="41">
        <f>IF(LEN(AH915)&gt;0,MAX($AI$1:AI914)+1,"")</f>
        <v/>
      </c>
    </row>
    <row r="916">
      <c r="AA916" s="40" t="n"/>
      <c r="AB916" s="41">
        <f>IF(TRIM('Counts'!$B$8&amp;"")="","",IFERROR(TRIM(INDEX($A916:$Z916,MATCH('Counts'!$B$8,$A$1:$Z$1,0))&amp;""),""))</f>
        <v/>
      </c>
      <c r="AC916" s="41">
        <f>IF(TRIM('Counts'!$B$26&amp;"")="","",IFERROR(TRIM(INDEX($A916:$Z916,MATCH('Counts'!$B$26,$A$1:$Z$1,0))&amp;""),""))</f>
        <v/>
      </c>
      <c r="AD916" s="41">
        <f>IF(TRIM('Counts'!$B$44&amp;"")="","",IFERROR(TRIM(INDEX($A916:$Z916,MATCH('Counts'!$B$44,$A$1:$Z$1,0))&amp;""),""))</f>
        <v/>
      </c>
      <c r="AE916" s="41">
        <f>IF(TRIM('Cross-tab'!$B$5&amp;"")="","",IFERROR(TRIM(INDEX($A916:$Z916,MATCH('Cross-tab'!$B$5,$A$1:$Z$1,0))&amp;""),""))</f>
        <v/>
      </c>
      <c r="AF916" s="41">
        <f>IF(TRIM('Cross-tab'!$B$7&amp;"")="","",IFERROR(TRIM(INDEX($A916:$Z916,MATCH('Cross-tab'!$B$7,$A$1:$Z$1,0))&amp;""),""))</f>
        <v/>
      </c>
      <c r="AG916" s="41">
        <f>IF(ISNUMBER(IFERROR(VALUE(IF(TRIM('Scale score'!$B$5&amp;"")="","",IFERROR(TRIM(INDEX($A916:$Z916,MATCH('Scale score'!$B$5,$A$1:$Z$1,0))&amp;""),""))),"")),IF(AND(IFERROR(VALUE(IF(TRIM('Scale score'!$B$5&amp;"")="","",IFERROR(TRIM(INDEX($A916:$Z916,MATCH('Scale score'!$B$5,$A$1:$Z$1,0))&amp;""),""))),"")&gt;='Scale score'!$B$6,IFERROR(VALUE(IF(TRIM('Scale score'!$B$5&amp;"")="","",IFERROR(TRIM(INDEX($A916:$Z916,MATCH('Scale score'!$B$5,$A$1:$Z$1,0))&amp;""),""))),"")&lt;='Scale score'!$B$7),IFERROR(VALUE(IF(TRIM('Scale score'!$B$5&amp;"")="","",IFERROR(TRIM(INDEX($A916:$Z916,MATCH('Scale score'!$B$5,$A$1:$Z$1,0))&amp;""),""))),""),""),"")</f>
        <v/>
      </c>
      <c r="AH916" s="41">
        <f>IF(TRIM('Open answers'!$B$5&amp;"")="","",IFERROR(TRIM(INDEX($A916:$Z916,MATCH('Open answers'!$B$5,$A$1:$Z$1,0))&amp;""),""))</f>
        <v/>
      </c>
      <c r="AI916" s="41">
        <f>IF(LEN(AH916)&gt;0,MAX($AI$1:AI915)+1,"")</f>
        <v/>
      </c>
    </row>
    <row r="917">
      <c r="AA917" s="40" t="n"/>
      <c r="AB917" s="41">
        <f>IF(TRIM('Counts'!$B$8&amp;"")="","",IFERROR(TRIM(INDEX($A917:$Z917,MATCH('Counts'!$B$8,$A$1:$Z$1,0))&amp;""),""))</f>
        <v/>
      </c>
      <c r="AC917" s="41">
        <f>IF(TRIM('Counts'!$B$26&amp;"")="","",IFERROR(TRIM(INDEX($A917:$Z917,MATCH('Counts'!$B$26,$A$1:$Z$1,0))&amp;""),""))</f>
        <v/>
      </c>
      <c r="AD917" s="41">
        <f>IF(TRIM('Counts'!$B$44&amp;"")="","",IFERROR(TRIM(INDEX($A917:$Z917,MATCH('Counts'!$B$44,$A$1:$Z$1,0))&amp;""),""))</f>
        <v/>
      </c>
      <c r="AE917" s="41">
        <f>IF(TRIM('Cross-tab'!$B$5&amp;"")="","",IFERROR(TRIM(INDEX($A917:$Z917,MATCH('Cross-tab'!$B$5,$A$1:$Z$1,0))&amp;""),""))</f>
        <v/>
      </c>
      <c r="AF917" s="41">
        <f>IF(TRIM('Cross-tab'!$B$7&amp;"")="","",IFERROR(TRIM(INDEX($A917:$Z917,MATCH('Cross-tab'!$B$7,$A$1:$Z$1,0))&amp;""),""))</f>
        <v/>
      </c>
      <c r="AG917" s="41">
        <f>IF(ISNUMBER(IFERROR(VALUE(IF(TRIM('Scale score'!$B$5&amp;"")="","",IFERROR(TRIM(INDEX($A917:$Z917,MATCH('Scale score'!$B$5,$A$1:$Z$1,0))&amp;""),""))),"")),IF(AND(IFERROR(VALUE(IF(TRIM('Scale score'!$B$5&amp;"")="","",IFERROR(TRIM(INDEX($A917:$Z917,MATCH('Scale score'!$B$5,$A$1:$Z$1,0))&amp;""),""))),"")&gt;='Scale score'!$B$6,IFERROR(VALUE(IF(TRIM('Scale score'!$B$5&amp;"")="","",IFERROR(TRIM(INDEX($A917:$Z917,MATCH('Scale score'!$B$5,$A$1:$Z$1,0))&amp;""),""))),"")&lt;='Scale score'!$B$7),IFERROR(VALUE(IF(TRIM('Scale score'!$B$5&amp;"")="","",IFERROR(TRIM(INDEX($A917:$Z917,MATCH('Scale score'!$B$5,$A$1:$Z$1,0))&amp;""),""))),""),""),"")</f>
        <v/>
      </c>
      <c r="AH917" s="41">
        <f>IF(TRIM('Open answers'!$B$5&amp;"")="","",IFERROR(TRIM(INDEX($A917:$Z917,MATCH('Open answers'!$B$5,$A$1:$Z$1,0))&amp;""),""))</f>
        <v/>
      </c>
      <c r="AI917" s="41">
        <f>IF(LEN(AH917)&gt;0,MAX($AI$1:AI916)+1,"")</f>
        <v/>
      </c>
    </row>
    <row r="918">
      <c r="AA918" s="40" t="n"/>
      <c r="AB918" s="41">
        <f>IF(TRIM('Counts'!$B$8&amp;"")="","",IFERROR(TRIM(INDEX($A918:$Z918,MATCH('Counts'!$B$8,$A$1:$Z$1,0))&amp;""),""))</f>
        <v/>
      </c>
      <c r="AC918" s="41">
        <f>IF(TRIM('Counts'!$B$26&amp;"")="","",IFERROR(TRIM(INDEX($A918:$Z918,MATCH('Counts'!$B$26,$A$1:$Z$1,0))&amp;""),""))</f>
        <v/>
      </c>
      <c r="AD918" s="41">
        <f>IF(TRIM('Counts'!$B$44&amp;"")="","",IFERROR(TRIM(INDEX($A918:$Z918,MATCH('Counts'!$B$44,$A$1:$Z$1,0))&amp;""),""))</f>
        <v/>
      </c>
      <c r="AE918" s="41">
        <f>IF(TRIM('Cross-tab'!$B$5&amp;"")="","",IFERROR(TRIM(INDEX($A918:$Z918,MATCH('Cross-tab'!$B$5,$A$1:$Z$1,0))&amp;""),""))</f>
        <v/>
      </c>
      <c r="AF918" s="41">
        <f>IF(TRIM('Cross-tab'!$B$7&amp;"")="","",IFERROR(TRIM(INDEX($A918:$Z918,MATCH('Cross-tab'!$B$7,$A$1:$Z$1,0))&amp;""),""))</f>
        <v/>
      </c>
      <c r="AG918" s="41">
        <f>IF(ISNUMBER(IFERROR(VALUE(IF(TRIM('Scale score'!$B$5&amp;"")="","",IFERROR(TRIM(INDEX($A918:$Z918,MATCH('Scale score'!$B$5,$A$1:$Z$1,0))&amp;""),""))),"")),IF(AND(IFERROR(VALUE(IF(TRIM('Scale score'!$B$5&amp;"")="","",IFERROR(TRIM(INDEX($A918:$Z918,MATCH('Scale score'!$B$5,$A$1:$Z$1,0))&amp;""),""))),"")&gt;='Scale score'!$B$6,IFERROR(VALUE(IF(TRIM('Scale score'!$B$5&amp;"")="","",IFERROR(TRIM(INDEX($A918:$Z918,MATCH('Scale score'!$B$5,$A$1:$Z$1,0))&amp;""),""))),"")&lt;='Scale score'!$B$7),IFERROR(VALUE(IF(TRIM('Scale score'!$B$5&amp;"")="","",IFERROR(TRIM(INDEX($A918:$Z918,MATCH('Scale score'!$B$5,$A$1:$Z$1,0))&amp;""),""))),""),""),"")</f>
        <v/>
      </c>
      <c r="AH918" s="41">
        <f>IF(TRIM('Open answers'!$B$5&amp;"")="","",IFERROR(TRIM(INDEX($A918:$Z918,MATCH('Open answers'!$B$5,$A$1:$Z$1,0))&amp;""),""))</f>
        <v/>
      </c>
      <c r="AI918" s="41">
        <f>IF(LEN(AH918)&gt;0,MAX($AI$1:AI917)+1,"")</f>
        <v/>
      </c>
    </row>
    <row r="919">
      <c r="AA919" s="40" t="n"/>
      <c r="AB919" s="41">
        <f>IF(TRIM('Counts'!$B$8&amp;"")="","",IFERROR(TRIM(INDEX($A919:$Z919,MATCH('Counts'!$B$8,$A$1:$Z$1,0))&amp;""),""))</f>
        <v/>
      </c>
      <c r="AC919" s="41">
        <f>IF(TRIM('Counts'!$B$26&amp;"")="","",IFERROR(TRIM(INDEX($A919:$Z919,MATCH('Counts'!$B$26,$A$1:$Z$1,0))&amp;""),""))</f>
        <v/>
      </c>
      <c r="AD919" s="41">
        <f>IF(TRIM('Counts'!$B$44&amp;"")="","",IFERROR(TRIM(INDEX($A919:$Z919,MATCH('Counts'!$B$44,$A$1:$Z$1,0))&amp;""),""))</f>
        <v/>
      </c>
      <c r="AE919" s="41">
        <f>IF(TRIM('Cross-tab'!$B$5&amp;"")="","",IFERROR(TRIM(INDEX($A919:$Z919,MATCH('Cross-tab'!$B$5,$A$1:$Z$1,0))&amp;""),""))</f>
        <v/>
      </c>
      <c r="AF919" s="41">
        <f>IF(TRIM('Cross-tab'!$B$7&amp;"")="","",IFERROR(TRIM(INDEX($A919:$Z919,MATCH('Cross-tab'!$B$7,$A$1:$Z$1,0))&amp;""),""))</f>
        <v/>
      </c>
      <c r="AG919" s="41">
        <f>IF(ISNUMBER(IFERROR(VALUE(IF(TRIM('Scale score'!$B$5&amp;"")="","",IFERROR(TRIM(INDEX($A919:$Z919,MATCH('Scale score'!$B$5,$A$1:$Z$1,0))&amp;""),""))),"")),IF(AND(IFERROR(VALUE(IF(TRIM('Scale score'!$B$5&amp;"")="","",IFERROR(TRIM(INDEX($A919:$Z919,MATCH('Scale score'!$B$5,$A$1:$Z$1,0))&amp;""),""))),"")&gt;='Scale score'!$B$6,IFERROR(VALUE(IF(TRIM('Scale score'!$B$5&amp;"")="","",IFERROR(TRIM(INDEX($A919:$Z919,MATCH('Scale score'!$B$5,$A$1:$Z$1,0))&amp;""),""))),"")&lt;='Scale score'!$B$7),IFERROR(VALUE(IF(TRIM('Scale score'!$B$5&amp;"")="","",IFERROR(TRIM(INDEX($A919:$Z919,MATCH('Scale score'!$B$5,$A$1:$Z$1,0))&amp;""),""))),""),""),"")</f>
        <v/>
      </c>
      <c r="AH919" s="41">
        <f>IF(TRIM('Open answers'!$B$5&amp;"")="","",IFERROR(TRIM(INDEX($A919:$Z919,MATCH('Open answers'!$B$5,$A$1:$Z$1,0))&amp;""),""))</f>
        <v/>
      </c>
      <c r="AI919" s="41">
        <f>IF(LEN(AH919)&gt;0,MAX($AI$1:AI918)+1,"")</f>
        <v/>
      </c>
    </row>
    <row r="920">
      <c r="AA920" s="40" t="n"/>
      <c r="AB920" s="41">
        <f>IF(TRIM('Counts'!$B$8&amp;"")="","",IFERROR(TRIM(INDEX($A920:$Z920,MATCH('Counts'!$B$8,$A$1:$Z$1,0))&amp;""),""))</f>
        <v/>
      </c>
      <c r="AC920" s="41">
        <f>IF(TRIM('Counts'!$B$26&amp;"")="","",IFERROR(TRIM(INDEX($A920:$Z920,MATCH('Counts'!$B$26,$A$1:$Z$1,0))&amp;""),""))</f>
        <v/>
      </c>
      <c r="AD920" s="41">
        <f>IF(TRIM('Counts'!$B$44&amp;"")="","",IFERROR(TRIM(INDEX($A920:$Z920,MATCH('Counts'!$B$44,$A$1:$Z$1,0))&amp;""),""))</f>
        <v/>
      </c>
      <c r="AE920" s="41">
        <f>IF(TRIM('Cross-tab'!$B$5&amp;"")="","",IFERROR(TRIM(INDEX($A920:$Z920,MATCH('Cross-tab'!$B$5,$A$1:$Z$1,0))&amp;""),""))</f>
        <v/>
      </c>
      <c r="AF920" s="41">
        <f>IF(TRIM('Cross-tab'!$B$7&amp;"")="","",IFERROR(TRIM(INDEX($A920:$Z920,MATCH('Cross-tab'!$B$7,$A$1:$Z$1,0))&amp;""),""))</f>
        <v/>
      </c>
      <c r="AG920" s="41">
        <f>IF(ISNUMBER(IFERROR(VALUE(IF(TRIM('Scale score'!$B$5&amp;"")="","",IFERROR(TRIM(INDEX($A920:$Z920,MATCH('Scale score'!$B$5,$A$1:$Z$1,0))&amp;""),""))),"")),IF(AND(IFERROR(VALUE(IF(TRIM('Scale score'!$B$5&amp;"")="","",IFERROR(TRIM(INDEX($A920:$Z920,MATCH('Scale score'!$B$5,$A$1:$Z$1,0))&amp;""),""))),"")&gt;='Scale score'!$B$6,IFERROR(VALUE(IF(TRIM('Scale score'!$B$5&amp;"")="","",IFERROR(TRIM(INDEX($A920:$Z920,MATCH('Scale score'!$B$5,$A$1:$Z$1,0))&amp;""),""))),"")&lt;='Scale score'!$B$7),IFERROR(VALUE(IF(TRIM('Scale score'!$B$5&amp;"")="","",IFERROR(TRIM(INDEX($A920:$Z920,MATCH('Scale score'!$B$5,$A$1:$Z$1,0))&amp;""),""))),""),""),"")</f>
        <v/>
      </c>
      <c r="AH920" s="41">
        <f>IF(TRIM('Open answers'!$B$5&amp;"")="","",IFERROR(TRIM(INDEX($A920:$Z920,MATCH('Open answers'!$B$5,$A$1:$Z$1,0))&amp;""),""))</f>
        <v/>
      </c>
      <c r="AI920" s="41">
        <f>IF(LEN(AH920)&gt;0,MAX($AI$1:AI919)+1,"")</f>
        <v/>
      </c>
    </row>
    <row r="921">
      <c r="AA921" s="40" t="n"/>
      <c r="AB921" s="41">
        <f>IF(TRIM('Counts'!$B$8&amp;"")="","",IFERROR(TRIM(INDEX($A921:$Z921,MATCH('Counts'!$B$8,$A$1:$Z$1,0))&amp;""),""))</f>
        <v/>
      </c>
      <c r="AC921" s="41">
        <f>IF(TRIM('Counts'!$B$26&amp;"")="","",IFERROR(TRIM(INDEX($A921:$Z921,MATCH('Counts'!$B$26,$A$1:$Z$1,0))&amp;""),""))</f>
        <v/>
      </c>
      <c r="AD921" s="41">
        <f>IF(TRIM('Counts'!$B$44&amp;"")="","",IFERROR(TRIM(INDEX($A921:$Z921,MATCH('Counts'!$B$44,$A$1:$Z$1,0))&amp;""),""))</f>
        <v/>
      </c>
      <c r="AE921" s="41">
        <f>IF(TRIM('Cross-tab'!$B$5&amp;"")="","",IFERROR(TRIM(INDEX($A921:$Z921,MATCH('Cross-tab'!$B$5,$A$1:$Z$1,0))&amp;""),""))</f>
        <v/>
      </c>
      <c r="AF921" s="41">
        <f>IF(TRIM('Cross-tab'!$B$7&amp;"")="","",IFERROR(TRIM(INDEX($A921:$Z921,MATCH('Cross-tab'!$B$7,$A$1:$Z$1,0))&amp;""),""))</f>
        <v/>
      </c>
      <c r="AG921" s="41">
        <f>IF(ISNUMBER(IFERROR(VALUE(IF(TRIM('Scale score'!$B$5&amp;"")="","",IFERROR(TRIM(INDEX($A921:$Z921,MATCH('Scale score'!$B$5,$A$1:$Z$1,0))&amp;""),""))),"")),IF(AND(IFERROR(VALUE(IF(TRIM('Scale score'!$B$5&amp;"")="","",IFERROR(TRIM(INDEX($A921:$Z921,MATCH('Scale score'!$B$5,$A$1:$Z$1,0))&amp;""),""))),"")&gt;='Scale score'!$B$6,IFERROR(VALUE(IF(TRIM('Scale score'!$B$5&amp;"")="","",IFERROR(TRIM(INDEX($A921:$Z921,MATCH('Scale score'!$B$5,$A$1:$Z$1,0))&amp;""),""))),"")&lt;='Scale score'!$B$7),IFERROR(VALUE(IF(TRIM('Scale score'!$B$5&amp;"")="","",IFERROR(TRIM(INDEX($A921:$Z921,MATCH('Scale score'!$B$5,$A$1:$Z$1,0))&amp;""),""))),""),""),"")</f>
        <v/>
      </c>
      <c r="AH921" s="41">
        <f>IF(TRIM('Open answers'!$B$5&amp;"")="","",IFERROR(TRIM(INDEX($A921:$Z921,MATCH('Open answers'!$B$5,$A$1:$Z$1,0))&amp;""),""))</f>
        <v/>
      </c>
      <c r="AI921" s="41">
        <f>IF(LEN(AH921)&gt;0,MAX($AI$1:AI920)+1,"")</f>
        <v/>
      </c>
    </row>
    <row r="922">
      <c r="AA922" s="40" t="n"/>
      <c r="AB922" s="41">
        <f>IF(TRIM('Counts'!$B$8&amp;"")="","",IFERROR(TRIM(INDEX($A922:$Z922,MATCH('Counts'!$B$8,$A$1:$Z$1,0))&amp;""),""))</f>
        <v/>
      </c>
      <c r="AC922" s="41">
        <f>IF(TRIM('Counts'!$B$26&amp;"")="","",IFERROR(TRIM(INDEX($A922:$Z922,MATCH('Counts'!$B$26,$A$1:$Z$1,0))&amp;""),""))</f>
        <v/>
      </c>
      <c r="AD922" s="41">
        <f>IF(TRIM('Counts'!$B$44&amp;"")="","",IFERROR(TRIM(INDEX($A922:$Z922,MATCH('Counts'!$B$44,$A$1:$Z$1,0))&amp;""),""))</f>
        <v/>
      </c>
      <c r="AE922" s="41">
        <f>IF(TRIM('Cross-tab'!$B$5&amp;"")="","",IFERROR(TRIM(INDEX($A922:$Z922,MATCH('Cross-tab'!$B$5,$A$1:$Z$1,0))&amp;""),""))</f>
        <v/>
      </c>
      <c r="AF922" s="41">
        <f>IF(TRIM('Cross-tab'!$B$7&amp;"")="","",IFERROR(TRIM(INDEX($A922:$Z922,MATCH('Cross-tab'!$B$7,$A$1:$Z$1,0))&amp;""),""))</f>
        <v/>
      </c>
      <c r="AG922" s="41">
        <f>IF(ISNUMBER(IFERROR(VALUE(IF(TRIM('Scale score'!$B$5&amp;"")="","",IFERROR(TRIM(INDEX($A922:$Z922,MATCH('Scale score'!$B$5,$A$1:$Z$1,0))&amp;""),""))),"")),IF(AND(IFERROR(VALUE(IF(TRIM('Scale score'!$B$5&amp;"")="","",IFERROR(TRIM(INDEX($A922:$Z922,MATCH('Scale score'!$B$5,$A$1:$Z$1,0))&amp;""),""))),"")&gt;='Scale score'!$B$6,IFERROR(VALUE(IF(TRIM('Scale score'!$B$5&amp;"")="","",IFERROR(TRIM(INDEX($A922:$Z922,MATCH('Scale score'!$B$5,$A$1:$Z$1,0))&amp;""),""))),"")&lt;='Scale score'!$B$7),IFERROR(VALUE(IF(TRIM('Scale score'!$B$5&amp;"")="","",IFERROR(TRIM(INDEX($A922:$Z922,MATCH('Scale score'!$B$5,$A$1:$Z$1,0))&amp;""),""))),""),""),"")</f>
        <v/>
      </c>
      <c r="AH922" s="41">
        <f>IF(TRIM('Open answers'!$B$5&amp;"")="","",IFERROR(TRIM(INDEX($A922:$Z922,MATCH('Open answers'!$B$5,$A$1:$Z$1,0))&amp;""),""))</f>
        <v/>
      </c>
      <c r="AI922" s="41">
        <f>IF(LEN(AH922)&gt;0,MAX($AI$1:AI921)+1,"")</f>
        <v/>
      </c>
    </row>
    <row r="923">
      <c r="AA923" s="40" t="n"/>
      <c r="AB923" s="41">
        <f>IF(TRIM('Counts'!$B$8&amp;"")="","",IFERROR(TRIM(INDEX($A923:$Z923,MATCH('Counts'!$B$8,$A$1:$Z$1,0))&amp;""),""))</f>
        <v/>
      </c>
      <c r="AC923" s="41">
        <f>IF(TRIM('Counts'!$B$26&amp;"")="","",IFERROR(TRIM(INDEX($A923:$Z923,MATCH('Counts'!$B$26,$A$1:$Z$1,0))&amp;""),""))</f>
        <v/>
      </c>
      <c r="AD923" s="41">
        <f>IF(TRIM('Counts'!$B$44&amp;"")="","",IFERROR(TRIM(INDEX($A923:$Z923,MATCH('Counts'!$B$44,$A$1:$Z$1,0))&amp;""),""))</f>
        <v/>
      </c>
      <c r="AE923" s="41">
        <f>IF(TRIM('Cross-tab'!$B$5&amp;"")="","",IFERROR(TRIM(INDEX($A923:$Z923,MATCH('Cross-tab'!$B$5,$A$1:$Z$1,0))&amp;""),""))</f>
        <v/>
      </c>
      <c r="AF923" s="41">
        <f>IF(TRIM('Cross-tab'!$B$7&amp;"")="","",IFERROR(TRIM(INDEX($A923:$Z923,MATCH('Cross-tab'!$B$7,$A$1:$Z$1,0))&amp;""),""))</f>
        <v/>
      </c>
      <c r="AG923" s="41">
        <f>IF(ISNUMBER(IFERROR(VALUE(IF(TRIM('Scale score'!$B$5&amp;"")="","",IFERROR(TRIM(INDEX($A923:$Z923,MATCH('Scale score'!$B$5,$A$1:$Z$1,0))&amp;""),""))),"")),IF(AND(IFERROR(VALUE(IF(TRIM('Scale score'!$B$5&amp;"")="","",IFERROR(TRIM(INDEX($A923:$Z923,MATCH('Scale score'!$B$5,$A$1:$Z$1,0))&amp;""),""))),"")&gt;='Scale score'!$B$6,IFERROR(VALUE(IF(TRIM('Scale score'!$B$5&amp;"")="","",IFERROR(TRIM(INDEX($A923:$Z923,MATCH('Scale score'!$B$5,$A$1:$Z$1,0))&amp;""),""))),"")&lt;='Scale score'!$B$7),IFERROR(VALUE(IF(TRIM('Scale score'!$B$5&amp;"")="","",IFERROR(TRIM(INDEX($A923:$Z923,MATCH('Scale score'!$B$5,$A$1:$Z$1,0))&amp;""),""))),""),""),"")</f>
        <v/>
      </c>
      <c r="AH923" s="41">
        <f>IF(TRIM('Open answers'!$B$5&amp;"")="","",IFERROR(TRIM(INDEX($A923:$Z923,MATCH('Open answers'!$B$5,$A$1:$Z$1,0))&amp;""),""))</f>
        <v/>
      </c>
      <c r="AI923" s="41">
        <f>IF(LEN(AH923)&gt;0,MAX($AI$1:AI922)+1,"")</f>
        <v/>
      </c>
    </row>
    <row r="924">
      <c r="AA924" s="40" t="n"/>
      <c r="AB924" s="41">
        <f>IF(TRIM('Counts'!$B$8&amp;"")="","",IFERROR(TRIM(INDEX($A924:$Z924,MATCH('Counts'!$B$8,$A$1:$Z$1,0))&amp;""),""))</f>
        <v/>
      </c>
      <c r="AC924" s="41">
        <f>IF(TRIM('Counts'!$B$26&amp;"")="","",IFERROR(TRIM(INDEX($A924:$Z924,MATCH('Counts'!$B$26,$A$1:$Z$1,0))&amp;""),""))</f>
        <v/>
      </c>
      <c r="AD924" s="41">
        <f>IF(TRIM('Counts'!$B$44&amp;"")="","",IFERROR(TRIM(INDEX($A924:$Z924,MATCH('Counts'!$B$44,$A$1:$Z$1,0))&amp;""),""))</f>
        <v/>
      </c>
      <c r="AE924" s="41">
        <f>IF(TRIM('Cross-tab'!$B$5&amp;"")="","",IFERROR(TRIM(INDEX($A924:$Z924,MATCH('Cross-tab'!$B$5,$A$1:$Z$1,0))&amp;""),""))</f>
        <v/>
      </c>
      <c r="AF924" s="41">
        <f>IF(TRIM('Cross-tab'!$B$7&amp;"")="","",IFERROR(TRIM(INDEX($A924:$Z924,MATCH('Cross-tab'!$B$7,$A$1:$Z$1,0))&amp;""),""))</f>
        <v/>
      </c>
      <c r="AG924" s="41">
        <f>IF(ISNUMBER(IFERROR(VALUE(IF(TRIM('Scale score'!$B$5&amp;"")="","",IFERROR(TRIM(INDEX($A924:$Z924,MATCH('Scale score'!$B$5,$A$1:$Z$1,0))&amp;""),""))),"")),IF(AND(IFERROR(VALUE(IF(TRIM('Scale score'!$B$5&amp;"")="","",IFERROR(TRIM(INDEX($A924:$Z924,MATCH('Scale score'!$B$5,$A$1:$Z$1,0))&amp;""),""))),"")&gt;='Scale score'!$B$6,IFERROR(VALUE(IF(TRIM('Scale score'!$B$5&amp;"")="","",IFERROR(TRIM(INDEX($A924:$Z924,MATCH('Scale score'!$B$5,$A$1:$Z$1,0))&amp;""),""))),"")&lt;='Scale score'!$B$7),IFERROR(VALUE(IF(TRIM('Scale score'!$B$5&amp;"")="","",IFERROR(TRIM(INDEX($A924:$Z924,MATCH('Scale score'!$B$5,$A$1:$Z$1,0))&amp;""),""))),""),""),"")</f>
        <v/>
      </c>
      <c r="AH924" s="41">
        <f>IF(TRIM('Open answers'!$B$5&amp;"")="","",IFERROR(TRIM(INDEX($A924:$Z924,MATCH('Open answers'!$B$5,$A$1:$Z$1,0))&amp;""),""))</f>
        <v/>
      </c>
      <c r="AI924" s="41">
        <f>IF(LEN(AH924)&gt;0,MAX($AI$1:AI923)+1,"")</f>
        <v/>
      </c>
    </row>
    <row r="925">
      <c r="AA925" s="40" t="n"/>
      <c r="AB925" s="41">
        <f>IF(TRIM('Counts'!$B$8&amp;"")="","",IFERROR(TRIM(INDEX($A925:$Z925,MATCH('Counts'!$B$8,$A$1:$Z$1,0))&amp;""),""))</f>
        <v/>
      </c>
      <c r="AC925" s="41">
        <f>IF(TRIM('Counts'!$B$26&amp;"")="","",IFERROR(TRIM(INDEX($A925:$Z925,MATCH('Counts'!$B$26,$A$1:$Z$1,0))&amp;""),""))</f>
        <v/>
      </c>
      <c r="AD925" s="41">
        <f>IF(TRIM('Counts'!$B$44&amp;"")="","",IFERROR(TRIM(INDEX($A925:$Z925,MATCH('Counts'!$B$44,$A$1:$Z$1,0))&amp;""),""))</f>
        <v/>
      </c>
      <c r="AE925" s="41">
        <f>IF(TRIM('Cross-tab'!$B$5&amp;"")="","",IFERROR(TRIM(INDEX($A925:$Z925,MATCH('Cross-tab'!$B$5,$A$1:$Z$1,0))&amp;""),""))</f>
        <v/>
      </c>
      <c r="AF925" s="41">
        <f>IF(TRIM('Cross-tab'!$B$7&amp;"")="","",IFERROR(TRIM(INDEX($A925:$Z925,MATCH('Cross-tab'!$B$7,$A$1:$Z$1,0))&amp;""),""))</f>
        <v/>
      </c>
      <c r="AG925" s="41">
        <f>IF(ISNUMBER(IFERROR(VALUE(IF(TRIM('Scale score'!$B$5&amp;"")="","",IFERROR(TRIM(INDEX($A925:$Z925,MATCH('Scale score'!$B$5,$A$1:$Z$1,0))&amp;""),""))),"")),IF(AND(IFERROR(VALUE(IF(TRIM('Scale score'!$B$5&amp;"")="","",IFERROR(TRIM(INDEX($A925:$Z925,MATCH('Scale score'!$B$5,$A$1:$Z$1,0))&amp;""),""))),"")&gt;='Scale score'!$B$6,IFERROR(VALUE(IF(TRIM('Scale score'!$B$5&amp;"")="","",IFERROR(TRIM(INDEX($A925:$Z925,MATCH('Scale score'!$B$5,$A$1:$Z$1,0))&amp;""),""))),"")&lt;='Scale score'!$B$7),IFERROR(VALUE(IF(TRIM('Scale score'!$B$5&amp;"")="","",IFERROR(TRIM(INDEX($A925:$Z925,MATCH('Scale score'!$B$5,$A$1:$Z$1,0))&amp;""),""))),""),""),"")</f>
        <v/>
      </c>
      <c r="AH925" s="41">
        <f>IF(TRIM('Open answers'!$B$5&amp;"")="","",IFERROR(TRIM(INDEX($A925:$Z925,MATCH('Open answers'!$B$5,$A$1:$Z$1,0))&amp;""),""))</f>
        <v/>
      </c>
      <c r="AI925" s="41">
        <f>IF(LEN(AH925)&gt;0,MAX($AI$1:AI924)+1,"")</f>
        <v/>
      </c>
    </row>
    <row r="926">
      <c r="AA926" s="40" t="n"/>
      <c r="AB926" s="41">
        <f>IF(TRIM('Counts'!$B$8&amp;"")="","",IFERROR(TRIM(INDEX($A926:$Z926,MATCH('Counts'!$B$8,$A$1:$Z$1,0))&amp;""),""))</f>
        <v/>
      </c>
      <c r="AC926" s="41">
        <f>IF(TRIM('Counts'!$B$26&amp;"")="","",IFERROR(TRIM(INDEX($A926:$Z926,MATCH('Counts'!$B$26,$A$1:$Z$1,0))&amp;""),""))</f>
        <v/>
      </c>
      <c r="AD926" s="41">
        <f>IF(TRIM('Counts'!$B$44&amp;"")="","",IFERROR(TRIM(INDEX($A926:$Z926,MATCH('Counts'!$B$44,$A$1:$Z$1,0))&amp;""),""))</f>
        <v/>
      </c>
      <c r="AE926" s="41">
        <f>IF(TRIM('Cross-tab'!$B$5&amp;"")="","",IFERROR(TRIM(INDEX($A926:$Z926,MATCH('Cross-tab'!$B$5,$A$1:$Z$1,0))&amp;""),""))</f>
        <v/>
      </c>
      <c r="AF926" s="41">
        <f>IF(TRIM('Cross-tab'!$B$7&amp;"")="","",IFERROR(TRIM(INDEX($A926:$Z926,MATCH('Cross-tab'!$B$7,$A$1:$Z$1,0))&amp;""),""))</f>
        <v/>
      </c>
      <c r="AG926" s="41">
        <f>IF(ISNUMBER(IFERROR(VALUE(IF(TRIM('Scale score'!$B$5&amp;"")="","",IFERROR(TRIM(INDEX($A926:$Z926,MATCH('Scale score'!$B$5,$A$1:$Z$1,0))&amp;""),""))),"")),IF(AND(IFERROR(VALUE(IF(TRIM('Scale score'!$B$5&amp;"")="","",IFERROR(TRIM(INDEX($A926:$Z926,MATCH('Scale score'!$B$5,$A$1:$Z$1,0))&amp;""),""))),"")&gt;='Scale score'!$B$6,IFERROR(VALUE(IF(TRIM('Scale score'!$B$5&amp;"")="","",IFERROR(TRIM(INDEX($A926:$Z926,MATCH('Scale score'!$B$5,$A$1:$Z$1,0))&amp;""),""))),"")&lt;='Scale score'!$B$7),IFERROR(VALUE(IF(TRIM('Scale score'!$B$5&amp;"")="","",IFERROR(TRIM(INDEX($A926:$Z926,MATCH('Scale score'!$B$5,$A$1:$Z$1,0))&amp;""),""))),""),""),"")</f>
        <v/>
      </c>
      <c r="AH926" s="41">
        <f>IF(TRIM('Open answers'!$B$5&amp;"")="","",IFERROR(TRIM(INDEX($A926:$Z926,MATCH('Open answers'!$B$5,$A$1:$Z$1,0))&amp;""),""))</f>
        <v/>
      </c>
      <c r="AI926" s="41">
        <f>IF(LEN(AH926)&gt;0,MAX($AI$1:AI925)+1,"")</f>
        <v/>
      </c>
    </row>
    <row r="927">
      <c r="AA927" s="40" t="n"/>
      <c r="AB927" s="41">
        <f>IF(TRIM('Counts'!$B$8&amp;"")="","",IFERROR(TRIM(INDEX($A927:$Z927,MATCH('Counts'!$B$8,$A$1:$Z$1,0))&amp;""),""))</f>
        <v/>
      </c>
      <c r="AC927" s="41">
        <f>IF(TRIM('Counts'!$B$26&amp;"")="","",IFERROR(TRIM(INDEX($A927:$Z927,MATCH('Counts'!$B$26,$A$1:$Z$1,0))&amp;""),""))</f>
        <v/>
      </c>
      <c r="AD927" s="41">
        <f>IF(TRIM('Counts'!$B$44&amp;"")="","",IFERROR(TRIM(INDEX($A927:$Z927,MATCH('Counts'!$B$44,$A$1:$Z$1,0))&amp;""),""))</f>
        <v/>
      </c>
      <c r="AE927" s="41">
        <f>IF(TRIM('Cross-tab'!$B$5&amp;"")="","",IFERROR(TRIM(INDEX($A927:$Z927,MATCH('Cross-tab'!$B$5,$A$1:$Z$1,0))&amp;""),""))</f>
        <v/>
      </c>
      <c r="AF927" s="41">
        <f>IF(TRIM('Cross-tab'!$B$7&amp;"")="","",IFERROR(TRIM(INDEX($A927:$Z927,MATCH('Cross-tab'!$B$7,$A$1:$Z$1,0))&amp;""),""))</f>
        <v/>
      </c>
      <c r="AG927" s="41">
        <f>IF(ISNUMBER(IFERROR(VALUE(IF(TRIM('Scale score'!$B$5&amp;"")="","",IFERROR(TRIM(INDEX($A927:$Z927,MATCH('Scale score'!$B$5,$A$1:$Z$1,0))&amp;""),""))),"")),IF(AND(IFERROR(VALUE(IF(TRIM('Scale score'!$B$5&amp;"")="","",IFERROR(TRIM(INDEX($A927:$Z927,MATCH('Scale score'!$B$5,$A$1:$Z$1,0))&amp;""),""))),"")&gt;='Scale score'!$B$6,IFERROR(VALUE(IF(TRIM('Scale score'!$B$5&amp;"")="","",IFERROR(TRIM(INDEX($A927:$Z927,MATCH('Scale score'!$B$5,$A$1:$Z$1,0))&amp;""),""))),"")&lt;='Scale score'!$B$7),IFERROR(VALUE(IF(TRIM('Scale score'!$B$5&amp;"")="","",IFERROR(TRIM(INDEX($A927:$Z927,MATCH('Scale score'!$B$5,$A$1:$Z$1,0))&amp;""),""))),""),""),"")</f>
        <v/>
      </c>
      <c r="AH927" s="41">
        <f>IF(TRIM('Open answers'!$B$5&amp;"")="","",IFERROR(TRIM(INDEX($A927:$Z927,MATCH('Open answers'!$B$5,$A$1:$Z$1,0))&amp;""),""))</f>
        <v/>
      </c>
      <c r="AI927" s="41">
        <f>IF(LEN(AH927)&gt;0,MAX($AI$1:AI926)+1,"")</f>
        <v/>
      </c>
    </row>
    <row r="928">
      <c r="AA928" s="40" t="n"/>
      <c r="AB928" s="41">
        <f>IF(TRIM('Counts'!$B$8&amp;"")="","",IFERROR(TRIM(INDEX($A928:$Z928,MATCH('Counts'!$B$8,$A$1:$Z$1,0))&amp;""),""))</f>
        <v/>
      </c>
      <c r="AC928" s="41">
        <f>IF(TRIM('Counts'!$B$26&amp;"")="","",IFERROR(TRIM(INDEX($A928:$Z928,MATCH('Counts'!$B$26,$A$1:$Z$1,0))&amp;""),""))</f>
        <v/>
      </c>
      <c r="AD928" s="41">
        <f>IF(TRIM('Counts'!$B$44&amp;"")="","",IFERROR(TRIM(INDEX($A928:$Z928,MATCH('Counts'!$B$44,$A$1:$Z$1,0))&amp;""),""))</f>
        <v/>
      </c>
      <c r="AE928" s="41">
        <f>IF(TRIM('Cross-tab'!$B$5&amp;"")="","",IFERROR(TRIM(INDEX($A928:$Z928,MATCH('Cross-tab'!$B$5,$A$1:$Z$1,0))&amp;""),""))</f>
        <v/>
      </c>
      <c r="AF928" s="41">
        <f>IF(TRIM('Cross-tab'!$B$7&amp;"")="","",IFERROR(TRIM(INDEX($A928:$Z928,MATCH('Cross-tab'!$B$7,$A$1:$Z$1,0))&amp;""),""))</f>
        <v/>
      </c>
      <c r="AG928" s="41">
        <f>IF(ISNUMBER(IFERROR(VALUE(IF(TRIM('Scale score'!$B$5&amp;"")="","",IFERROR(TRIM(INDEX($A928:$Z928,MATCH('Scale score'!$B$5,$A$1:$Z$1,0))&amp;""),""))),"")),IF(AND(IFERROR(VALUE(IF(TRIM('Scale score'!$B$5&amp;"")="","",IFERROR(TRIM(INDEX($A928:$Z928,MATCH('Scale score'!$B$5,$A$1:$Z$1,0))&amp;""),""))),"")&gt;='Scale score'!$B$6,IFERROR(VALUE(IF(TRIM('Scale score'!$B$5&amp;"")="","",IFERROR(TRIM(INDEX($A928:$Z928,MATCH('Scale score'!$B$5,$A$1:$Z$1,0))&amp;""),""))),"")&lt;='Scale score'!$B$7),IFERROR(VALUE(IF(TRIM('Scale score'!$B$5&amp;"")="","",IFERROR(TRIM(INDEX($A928:$Z928,MATCH('Scale score'!$B$5,$A$1:$Z$1,0))&amp;""),""))),""),""),"")</f>
        <v/>
      </c>
      <c r="AH928" s="41">
        <f>IF(TRIM('Open answers'!$B$5&amp;"")="","",IFERROR(TRIM(INDEX($A928:$Z928,MATCH('Open answers'!$B$5,$A$1:$Z$1,0))&amp;""),""))</f>
        <v/>
      </c>
      <c r="AI928" s="41">
        <f>IF(LEN(AH928)&gt;0,MAX($AI$1:AI927)+1,"")</f>
        <v/>
      </c>
    </row>
    <row r="929">
      <c r="AA929" s="40" t="n"/>
      <c r="AB929" s="41">
        <f>IF(TRIM('Counts'!$B$8&amp;"")="","",IFERROR(TRIM(INDEX($A929:$Z929,MATCH('Counts'!$B$8,$A$1:$Z$1,0))&amp;""),""))</f>
        <v/>
      </c>
      <c r="AC929" s="41">
        <f>IF(TRIM('Counts'!$B$26&amp;"")="","",IFERROR(TRIM(INDEX($A929:$Z929,MATCH('Counts'!$B$26,$A$1:$Z$1,0))&amp;""),""))</f>
        <v/>
      </c>
      <c r="AD929" s="41">
        <f>IF(TRIM('Counts'!$B$44&amp;"")="","",IFERROR(TRIM(INDEX($A929:$Z929,MATCH('Counts'!$B$44,$A$1:$Z$1,0))&amp;""),""))</f>
        <v/>
      </c>
      <c r="AE929" s="41">
        <f>IF(TRIM('Cross-tab'!$B$5&amp;"")="","",IFERROR(TRIM(INDEX($A929:$Z929,MATCH('Cross-tab'!$B$5,$A$1:$Z$1,0))&amp;""),""))</f>
        <v/>
      </c>
      <c r="AF929" s="41">
        <f>IF(TRIM('Cross-tab'!$B$7&amp;"")="","",IFERROR(TRIM(INDEX($A929:$Z929,MATCH('Cross-tab'!$B$7,$A$1:$Z$1,0))&amp;""),""))</f>
        <v/>
      </c>
      <c r="AG929" s="41">
        <f>IF(ISNUMBER(IFERROR(VALUE(IF(TRIM('Scale score'!$B$5&amp;"")="","",IFERROR(TRIM(INDEX($A929:$Z929,MATCH('Scale score'!$B$5,$A$1:$Z$1,0))&amp;""),""))),"")),IF(AND(IFERROR(VALUE(IF(TRIM('Scale score'!$B$5&amp;"")="","",IFERROR(TRIM(INDEX($A929:$Z929,MATCH('Scale score'!$B$5,$A$1:$Z$1,0))&amp;""),""))),"")&gt;='Scale score'!$B$6,IFERROR(VALUE(IF(TRIM('Scale score'!$B$5&amp;"")="","",IFERROR(TRIM(INDEX($A929:$Z929,MATCH('Scale score'!$B$5,$A$1:$Z$1,0))&amp;""),""))),"")&lt;='Scale score'!$B$7),IFERROR(VALUE(IF(TRIM('Scale score'!$B$5&amp;"")="","",IFERROR(TRIM(INDEX($A929:$Z929,MATCH('Scale score'!$B$5,$A$1:$Z$1,0))&amp;""),""))),""),""),"")</f>
        <v/>
      </c>
      <c r="AH929" s="41">
        <f>IF(TRIM('Open answers'!$B$5&amp;"")="","",IFERROR(TRIM(INDEX($A929:$Z929,MATCH('Open answers'!$B$5,$A$1:$Z$1,0))&amp;""),""))</f>
        <v/>
      </c>
      <c r="AI929" s="41">
        <f>IF(LEN(AH929)&gt;0,MAX($AI$1:AI928)+1,"")</f>
        <v/>
      </c>
    </row>
    <row r="930">
      <c r="AA930" s="40" t="n"/>
      <c r="AB930" s="41">
        <f>IF(TRIM('Counts'!$B$8&amp;"")="","",IFERROR(TRIM(INDEX($A930:$Z930,MATCH('Counts'!$B$8,$A$1:$Z$1,0))&amp;""),""))</f>
        <v/>
      </c>
      <c r="AC930" s="41">
        <f>IF(TRIM('Counts'!$B$26&amp;"")="","",IFERROR(TRIM(INDEX($A930:$Z930,MATCH('Counts'!$B$26,$A$1:$Z$1,0))&amp;""),""))</f>
        <v/>
      </c>
      <c r="AD930" s="41">
        <f>IF(TRIM('Counts'!$B$44&amp;"")="","",IFERROR(TRIM(INDEX($A930:$Z930,MATCH('Counts'!$B$44,$A$1:$Z$1,0))&amp;""),""))</f>
        <v/>
      </c>
      <c r="AE930" s="41">
        <f>IF(TRIM('Cross-tab'!$B$5&amp;"")="","",IFERROR(TRIM(INDEX($A930:$Z930,MATCH('Cross-tab'!$B$5,$A$1:$Z$1,0))&amp;""),""))</f>
        <v/>
      </c>
      <c r="AF930" s="41">
        <f>IF(TRIM('Cross-tab'!$B$7&amp;"")="","",IFERROR(TRIM(INDEX($A930:$Z930,MATCH('Cross-tab'!$B$7,$A$1:$Z$1,0))&amp;""),""))</f>
        <v/>
      </c>
      <c r="AG930" s="41">
        <f>IF(ISNUMBER(IFERROR(VALUE(IF(TRIM('Scale score'!$B$5&amp;"")="","",IFERROR(TRIM(INDEX($A930:$Z930,MATCH('Scale score'!$B$5,$A$1:$Z$1,0))&amp;""),""))),"")),IF(AND(IFERROR(VALUE(IF(TRIM('Scale score'!$B$5&amp;"")="","",IFERROR(TRIM(INDEX($A930:$Z930,MATCH('Scale score'!$B$5,$A$1:$Z$1,0))&amp;""),""))),"")&gt;='Scale score'!$B$6,IFERROR(VALUE(IF(TRIM('Scale score'!$B$5&amp;"")="","",IFERROR(TRIM(INDEX($A930:$Z930,MATCH('Scale score'!$B$5,$A$1:$Z$1,0))&amp;""),""))),"")&lt;='Scale score'!$B$7),IFERROR(VALUE(IF(TRIM('Scale score'!$B$5&amp;"")="","",IFERROR(TRIM(INDEX($A930:$Z930,MATCH('Scale score'!$B$5,$A$1:$Z$1,0))&amp;""),""))),""),""),"")</f>
        <v/>
      </c>
      <c r="AH930" s="41">
        <f>IF(TRIM('Open answers'!$B$5&amp;"")="","",IFERROR(TRIM(INDEX($A930:$Z930,MATCH('Open answers'!$B$5,$A$1:$Z$1,0))&amp;""),""))</f>
        <v/>
      </c>
      <c r="AI930" s="41">
        <f>IF(LEN(AH930)&gt;0,MAX($AI$1:AI929)+1,"")</f>
        <v/>
      </c>
    </row>
    <row r="931">
      <c r="AA931" s="40" t="n"/>
      <c r="AB931" s="41">
        <f>IF(TRIM('Counts'!$B$8&amp;"")="","",IFERROR(TRIM(INDEX($A931:$Z931,MATCH('Counts'!$B$8,$A$1:$Z$1,0))&amp;""),""))</f>
        <v/>
      </c>
      <c r="AC931" s="41">
        <f>IF(TRIM('Counts'!$B$26&amp;"")="","",IFERROR(TRIM(INDEX($A931:$Z931,MATCH('Counts'!$B$26,$A$1:$Z$1,0))&amp;""),""))</f>
        <v/>
      </c>
      <c r="AD931" s="41">
        <f>IF(TRIM('Counts'!$B$44&amp;"")="","",IFERROR(TRIM(INDEX($A931:$Z931,MATCH('Counts'!$B$44,$A$1:$Z$1,0))&amp;""),""))</f>
        <v/>
      </c>
      <c r="AE931" s="41">
        <f>IF(TRIM('Cross-tab'!$B$5&amp;"")="","",IFERROR(TRIM(INDEX($A931:$Z931,MATCH('Cross-tab'!$B$5,$A$1:$Z$1,0))&amp;""),""))</f>
        <v/>
      </c>
      <c r="AF931" s="41">
        <f>IF(TRIM('Cross-tab'!$B$7&amp;"")="","",IFERROR(TRIM(INDEX($A931:$Z931,MATCH('Cross-tab'!$B$7,$A$1:$Z$1,0))&amp;""),""))</f>
        <v/>
      </c>
      <c r="AG931" s="41">
        <f>IF(ISNUMBER(IFERROR(VALUE(IF(TRIM('Scale score'!$B$5&amp;"")="","",IFERROR(TRIM(INDEX($A931:$Z931,MATCH('Scale score'!$B$5,$A$1:$Z$1,0))&amp;""),""))),"")),IF(AND(IFERROR(VALUE(IF(TRIM('Scale score'!$B$5&amp;"")="","",IFERROR(TRIM(INDEX($A931:$Z931,MATCH('Scale score'!$B$5,$A$1:$Z$1,0))&amp;""),""))),"")&gt;='Scale score'!$B$6,IFERROR(VALUE(IF(TRIM('Scale score'!$B$5&amp;"")="","",IFERROR(TRIM(INDEX($A931:$Z931,MATCH('Scale score'!$B$5,$A$1:$Z$1,0))&amp;""),""))),"")&lt;='Scale score'!$B$7),IFERROR(VALUE(IF(TRIM('Scale score'!$B$5&amp;"")="","",IFERROR(TRIM(INDEX($A931:$Z931,MATCH('Scale score'!$B$5,$A$1:$Z$1,0))&amp;""),""))),""),""),"")</f>
        <v/>
      </c>
      <c r="AH931" s="41">
        <f>IF(TRIM('Open answers'!$B$5&amp;"")="","",IFERROR(TRIM(INDEX($A931:$Z931,MATCH('Open answers'!$B$5,$A$1:$Z$1,0))&amp;""),""))</f>
        <v/>
      </c>
      <c r="AI931" s="41">
        <f>IF(LEN(AH931)&gt;0,MAX($AI$1:AI930)+1,"")</f>
        <v/>
      </c>
    </row>
    <row r="932">
      <c r="AA932" s="40" t="n"/>
      <c r="AB932" s="41">
        <f>IF(TRIM('Counts'!$B$8&amp;"")="","",IFERROR(TRIM(INDEX($A932:$Z932,MATCH('Counts'!$B$8,$A$1:$Z$1,0))&amp;""),""))</f>
        <v/>
      </c>
      <c r="AC932" s="41">
        <f>IF(TRIM('Counts'!$B$26&amp;"")="","",IFERROR(TRIM(INDEX($A932:$Z932,MATCH('Counts'!$B$26,$A$1:$Z$1,0))&amp;""),""))</f>
        <v/>
      </c>
      <c r="AD932" s="41">
        <f>IF(TRIM('Counts'!$B$44&amp;"")="","",IFERROR(TRIM(INDEX($A932:$Z932,MATCH('Counts'!$B$44,$A$1:$Z$1,0))&amp;""),""))</f>
        <v/>
      </c>
      <c r="AE932" s="41">
        <f>IF(TRIM('Cross-tab'!$B$5&amp;"")="","",IFERROR(TRIM(INDEX($A932:$Z932,MATCH('Cross-tab'!$B$5,$A$1:$Z$1,0))&amp;""),""))</f>
        <v/>
      </c>
      <c r="AF932" s="41">
        <f>IF(TRIM('Cross-tab'!$B$7&amp;"")="","",IFERROR(TRIM(INDEX($A932:$Z932,MATCH('Cross-tab'!$B$7,$A$1:$Z$1,0))&amp;""),""))</f>
        <v/>
      </c>
      <c r="AG932" s="41">
        <f>IF(ISNUMBER(IFERROR(VALUE(IF(TRIM('Scale score'!$B$5&amp;"")="","",IFERROR(TRIM(INDEX($A932:$Z932,MATCH('Scale score'!$B$5,$A$1:$Z$1,0))&amp;""),""))),"")),IF(AND(IFERROR(VALUE(IF(TRIM('Scale score'!$B$5&amp;"")="","",IFERROR(TRIM(INDEX($A932:$Z932,MATCH('Scale score'!$B$5,$A$1:$Z$1,0))&amp;""),""))),"")&gt;='Scale score'!$B$6,IFERROR(VALUE(IF(TRIM('Scale score'!$B$5&amp;"")="","",IFERROR(TRIM(INDEX($A932:$Z932,MATCH('Scale score'!$B$5,$A$1:$Z$1,0))&amp;""),""))),"")&lt;='Scale score'!$B$7),IFERROR(VALUE(IF(TRIM('Scale score'!$B$5&amp;"")="","",IFERROR(TRIM(INDEX($A932:$Z932,MATCH('Scale score'!$B$5,$A$1:$Z$1,0))&amp;""),""))),""),""),"")</f>
        <v/>
      </c>
      <c r="AH932" s="41">
        <f>IF(TRIM('Open answers'!$B$5&amp;"")="","",IFERROR(TRIM(INDEX($A932:$Z932,MATCH('Open answers'!$B$5,$A$1:$Z$1,0))&amp;""),""))</f>
        <v/>
      </c>
      <c r="AI932" s="41">
        <f>IF(LEN(AH932)&gt;0,MAX($AI$1:AI931)+1,"")</f>
        <v/>
      </c>
    </row>
    <row r="933">
      <c r="AA933" s="40" t="n"/>
      <c r="AB933" s="41">
        <f>IF(TRIM('Counts'!$B$8&amp;"")="","",IFERROR(TRIM(INDEX($A933:$Z933,MATCH('Counts'!$B$8,$A$1:$Z$1,0))&amp;""),""))</f>
        <v/>
      </c>
      <c r="AC933" s="41">
        <f>IF(TRIM('Counts'!$B$26&amp;"")="","",IFERROR(TRIM(INDEX($A933:$Z933,MATCH('Counts'!$B$26,$A$1:$Z$1,0))&amp;""),""))</f>
        <v/>
      </c>
      <c r="AD933" s="41">
        <f>IF(TRIM('Counts'!$B$44&amp;"")="","",IFERROR(TRIM(INDEX($A933:$Z933,MATCH('Counts'!$B$44,$A$1:$Z$1,0))&amp;""),""))</f>
        <v/>
      </c>
      <c r="AE933" s="41">
        <f>IF(TRIM('Cross-tab'!$B$5&amp;"")="","",IFERROR(TRIM(INDEX($A933:$Z933,MATCH('Cross-tab'!$B$5,$A$1:$Z$1,0))&amp;""),""))</f>
        <v/>
      </c>
      <c r="AF933" s="41">
        <f>IF(TRIM('Cross-tab'!$B$7&amp;"")="","",IFERROR(TRIM(INDEX($A933:$Z933,MATCH('Cross-tab'!$B$7,$A$1:$Z$1,0))&amp;""),""))</f>
        <v/>
      </c>
      <c r="AG933" s="41">
        <f>IF(ISNUMBER(IFERROR(VALUE(IF(TRIM('Scale score'!$B$5&amp;"")="","",IFERROR(TRIM(INDEX($A933:$Z933,MATCH('Scale score'!$B$5,$A$1:$Z$1,0))&amp;""),""))),"")),IF(AND(IFERROR(VALUE(IF(TRIM('Scale score'!$B$5&amp;"")="","",IFERROR(TRIM(INDEX($A933:$Z933,MATCH('Scale score'!$B$5,$A$1:$Z$1,0))&amp;""),""))),"")&gt;='Scale score'!$B$6,IFERROR(VALUE(IF(TRIM('Scale score'!$B$5&amp;"")="","",IFERROR(TRIM(INDEX($A933:$Z933,MATCH('Scale score'!$B$5,$A$1:$Z$1,0))&amp;""),""))),"")&lt;='Scale score'!$B$7),IFERROR(VALUE(IF(TRIM('Scale score'!$B$5&amp;"")="","",IFERROR(TRIM(INDEX($A933:$Z933,MATCH('Scale score'!$B$5,$A$1:$Z$1,0))&amp;""),""))),""),""),"")</f>
        <v/>
      </c>
      <c r="AH933" s="41">
        <f>IF(TRIM('Open answers'!$B$5&amp;"")="","",IFERROR(TRIM(INDEX($A933:$Z933,MATCH('Open answers'!$B$5,$A$1:$Z$1,0))&amp;""),""))</f>
        <v/>
      </c>
      <c r="AI933" s="41">
        <f>IF(LEN(AH933)&gt;0,MAX($AI$1:AI932)+1,"")</f>
        <v/>
      </c>
    </row>
    <row r="934">
      <c r="AA934" s="40" t="n"/>
      <c r="AB934" s="41">
        <f>IF(TRIM('Counts'!$B$8&amp;"")="","",IFERROR(TRIM(INDEX($A934:$Z934,MATCH('Counts'!$B$8,$A$1:$Z$1,0))&amp;""),""))</f>
        <v/>
      </c>
      <c r="AC934" s="41">
        <f>IF(TRIM('Counts'!$B$26&amp;"")="","",IFERROR(TRIM(INDEX($A934:$Z934,MATCH('Counts'!$B$26,$A$1:$Z$1,0))&amp;""),""))</f>
        <v/>
      </c>
      <c r="AD934" s="41">
        <f>IF(TRIM('Counts'!$B$44&amp;"")="","",IFERROR(TRIM(INDEX($A934:$Z934,MATCH('Counts'!$B$44,$A$1:$Z$1,0))&amp;""),""))</f>
        <v/>
      </c>
      <c r="AE934" s="41">
        <f>IF(TRIM('Cross-tab'!$B$5&amp;"")="","",IFERROR(TRIM(INDEX($A934:$Z934,MATCH('Cross-tab'!$B$5,$A$1:$Z$1,0))&amp;""),""))</f>
        <v/>
      </c>
      <c r="AF934" s="41">
        <f>IF(TRIM('Cross-tab'!$B$7&amp;"")="","",IFERROR(TRIM(INDEX($A934:$Z934,MATCH('Cross-tab'!$B$7,$A$1:$Z$1,0))&amp;""),""))</f>
        <v/>
      </c>
      <c r="AG934" s="41">
        <f>IF(ISNUMBER(IFERROR(VALUE(IF(TRIM('Scale score'!$B$5&amp;"")="","",IFERROR(TRIM(INDEX($A934:$Z934,MATCH('Scale score'!$B$5,$A$1:$Z$1,0))&amp;""),""))),"")),IF(AND(IFERROR(VALUE(IF(TRIM('Scale score'!$B$5&amp;"")="","",IFERROR(TRIM(INDEX($A934:$Z934,MATCH('Scale score'!$B$5,$A$1:$Z$1,0))&amp;""),""))),"")&gt;='Scale score'!$B$6,IFERROR(VALUE(IF(TRIM('Scale score'!$B$5&amp;"")="","",IFERROR(TRIM(INDEX($A934:$Z934,MATCH('Scale score'!$B$5,$A$1:$Z$1,0))&amp;""),""))),"")&lt;='Scale score'!$B$7),IFERROR(VALUE(IF(TRIM('Scale score'!$B$5&amp;"")="","",IFERROR(TRIM(INDEX($A934:$Z934,MATCH('Scale score'!$B$5,$A$1:$Z$1,0))&amp;""),""))),""),""),"")</f>
        <v/>
      </c>
      <c r="AH934" s="41">
        <f>IF(TRIM('Open answers'!$B$5&amp;"")="","",IFERROR(TRIM(INDEX($A934:$Z934,MATCH('Open answers'!$B$5,$A$1:$Z$1,0))&amp;""),""))</f>
        <v/>
      </c>
      <c r="AI934" s="41">
        <f>IF(LEN(AH934)&gt;0,MAX($AI$1:AI933)+1,"")</f>
        <v/>
      </c>
    </row>
    <row r="935">
      <c r="AA935" s="40" t="n"/>
      <c r="AB935" s="41">
        <f>IF(TRIM('Counts'!$B$8&amp;"")="","",IFERROR(TRIM(INDEX($A935:$Z935,MATCH('Counts'!$B$8,$A$1:$Z$1,0))&amp;""),""))</f>
        <v/>
      </c>
      <c r="AC935" s="41">
        <f>IF(TRIM('Counts'!$B$26&amp;"")="","",IFERROR(TRIM(INDEX($A935:$Z935,MATCH('Counts'!$B$26,$A$1:$Z$1,0))&amp;""),""))</f>
        <v/>
      </c>
      <c r="AD935" s="41">
        <f>IF(TRIM('Counts'!$B$44&amp;"")="","",IFERROR(TRIM(INDEX($A935:$Z935,MATCH('Counts'!$B$44,$A$1:$Z$1,0))&amp;""),""))</f>
        <v/>
      </c>
      <c r="AE935" s="41">
        <f>IF(TRIM('Cross-tab'!$B$5&amp;"")="","",IFERROR(TRIM(INDEX($A935:$Z935,MATCH('Cross-tab'!$B$5,$A$1:$Z$1,0))&amp;""),""))</f>
        <v/>
      </c>
      <c r="AF935" s="41">
        <f>IF(TRIM('Cross-tab'!$B$7&amp;"")="","",IFERROR(TRIM(INDEX($A935:$Z935,MATCH('Cross-tab'!$B$7,$A$1:$Z$1,0))&amp;""),""))</f>
        <v/>
      </c>
      <c r="AG935" s="41">
        <f>IF(ISNUMBER(IFERROR(VALUE(IF(TRIM('Scale score'!$B$5&amp;"")="","",IFERROR(TRIM(INDEX($A935:$Z935,MATCH('Scale score'!$B$5,$A$1:$Z$1,0))&amp;""),""))),"")),IF(AND(IFERROR(VALUE(IF(TRIM('Scale score'!$B$5&amp;"")="","",IFERROR(TRIM(INDEX($A935:$Z935,MATCH('Scale score'!$B$5,$A$1:$Z$1,0))&amp;""),""))),"")&gt;='Scale score'!$B$6,IFERROR(VALUE(IF(TRIM('Scale score'!$B$5&amp;"")="","",IFERROR(TRIM(INDEX($A935:$Z935,MATCH('Scale score'!$B$5,$A$1:$Z$1,0))&amp;""),""))),"")&lt;='Scale score'!$B$7),IFERROR(VALUE(IF(TRIM('Scale score'!$B$5&amp;"")="","",IFERROR(TRIM(INDEX($A935:$Z935,MATCH('Scale score'!$B$5,$A$1:$Z$1,0))&amp;""),""))),""),""),"")</f>
        <v/>
      </c>
      <c r="AH935" s="41">
        <f>IF(TRIM('Open answers'!$B$5&amp;"")="","",IFERROR(TRIM(INDEX($A935:$Z935,MATCH('Open answers'!$B$5,$A$1:$Z$1,0))&amp;""),""))</f>
        <v/>
      </c>
      <c r="AI935" s="41">
        <f>IF(LEN(AH935)&gt;0,MAX($AI$1:AI934)+1,"")</f>
        <v/>
      </c>
    </row>
    <row r="936">
      <c r="AA936" s="40" t="n"/>
      <c r="AB936" s="41">
        <f>IF(TRIM('Counts'!$B$8&amp;"")="","",IFERROR(TRIM(INDEX($A936:$Z936,MATCH('Counts'!$B$8,$A$1:$Z$1,0))&amp;""),""))</f>
        <v/>
      </c>
      <c r="AC936" s="41">
        <f>IF(TRIM('Counts'!$B$26&amp;"")="","",IFERROR(TRIM(INDEX($A936:$Z936,MATCH('Counts'!$B$26,$A$1:$Z$1,0))&amp;""),""))</f>
        <v/>
      </c>
      <c r="AD936" s="41">
        <f>IF(TRIM('Counts'!$B$44&amp;"")="","",IFERROR(TRIM(INDEX($A936:$Z936,MATCH('Counts'!$B$44,$A$1:$Z$1,0))&amp;""),""))</f>
        <v/>
      </c>
      <c r="AE936" s="41">
        <f>IF(TRIM('Cross-tab'!$B$5&amp;"")="","",IFERROR(TRIM(INDEX($A936:$Z936,MATCH('Cross-tab'!$B$5,$A$1:$Z$1,0))&amp;""),""))</f>
        <v/>
      </c>
      <c r="AF936" s="41">
        <f>IF(TRIM('Cross-tab'!$B$7&amp;"")="","",IFERROR(TRIM(INDEX($A936:$Z936,MATCH('Cross-tab'!$B$7,$A$1:$Z$1,0))&amp;""),""))</f>
        <v/>
      </c>
      <c r="AG936" s="41">
        <f>IF(ISNUMBER(IFERROR(VALUE(IF(TRIM('Scale score'!$B$5&amp;"")="","",IFERROR(TRIM(INDEX($A936:$Z936,MATCH('Scale score'!$B$5,$A$1:$Z$1,0))&amp;""),""))),"")),IF(AND(IFERROR(VALUE(IF(TRIM('Scale score'!$B$5&amp;"")="","",IFERROR(TRIM(INDEX($A936:$Z936,MATCH('Scale score'!$B$5,$A$1:$Z$1,0))&amp;""),""))),"")&gt;='Scale score'!$B$6,IFERROR(VALUE(IF(TRIM('Scale score'!$B$5&amp;"")="","",IFERROR(TRIM(INDEX($A936:$Z936,MATCH('Scale score'!$B$5,$A$1:$Z$1,0))&amp;""),""))),"")&lt;='Scale score'!$B$7),IFERROR(VALUE(IF(TRIM('Scale score'!$B$5&amp;"")="","",IFERROR(TRIM(INDEX($A936:$Z936,MATCH('Scale score'!$B$5,$A$1:$Z$1,0))&amp;""),""))),""),""),"")</f>
        <v/>
      </c>
      <c r="AH936" s="41">
        <f>IF(TRIM('Open answers'!$B$5&amp;"")="","",IFERROR(TRIM(INDEX($A936:$Z936,MATCH('Open answers'!$B$5,$A$1:$Z$1,0))&amp;""),""))</f>
        <v/>
      </c>
      <c r="AI936" s="41">
        <f>IF(LEN(AH936)&gt;0,MAX($AI$1:AI935)+1,"")</f>
        <v/>
      </c>
    </row>
    <row r="937">
      <c r="AA937" s="40" t="n"/>
      <c r="AB937" s="41">
        <f>IF(TRIM('Counts'!$B$8&amp;"")="","",IFERROR(TRIM(INDEX($A937:$Z937,MATCH('Counts'!$B$8,$A$1:$Z$1,0))&amp;""),""))</f>
        <v/>
      </c>
      <c r="AC937" s="41">
        <f>IF(TRIM('Counts'!$B$26&amp;"")="","",IFERROR(TRIM(INDEX($A937:$Z937,MATCH('Counts'!$B$26,$A$1:$Z$1,0))&amp;""),""))</f>
        <v/>
      </c>
      <c r="AD937" s="41">
        <f>IF(TRIM('Counts'!$B$44&amp;"")="","",IFERROR(TRIM(INDEX($A937:$Z937,MATCH('Counts'!$B$44,$A$1:$Z$1,0))&amp;""),""))</f>
        <v/>
      </c>
      <c r="AE937" s="41">
        <f>IF(TRIM('Cross-tab'!$B$5&amp;"")="","",IFERROR(TRIM(INDEX($A937:$Z937,MATCH('Cross-tab'!$B$5,$A$1:$Z$1,0))&amp;""),""))</f>
        <v/>
      </c>
      <c r="AF937" s="41">
        <f>IF(TRIM('Cross-tab'!$B$7&amp;"")="","",IFERROR(TRIM(INDEX($A937:$Z937,MATCH('Cross-tab'!$B$7,$A$1:$Z$1,0))&amp;""),""))</f>
        <v/>
      </c>
      <c r="AG937" s="41">
        <f>IF(ISNUMBER(IFERROR(VALUE(IF(TRIM('Scale score'!$B$5&amp;"")="","",IFERROR(TRIM(INDEX($A937:$Z937,MATCH('Scale score'!$B$5,$A$1:$Z$1,0))&amp;""),""))),"")),IF(AND(IFERROR(VALUE(IF(TRIM('Scale score'!$B$5&amp;"")="","",IFERROR(TRIM(INDEX($A937:$Z937,MATCH('Scale score'!$B$5,$A$1:$Z$1,0))&amp;""),""))),"")&gt;='Scale score'!$B$6,IFERROR(VALUE(IF(TRIM('Scale score'!$B$5&amp;"")="","",IFERROR(TRIM(INDEX($A937:$Z937,MATCH('Scale score'!$B$5,$A$1:$Z$1,0))&amp;""),""))),"")&lt;='Scale score'!$B$7),IFERROR(VALUE(IF(TRIM('Scale score'!$B$5&amp;"")="","",IFERROR(TRIM(INDEX($A937:$Z937,MATCH('Scale score'!$B$5,$A$1:$Z$1,0))&amp;""),""))),""),""),"")</f>
        <v/>
      </c>
      <c r="AH937" s="41">
        <f>IF(TRIM('Open answers'!$B$5&amp;"")="","",IFERROR(TRIM(INDEX($A937:$Z937,MATCH('Open answers'!$B$5,$A$1:$Z$1,0))&amp;""),""))</f>
        <v/>
      </c>
      <c r="AI937" s="41">
        <f>IF(LEN(AH937)&gt;0,MAX($AI$1:AI936)+1,"")</f>
        <v/>
      </c>
    </row>
    <row r="938">
      <c r="AA938" s="40" t="n"/>
      <c r="AB938" s="41">
        <f>IF(TRIM('Counts'!$B$8&amp;"")="","",IFERROR(TRIM(INDEX($A938:$Z938,MATCH('Counts'!$B$8,$A$1:$Z$1,0))&amp;""),""))</f>
        <v/>
      </c>
      <c r="AC938" s="41">
        <f>IF(TRIM('Counts'!$B$26&amp;"")="","",IFERROR(TRIM(INDEX($A938:$Z938,MATCH('Counts'!$B$26,$A$1:$Z$1,0))&amp;""),""))</f>
        <v/>
      </c>
      <c r="AD938" s="41">
        <f>IF(TRIM('Counts'!$B$44&amp;"")="","",IFERROR(TRIM(INDEX($A938:$Z938,MATCH('Counts'!$B$44,$A$1:$Z$1,0))&amp;""),""))</f>
        <v/>
      </c>
      <c r="AE938" s="41">
        <f>IF(TRIM('Cross-tab'!$B$5&amp;"")="","",IFERROR(TRIM(INDEX($A938:$Z938,MATCH('Cross-tab'!$B$5,$A$1:$Z$1,0))&amp;""),""))</f>
        <v/>
      </c>
      <c r="AF938" s="41">
        <f>IF(TRIM('Cross-tab'!$B$7&amp;"")="","",IFERROR(TRIM(INDEX($A938:$Z938,MATCH('Cross-tab'!$B$7,$A$1:$Z$1,0))&amp;""),""))</f>
        <v/>
      </c>
      <c r="AG938" s="41">
        <f>IF(ISNUMBER(IFERROR(VALUE(IF(TRIM('Scale score'!$B$5&amp;"")="","",IFERROR(TRIM(INDEX($A938:$Z938,MATCH('Scale score'!$B$5,$A$1:$Z$1,0))&amp;""),""))),"")),IF(AND(IFERROR(VALUE(IF(TRIM('Scale score'!$B$5&amp;"")="","",IFERROR(TRIM(INDEX($A938:$Z938,MATCH('Scale score'!$B$5,$A$1:$Z$1,0))&amp;""),""))),"")&gt;='Scale score'!$B$6,IFERROR(VALUE(IF(TRIM('Scale score'!$B$5&amp;"")="","",IFERROR(TRIM(INDEX($A938:$Z938,MATCH('Scale score'!$B$5,$A$1:$Z$1,0))&amp;""),""))),"")&lt;='Scale score'!$B$7),IFERROR(VALUE(IF(TRIM('Scale score'!$B$5&amp;"")="","",IFERROR(TRIM(INDEX($A938:$Z938,MATCH('Scale score'!$B$5,$A$1:$Z$1,0))&amp;""),""))),""),""),"")</f>
        <v/>
      </c>
      <c r="AH938" s="41">
        <f>IF(TRIM('Open answers'!$B$5&amp;"")="","",IFERROR(TRIM(INDEX($A938:$Z938,MATCH('Open answers'!$B$5,$A$1:$Z$1,0))&amp;""),""))</f>
        <v/>
      </c>
      <c r="AI938" s="41">
        <f>IF(LEN(AH938)&gt;0,MAX($AI$1:AI937)+1,"")</f>
        <v/>
      </c>
    </row>
    <row r="939">
      <c r="AA939" s="40" t="n"/>
      <c r="AB939" s="41">
        <f>IF(TRIM('Counts'!$B$8&amp;"")="","",IFERROR(TRIM(INDEX($A939:$Z939,MATCH('Counts'!$B$8,$A$1:$Z$1,0))&amp;""),""))</f>
        <v/>
      </c>
      <c r="AC939" s="41">
        <f>IF(TRIM('Counts'!$B$26&amp;"")="","",IFERROR(TRIM(INDEX($A939:$Z939,MATCH('Counts'!$B$26,$A$1:$Z$1,0))&amp;""),""))</f>
        <v/>
      </c>
      <c r="AD939" s="41">
        <f>IF(TRIM('Counts'!$B$44&amp;"")="","",IFERROR(TRIM(INDEX($A939:$Z939,MATCH('Counts'!$B$44,$A$1:$Z$1,0))&amp;""),""))</f>
        <v/>
      </c>
      <c r="AE939" s="41">
        <f>IF(TRIM('Cross-tab'!$B$5&amp;"")="","",IFERROR(TRIM(INDEX($A939:$Z939,MATCH('Cross-tab'!$B$5,$A$1:$Z$1,0))&amp;""),""))</f>
        <v/>
      </c>
      <c r="AF939" s="41">
        <f>IF(TRIM('Cross-tab'!$B$7&amp;"")="","",IFERROR(TRIM(INDEX($A939:$Z939,MATCH('Cross-tab'!$B$7,$A$1:$Z$1,0))&amp;""),""))</f>
        <v/>
      </c>
      <c r="AG939" s="41">
        <f>IF(ISNUMBER(IFERROR(VALUE(IF(TRIM('Scale score'!$B$5&amp;"")="","",IFERROR(TRIM(INDEX($A939:$Z939,MATCH('Scale score'!$B$5,$A$1:$Z$1,0))&amp;""),""))),"")),IF(AND(IFERROR(VALUE(IF(TRIM('Scale score'!$B$5&amp;"")="","",IFERROR(TRIM(INDEX($A939:$Z939,MATCH('Scale score'!$B$5,$A$1:$Z$1,0))&amp;""),""))),"")&gt;='Scale score'!$B$6,IFERROR(VALUE(IF(TRIM('Scale score'!$B$5&amp;"")="","",IFERROR(TRIM(INDEX($A939:$Z939,MATCH('Scale score'!$B$5,$A$1:$Z$1,0))&amp;""),""))),"")&lt;='Scale score'!$B$7),IFERROR(VALUE(IF(TRIM('Scale score'!$B$5&amp;"")="","",IFERROR(TRIM(INDEX($A939:$Z939,MATCH('Scale score'!$B$5,$A$1:$Z$1,0))&amp;""),""))),""),""),"")</f>
        <v/>
      </c>
      <c r="AH939" s="41">
        <f>IF(TRIM('Open answers'!$B$5&amp;"")="","",IFERROR(TRIM(INDEX($A939:$Z939,MATCH('Open answers'!$B$5,$A$1:$Z$1,0))&amp;""),""))</f>
        <v/>
      </c>
      <c r="AI939" s="41">
        <f>IF(LEN(AH939)&gt;0,MAX($AI$1:AI938)+1,"")</f>
        <v/>
      </c>
    </row>
    <row r="940">
      <c r="AA940" s="40" t="n"/>
      <c r="AB940" s="41">
        <f>IF(TRIM('Counts'!$B$8&amp;"")="","",IFERROR(TRIM(INDEX($A940:$Z940,MATCH('Counts'!$B$8,$A$1:$Z$1,0))&amp;""),""))</f>
        <v/>
      </c>
      <c r="AC940" s="41">
        <f>IF(TRIM('Counts'!$B$26&amp;"")="","",IFERROR(TRIM(INDEX($A940:$Z940,MATCH('Counts'!$B$26,$A$1:$Z$1,0))&amp;""),""))</f>
        <v/>
      </c>
      <c r="AD940" s="41">
        <f>IF(TRIM('Counts'!$B$44&amp;"")="","",IFERROR(TRIM(INDEX($A940:$Z940,MATCH('Counts'!$B$44,$A$1:$Z$1,0))&amp;""),""))</f>
        <v/>
      </c>
      <c r="AE940" s="41">
        <f>IF(TRIM('Cross-tab'!$B$5&amp;"")="","",IFERROR(TRIM(INDEX($A940:$Z940,MATCH('Cross-tab'!$B$5,$A$1:$Z$1,0))&amp;""),""))</f>
        <v/>
      </c>
      <c r="AF940" s="41">
        <f>IF(TRIM('Cross-tab'!$B$7&amp;"")="","",IFERROR(TRIM(INDEX($A940:$Z940,MATCH('Cross-tab'!$B$7,$A$1:$Z$1,0))&amp;""),""))</f>
        <v/>
      </c>
      <c r="AG940" s="41">
        <f>IF(ISNUMBER(IFERROR(VALUE(IF(TRIM('Scale score'!$B$5&amp;"")="","",IFERROR(TRIM(INDEX($A940:$Z940,MATCH('Scale score'!$B$5,$A$1:$Z$1,0))&amp;""),""))),"")),IF(AND(IFERROR(VALUE(IF(TRIM('Scale score'!$B$5&amp;"")="","",IFERROR(TRIM(INDEX($A940:$Z940,MATCH('Scale score'!$B$5,$A$1:$Z$1,0))&amp;""),""))),"")&gt;='Scale score'!$B$6,IFERROR(VALUE(IF(TRIM('Scale score'!$B$5&amp;"")="","",IFERROR(TRIM(INDEX($A940:$Z940,MATCH('Scale score'!$B$5,$A$1:$Z$1,0))&amp;""),""))),"")&lt;='Scale score'!$B$7),IFERROR(VALUE(IF(TRIM('Scale score'!$B$5&amp;"")="","",IFERROR(TRIM(INDEX($A940:$Z940,MATCH('Scale score'!$B$5,$A$1:$Z$1,0))&amp;""),""))),""),""),"")</f>
        <v/>
      </c>
      <c r="AH940" s="41">
        <f>IF(TRIM('Open answers'!$B$5&amp;"")="","",IFERROR(TRIM(INDEX($A940:$Z940,MATCH('Open answers'!$B$5,$A$1:$Z$1,0))&amp;""),""))</f>
        <v/>
      </c>
      <c r="AI940" s="41">
        <f>IF(LEN(AH940)&gt;0,MAX($AI$1:AI939)+1,"")</f>
        <v/>
      </c>
    </row>
    <row r="941">
      <c r="AA941" s="40" t="n"/>
      <c r="AB941" s="41">
        <f>IF(TRIM('Counts'!$B$8&amp;"")="","",IFERROR(TRIM(INDEX($A941:$Z941,MATCH('Counts'!$B$8,$A$1:$Z$1,0))&amp;""),""))</f>
        <v/>
      </c>
      <c r="AC941" s="41">
        <f>IF(TRIM('Counts'!$B$26&amp;"")="","",IFERROR(TRIM(INDEX($A941:$Z941,MATCH('Counts'!$B$26,$A$1:$Z$1,0))&amp;""),""))</f>
        <v/>
      </c>
      <c r="AD941" s="41">
        <f>IF(TRIM('Counts'!$B$44&amp;"")="","",IFERROR(TRIM(INDEX($A941:$Z941,MATCH('Counts'!$B$44,$A$1:$Z$1,0))&amp;""),""))</f>
        <v/>
      </c>
      <c r="AE941" s="41">
        <f>IF(TRIM('Cross-tab'!$B$5&amp;"")="","",IFERROR(TRIM(INDEX($A941:$Z941,MATCH('Cross-tab'!$B$5,$A$1:$Z$1,0))&amp;""),""))</f>
        <v/>
      </c>
      <c r="AF941" s="41">
        <f>IF(TRIM('Cross-tab'!$B$7&amp;"")="","",IFERROR(TRIM(INDEX($A941:$Z941,MATCH('Cross-tab'!$B$7,$A$1:$Z$1,0))&amp;""),""))</f>
        <v/>
      </c>
      <c r="AG941" s="41">
        <f>IF(ISNUMBER(IFERROR(VALUE(IF(TRIM('Scale score'!$B$5&amp;"")="","",IFERROR(TRIM(INDEX($A941:$Z941,MATCH('Scale score'!$B$5,$A$1:$Z$1,0))&amp;""),""))),"")),IF(AND(IFERROR(VALUE(IF(TRIM('Scale score'!$B$5&amp;"")="","",IFERROR(TRIM(INDEX($A941:$Z941,MATCH('Scale score'!$B$5,$A$1:$Z$1,0))&amp;""),""))),"")&gt;='Scale score'!$B$6,IFERROR(VALUE(IF(TRIM('Scale score'!$B$5&amp;"")="","",IFERROR(TRIM(INDEX($A941:$Z941,MATCH('Scale score'!$B$5,$A$1:$Z$1,0))&amp;""),""))),"")&lt;='Scale score'!$B$7),IFERROR(VALUE(IF(TRIM('Scale score'!$B$5&amp;"")="","",IFERROR(TRIM(INDEX($A941:$Z941,MATCH('Scale score'!$B$5,$A$1:$Z$1,0))&amp;""),""))),""),""),"")</f>
        <v/>
      </c>
      <c r="AH941" s="41">
        <f>IF(TRIM('Open answers'!$B$5&amp;"")="","",IFERROR(TRIM(INDEX($A941:$Z941,MATCH('Open answers'!$B$5,$A$1:$Z$1,0))&amp;""),""))</f>
        <v/>
      </c>
      <c r="AI941" s="41">
        <f>IF(LEN(AH941)&gt;0,MAX($AI$1:AI940)+1,"")</f>
        <v/>
      </c>
    </row>
    <row r="942">
      <c r="AA942" s="40" t="n"/>
      <c r="AB942" s="41">
        <f>IF(TRIM('Counts'!$B$8&amp;"")="","",IFERROR(TRIM(INDEX($A942:$Z942,MATCH('Counts'!$B$8,$A$1:$Z$1,0))&amp;""),""))</f>
        <v/>
      </c>
      <c r="AC942" s="41">
        <f>IF(TRIM('Counts'!$B$26&amp;"")="","",IFERROR(TRIM(INDEX($A942:$Z942,MATCH('Counts'!$B$26,$A$1:$Z$1,0))&amp;""),""))</f>
        <v/>
      </c>
      <c r="AD942" s="41">
        <f>IF(TRIM('Counts'!$B$44&amp;"")="","",IFERROR(TRIM(INDEX($A942:$Z942,MATCH('Counts'!$B$44,$A$1:$Z$1,0))&amp;""),""))</f>
        <v/>
      </c>
      <c r="AE942" s="41">
        <f>IF(TRIM('Cross-tab'!$B$5&amp;"")="","",IFERROR(TRIM(INDEX($A942:$Z942,MATCH('Cross-tab'!$B$5,$A$1:$Z$1,0))&amp;""),""))</f>
        <v/>
      </c>
      <c r="AF942" s="41">
        <f>IF(TRIM('Cross-tab'!$B$7&amp;"")="","",IFERROR(TRIM(INDEX($A942:$Z942,MATCH('Cross-tab'!$B$7,$A$1:$Z$1,0))&amp;""),""))</f>
        <v/>
      </c>
      <c r="AG942" s="41">
        <f>IF(ISNUMBER(IFERROR(VALUE(IF(TRIM('Scale score'!$B$5&amp;"")="","",IFERROR(TRIM(INDEX($A942:$Z942,MATCH('Scale score'!$B$5,$A$1:$Z$1,0))&amp;""),""))),"")),IF(AND(IFERROR(VALUE(IF(TRIM('Scale score'!$B$5&amp;"")="","",IFERROR(TRIM(INDEX($A942:$Z942,MATCH('Scale score'!$B$5,$A$1:$Z$1,0))&amp;""),""))),"")&gt;='Scale score'!$B$6,IFERROR(VALUE(IF(TRIM('Scale score'!$B$5&amp;"")="","",IFERROR(TRIM(INDEX($A942:$Z942,MATCH('Scale score'!$B$5,$A$1:$Z$1,0))&amp;""),""))),"")&lt;='Scale score'!$B$7),IFERROR(VALUE(IF(TRIM('Scale score'!$B$5&amp;"")="","",IFERROR(TRIM(INDEX($A942:$Z942,MATCH('Scale score'!$B$5,$A$1:$Z$1,0))&amp;""),""))),""),""),"")</f>
        <v/>
      </c>
      <c r="AH942" s="41">
        <f>IF(TRIM('Open answers'!$B$5&amp;"")="","",IFERROR(TRIM(INDEX($A942:$Z942,MATCH('Open answers'!$B$5,$A$1:$Z$1,0))&amp;""),""))</f>
        <v/>
      </c>
      <c r="AI942" s="41">
        <f>IF(LEN(AH942)&gt;0,MAX($AI$1:AI941)+1,"")</f>
        <v/>
      </c>
    </row>
    <row r="943">
      <c r="AA943" s="40" t="n"/>
      <c r="AB943" s="41">
        <f>IF(TRIM('Counts'!$B$8&amp;"")="","",IFERROR(TRIM(INDEX($A943:$Z943,MATCH('Counts'!$B$8,$A$1:$Z$1,0))&amp;""),""))</f>
        <v/>
      </c>
      <c r="AC943" s="41">
        <f>IF(TRIM('Counts'!$B$26&amp;"")="","",IFERROR(TRIM(INDEX($A943:$Z943,MATCH('Counts'!$B$26,$A$1:$Z$1,0))&amp;""),""))</f>
        <v/>
      </c>
      <c r="AD943" s="41">
        <f>IF(TRIM('Counts'!$B$44&amp;"")="","",IFERROR(TRIM(INDEX($A943:$Z943,MATCH('Counts'!$B$44,$A$1:$Z$1,0))&amp;""),""))</f>
        <v/>
      </c>
      <c r="AE943" s="41">
        <f>IF(TRIM('Cross-tab'!$B$5&amp;"")="","",IFERROR(TRIM(INDEX($A943:$Z943,MATCH('Cross-tab'!$B$5,$A$1:$Z$1,0))&amp;""),""))</f>
        <v/>
      </c>
      <c r="AF943" s="41">
        <f>IF(TRIM('Cross-tab'!$B$7&amp;"")="","",IFERROR(TRIM(INDEX($A943:$Z943,MATCH('Cross-tab'!$B$7,$A$1:$Z$1,0))&amp;""),""))</f>
        <v/>
      </c>
      <c r="AG943" s="41">
        <f>IF(ISNUMBER(IFERROR(VALUE(IF(TRIM('Scale score'!$B$5&amp;"")="","",IFERROR(TRIM(INDEX($A943:$Z943,MATCH('Scale score'!$B$5,$A$1:$Z$1,0))&amp;""),""))),"")),IF(AND(IFERROR(VALUE(IF(TRIM('Scale score'!$B$5&amp;"")="","",IFERROR(TRIM(INDEX($A943:$Z943,MATCH('Scale score'!$B$5,$A$1:$Z$1,0))&amp;""),""))),"")&gt;='Scale score'!$B$6,IFERROR(VALUE(IF(TRIM('Scale score'!$B$5&amp;"")="","",IFERROR(TRIM(INDEX($A943:$Z943,MATCH('Scale score'!$B$5,$A$1:$Z$1,0))&amp;""),""))),"")&lt;='Scale score'!$B$7),IFERROR(VALUE(IF(TRIM('Scale score'!$B$5&amp;"")="","",IFERROR(TRIM(INDEX($A943:$Z943,MATCH('Scale score'!$B$5,$A$1:$Z$1,0))&amp;""),""))),""),""),"")</f>
        <v/>
      </c>
      <c r="AH943" s="41">
        <f>IF(TRIM('Open answers'!$B$5&amp;"")="","",IFERROR(TRIM(INDEX($A943:$Z943,MATCH('Open answers'!$B$5,$A$1:$Z$1,0))&amp;""),""))</f>
        <v/>
      </c>
      <c r="AI943" s="41">
        <f>IF(LEN(AH943)&gt;0,MAX($AI$1:AI942)+1,"")</f>
        <v/>
      </c>
    </row>
    <row r="944">
      <c r="AA944" s="40" t="n"/>
      <c r="AB944" s="41">
        <f>IF(TRIM('Counts'!$B$8&amp;"")="","",IFERROR(TRIM(INDEX($A944:$Z944,MATCH('Counts'!$B$8,$A$1:$Z$1,0))&amp;""),""))</f>
        <v/>
      </c>
      <c r="AC944" s="41">
        <f>IF(TRIM('Counts'!$B$26&amp;"")="","",IFERROR(TRIM(INDEX($A944:$Z944,MATCH('Counts'!$B$26,$A$1:$Z$1,0))&amp;""),""))</f>
        <v/>
      </c>
      <c r="AD944" s="41">
        <f>IF(TRIM('Counts'!$B$44&amp;"")="","",IFERROR(TRIM(INDEX($A944:$Z944,MATCH('Counts'!$B$44,$A$1:$Z$1,0))&amp;""),""))</f>
        <v/>
      </c>
      <c r="AE944" s="41">
        <f>IF(TRIM('Cross-tab'!$B$5&amp;"")="","",IFERROR(TRIM(INDEX($A944:$Z944,MATCH('Cross-tab'!$B$5,$A$1:$Z$1,0))&amp;""),""))</f>
        <v/>
      </c>
      <c r="AF944" s="41">
        <f>IF(TRIM('Cross-tab'!$B$7&amp;"")="","",IFERROR(TRIM(INDEX($A944:$Z944,MATCH('Cross-tab'!$B$7,$A$1:$Z$1,0))&amp;""),""))</f>
        <v/>
      </c>
      <c r="AG944" s="41">
        <f>IF(ISNUMBER(IFERROR(VALUE(IF(TRIM('Scale score'!$B$5&amp;"")="","",IFERROR(TRIM(INDEX($A944:$Z944,MATCH('Scale score'!$B$5,$A$1:$Z$1,0))&amp;""),""))),"")),IF(AND(IFERROR(VALUE(IF(TRIM('Scale score'!$B$5&amp;"")="","",IFERROR(TRIM(INDEX($A944:$Z944,MATCH('Scale score'!$B$5,$A$1:$Z$1,0))&amp;""),""))),"")&gt;='Scale score'!$B$6,IFERROR(VALUE(IF(TRIM('Scale score'!$B$5&amp;"")="","",IFERROR(TRIM(INDEX($A944:$Z944,MATCH('Scale score'!$B$5,$A$1:$Z$1,0))&amp;""),""))),"")&lt;='Scale score'!$B$7),IFERROR(VALUE(IF(TRIM('Scale score'!$B$5&amp;"")="","",IFERROR(TRIM(INDEX($A944:$Z944,MATCH('Scale score'!$B$5,$A$1:$Z$1,0))&amp;""),""))),""),""),"")</f>
        <v/>
      </c>
      <c r="AH944" s="41">
        <f>IF(TRIM('Open answers'!$B$5&amp;"")="","",IFERROR(TRIM(INDEX($A944:$Z944,MATCH('Open answers'!$B$5,$A$1:$Z$1,0))&amp;""),""))</f>
        <v/>
      </c>
      <c r="AI944" s="41">
        <f>IF(LEN(AH944)&gt;0,MAX($AI$1:AI943)+1,"")</f>
        <v/>
      </c>
    </row>
    <row r="945">
      <c r="AA945" s="40" t="n"/>
      <c r="AB945" s="41">
        <f>IF(TRIM('Counts'!$B$8&amp;"")="","",IFERROR(TRIM(INDEX($A945:$Z945,MATCH('Counts'!$B$8,$A$1:$Z$1,0))&amp;""),""))</f>
        <v/>
      </c>
      <c r="AC945" s="41">
        <f>IF(TRIM('Counts'!$B$26&amp;"")="","",IFERROR(TRIM(INDEX($A945:$Z945,MATCH('Counts'!$B$26,$A$1:$Z$1,0))&amp;""),""))</f>
        <v/>
      </c>
      <c r="AD945" s="41">
        <f>IF(TRIM('Counts'!$B$44&amp;"")="","",IFERROR(TRIM(INDEX($A945:$Z945,MATCH('Counts'!$B$44,$A$1:$Z$1,0))&amp;""),""))</f>
        <v/>
      </c>
      <c r="AE945" s="41">
        <f>IF(TRIM('Cross-tab'!$B$5&amp;"")="","",IFERROR(TRIM(INDEX($A945:$Z945,MATCH('Cross-tab'!$B$5,$A$1:$Z$1,0))&amp;""),""))</f>
        <v/>
      </c>
      <c r="AF945" s="41">
        <f>IF(TRIM('Cross-tab'!$B$7&amp;"")="","",IFERROR(TRIM(INDEX($A945:$Z945,MATCH('Cross-tab'!$B$7,$A$1:$Z$1,0))&amp;""),""))</f>
        <v/>
      </c>
      <c r="AG945" s="41">
        <f>IF(ISNUMBER(IFERROR(VALUE(IF(TRIM('Scale score'!$B$5&amp;"")="","",IFERROR(TRIM(INDEX($A945:$Z945,MATCH('Scale score'!$B$5,$A$1:$Z$1,0))&amp;""),""))),"")),IF(AND(IFERROR(VALUE(IF(TRIM('Scale score'!$B$5&amp;"")="","",IFERROR(TRIM(INDEX($A945:$Z945,MATCH('Scale score'!$B$5,$A$1:$Z$1,0))&amp;""),""))),"")&gt;='Scale score'!$B$6,IFERROR(VALUE(IF(TRIM('Scale score'!$B$5&amp;"")="","",IFERROR(TRIM(INDEX($A945:$Z945,MATCH('Scale score'!$B$5,$A$1:$Z$1,0))&amp;""),""))),"")&lt;='Scale score'!$B$7),IFERROR(VALUE(IF(TRIM('Scale score'!$B$5&amp;"")="","",IFERROR(TRIM(INDEX($A945:$Z945,MATCH('Scale score'!$B$5,$A$1:$Z$1,0))&amp;""),""))),""),""),"")</f>
        <v/>
      </c>
      <c r="AH945" s="41">
        <f>IF(TRIM('Open answers'!$B$5&amp;"")="","",IFERROR(TRIM(INDEX($A945:$Z945,MATCH('Open answers'!$B$5,$A$1:$Z$1,0))&amp;""),""))</f>
        <v/>
      </c>
      <c r="AI945" s="41">
        <f>IF(LEN(AH945)&gt;0,MAX($AI$1:AI944)+1,"")</f>
        <v/>
      </c>
    </row>
    <row r="946">
      <c r="AA946" s="40" t="n"/>
      <c r="AB946" s="41">
        <f>IF(TRIM('Counts'!$B$8&amp;"")="","",IFERROR(TRIM(INDEX($A946:$Z946,MATCH('Counts'!$B$8,$A$1:$Z$1,0))&amp;""),""))</f>
        <v/>
      </c>
      <c r="AC946" s="41">
        <f>IF(TRIM('Counts'!$B$26&amp;"")="","",IFERROR(TRIM(INDEX($A946:$Z946,MATCH('Counts'!$B$26,$A$1:$Z$1,0))&amp;""),""))</f>
        <v/>
      </c>
      <c r="AD946" s="41">
        <f>IF(TRIM('Counts'!$B$44&amp;"")="","",IFERROR(TRIM(INDEX($A946:$Z946,MATCH('Counts'!$B$44,$A$1:$Z$1,0))&amp;""),""))</f>
        <v/>
      </c>
      <c r="AE946" s="41">
        <f>IF(TRIM('Cross-tab'!$B$5&amp;"")="","",IFERROR(TRIM(INDEX($A946:$Z946,MATCH('Cross-tab'!$B$5,$A$1:$Z$1,0))&amp;""),""))</f>
        <v/>
      </c>
      <c r="AF946" s="41">
        <f>IF(TRIM('Cross-tab'!$B$7&amp;"")="","",IFERROR(TRIM(INDEX($A946:$Z946,MATCH('Cross-tab'!$B$7,$A$1:$Z$1,0))&amp;""),""))</f>
        <v/>
      </c>
      <c r="AG946" s="41">
        <f>IF(ISNUMBER(IFERROR(VALUE(IF(TRIM('Scale score'!$B$5&amp;"")="","",IFERROR(TRIM(INDEX($A946:$Z946,MATCH('Scale score'!$B$5,$A$1:$Z$1,0))&amp;""),""))),"")),IF(AND(IFERROR(VALUE(IF(TRIM('Scale score'!$B$5&amp;"")="","",IFERROR(TRIM(INDEX($A946:$Z946,MATCH('Scale score'!$B$5,$A$1:$Z$1,0))&amp;""),""))),"")&gt;='Scale score'!$B$6,IFERROR(VALUE(IF(TRIM('Scale score'!$B$5&amp;"")="","",IFERROR(TRIM(INDEX($A946:$Z946,MATCH('Scale score'!$B$5,$A$1:$Z$1,0))&amp;""),""))),"")&lt;='Scale score'!$B$7),IFERROR(VALUE(IF(TRIM('Scale score'!$B$5&amp;"")="","",IFERROR(TRIM(INDEX($A946:$Z946,MATCH('Scale score'!$B$5,$A$1:$Z$1,0))&amp;""),""))),""),""),"")</f>
        <v/>
      </c>
      <c r="AH946" s="41">
        <f>IF(TRIM('Open answers'!$B$5&amp;"")="","",IFERROR(TRIM(INDEX($A946:$Z946,MATCH('Open answers'!$B$5,$A$1:$Z$1,0))&amp;""),""))</f>
        <v/>
      </c>
      <c r="AI946" s="41">
        <f>IF(LEN(AH946)&gt;0,MAX($AI$1:AI945)+1,"")</f>
        <v/>
      </c>
    </row>
    <row r="947">
      <c r="AA947" s="40" t="n"/>
      <c r="AB947" s="41">
        <f>IF(TRIM('Counts'!$B$8&amp;"")="","",IFERROR(TRIM(INDEX($A947:$Z947,MATCH('Counts'!$B$8,$A$1:$Z$1,0))&amp;""),""))</f>
        <v/>
      </c>
      <c r="AC947" s="41">
        <f>IF(TRIM('Counts'!$B$26&amp;"")="","",IFERROR(TRIM(INDEX($A947:$Z947,MATCH('Counts'!$B$26,$A$1:$Z$1,0))&amp;""),""))</f>
        <v/>
      </c>
      <c r="AD947" s="41">
        <f>IF(TRIM('Counts'!$B$44&amp;"")="","",IFERROR(TRIM(INDEX($A947:$Z947,MATCH('Counts'!$B$44,$A$1:$Z$1,0))&amp;""),""))</f>
        <v/>
      </c>
      <c r="AE947" s="41">
        <f>IF(TRIM('Cross-tab'!$B$5&amp;"")="","",IFERROR(TRIM(INDEX($A947:$Z947,MATCH('Cross-tab'!$B$5,$A$1:$Z$1,0))&amp;""),""))</f>
        <v/>
      </c>
      <c r="AF947" s="41">
        <f>IF(TRIM('Cross-tab'!$B$7&amp;"")="","",IFERROR(TRIM(INDEX($A947:$Z947,MATCH('Cross-tab'!$B$7,$A$1:$Z$1,0))&amp;""),""))</f>
        <v/>
      </c>
      <c r="AG947" s="41">
        <f>IF(ISNUMBER(IFERROR(VALUE(IF(TRIM('Scale score'!$B$5&amp;"")="","",IFERROR(TRIM(INDEX($A947:$Z947,MATCH('Scale score'!$B$5,$A$1:$Z$1,0))&amp;""),""))),"")),IF(AND(IFERROR(VALUE(IF(TRIM('Scale score'!$B$5&amp;"")="","",IFERROR(TRIM(INDEX($A947:$Z947,MATCH('Scale score'!$B$5,$A$1:$Z$1,0))&amp;""),""))),"")&gt;='Scale score'!$B$6,IFERROR(VALUE(IF(TRIM('Scale score'!$B$5&amp;"")="","",IFERROR(TRIM(INDEX($A947:$Z947,MATCH('Scale score'!$B$5,$A$1:$Z$1,0))&amp;""),""))),"")&lt;='Scale score'!$B$7),IFERROR(VALUE(IF(TRIM('Scale score'!$B$5&amp;"")="","",IFERROR(TRIM(INDEX($A947:$Z947,MATCH('Scale score'!$B$5,$A$1:$Z$1,0))&amp;""),""))),""),""),"")</f>
        <v/>
      </c>
      <c r="AH947" s="41">
        <f>IF(TRIM('Open answers'!$B$5&amp;"")="","",IFERROR(TRIM(INDEX($A947:$Z947,MATCH('Open answers'!$B$5,$A$1:$Z$1,0))&amp;""),""))</f>
        <v/>
      </c>
      <c r="AI947" s="41">
        <f>IF(LEN(AH947)&gt;0,MAX($AI$1:AI946)+1,"")</f>
        <v/>
      </c>
    </row>
    <row r="948">
      <c r="AA948" s="40" t="n"/>
      <c r="AB948" s="41">
        <f>IF(TRIM('Counts'!$B$8&amp;"")="","",IFERROR(TRIM(INDEX($A948:$Z948,MATCH('Counts'!$B$8,$A$1:$Z$1,0))&amp;""),""))</f>
        <v/>
      </c>
      <c r="AC948" s="41">
        <f>IF(TRIM('Counts'!$B$26&amp;"")="","",IFERROR(TRIM(INDEX($A948:$Z948,MATCH('Counts'!$B$26,$A$1:$Z$1,0))&amp;""),""))</f>
        <v/>
      </c>
      <c r="AD948" s="41">
        <f>IF(TRIM('Counts'!$B$44&amp;"")="","",IFERROR(TRIM(INDEX($A948:$Z948,MATCH('Counts'!$B$44,$A$1:$Z$1,0))&amp;""),""))</f>
        <v/>
      </c>
      <c r="AE948" s="41">
        <f>IF(TRIM('Cross-tab'!$B$5&amp;"")="","",IFERROR(TRIM(INDEX($A948:$Z948,MATCH('Cross-tab'!$B$5,$A$1:$Z$1,0))&amp;""),""))</f>
        <v/>
      </c>
      <c r="AF948" s="41">
        <f>IF(TRIM('Cross-tab'!$B$7&amp;"")="","",IFERROR(TRIM(INDEX($A948:$Z948,MATCH('Cross-tab'!$B$7,$A$1:$Z$1,0))&amp;""),""))</f>
        <v/>
      </c>
      <c r="AG948" s="41">
        <f>IF(ISNUMBER(IFERROR(VALUE(IF(TRIM('Scale score'!$B$5&amp;"")="","",IFERROR(TRIM(INDEX($A948:$Z948,MATCH('Scale score'!$B$5,$A$1:$Z$1,0))&amp;""),""))),"")),IF(AND(IFERROR(VALUE(IF(TRIM('Scale score'!$B$5&amp;"")="","",IFERROR(TRIM(INDEX($A948:$Z948,MATCH('Scale score'!$B$5,$A$1:$Z$1,0))&amp;""),""))),"")&gt;='Scale score'!$B$6,IFERROR(VALUE(IF(TRIM('Scale score'!$B$5&amp;"")="","",IFERROR(TRIM(INDEX($A948:$Z948,MATCH('Scale score'!$B$5,$A$1:$Z$1,0))&amp;""),""))),"")&lt;='Scale score'!$B$7),IFERROR(VALUE(IF(TRIM('Scale score'!$B$5&amp;"")="","",IFERROR(TRIM(INDEX($A948:$Z948,MATCH('Scale score'!$B$5,$A$1:$Z$1,0))&amp;""),""))),""),""),"")</f>
        <v/>
      </c>
      <c r="AH948" s="41">
        <f>IF(TRIM('Open answers'!$B$5&amp;"")="","",IFERROR(TRIM(INDEX($A948:$Z948,MATCH('Open answers'!$B$5,$A$1:$Z$1,0))&amp;""),""))</f>
        <v/>
      </c>
      <c r="AI948" s="41">
        <f>IF(LEN(AH948)&gt;0,MAX($AI$1:AI947)+1,"")</f>
        <v/>
      </c>
    </row>
    <row r="949">
      <c r="AA949" s="40" t="n"/>
      <c r="AB949" s="41">
        <f>IF(TRIM('Counts'!$B$8&amp;"")="","",IFERROR(TRIM(INDEX($A949:$Z949,MATCH('Counts'!$B$8,$A$1:$Z$1,0))&amp;""),""))</f>
        <v/>
      </c>
      <c r="AC949" s="41">
        <f>IF(TRIM('Counts'!$B$26&amp;"")="","",IFERROR(TRIM(INDEX($A949:$Z949,MATCH('Counts'!$B$26,$A$1:$Z$1,0))&amp;""),""))</f>
        <v/>
      </c>
      <c r="AD949" s="41">
        <f>IF(TRIM('Counts'!$B$44&amp;"")="","",IFERROR(TRIM(INDEX($A949:$Z949,MATCH('Counts'!$B$44,$A$1:$Z$1,0))&amp;""),""))</f>
        <v/>
      </c>
      <c r="AE949" s="41">
        <f>IF(TRIM('Cross-tab'!$B$5&amp;"")="","",IFERROR(TRIM(INDEX($A949:$Z949,MATCH('Cross-tab'!$B$5,$A$1:$Z$1,0))&amp;""),""))</f>
        <v/>
      </c>
      <c r="AF949" s="41">
        <f>IF(TRIM('Cross-tab'!$B$7&amp;"")="","",IFERROR(TRIM(INDEX($A949:$Z949,MATCH('Cross-tab'!$B$7,$A$1:$Z$1,0))&amp;""),""))</f>
        <v/>
      </c>
      <c r="AG949" s="41">
        <f>IF(ISNUMBER(IFERROR(VALUE(IF(TRIM('Scale score'!$B$5&amp;"")="","",IFERROR(TRIM(INDEX($A949:$Z949,MATCH('Scale score'!$B$5,$A$1:$Z$1,0))&amp;""),""))),"")),IF(AND(IFERROR(VALUE(IF(TRIM('Scale score'!$B$5&amp;"")="","",IFERROR(TRIM(INDEX($A949:$Z949,MATCH('Scale score'!$B$5,$A$1:$Z$1,0))&amp;""),""))),"")&gt;='Scale score'!$B$6,IFERROR(VALUE(IF(TRIM('Scale score'!$B$5&amp;"")="","",IFERROR(TRIM(INDEX($A949:$Z949,MATCH('Scale score'!$B$5,$A$1:$Z$1,0))&amp;""),""))),"")&lt;='Scale score'!$B$7),IFERROR(VALUE(IF(TRIM('Scale score'!$B$5&amp;"")="","",IFERROR(TRIM(INDEX($A949:$Z949,MATCH('Scale score'!$B$5,$A$1:$Z$1,0))&amp;""),""))),""),""),"")</f>
        <v/>
      </c>
      <c r="AH949" s="41">
        <f>IF(TRIM('Open answers'!$B$5&amp;"")="","",IFERROR(TRIM(INDEX($A949:$Z949,MATCH('Open answers'!$B$5,$A$1:$Z$1,0))&amp;""),""))</f>
        <v/>
      </c>
      <c r="AI949" s="41">
        <f>IF(LEN(AH949)&gt;0,MAX($AI$1:AI948)+1,"")</f>
        <v/>
      </c>
    </row>
    <row r="950">
      <c r="AA950" s="40" t="n"/>
      <c r="AB950" s="41">
        <f>IF(TRIM('Counts'!$B$8&amp;"")="","",IFERROR(TRIM(INDEX($A950:$Z950,MATCH('Counts'!$B$8,$A$1:$Z$1,0))&amp;""),""))</f>
        <v/>
      </c>
      <c r="AC950" s="41">
        <f>IF(TRIM('Counts'!$B$26&amp;"")="","",IFERROR(TRIM(INDEX($A950:$Z950,MATCH('Counts'!$B$26,$A$1:$Z$1,0))&amp;""),""))</f>
        <v/>
      </c>
      <c r="AD950" s="41">
        <f>IF(TRIM('Counts'!$B$44&amp;"")="","",IFERROR(TRIM(INDEX($A950:$Z950,MATCH('Counts'!$B$44,$A$1:$Z$1,0))&amp;""),""))</f>
        <v/>
      </c>
      <c r="AE950" s="41">
        <f>IF(TRIM('Cross-tab'!$B$5&amp;"")="","",IFERROR(TRIM(INDEX($A950:$Z950,MATCH('Cross-tab'!$B$5,$A$1:$Z$1,0))&amp;""),""))</f>
        <v/>
      </c>
      <c r="AF950" s="41">
        <f>IF(TRIM('Cross-tab'!$B$7&amp;"")="","",IFERROR(TRIM(INDEX($A950:$Z950,MATCH('Cross-tab'!$B$7,$A$1:$Z$1,0))&amp;""),""))</f>
        <v/>
      </c>
      <c r="AG950" s="41">
        <f>IF(ISNUMBER(IFERROR(VALUE(IF(TRIM('Scale score'!$B$5&amp;"")="","",IFERROR(TRIM(INDEX($A950:$Z950,MATCH('Scale score'!$B$5,$A$1:$Z$1,0))&amp;""),""))),"")),IF(AND(IFERROR(VALUE(IF(TRIM('Scale score'!$B$5&amp;"")="","",IFERROR(TRIM(INDEX($A950:$Z950,MATCH('Scale score'!$B$5,$A$1:$Z$1,0))&amp;""),""))),"")&gt;='Scale score'!$B$6,IFERROR(VALUE(IF(TRIM('Scale score'!$B$5&amp;"")="","",IFERROR(TRIM(INDEX($A950:$Z950,MATCH('Scale score'!$B$5,$A$1:$Z$1,0))&amp;""),""))),"")&lt;='Scale score'!$B$7),IFERROR(VALUE(IF(TRIM('Scale score'!$B$5&amp;"")="","",IFERROR(TRIM(INDEX($A950:$Z950,MATCH('Scale score'!$B$5,$A$1:$Z$1,0))&amp;""),""))),""),""),"")</f>
        <v/>
      </c>
      <c r="AH950" s="41">
        <f>IF(TRIM('Open answers'!$B$5&amp;"")="","",IFERROR(TRIM(INDEX($A950:$Z950,MATCH('Open answers'!$B$5,$A$1:$Z$1,0))&amp;""),""))</f>
        <v/>
      </c>
      <c r="AI950" s="41">
        <f>IF(LEN(AH950)&gt;0,MAX($AI$1:AI949)+1,"")</f>
        <v/>
      </c>
    </row>
    <row r="951">
      <c r="AA951" s="40" t="n"/>
      <c r="AB951" s="41">
        <f>IF(TRIM('Counts'!$B$8&amp;"")="","",IFERROR(TRIM(INDEX($A951:$Z951,MATCH('Counts'!$B$8,$A$1:$Z$1,0))&amp;""),""))</f>
        <v/>
      </c>
      <c r="AC951" s="41">
        <f>IF(TRIM('Counts'!$B$26&amp;"")="","",IFERROR(TRIM(INDEX($A951:$Z951,MATCH('Counts'!$B$26,$A$1:$Z$1,0))&amp;""),""))</f>
        <v/>
      </c>
      <c r="AD951" s="41">
        <f>IF(TRIM('Counts'!$B$44&amp;"")="","",IFERROR(TRIM(INDEX($A951:$Z951,MATCH('Counts'!$B$44,$A$1:$Z$1,0))&amp;""),""))</f>
        <v/>
      </c>
      <c r="AE951" s="41">
        <f>IF(TRIM('Cross-tab'!$B$5&amp;"")="","",IFERROR(TRIM(INDEX($A951:$Z951,MATCH('Cross-tab'!$B$5,$A$1:$Z$1,0))&amp;""),""))</f>
        <v/>
      </c>
      <c r="AF951" s="41">
        <f>IF(TRIM('Cross-tab'!$B$7&amp;"")="","",IFERROR(TRIM(INDEX($A951:$Z951,MATCH('Cross-tab'!$B$7,$A$1:$Z$1,0))&amp;""),""))</f>
        <v/>
      </c>
      <c r="AG951" s="41">
        <f>IF(ISNUMBER(IFERROR(VALUE(IF(TRIM('Scale score'!$B$5&amp;"")="","",IFERROR(TRIM(INDEX($A951:$Z951,MATCH('Scale score'!$B$5,$A$1:$Z$1,0))&amp;""),""))),"")),IF(AND(IFERROR(VALUE(IF(TRIM('Scale score'!$B$5&amp;"")="","",IFERROR(TRIM(INDEX($A951:$Z951,MATCH('Scale score'!$B$5,$A$1:$Z$1,0))&amp;""),""))),"")&gt;='Scale score'!$B$6,IFERROR(VALUE(IF(TRIM('Scale score'!$B$5&amp;"")="","",IFERROR(TRIM(INDEX($A951:$Z951,MATCH('Scale score'!$B$5,$A$1:$Z$1,0))&amp;""),""))),"")&lt;='Scale score'!$B$7),IFERROR(VALUE(IF(TRIM('Scale score'!$B$5&amp;"")="","",IFERROR(TRIM(INDEX($A951:$Z951,MATCH('Scale score'!$B$5,$A$1:$Z$1,0))&amp;""),""))),""),""),"")</f>
        <v/>
      </c>
      <c r="AH951" s="41">
        <f>IF(TRIM('Open answers'!$B$5&amp;"")="","",IFERROR(TRIM(INDEX($A951:$Z951,MATCH('Open answers'!$B$5,$A$1:$Z$1,0))&amp;""),""))</f>
        <v/>
      </c>
      <c r="AI951" s="41">
        <f>IF(LEN(AH951)&gt;0,MAX($AI$1:AI950)+1,"")</f>
        <v/>
      </c>
    </row>
    <row r="952">
      <c r="AA952" s="40" t="n"/>
      <c r="AB952" s="41">
        <f>IF(TRIM('Counts'!$B$8&amp;"")="","",IFERROR(TRIM(INDEX($A952:$Z952,MATCH('Counts'!$B$8,$A$1:$Z$1,0))&amp;""),""))</f>
        <v/>
      </c>
      <c r="AC952" s="41">
        <f>IF(TRIM('Counts'!$B$26&amp;"")="","",IFERROR(TRIM(INDEX($A952:$Z952,MATCH('Counts'!$B$26,$A$1:$Z$1,0))&amp;""),""))</f>
        <v/>
      </c>
      <c r="AD952" s="41">
        <f>IF(TRIM('Counts'!$B$44&amp;"")="","",IFERROR(TRIM(INDEX($A952:$Z952,MATCH('Counts'!$B$44,$A$1:$Z$1,0))&amp;""),""))</f>
        <v/>
      </c>
      <c r="AE952" s="41">
        <f>IF(TRIM('Cross-tab'!$B$5&amp;"")="","",IFERROR(TRIM(INDEX($A952:$Z952,MATCH('Cross-tab'!$B$5,$A$1:$Z$1,0))&amp;""),""))</f>
        <v/>
      </c>
      <c r="AF952" s="41">
        <f>IF(TRIM('Cross-tab'!$B$7&amp;"")="","",IFERROR(TRIM(INDEX($A952:$Z952,MATCH('Cross-tab'!$B$7,$A$1:$Z$1,0))&amp;""),""))</f>
        <v/>
      </c>
      <c r="AG952" s="41">
        <f>IF(ISNUMBER(IFERROR(VALUE(IF(TRIM('Scale score'!$B$5&amp;"")="","",IFERROR(TRIM(INDEX($A952:$Z952,MATCH('Scale score'!$B$5,$A$1:$Z$1,0))&amp;""),""))),"")),IF(AND(IFERROR(VALUE(IF(TRIM('Scale score'!$B$5&amp;"")="","",IFERROR(TRIM(INDEX($A952:$Z952,MATCH('Scale score'!$B$5,$A$1:$Z$1,0))&amp;""),""))),"")&gt;='Scale score'!$B$6,IFERROR(VALUE(IF(TRIM('Scale score'!$B$5&amp;"")="","",IFERROR(TRIM(INDEX($A952:$Z952,MATCH('Scale score'!$B$5,$A$1:$Z$1,0))&amp;""),""))),"")&lt;='Scale score'!$B$7),IFERROR(VALUE(IF(TRIM('Scale score'!$B$5&amp;"")="","",IFERROR(TRIM(INDEX($A952:$Z952,MATCH('Scale score'!$B$5,$A$1:$Z$1,0))&amp;""),""))),""),""),"")</f>
        <v/>
      </c>
      <c r="AH952" s="41">
        <f>IF(TRIM('Open answers'!$B$5&amp;"")="","",IFERROR(TRIM(INDEX($A952:$Z952,MATCH('Open answers'!$B$5,$A$1:$Z$1,0))&amp;""),""))</f>
        <v/>
      </c>
      <c r="AI952" s="41">
        <f>IF(LEN(AH952)&gt;0,MAX($AI$1:AI951)+1,"")</f>
        <v/>
      </c>
    </row>
    <row r="953">
      <c r="AA953" s="40" t="n"/>
      <c r="AB953" s="41">
        <f>IF(TRIM('Counts'!$B$8&amp;"")="","",IFERROR(TRIM(INDEX($A953:$Z953,MATCH('Counts'!$B$8,$A$1:$Z$1,0))&amp;""),""))</f>
        <v/>
      </c>
      <c r="AC953" s="41">
        <f>IF(TRIM('Counts'!$B$26&amp;"")="","",IFERROR(TRIM(INDEX($A953:$Z953,MATCH('Counts'!$B$26,$A$1:$Z$1,0))&amp;""),""))</f>
        <v/>
      </c>
      <c r="AD953" s="41">
        <f>IF(TRIM('Counts'!$B$44&amp;"")="","",IFERROR(TRIM(INDEX($A953:$Z953,MATCH('Counts'!$B$44,$A$1:$Z$1,0))&amp;""),""))</f>
        <v/>
      </c>
      <c r="AE953" s="41">
        <f>IF(TRIM('Cross-tab'!$B$5&amp;"")="","",IFERROR(TRIM(INDEX($A953:$Z953,MATCH('Cross-tab'!$B$5,$A$1:$Z$1,0))&amp;""),""))</f>
        <v/>
      </c>
      <c r="AF953" s="41">
        <f>IF(TRIM('Cross-tab'!$B$7&amp;"")="","",IFERROR(TRIM(INDEX($A953:$Z953,MATCH('Cross-tab'!$B$7,$A$1:$Z$1,0))&amp;""),""))</f>
        <v/>
      </c>
      <c r="AG953" s="41">
        <f>IF(ISNUMBER(IFERROR(VALUE(IF(TRIM('Scale score'!$B$5&amp;"")="","",IFERROR(TRIM(INDEX($A953:$Z953,MATCH('Scale score'!$B$5,$A$1:$Z$1,0))&amp;""),""))),"")),IF(AND(IFERROR(VALUE(IF(TRIM('Scale score'!$B$5&amp;"")="","",IFERROR(TRIM(INDEX($A953:$Z953,MATCH('Scale score'!$B$5,$A$1:$Z$1,0))&amp;""),""))),"")&gt;='Scale score'!$B$6,IFERROR(VALUE(IF(TRIM('Scale score'!$B$5&amp;"")="","",IFERROR(TRIM(INDEX($A953:$Z953,MATCH('Scale score'!$B$5,$A$1:$Z$1,0))&amp;""),""))),"")&lt;='Scale score'!$B$7),IFERROR(VALUE(IF(TRIM('Scale score'!$B$5&amp;"")="","",IFERROR(TRIM(INDEX($A953:$Z953,MATCH('Scale score'!$B$5,$A$1:$Z$1,0))&amp;""),""))),""),""),"")</f>
        <v/>
      </c>
      <c r="AH953" s="41">
        <f>IF(TRIM('Open answers'!$B$5&amp;"")="","",IFERROR(TRIM(INDEX($A953:$Z953,MATCH('Open answers'!$B$5,$A$1:$Z$1,0))&amp;""),""))</f>
        <v/>
      </c>
      <c r="AI953" s="41">
        <f>IF(LEN(AH953)&gt;0,MAX($AI$1:AI952)+1,"")</f>
        <v/>
      </c>
    </row>
    <row r="954">
      <c r="AA954" s="40" t="n"/>
      <c r="AB954" s="41">
        <f>IF(TRIM('Counts'!$B$8&amp;"")="","",IFERROR(TRIM(INDEX($A954:$Z954,MATCH('Counts'!$B$8,$A$1:$Z$1,0))&amp;""),""))</f>
        <v/>
      </c>
      <c r="AC954" s="41">
        <f>IF(TRIM('Counts'!$B$26&amp;"")="","",IFERROR(TRIM(INDEX($A954:$Z954,MATCH('Counts'!$B$26,$A$1:$Z$1,0))&amp;""),""))</f>
        <v/>
      </c>
      <c r="AD954" s="41">
        <f>IF(TRIM('Counts'!$B$44&amp;"")="","",IFERROR(TRIM(INDEX($A954:$Z954,MATCH('Counts'!$B$44,$A$1:$Z$1,0))&amp;""),""))</f>
        <v/>
      </c>
      <c r="AE954" s="41">
        <f>IF(TRIM('Cross-tab'!$B$5&amp;"")="","",IFERROR(TRIM(INDEX($A954:$Z954,MATCH('Cross-tab'!$B$5,$A$1:$Z$1,0))&amp;""),""))</f>
        <v/>
      </c>
      <c r="AF954" s="41">
        <f>IF(TRIM('Cross-tab'!$B$7&amp;"")="","",IFERROR(TRIM(INDEX($A954:$Z954,MATCH('Cross-tab'!$B$7,$A$1:$Z$1,0))&amp;""),""))</f>
        <v/>
      </c>
      <c r="AG954" s="41">
        <f>IF(ISNUMBER(IFERROR(VALUE(IF(TRIM('Scale score'!$B$5&amp;"")="","",IFERROR(TRIM(INDEX($A954:$Z954,MATCH('Scale score'!$B$5,$A$1:$Z$1,0))&amp;""),""))),"")),IF(AND(IFERROR(VALUE(IF(TRIM('Scale score'!$B$5&amp;"")="","",IFERROR(TRIM(INDEX($A954:$Z954,MATCH('Scale score'!$B$5,$A$1:$Z$1,0))&amp;""),""))),"")&gt;='Scale score'!$B$6,IFERROR(VALUE(IF(TRIM('Scale score'!$B$5&amp;"")="","",IFERROR(TRIM(INDEX($A954:$Z954,MATCH('Scale score'!$B$5,$A$1:$Z$1,0))&amp;""),""))),"")&lt;='Scale score'!$B$7),IFERROR(VALUE(IF(TRIM('Scale score'!$B$5&amp;"")="","",IFERROR(TRIM(INDEX($A954:$Z954,MATCH('Scale score'!$B$5,$A$1:$Z$1,0))&amp;""),""))),""),""),"")</f>
        <v/>
      </c>
      <c r="AH954" s="41">
        <f>IF(TRIM('Open answers'!$B$5&amp;"")="","",IFERROR(TRIM(INDEX($A954:$Z954,MATCH('Open answers'!$B$5,$A$1:$Z$1,0))&amp;""),""))</f>
        <v/>
      </c>
      <c r="AI954" s="41">
        <f>IF(LEN(AH954)&gt;0,MAX($AI$1:AI953)+1,"")</f>
        <v/>
      </c>
    </row>
    <row r="955">
      <c r="AA955" s="40" t="n"/>
      <c r="AB955" s="41">
        <f>IF(TRIM('Counts'!$B$8&amp;"")="","",IFERROR(TRIM(INDEX($A955:$Z955,MATCH('Counts'!$B$8,$A$1:$Z$1,0))&amp;""),""))</f>
        <v/>
      </c>
      <c r="AC955" s="41">
        <f>IF(TRIM('Counts'!$B$26&amp;"")="","",IFERROR(TRIM(INDEX($A955:$Z955,MATCH('Counts'!$B$26,$A$1:$Z$1,0))&amp;""),""))</f>
        <v/>
      </c>
      <c r="AD955" s="41">
        <f>IF(TRIM('Counts'!$B$44&amp;"")="","",IFERROR(TRIM(INDEX($A955:$Z955,MATCH('Counts'!$B$44,$A$1:$Z$1,0))&amp;""),""))</f>
        <v/>
      </c>
      <c r="AE955" s="41">
        <f>IF(TRIM('Cross-tab'!$B$5&amp;"")="","",IFERROR(TRIM(INDEX($A955:$Z955,MATCH('Cross-tab'!$B$5,$A$1:$Z$1,0))&amp;""),""))</f>
        <v/>
      </c>
      <c r="AF955" s="41">
        <f>IF(TRIM('Cross-tab'!$B$7&amp;"")="","",IFERROR(TRIM(INDEX($A955:$Z955,MATCH('Cross-tab'!$B$7,$A$1:$Z$1,0))&amp;""),""))</f>
        <v/>
      </c>
      <c r="AG955" s="41">
        <f>IF(ISNUMBER(IFERROR(VALUE(IF(TRIM('Scale score'!$B$5&amp;"")="","",IFERROR(TRIM(INDEX($A955:$Z955,MATCH('Scale score'!$B$5,$A$1:$Z$1,0))&amp;""),""))),"")),IF(AND(IFERROR(VALUE(IF(TRIM('Scale score'!$B$5&amp;"")="","",IFERROR(TRIM(INDEX($A955:$Z955,MATCH('Scale score'!$B$5,$A$1:$Z$1,0))&amp;""),""))),"")&gt;='Scale score'!$B$6,IFERROR(VALUE(IF(TRIM('Scale score'!$B$5&amp;"")="","",IFERROR(TRIM(INDEX($A955:$Z955,MATCH('Scale score'!$B$5,$A$1:$Z$1,0))&amp;""),""))),"")&lt;='Scale score'!$B$7),IFERROR(VALUE(IF(TRIM('Scale score'!$B$5&amp;"")="","",IFERROR(TRIM(INDEX($A955:$Z955,MATCH('Scale score'!$B$5,$A$1:$Z$1,0))&amp;""),""))),""),""),"")</f>
        <v/>
      </c>
      <c r="AH955" s="41">
        <f>IF(TRIM('Open answers'!$B$5&amp;"")="","",IFERROR(TRIM(INDEX($A955:$Z955,MATCH('Open answers'!$B$5,$A$1:$Z$1,0))&amp;""),""))</f>
        <v/>
      </c>
      <c r="AI955" s="41">
        <f>IF(LEN(AH955)&gt;0,MAX($AI$1:AI954)+1,"")</f>
        <v/>
      </c>
    </row>
    <row r="956">
      <c r="AA956" s="40" t="n"/>
      <c r="AB956" s="41">
        <f>IF(TRIM('Counts'!$B$8&amp;"")="","",IFERROR(TRIM(INDEX($A956:$Z956,MATCH('Counts'!$B$8,$A$1:$Z$1,0))&amp;""),""))</f>
        <v/>
      </c>
      <c r="AC956" s="41">
        <f>IF(TRIM('Counts'!$B$26&amp;"")="","",IFERROR(TRIM(INDEX($A956:$Z956,MATCH('Counts'!$B$26,$A$1:$Z$1,0))&amp;""),""))</f>
        <v/>
      </c>
      <c r="AD956" s="41">
        <f>IF(TRIM('Counts'!$B$44&amp;"")="","",IFERROR(TRIM(INDEX($A956:$Z956,MATCH('Counts'!$B$44,$A$1:$Z$1,0))&amp;""),""))</f>
        <v/>
      </c>
      <c r="AE956" s="41">
        <f>IF(TRIM('Cross-tab'!$B$5&amp;"")="","",IFERROR(TRIM(INDEX($A956:$Z956,MATCH('Cross-tab'!$B$5,$A$1:$Z$1,0))&amp;""),""))</f>
        <v/>
      </c>
      <c r="AF956" s="41">
        <f>IF(TRIM('Cross-tab'!$B$7&amp;"")="","",IFERROR(TRIM(INDEX($A956:$Z956,MATCH('Cross-tab'!$B$7,$A$1:$Z$1,0))&amp;""),""))</f>
        <v/>
      </c>
      <c r="AG956" s="41">
        <f>IF(ISNUMBER(IFERROR(VALUE(IF(TRIM('Scale score'!$B$5&amp;"")="","",IFERROR(TRIM(INDEX($A956:$Z956,MATCH('Scale score'!$B$5,$A$1:$Z$1,0))&amp;""),""))),"")),IF(AND(IFERROR(VALUE(IF(TRIM('Scale score'!$B$5&amp;"")="","",IFERROR(TRIM(INDEX($A956:$Z956,MATCH('Scale score'!$B$5,$A$1:$Z$1,0))&amp;""),""))),"")&gt;='Scale score'!$B$6,IFERROR(VALUE(IF(TRIM('Scale score'!$B$5&amp;"")="","",IFERROR(TRIM(INDEX($A956:$Z956,MATCH('Scale score'!$B$5,$A$1:$Z$1,0))&amp;""),""))),"")&lt;='Scale score'!$B$7),IFERROR(VALUE(IF(TRIM('Scale score'!$B$5&amp;"")="","",IFERROR(TRIM(INDEX($A956:$Z956,MATCH('Scale score'!$B$5,$A$1:$Z$1,0))&amp;""),""))),""),""),"")</f>
        <v/>
      </c>
      <c r="AH956" s="41">
        <f>IF(TRIM('Open answers'!$B$5&amp;"")="","",IFERROR(TRIM(INDEX($A956:$Z956,MATCH('Open answers'!$B$5,$A$1:$Z$1,0))&amp;""),""))</f>
        <v/>
      </c>
      <c r="AI956" s="41">
        <f>IF(LEN(AH956)&gt;0,MAX($AI$1:AI955)+1,"")</f>
        <v/>
      </c>
    </row>
    <row r="957">
      <c r="AA957" s="40" t="n"/>
      <c r="AB957" s="41">
        <f>IF(TRIM('Counts'!$B$8&amp;"")="","",IFERROR(TRIM(INDEX($A957:$Z957,MATCH('Counts'!$B$8,$A$1:$Z$1,0))&amp;""),""))</f>
        <v/>
      </c>
      <c r="AC957" s="41">
        <f>IF(TRIM('Counts'!$B$26&amp;"")="","",IFERROR(TRIM(INDEX($A957:$Z957,MATCH('Counts'!$B$26,$A$1:$Z$1,0))&amp;""),""))</f>
        <v/>
      </c>
      <c r="AD957" s="41">
        <f>IF(TRIM('Counts'!$B$44&amp;"")="","",IFERROR(TRIM(INDEX($A957:$Z957,MATCH('Counts'!$B$44,$A$1:$Z$1,0))&amp;""),""))</f>
        <v/>
      </c>
      <c r="AE957" s="41">
        <f>IF(TRIM('Cross-tab'!$B$5&amp;"")="","",IFERROR(TRIM(INDEX($A957:$Z957,MATCH('Cross-tab'!$B$5,$A$1:$Z$1,0))&amp;""),""))</f>
        <v/>
      </c>
      <c r="AF957" s="41">
        <f>IF(TRIM('Cross-tab'!$B$7&amp;"")="","",IFERROR(TRIM(INDEX($A957:$Z957,MATCH('Cross-tab'!$B$7,$A$1:$Z$1,0))&amp;""),""))</f>
        <v/>
      </c>
      <c r="AG957" s="41">
        <f>IF(ISNUMBER(IFERROR(VALUE(IF(TRIM('Scale score'!$B$5&amp;"")="","",IFERROR(TRIM(INDEX($A957:$Z957,MATCH('Scale score'!$B$5,$A$1:$Z$1,0))&amp;""),""))),"")),IF(AND(IFERROR(VALUE(IF(TRIM('Scale score'!$B$5&amp;"")="","",IFERROR(TRIM(INDEX($A957:$Z957,MATCH('Scale score'!$B$5,$A$1:$Z$1,0))&amp;""),""))),"")&gt;='Scale score'!$B$6,IFERROR(VALUE(IF(TRIM('Scale score'!$B$5&amp;"")="","",IFERROR(TRIM(INDEX($A957:$Z957,MATCH('Scale score'!$B$5,$A$1:$Z$1,0))&amp;""),""))),"")&lt;='Scale score'!$B$7),IFERROR(VALUE(IF(TRIM('Scale score'!$B$5&amp;"")="","",IFERROR(TRIM(INDEX($A957:$Z957,MATCH('Scale score'!$B$5,$A$1:$Z$1,0))&amp;""),""))),""),""),"")</f>
        <v/>
      </c>
      <c r="AH957" s="41">
        <f>IF(TRIM('Open answers'!$B$5&amp;"")="","",IFERROR(TRIM(INDEX($A957:$Z957,MATCH('Open answers'!$B$5,$A$1:$Z$1,0))&amp;""),""))</f>
        <v/>
      </c>
      <c r="AI957" s="41">
        <f>IF(LEN(AH957)&gt;0,MAX($AI$1:AI956)+1,"")</f>
        <v/>
      </c>
    </row>
    <row r="958">
      <c r="AA958" s="40" t="n"/>
      <c r="AB958" s="41">
        <f>IF(TRIM('Counts'!$B$8&amp;"")="","",IFERROR(TRIM(INDEX($A958:$Z958,MATCH('Counts'!$B$8,$A$1:$Z$1,0))&amp;""),""))</f>
        <v/>
      </c>
      <c r="AC958" s="41">
        <f>IF(TRIM('Counts'!$B$26&amp;"")="","",IFERROR(TRIM(INDEX($A958:$Z958,MATCH('Counts'!$B$26,$A$1:$Z$1,0))&amp;""),""))</f>
        <v/>
      </c>
      <c r="AD958" s="41">
        <f>IF(TRIM('Counts'!$B$44&amp;"")="","",IFERROR(TRIM(INDEX($A958:$Z958,MATCH('Counts'!$B$44,$A$1:$Z$1,0))&amp;""),""))</f>
        <v/>
      </c>
      <c r="AE958" s="41">
        <f>IF(TRIM('Cross-tab'!$B$5&amp;"")="","",IFERROR(TRIM(INDEX($A958:$Z958,MATCH('Cross-tab'!$B$5,$A$1:$Z$1,0))&amp;""),""))</f>
        <v/>
      </c>
      <c r="AF958" s="41">
        <f>IF(TRIM('Cross-tab'!$B$7&amp;"")="","",IFERROR(TRIM(INDEX($A958:$Z958,MATCH('Cross-tab'!$B$7,$A$1:$Z$1,0))&amp;""),""))</f>
        <v/>
      </c>
      <c r="AG958" s="41">
        <f>IF(ISNUMBER(IFERROR(VALUE(IF(TRIM('Scale score'!$B$5&amp;"")="","",IFERROR(TRIM(INDEX($A958:$Z958,MATCH('Scale score'!$B$5,$A$1:$Z$1,0))&amp;""),""))),"")),IF(AND(IFERROR(VALUE(IF(TRIM('Scale score'!$B$5&amp;"")="","",IFERROR(TRIM(INDEX($A958:$Z958,MATCH('Scale score'!$B$5,$A$1:$Z$1,0))&amp;""),""))),"")&gt;='Scale score'!$B$6,IFERROR(VALUE(IF(TRIM('Scale score'!$B$5&amp;"")="","",IFERROR(TRIM(INDEX($A958:$Z958,MATCH('Scale score'!$B$5,$A$1:$Z$1,0))&amp;""),""))),"")&lt;='Scale score'!$B$7),IFERROR(VALUE(IF(TRIM('Scale score'!$B$5&amp;"")="","",IFERROR(TRIM(INDEX($A958:$Z958,MATCH('Scale score'!$B$5,$A$1:$Z$1,0))&amp;""),""))),""),""),"")</f>
        <v/>
      </c>
      <c r="AH958" s="41">
        <f>IF(TRIM('Open answers'!$B$5&amp;"")="","",IFERROR(TRIM(INDEX($A958:$Z958,MATCH('Open answers'!$B$5,$A$1:$Z$1,0))&amp;""),""))</f>
        <v/>
      </c>
      <c r="AI958" s="41">
        <f>IF(LEN(AH958)&gt;0,MAX($AI$1:AI957)+1,"")</f>
        <v/>
      </c>
    </row>
    <row r="959">
      <c r="AA959" s="40" t="n"/>
      <c r="AB959" s="41">
        <f>IF(TRIM('Counts'!$B$8&amp;"")="","",IFERROR(TRIM(INDEX($A959:$Z959,MATCH('Counts'!$B$8,$A$1:$Z$1,0))&amp;""),""))</f>
        <v/>
      </c>
      <c r="AC959" s="41">
        <f>IF(TRIM('Counts'!$B$26&amp;"")="","",IFERROR(TRIM(INDEX($A959:$Z959,MATCH('Counts'!$B$26,$A$1:$Z$1,0))&amp;""),""))</f>
        <v/>
      </c>
      <c r="AD959" s="41">
        <f>IF(TRIM('Counts'!$B$44&amp;"")="","",IFERROR(TRIM(INDEX($A959:$Z959,MATCH('Counts'!$B$44,$A$1:$Z$1,0))&amp;""),""))</f>
        <v/>
      </c>
      <c r="AE959" s="41">
        <f>IF(TRIM('Cross-tab'!$B$5&amp;"")="","",IFERROR(TRIM(INDEX($A959:$Z959,MATCH('Cross-tab'!$B$5,$A$1:$Z$1,0))&amp;""),""))</f>
        <v/>
      </c>
      <c r="AF959" s="41">
        <f>IF(TRIM('Cross-tab'!$B$7&amp;"")="","",IFERROR(TRIM(INDEX($A959:$Z959,MATCH('Cross-tab'!$B$7,$A$1:$Z$1,0))&amp;""),""))</f>
        <v/>
      </c>
      <c r="AG959" s="41">
        <f>IF(ISNUMBER(IFERROR(VALUE(IF(TRIM('Scale score'!$B$5&amp;"")="","",IFERROR(TRIM(INDEX($A959:$Z959,MATCH('Scale score'!$B$5,$A$1:$Z$1,0))&amp;""),""))),"")),IF(AND(IFERROR(VALUE(IF(TRIM('Scale score'!$B$5&amp;"")="","",IFERROR(TRIM(INDEX($A959:$Z959,MATCH('Scale score'!$B$5,$A$1:$Z$1,0))&amp;""),""))),"")&gt;='Scale score'!$B$6,IFERROR(VALUE(IF(TRIM('Scale score'!$B$5&amp;"")="","",IFERROR(TRIM(INDEX($A959:$Z959,MATCH('Scale score'!$B$5,$A$1:$Z$1,0))&amp;""),""))),"")&lt;='Scale score'!$B$7),IFERROR(VALUE(IF(TRIM('Scale score'!$B$5&amp;"")="","",IFERROR(TRIM(INDEX($A959:$Z959,MATCH('Scale score'!$B$5,$A$1:$Z$1,0))&amp;""),""))),""),""),"")</f>
        <v/>
      </c>
      <c r="AH959" s="41">
        <f>IF(TRIM('Open answers'!$B$5&amp;"")="","",IFERROR(TRIM(INDEX($A959:$Z959,MATCH('Open answers'!$B$5,$A$1:$Z$1,0))&amp;""),""))</f>
        <v/>
      </c>
      <c r="AI959" s="41">
        <f>IF(LEN(AH959)&gt;0,MAX($AI$1:AI958)+1,"")</f>
        <v/>
      </c>
    </row>
    <row r="960">
      <c r="AA960" s="40" t="n"/>
      <c r="AB960" s="41">
        <f>IF(TRIM('Counts'!$B$8&amp;"")="","",IFERROR(TRIM(INDEX($A960:$Z960,MATCH('Counts'!$B$8,$A$1:$Z$1,0))&amp;""),""))</f>
        <v/>
      </c>
      <c r="AC960" s="41">
        <f>IF(TRIM('Counts'!$B$26&amp;"")="","",IFERROR(TRIM(INDEX($A960:$Z960,MATCH('Counts'!$B$26,$A$1:$Z$1,0))&amp;""),""))</f>
        <v/>
      </c>
      <c r="AD960" s="41">
        <f>IF(TRIM('Counts'!$B$44&amp;"")="","",IFERROR(TRIM(INDEX($A960:$Z960,MATCH('Counts'!$B$44,$A$1:$Z$1,0))&amp;""),""))</f>
        <v/>
      </c>
      <c r="AE960" s="41">
        <f>IF(TRIM('Cross-tab'!$B$5&amp;"")="","",IFERROR(TRIM(INDEX($A960:$Z960,MATCH('Cross-tab'!$B$5,$A$1:$Z$1,0))&amp;""),""))</f>
        <v/>
      </c>
      <c r="AF960" s="41">
        <f>IF(TRIM('Cross-tab'!$B$7&amp;"")="","",IFERROR(TRIM(INDEX($A960:$Z960,MATCH('Cross-tab'!$B$7,$A$1:$Z$1,0))&amp;""),""))</f>
        <v/>
      </c>
      <c r="AG960" s="41">
        <f>IF(ISNUMBER(IFERROR(VALUE(IF(TRIM('Scale score'!$B$5&amp;"")="","",IFERROR(TRIM(INDEX($A960:$Z960,MATCH('Scale score'!$B$5,$A$1:$Z$1,0))&amp;""),""))),"")),IF(AND(IFERROR(VALUE(IF(TRIM('Scale score'!$B$5&amp;"")="","",IFERROR(TRIM(INDEX($A960:$Z960,MATCH('Scale score'!$B$5,$A$1:$Z$1,0))&amp;""),""))),"")&gt;='Scale score'!$B$6,IFERROR(VALUE(IF(TRIM('Scale score'!$B$5&amp;"")="","",IFERROR(TRIM(INDEX($A960:$Z960,MATCH('Scale score'!$B$5,$A$1:$Z$1,0))&amp;""),""))),"")&lt;='Scale score'!$B$7),IFERROR(VALUE(IF(TRIM('Scale score'!$B$5&amp;"")="","",IFERROR(TRIM(INDEX($A960:$Z960,MATCH('Scale score'!$B$5,$A$1:$Z$1,0))&amp;""),""))),""),""),"")</f>
        <v/>
      </c>
      <c r="AH960" s="41">
        <f>IF(TRIM('Open answers'!$B$5&amp;"")="","",IFERROR(TRIM(INDEX($A960:$Z960,MATCH('Open answers'!$B$5,$A$1:$Z$1,0))&amp;""),""))</f>
        <v/>
      </c>
      <c r="AI960" s="41">
        <f>IF(LEN(AH960)&gt;0,MAX($AI$1:AI959)+1,"")</f>
        <v/>
      </c>
    </row>
    <row r="961">
      <c r="AA961" s="40" t="n"/>
      <c r="AB961" s="41">
        <f>IF(TRIM('Counts'!$B$8&amp;"")="","",IFERROR(TRIM(INDEX($A961:$Z961,MATCH('Counts'!$B$8,$A$1:$Z$1,0))&amp;""),""))</f>
        <v/>
      </c>
      <c r="AC961" s="41">
        <f>IF(TRIM('Counts'!$B$26&amp;"")="","",IFERROR(TRIM(INDEX($A961:$Z961,MATCH('Counts'!$B$26,$A$1:$Z$1,0))&amp;""),""))</f>
        <v/>
      </c>
      <c r="AD961" s="41">
        <f>IF(TRIM('Counts'!$B$44&amp;"")="","",IFERROR(TRIM(INDEX($A961:$Z961,MATCH('Counts'!$B$44,$A$1:$Z$1,0))&amp;""),""))</f>
        <v/>
      </c>
      <c r="AE961" s="41">
        <f>IF(TRIM('Cross-tab'!$B$5&amp;"")="","",IFERROR(TRIM(INDEX($A961:$Z961,MATCH('Cross-tab'!$B$5,$A$1:$Z$1,0))&amp;""),""))</f>
        <v/>
      </c>
      <c r="AF961" s="41">
        <f>IF(TRIM('Cross-tab'!$B$7&amp;"")="","",IFERROR(TRIM(INDEX($A961:$Z961,MATCH('Cross-tab'!$B$7,$A$1:$Z$1,0))&amp;""),""))</f>
        <v/>
      </c>
      <c r="AG961" s="41">
        <f>IF(ISNUMBER(IFERROR(VALUE(IF(TRIM('Scale score'!$B$5&amp;"")="","",IFERROR(TRIM(INDEX($A961:$Z961,MATCH('Scale score'!$B$5,$A$1:$Z$1,0))&amp;""),""))),"")),IF(AND(IFERROR(VALUE(IF(TRIM('Scale score'!$B$5&amp;"")="","",IFERROR(TRIM(INDEX($A961:$Z961,MATCH('Scale score'!$B$5,$A$1:$Z$1,0))&amp;""),""))),"")&gt;='Scale score'!$B$6,IFERROR(VALUE(IF(TRIM('Scale score'!$B$5&amp;"")="","",IFERROR(TRIM(INDEX($A961:$Z961,MATCH('Scale score'!$B$5,$A$1:$Z$1,0))&amp;""),""))),"")&lt;='Scale score'!$B$7),IFERROR(VALUE(IF(TRIM('Scale score'!$B$5&amp;"")="","",IFERROR(TRIM(INDEX($A961:$Z961,MATCH('Scale score'!$B$5,$A$1:$Z$1,0))&amp;""),""))),""),""),"")</f>
        <v/>
      </c>
      <c r="AH961" s="41">
        <f>IF(TRIM('Open answers'!$B$5&amp;"")="","",IFERROR(TRIM(INDEX($A961:$Z961,MATCH('Open answers'!$B$5,$A$1:$Z$1,0))&amp;""),""))</f>
        <v/>
      </c>
      <c r="AI961" s="41">
        <f>IF(LEN(AH961)&gt;0,MAX($AI$1:AI960)+1,"")</f>
        <v/>
      </c>
    </row>
    <row r="962">
      <c r="AA962" s="40" t="n"/>
      <c r="AB962" s="41">
        <f>IF(TRIM('Counts'!$B$8&amp;"")="","",IFERROR(TRIM(INDEX($A962:$Z962,MATCH('Counts'!$B$8,$A$1:$Z$1,0))&amp;""),""))</f>
        <v/>
      </c>
      <c r="AC962" s="41">
        <f>IF(TRIM('Counts'!$B$26&amp;"")="","",IFERROR(TRIM(INDEX($A962:$Z962,MATCH('Counts'!$B$26,$A$1:$Z$1,0))&amp;""),""))</f>
        <v/>
      </c>
      <c r="AD962" s="41">
        <f>IF(TRIM('Counts'!$B$44&amp;"")="","",IFERROR(TRIM(INDEX($A962:$Z962,MATCH('Counts'!$B$44,$A$1:$Z$1,0))&amp;""),""))</f>
        <v/>
      </c>
      <c r="AE962" s="41">
        <f>IF(TRIM('Cross-tab'!$B$5&amp;"")="","",IFERROR(TRIM(INDEX($A962:$Z962,MATCH('Cross-tab'!$B$5,$A$1:$Z$1,0))&amp;""),""))</f>
        <v/>
      </c>
      <c r="AF962" s="41">
        <f>IF(TRIM('Cross-tab'!$B$7&amp;"")="","",IFERROR(TRIM(INDEX($A962:$Z962,MATCH('Cross-tab'!$B$7,$A$1:$Z$1,0))&amp;""),""))</f>
        <v/>
      </c>
      <c r="AG962" s="41">
        <f>IF(ISNUMBER(IFERROR(VALUE(IF(TRIM('Scale score'!$B$5&amp;"")="","",IFERROR(TRIM(INDEX($A962:$Z962,MATCH('Scale score'!$B$5,$A$1:$Z$1,0))&amp;""),""))),"")),IF(AND(IFERROR(VALUE(IF(TRIM('Scale score'!$B$5&amp;"")="","",IFERROR(TRIM(INDEX($A962:$Z962,MATCH('Scale score'!$B$5,$A$1:$Z$1,0))&amp;""),""))),"")&gt;='Scale score'!$B$6,IFERROR(VALUE(IF(TRIM('Scale score'!$B$5&amp;"")="","",IFERROR(TRIM(INDEX($A962:$Z962,MATCH('Scale score'!$B$5,$A$1:$Z$1,0))&amp;""),""))),"")&lt;='Scale score'!$B$7),IFERROR(VALUE(IF(TRIM('Scale score'!$B$5&amp;"")="","",IFERROR(TRIM(INDEX($A962:$Z962,MATCH('Scale score'!$B$5,$A$1:$Z$1,0))&amp;""),""))),""),""),"")</f>
        <v/>
      </c>
      <c r="AH962" s="41">
        <f>IF(TRIM('Open answers'!$B$5&amp;"")="","",IFERROR(TRIM(INDEX($A962:$Z962,MATCH('Open answers'!$B$5,$A$1:$Z$1,0))&amp;""),""))</f>
        <v/>
      </c>
      <c r="AI962" s="41">
        <f>IF(LEN(AH962)&gt;0,MAX($AI$1:AI961)+1,"")</f>
        <v/>
      </c>
    </row>
    <row r="963">
      <c r="AA963" s="40" t="n"/>
      <c r="AB963" s="41">
        <f>IF(TRIM('Counts'!$B$8&amp;"")="","",IFERROR(TRIM(INDEX($A963:$Z963,MATCH('Counts'!$B$8,$A$1:$Z$1,0))&amp;""),""))</f>
        <v/>
      </c>
      <c r="AC963" s="41">
        <f>IF(TRIM('Counts'!$B$26&amp;"")="","",IFERROR(TRIM(INDEX($A963:$Z963,MATCH('Counts'!$B$26,$A$1:$Z$1,0))&amp;""),""))</f>
        <v/>
      </c>
      <c r="AD963" s="41">
        <f>IF(TRIM('Counts'!$B$44&amp;"")="","",IFERROR(TRIM(INDEX($A963:$Z963,MATCH('Counts'!$B$44,$A$1:$Z$1,0))&amp;""),""))</f>
        <v/>
      </c>
      <c r="AE963" s="41">
        <f>IF(TRIM('Cross-tab'!$B$5&amp;"")="","",IFERROR(TRIM(INDEX($A963:$Z963,MATCH('Cross-tab'!$B$5,$A$1:$Z$1,0))&amp;""),""))</f>
        <v/>
      </c>
      <c r="AF963" s="41">
        <f>IF(TRIM('Cross-tab'!$B$7&amp;"")="","",IFERROR(TRIM(INDEX($A963:$Z963,MATCH('Cross-tab'!$B$7,$A$1:$Z$1,0))&amp;""),""))</f>
        <v/>
      </c>
      <c r="AG963" s="41">
        <f>IF(ISNUMBER(IFERROR(VALUE(IF(TRIM('Scale score'!$B$5&amp;"")="","",IFERROR(TRIM(INDEX($A963:$Z963,MATCH('Scale score'!$B$5,$A$1:$Z$1,0))&amp;""),""))),"")),IF(AND(IFERROR(VALUE(IF(TRIM('Scale score'!$B$5&amp;"")="","",IFERROR(TRIM(INDEX($A963:$Z963,MATCH('Scale score'!$B$5,$A$1:$Z$1,0))&amp;""),""))),"")&gt;='Scale score'!$B$6,IFERROR(VALUE(IF(TRIM('Scale score'!$B$5&amp;"")="","",IFERROR(TRIM(INDEX($A963:$Z963,MATCH('Scale score'!$B$5,$A$1:$Z$1,0))&amp;""),""))),"")&lt;='Scale score'!$B$7),IFERROR(VALUE(IF(TRIM('Scale score'!$B$5&amp;"")="","",IFERROR(TRIM(INDEX($A963:$Z963,MATCH('Scale score'!$B$5,$A$1:$Z$1,0))&amp;""),""))),""),""),"")</f>
        <v/>
      </c>
      <c r="AH963" s="41">
        <f>IF(TRIM('Open answers'!$B$5&amp;"")="","",IFERROR(TRIM(INDEX($A963:$Z963,MATCH('Open answers'!$B$5,$A$1:$Z$1,0))&amp;""),""))</f>
        <v/>
      </c>
      <c r="AI963" s="41">
        <f>IF(LEN(AH963)&gt;0,MAX($AI$1:AI962)+1,"")</f>
        <v/>
      </c>
    </row>
    <row r="964">
      <c r="AA964" s="40" t="n"/>
      <c r="AB964" s="41">
        <f>IF(TRIM('Counts'!$B$8&amp;"")="","",IFERROR(TRIM(INDEX($A964:$Z964,MATCH('Counts'!$B$8,$A$1:$Z$1,0))&amp;""),""))</f>
        <v/>
      </c>
      <c r="AC964" s="41">
        <f>IF(TRIM('Counts'!$B$26&amp;"")="","",IFERROR(TRIM(INDEX($A964:$Z964,MATCH('Counts'!$B$26,$A$1:$Z$1,0))&amp;""),""))</f>
        <v/>
      </c>
      <c r="AD964" s="41">
        <f>IF(TRIM('Counts'!$B$44&amp;"")="","",IFERROR(TRIM(INDEX($A964:$Z964,MATCH('Counts'!$B$44,$A$1:$Z$1,0))&amp;""),""))</f>
        <v/>
      </c>
      <c r="AE964" s="41">
        <f>IF(TRIM('Cross-tab'!$B$5&amp;"")="","",IFERROR(TRIM(INDEX($A964:$Z964,MATCH('Cross-tab'!$B$5,$A$1:$Z$1,0))&amp;""),""))</f>
        <v/>
      </c>
      <c r="AF964" s="41">
        <f>IF(TRIM('Cross-tab'!$B$7&amp;"")="","",IFERROR(TRIM(INDEX($A964:$Z964,MATCH('Cross-tab'!$B$7,$A$1:$Z$1,0))&amp;""),""))</f>
        <v/>
      </c>
      <c r="AG964" s="41">
        <f>IF(ISNUMBER(IFERROR(VALUE(IF(TRIM('Scale score'!$B$5&amp;"")="","",IFERROR(TRIM(INDEX($A964:$Z964,MATCH('Scale score'!$B$5,$A$1:$Z$1,0))&amp;""),""))),"")),IF(AND(IFERROR(VALUE(IF(TRIM('Scale score'!$B$5&amp;"")="","",IFERROR(TRIM(INDEX($A964:$Z964,MATCH('Scale score'!$B$5,$A$1:$Z$1,0))&amp;""),""))),"")&gt;='Scale score'!$B$6,IFERROR(VALUE(IF(TRIM('Scale score'!$B$5&amp;"")="","",IFERROR(TRIM(INDEX($A964:$Z964,MATCH('Scale score'!$B$5,$A$1:$Z$1,0))&amp;""),""))),"")&lt;='Scale score'!$B$7),IFERROR(VALUE(IF(TRIM('Scale score'!$B$5&amp;"")="","",IFERROR(TRIM(INDEX($A964:$Z964,MATCH('Scale score'!$B$5,$A$1:$Z$1,0))&amp;""),""))),""),""),"")</f>
        <v/>
      </c>
      <c r="AH964" s="41">
        <f>IF(TRIM('Open answers'!$B$5&amp;"")="","",IFERROR(TRIM(INDEX($A964:$Z964,MATCH('Open answers'!$B$5,$A$1:$Z$1,0))&amp;""),""))</f>
        <v/>
      </c>
      <c r="AI964" s="41">
        <f>IF(LEN(AH964)&gt;0,MAX($AI$1:AI963)+1,"")</f>
        <v/>
      </c>
    </row>
    <row r="965">
      <c r="AA965" s="40" t="n"/>
      <c r="AB965" s="41">
        <f>IF(TRIM('Counts'!$B$8&amp;"")="","",IFERROR(TRIM(INDEX($A965:$Z965,MATCH('Counts'!$B$8,$A$1:$Z$1,0))&amp;""),""))</f>
        <v/>
      </c>
      <c r="AC965" s="41">
        <f>IF(TRIM('Counts'!$B$26&amp;"")="","",IFERROR(TRIM(INDEX($A965:$Z965,MATCH('Counts'!$B$26,$A$1:$Z$1,0))&amp;""),""))</f>
        <v/>
      </c>
      <c r="AD965" s="41">
        <f>IF(TRIM('Counts'!$B$44&amp;"")="","",IFERROR(TRIM(INDEX($A965:$Z965,MATCH('Counts'!$B$44,$A$1:$Z$1,0))&amp;""),""))</f>
        <v/>
      </c>
      <c r="AE965" s="41">
        <f>IF(TRIM('Cross-tab'!$B$5&amp;"")="","",IFERROR(TRIM(INDEX($A965:$Z965,MATCH('Cross-tab'!$B$5,$A$1:$Z$1,0))&amp;""),""))</f>
        <v/>
      </c>
      <c r="AF965" s="41">
        <f>IF(TRIM('Cross-tab'!$B$7&amp;"")="","",IFERROR(TRIM(INDEX($A965:$Z965,MATCH('Cross-tab'!$B$7,$A$1:$Z$1,0))&amp;""),""))</f>
        <v/>
      </c>
      <c r="AG965" s="41">
        <f>IF(ISNUMBER(IFERROR(VALUE(IF(TRIM('Scale score'!$B$5&amp;"")="","",IFERROR(TRIM(INDEX($A965:$Z965,MATCH('Scale score'!$B$5,$A$1:$Z$1,0))&amp;""),""))),"")),IF(AND(IFERROR(VALUE(IF(TRIM('Scale score'!$B$5&amp;"")="","",IFERROR(TRIM(INDEX($A965:$Z965,MATCH('Scale score'!$B$5,$A$1:$Z$1,0))&amp;""),""))),"")&gt;='Scale score'!$B$6,IFERROR(VALUE(IF(TRIM('Scale score'!$B$5&amp;"")="","",IFERROR(TRIM(INDEX($A965:$Z965,MATCH('Scale score'!$B$5,$A$1:$Z$1,0))&amp;""),""))),"")&lt;='Scale score'!$B$7),IFERROR(VALUE(IF(TRIM('Scale score'!$B$5&amp;"")="","",IFERROR(TRIM(INDEX($A965:$Z965,MATCH('Scale score'!$B$5,$A$1:$Z$1,0))&amp;""),""))),""),""),"")</f>
        <v/>
      </c>
      <c r="AH965" s="41">
        <f>IF(TRIM('Open answers'!$B$5&amp;"")="","",IFERROR(TRIM(INDEX($A965:$Z965,MATCH('Open answers'!$B$5,$A$1:$Z$1,0))&amp;""),""))</f>
        <v/>
      </c>
      <c r="AI965" s="41">
        <f>IF(LEN(AH965)&gt;0,MAX($AI$1:AI964)+1,"")</f>
        <v/>
      </c>
    </row>
    <row r="966">
      <c r="AA966" s="40" t="n"/>
      <c r="AB966" s="41">
        <f>IF(TRIM('Counts'!$B$8&amp;"")="","",IFERROR(TRIM(INDEX($A966:$Z966,MATCH('Counts'!$B$8,$A$1:$Z$1,0))&amp;""),""))</f>
        <v/>
      </c>
      <c r="AC966" s="41">
        <f>IF(TRIM('Counts'!$B$26&amp;"")="","",IFERROR(TRIM(INDEX($A966:$Z966,MATCH('Counts'!$B$26,$A$1:$Z$1,0))&amp;""),""))</f>
        <v/>
      </c>
      <c r="AD966" s="41">
        <f>IF(TRIM('Counts'!$B$44&amp;"")="","",IFERROR(TRIM(INDEX($A966:$Z966,MATCH('Counts'!$B$44,$A$1:$Z$1,0))&amp;""),""))</f>
        <v/>
      </c>
      <c r="AE966" s="41">
        <f>IF(TRIM('Cross-tab'!$B$5&amp;"")="","",IFERROR(TRIM(INDEX($A966:$Z966,MATCH('Cross-tab'!$B$5,$A$1:$Z$1,0))&amp;""),""))</f>
        <v/>
      </c>
      <c r="AF966" s="41">
        <f>IF(TRIM('Cross-tab'!$B$7&amp;"")="","",IFERROR(TRIM(INDEX($A966:$Z966,MATCH('Cross-tab'!$B$7,$A$1:$Z$1,0))&amp;""),""))</f>
        <v/>
      </c>
      <c r="AG966" s="41">
        <f>IF(ISNUMBER(IFERROR(VALUE(IF(TRIM('Scale score'!$B$5&amp;"")="","",IFERROR(TRIM(INDEX($A966:$Z966,MATCH('Scale score'!$B$5,$A$1:$Z$1,0))&amp;""),""))),"")),IF(AND(IFERROR(VALUE(IF(TRIM('Scale score'!$B$5&amp;"")="","",IFERROR(TRIM(INDEX($A966:$Z966,MATCH('Scale score'!$B$5,$A$1:$Z$1,0))&amp;""),""))),"")&gt;='Scale score'!$B$6,IFERROR(VALUE(IF(TRIM('Scale score'!$B$5&amp;"")="","",IFERROR(TRIM(INDEX($A966:$Z966,MATCH('Scale score'!$B$5,$A$1:$Z$1,0))&amp;""),""))),"")&lt;='Scale score'!$B$7),IFERROR(VALUE(IF(TRIM('Scale score'!$B$5&amp;"")="","",IFERROR(TRIM(INDEX($A966:$Z966,MATCH('Scale score'!$B$5,$A$1:$Z$1,0))&amp;""),""))),""),""),"")</f>
        <v/>
      </c>
      <c r="AH966" s="41">
        <f>IF(TRIM('Open answers'!$B$5&amp;"")="","",IFERROR(TRIM(INDEX($A966:$Z966,MATCH('Open answers'!$B$5,$A$1:$Z$1,0))&amp;""),""))</f>
        <v/>
      </c>
      <c r="AI966" s="41">
        <f>IF(LEN(AH966)&gt;0,MAX($AI$1:AI965)+1,"")</f>
        <v/>
      </c>
    </row>
    <row r="967">
      <c r="AA967" s="40" t="n"/>
      <c r="AB967" s="41">
        <f>IF(TRIM('Counts'!$B$8&amp;"")="","",IFERROR(TRIM(INDEX($A967:$Z967,MATCH('Counts'!$B$8,$A$1:$Z$1,0))&amp;""),""))</f>
        <v/>
      </c>
      <c r="AC967" s="41">
        <f>IF(TRIM('Counts'!$B$26&amp;"")="","",IFERROR(TRIM(INDEX($A967:$Z967,MATCH('Counts'!$B$26,$A$1:$Z$1,0))&amp;""),""))</f>
        <v/>
      </c>
      <c r="AD967" s="41">
        <f>IF(TRIM('Counts'!$B$44&amp;"")="","",IFERROR(TRIM(INDEX($A967:$Z967,MATCH('Counts'!$B$44,$A$1:$Z$1,0))&amp;""),""))</f>
        <v/>
      </c>
      <c r="AE967" s="41">
        <f>IF(TRIM('Cross-tab'!$B$5&amp;"")="","",IFERROR(TRIM(INDEX($A967:$Z967,MATCH('Cross-tab'!$B$5,$A$1:$Z$1,0))&amp;""),""))</f>
        <v/>
      </c>
      <c r="AF967" s="41">
        <f>IF(TRIM('Cross-tab'!$B$7&amp;"")="","",IFERROR(TRIM(INDEX($A967:$Z967,MATCH('Cross-tab'!$B$7,$A$1:$Z$1,0))&amp;""),""))</f>
        <v/>
      </c>
      <c r="AG967" s="41">
        <f>IF(ISNUMBER(IFERROR(VALUE(IF(TRIM('Scale score'!$B$5&amp;"")="","",IFERROR(TRIM(INDEX($A967:$Z967,MATCH('Scale score'!$B$5,$A$1:$Z$1,0))&amp;""),""))),"")),IF(AND(IFERROR(VALUE(IF(TRIM('Scale score'!$B$5&amp;"")="","",IFERROR(TRIM(INDEX($A967:$Z967,MATCH('Scale score'!$B$5,$A$1:$Z$1,0))&amp;""),""))),"")&gt;='Scale score'!$B$6,IFERROR(VALUE(IF(TRIM('Scale score'!$B$5&amp;"")="","",IFERROR(TRIM(INDEX($A967:$Z967,MATCH('Scale score'!$B$5,$A$1:$Z$1,0))&amp;""),""))),"")&lt;='Scale score'!$B$7),IFERROR(VALUE(IF(TRIM('Scale score'!$B$5&amp;"")="","",IFERROR(TRIM(INDEX($A967:$Z967,MATCH('Scale score'!$B$5,$A$1:$Z$1,0))&amp;""),""))),""),""),"")</f>
        <v/>
      </c>
      <c r="AH967" s="41">
        <f>IF(TRIM('Open answers'!$B$5&amp;"")="","",IFERROR(TRIM(INDEX($A967:$Z967,MATCH('Open answers'!$B$5,$A$1:$Z$1,0))&amp;""),""))</f>
        <v/>
      </c>
      <c r="AI967" s="41">
        <f>IF(LEN(AH967)&gt;0,MAX($AI$1:AI966)+1,"")</f>
        <v/>
      </c>
    </row>
    <row r="968">
      <c r="AA968" s="40" t="n"/>
      <c r="AB968" s="41">
        <f>IF(TRIM('Counts'!$B$8&amp;"")="","",IFERROR(TRIM(INDEX($A968:$Z968,MATCH('Counts'!$B$8,$A$1:$Z$1,0))&amp;""),""))</f>
        <v/>
      </c>
      <c r="AC968" s="41">
        <f>IF(TRIM('Counts'!$B$26&amp;"")="","",IFERROR(TRIM(INDEX($A968:$Z968,MATCH('Counts'!$B$26,$A$1:$Z$1,0))&amp;""),""))</f>
        <v/>
      </c>
      <c r="AD968" s="41">
        <f>IF(TRIM('Counts'!$B$44&amp;"")="","",IFERROR(TRIM(INDEX($A968:$Z968,MATCH('Counts'!$B$44,$A$1:$Z$1,0))&amp;""),""))</f>
        <v/>
      </c>
      <c r="AE968" s="41">
        <f>IF(TRIM('Cross-tab'!$B$5&amp;"")="","",IFERROR(TRIM(INDEX($A968:$Z968,MATCH('Cross-tab'!$B$5,$A$1:$Z$1,0))&amp;""),""))</f>
        <v/>
      </c>
      <c r="AF968" s="41">
        <f>IF(TRIM('Cross-tab'!$B$7&amp;"")="","",IFERROR(TRIM(INDEX($A968:$Z968,MATCH('Cross-tab'!$B$7,$A$1:$Z$1,0))&amp;""),""))</f>
        <v/>
      </c>
      <c r="AG968" s="41">
        <f>IF(ISNUMBER(IFERROR(VALUE(IF(TRIM('Scale score'!$B$5&amp;"")="","",IFERROR(TRIM(INDEX($A968:$Z968,MATCH('Scale score'!$B$5,$A$1:$Z$1,0))&amp;""),""))),"")),IF(AND(IFERROR(VALUE(IF(TRIM('Scale score'!$B$5&amp;"")="","",IFERROR(TRIM(INDEX($A968:$Z968,MATCH('Scale score'!$B$5,$A$1:$Z$1,0))&amp;""),""))),"")&gt;='Scale score'!$B$6,IFERROR(VALUE(IF(TRIM('Scale score'!$B$5&amp;"")="","",IFERROR(TRIM(INDEX($A968:$Z968,MATCH('Scale score'!$B$5,$A$1:$Z$1,0))&amp;""),""))),"")&lt;='Scale score'!$B$7),IFERROR(VALUE(IF(TRIM('Scale score'!$B$5&amp;"")="","",IFERROR(TRIM(INDEX($A968:$Z968,MATCH('Scale score'!$B$5,$A$1:$Z$1,0))&amp;""),""))),""),""),"")</f>
        <v/>
      </c>
      <c r="AH968" s="41">
        <f>IF(TRIM('Open answers'!$B$5&amp;"")="","",IFERROR(TRIM(INDEX($A968:$Z968,MATCH('Open answers'!$B$5,$A$1:$Z$1,0))&amp;""),""))</f>
        <v/>
      </c>
      <c r="AI968" s="41">
        <f>IF(LEN(AH968)&gt;0,MAX($AI$1:AI967)+1,"")</f>
        <v/>
      </c>
    </row>
    <row r="969">
      <c r="AA969" s="40" t="n"/>
      <c r="AB969" s="41">
        <f>IF(TRIM('Counts'!$B$8&amp;"")="","",IFERROR(TRIM(INDEX($A969:$Z969,MATCH('Counts'!$B$8,$A$1:$Z$1,0))&amp;""),""))</f>
        <v/>
      </c>
      <c r="AC969" s="41">
        <f>IF(TRIM('Counts'!$B$26&amp;"")="","",IFERROR(TRIM(INDEX($A969:$Z969,MATCH('Counts'!$B$26,$A$1:$Z$1,0))&amp;""),""))</f>
        <v/>
      </c>
      <c r="AD969" s="41">
        <f>IF(TRIM('Counts'!$B$44&amp;"")="","",IFERROR(TRIM(INDEX($A969:$Z969,MATCH('Counts'!$B$44,$A$1:$Z$1,0))&amp;""),""))</f>
        <v/>
      </c>
      <c r="AE969" s="41">
        <f>IF(TRIM('Cross-tab'!$B$5&amp;"")="","",IFERROR(TRIM(INDEX($A969:$Z969,MATCH('Cross-tab'!$B$5,$A$1:$Z$1,0))&amp;""),""))</f>
        <v/>
      </c>
      <c r="AF969" s="41">
        <f>IF(TRIM('Cross-tab'!$B$7&amp;"")="","",IFERROR(TRIM(INDEX($A969:$Z969,MATCH('Cross-tab'!$B$7,$A$1:$Z$1,0))&amp;""),""))</f>
        <v/>
      </c>
      <c r="AG969" s="41">
        <f>IF(ISNUMBER(IFERROR(VALUE(IF(TRIM('Scale score'!$B$5&amp;"")="","",IFERROR(TRIM(INDEX($A969:$Z969,MATCH('Scale score'!$B$5,$A$1:$Z$1,0))&amp;""),""))),"")),IF(AND(IFERROR(VALUE(IF(TRIM('Scale score'!$B$5&amp;"")="","",IFERROR(TRIM(INDEX($A969:$Z969,MATCH('Scale score'!$B$5,$A$1:$Z$1,0))&amp;""),""))),"")&gt;='Scale score'!$B$6,IFERROR(VALUE(IF(TRIM('Scale score'!$B$5&amp;"")="","",IFERROR(TRIM(INDEX($A969:$Z969,MATCH('Scale score'!$B$5,$A$1:$Z$1,0))&amp;""),""))),"")&lt;='Scale score'!$B$7),IFERROR(VALUE(IF(TRIM('Scale score'!$B$5&amp;"")="","",IFERROR(TRIM(INDEX($A969:$Z969,MATCH('Scale score'!$B$5,$A$1:$Z$1,0))&amp;""),""))),""),""),"")</f>
        <v/>
      </c>
      <c r="AH969" s="41">
        <f>IF(TRIM('Open answers'!$B$5&amp;"")="","",IFERROR(TRIM(INDEX($A969:$Z969,MATCH('Open answers'!$B$5,$A$1:$Z$1,0))&amp;""),""))</f>
        <v/>
      </c>
      <c r="AI969" s="41">
        <f>IF(LEN(AH969)&gt;0,MAX($AI$1:AI968)+1,"")</f>
        <v/>
      </c>
    </row>
    <row r="970">
      <c r="AA970" s="40" t="n"/>
      <c r="AB970" s="41">
        <f>IF(TRIM('Counts'!$B$8&amp;"")="","",IFERROR(TRIM(INDEX($A970:$Z970,MATCH('Counts'!$B$8,$A$1:$Z$1,0))&amp;""),""))</f>
        <v/>
      </c>
      <c r="AC970" s="41">
        <f>IF(TRIM('Counts'!$B$26&amp;"")="","",IFERROR(TRIM(INDEX($A970:$Z970,MATCH('Counts'!$B$26,$A$1:$Z$1,0))&amp;""),""))</f>
        <v/>
      </c>
      <c r="AD970" s="41">
        <f>IF(TRIM('Counts'!$B$44&amp;"")="","",IFERROR(TRIM(INDEX($A970:$Z970,MATCH('Counts'!$B$44,$A$1:$Z$1,0))&amp;""),""))</f>
        <v/>
      </c>
      <c r="AE970" s="41">
        <f>IF(TRIM('Cross-tab'!$B$5&amp;"")="","",IFERROR(TRIM(INDEX($A970:$Z970,MATCH('Cross-tab'!$B$5,$A$1:$Z$1,0))&amp;""),""))</f>
        <v/>
      </c>
      <c r="AF970" s="41">
        <f>IF(TRIM('Cross-tab'!$B$7&amp;"")="","",IFERROR(TRIM(INDEX($A970:$Z970,MATCH('Cross-tab'!$B$7,$A$1:$Z$1,0))&amp;""),""))</f>
        <v/>
      </c>
      <c r="AG970" s="41">
        <f>IF(ISNUMBER(IFERROR(VALUE(IF(TRIM('Scale score'!$B$5&amp;"")="","",IFERROR(TRIM(INDEX($A970:$Z970,MATCH('Scale score'!$B$5,$A$1:$Z$1,0))&amp;""),""))),"")),IF(AND(IFERROR(VALUE(IF(TRIM('Scale score'!$B$5&amp;"")="","",IFERROR(TRIM(INDEX($A970:$Z970,MATCH('Scale score'!$B$5,$A$1:$Z$1,0))&amp;""),""))),"")&gt;='Scale score'!$B$6,IFERROR(VALUE(IF(TRIM('Scale score'!$B$5&amp;"")="","",IFERROR(TRIM(INDEX($A970:$Z970,MATCH('Scale score'!$B$5,$A$1:$Z$1,0))&amp;""),""))),"")&lt;='Scale score'!$B$7),IFERROR(VALUE(IF(TRIM('Scale score'!$B$5&amp;"")="","",IFERROR(TRIM(INDEX($A970:$Z970,MATCH('Scale score'!$B$5,$A$1:$Z$1,0))&amp;""),""))),""),""),"")</f>
        <v/>
      </c>
      <c r="AH970" s="41">
        <f>IF(TRIM('Open answers'!$B$5&amp;"")="","",IFERROR(TRIM(INDEX($A970:$Z970,MATCH('Open answers'!$B$5,$A$1:$Z$1,0))&amp;""),""))</f>
        <v/>
      </c>
      <c r="AI970" s="41">
        <f>IF(LEN(AH970)&gt;0,MAX($AI$1:AI969)+1,"")</f>
        <v/>
      </c>
    </row>
    <row r="971">
      <c r="AA971" s="40" t="n"/>
      <c r="AB971" s="41">
        <f>IF(TRIM('Counts'!$B$8&amp;"")="","",IFERROR(TRIM(INDEX($A971:$Z971,MATCH('Counts'!$B$8,$A$1:$Z$1,0))&amp;""),""))</f>
        <v/>
      </c>
      <c r="AC971" s="41">
        <f>IF(TRIM('Counts'!$B$26&amp;"")="","",IFERROR(TRIM(INDEX($A971:$Z971,MATCH('Counts'!$B$26,$A$1:$Z$1,0))&amp;""),""))</f>
        <v/>
      </c>
      <c r="AD971" s="41">
        <f>IF(TRIM('Counts'!$B$44&amp;"")="","",IFERROR(TRIM(INDEX($A971:$Z971,MATCH('Counts'!$B$44,$A$1:$Z$1,0))&amp;""),""))</f>
        <v/>
      </c>
      <c r="AE971" s="41">
        <f>IF(TRIM('Cross-tab'!$B$5&amp;"")="","",IFERROR(TRIM(INDEX($A971:$Z971,MATCH('Cross-tab'!$B$5,$A$1:$Z$1,0))&amp;""),""))</f>
        <v/>
      </c>
      <c r="AF971" s="41">
        <f>IF(TRIM('Cross-tab'!$B$7&amp;"")="","",IFERROR(TRIM(INDEX($A971:$Z971,MATCH('Cross-tab'!$B$7,$A$1:$Z$1,0))&amp;""),""))</f>
        <v/>
      </c>
      <c r="AG971" s="41">
        <f>IF(ISNUMBER(IFERROR(VALUE(IF(TRIM('Scale score'!$B$5&amp;"")="","",IFERROR(TRIM(INDEX($A971:$Z971,MATCH('Scale score'!$B$5,$A$1:$Z$1,0))&amp;""),""))),"")),IF(AND(IFERROR(VALUE(IF(TRIM('Scale score'!$B$5&amp;"")="","",IFERROR(TRIM(INDEX($A971:$Z971,MATCH('Scale score'!$B$5,$A$1:$Z$1,0))&amp;""),""))),"")&gt;='Scale score'!$B$6,IFERROR(VALUE(IF(TRIM('Scale score'!$B$5&amp;"")="","",IFERROR(TRIM(INDEX($A971:$Z971,MATCH('Scale score'!$B$5,$A$1:$Z$1,0))&amp;""),""))),"")&lt;='Scale score'!$B$7),IFERROR(VALUE(IF(TRIM('Scale score'!$B$5&amp;"")="","",IFERROR(TRIM(INDEX($A971:$Z971,MATCH('Scale score'!$B$5,$A$1:$Z$1,0))&amp;""),""))),""),""),"")</f>
        <v/>
      </c>
      <c r="AH971" s="41">
        <f>IF(TRIM('Open answers'!$B$5&amp;"")="","",IFERROR(TRIM(INDEX($A971:$Z971,MATCH('Open answers'!$B$5,$A$1:$Z$1,0))&amp;""),""))</f>
        <v/>
      </c>
      <c r="AI971" s="41">
        <f>IF(LEN(AH971)&gt;0,MAX($AI$1:AI970)+1,"")</f>
        <v/>
      </c>
    </row>
    <row r="972">
      <c r="AA972" s="40" t="n"/>
      <c r="AB972" s="41">
        <f>IF(TRIM('Counts'!$B$8&amp;"")="","",IFERROR(TRIM(INDEX($A972:$Z972,MATCH('Counts'!$B$8,$A$1:$Z$1,0))&amp;""),""))</f>
        <v/>
      </c>
      <c r="AC972" s="41">
        <f>IF(TRIM('Counts'!$B$26&amp;"")="","",IFERROR(TRIM(INDEX($A972:$Z972,MATCH('Counts'!$B$26,$A$1:$Z$1,0))&amp;""),""))</f>
        <v/>
      </c>
      <c r="AD972" s="41">
        <f>IF(TRIM('Counts'!$B$44&amp;"")="","",IFERROR(TRIM(INDEX($A972:$Z972,MATCH('Counts'!$B$44,$A$1:$Z$1,0))&amp;""),""))</f>
        <v/>
      </c>
      <c r="AE972" s="41">
        <f>IF(TRIM('Cross-tab'!$B$5&amp;"")="","",IFERROR(TRIM(INDEX($A972:$Z972,MATCH('Cross-tab'!$B$5,$A$1:$Z$1,0))&amp;""),""))</f>
        <v/>
      </c>
      <c r="AF972" s="41">
        <f>IF(TRIM('Cross-tab'!$B$7&amp;"")="","",IFERROR(TRIM(INDEX($A972:$Z972,MATCH('Cross-tab'!$B$7,$A$1:$Z$1,0))&amp;""),""))</f>
        <v/>
      </c>
      <c r="AG972" s="41">
        <f>IF(ISNUMBER(IFERROR(VALUE(IF(TRIM('Scale score'!$B$5&amp;"")="","",IFERROR(TRIM(INDEX($A972:$Z972,MATCH('Scale score'!$B$5,$A$1:$Z$1,0))&amp;""),""))),"")),IF(AND(IFERROR(VALUE(IF(TRIM('Scale score'!$B$5&amp;"")="","",IFERROR(TRIM(INDEX($A972:$Z972,MATCH('Scale score'!$B$5,$A$1:$Z$1,0))&amp;""),""))),"")&gt;='Scale score'!$B$6,IFERROR(VALUE(IF(TRIM('Scale score'!$B$5&amp;"")="","",IFERROR(TRIM(INDEX($A972:$Z972,MATCH('Scale score'!$B$5,$A$1:$Z$1,0))&amp;""),""))),"")&lt;='Scale score'!$B$7),IFERROR(VALUE(IF(TRIM('Scale score'!$B$5&amp;"")="","",IFERROR(TRIM(INDEX($A972:$Z972,MATCH('Scale score'!$B$5,$A$1:$Z$1,0))&amp;""),""))),""),""),"")</f>
        <v/>
      </c>
      <c r="AH972" s="41">
        <f>IF(TRIM('Open answers'!$B$5&amp;"")="","",IFERROR(TRIM(INDEX($A972:$Z972,MATCH('Open answers'!$B$5,$A$1:$Z$1,0))&amp;""),""))</f>
        <v/>
      </c>
      <c r="AI972" s="41">
        <f>IF(LEN(AH972)&gt;0,MAX($AI$1:AI971)+1,"")</f>
        <v/>
      </c>
    </row>
    <row r="973">
      <c r="AA973" s="40" t="n"/>
      <c r="AB973" s="41">
        <f>IF(TRIM('Counts'!$B$8&amp;"")="","",IFERROR(TRIM(INDEX($A973:$Z973,MATCH('Counts'!$B$8,$A$1:$Z$1,0))&amp;""),""))</f>
        <v/>
      </c>
      <c r="AC973" s="41">
        <f>IF(TRIM('Counts'!$B$26&amp;"")="","",IFERROR(TRIM(INDEX($A973:$Z973,MATCH('Counts'!$B$26,$A$1:$Z$1,0))&amp;""),""))</f>
        <v/>
      </c>
      <c r="AD973" s="41">
        <f>IF(TRIM('Counts'!$B$44&amp;"")="","",IFERROR(TRIM(INDEX($A973:$Z973,MATCH('Counts'!$B$44,$A$1:$Z$1,0))&amp;""),""))</f>
        <v/>
      </c>
      <c r="AE973" s="41">
        <f>IF(TRIM('Cross-tab'!$B$5&amp;"")="","",IFERROR(TRIM(INDEX($A973:$Z973,MATCH('Cross-tab'!$B$5,$A$1:$Z$1,0))&amp;""),""))</f>
        <v/>
      </c>
      <c r="AF973" s="41">
        <f>IF(TRIM('Cross-tab'!$B$7&amp;"")="","",IFERROR(TRIM(INDEX($A973:$Z973,MATCH('Cross-tab'!$B$7,$A$1:$Z$1,0))&amp;""),""))</f>
        <v/>
      </c>
      <c r="AG973" s="41">
        <f>IF(ISNUMBER(IFERROR(VALUE(IF(TRIM('Scale score'!$B$5&amp;"")="","",IFERROR(TRIM(INDEX($A973:$Z973,MATCH('Scale score'!$B$5,$A$1:$Z$1,0))&amp;""),""))),"")),IF(AND(IFERROR(VALUE(IF(TRIM('Scale score'!$B$5&amp;"")="","",IFERROR(TRIM(INDEX($A973:$Z973,MATCH('Scale score'!$B$5,$A$1:$Z$1,0))&amp;""),""))),"")&gt;='Scale score'!$B$6,IFERROR(VALUE(IF(TRIM('Scale score'!$B$5&amp;"")="","",IFERROR(TRIM(INDEX($A973:$Z973,MATCH('Scale score'!$B$5,$A$1:$Z$1,0))&amp;""),""))),"")&lt;='Scale score'!$B$7),IFERROR(VALUE(IF(TRIM('Scale score'!$B$5&amp;"")="","",IFERROR(TRIM(INDEX($A973:$Z973,MATCH('Scale score'!$B$5,$A$1:$Z$1,0))&amp;""),""))),""),""),"")</f>
        <v/>
      </c>
      <c r="AH973" s="41">
        <f>IF(TRIM('Open answers'!$B$5&amp;"")="","",IFERROR(TRIM(INDEX($A973:$Z973,MATCH('Open answers'!$B$5,$A$1:$Z$1,0))&amp;""),""))</f>
        <v/>
      </c>
      <c r="AI973" s="41">
        <f>IF(LEN(AH973)&gt;0,MAX($AI$1:AI972)+1,"")</f>
        <v/>
      </c>
    </row>
    <row r="974">
      <c r="AA974" s="40" t="n"/>
      <c r="AB974" s="41">
        <f>IF(TRIM('Counts'!$B$8&amp;"")="","",IFERROR(TRIM(INDEX($A974:$Z974,MATCH('Counts'!$B$8,$A$1:$Z$1,0))&amp;""),""))</f>
        <v/>
      </c>
      <c r="AC974" s="41">
        <f>IF(TRIM('Counts'!$B$26&amp;"")="","",IFERROR(TRIM(INDEX($A974:$Z974,MATCH('Counts'!$B$26,$A$1:$Z$1,0))&amp;""),""))</f>
        <v/>
      </c>
      <c r="AD974" s="41">
        <f>IF(TRIM('Counts'!$B$44&amp;"")="","",IFERROR(TRIM(INDEX($A974:$Z974,MATCH('Counts'!$B$44,$A$1:$Z$1,0))&amp;""),""))</f>
        <v/>
      </c>
      <c r="AE974" s="41">
        <f>IF(TRIM('Cross-tab'!$B$5&amp;"")="","",IFERROR(TRIM(INDEX($A974:$Z974,MATCH('Cross-tab'!$B$5,$A$1:$Z$1,0))&amp;""),""))</f>
        <v/>
      </c>
      <c r="AF974" s="41">
        <f>IF(TRIM('Cross-tab'!$B$7&amp;"")="","",IFERROR(TRIM(INDEX($A974:$Z974,MATCH('Cross-tab'!$B$7,$A$1:$Z$1,0))&amp;""),""))</f>
        <v/>
      </c>
      <c r="AG974" s="41">
        <f>IF(ISNUMBER(IFERROR(VALUE(IF(TRIM('Scale score'!$B$5&amp;"")="","",IFERROR(TRIM(INDEX($A974:$Z974,MATCH('Scale score'!$B$5,$A$1:$Z$1,0))&amp;""),""))),"")),IF(AND(IFERROR(VALUE(IF(TRIM('Scale score'!$B$5&amp;"")="","",IFERROR(TRIM(INDEX($A974:$Z974,MATCH('Scale score'!$B$5,$A$1:$Z$1,0))&amp;""),""))),"")&gt;='Scale score'!$B$6,IFERROR(VALUE(IF(TRIM('Scale score'!$B$5&amp;"")="","",IFERROR(TRIM(INDEX($A974:$Z974,MATCH('Scale score'!$B$5,$A$1:$Z$1,0))&amp;""),""))),"")&lt;='Scale score'!$B$7),IFERROR(VALUE(IF(TRIM('Scale score'!$B$5&amp;"")="","",IFERROR(TRIM(INDEX($A974:$Z974,MATCH('Scale score'!$B$5,$A$1:$Z$1,0))&amp;""),""))),""),""),"")</f>
        <v/>
      </c>
      <c r="AH974" s="41">
        <f>IF(TRIM('Open answers'!$B$5&amp;"")="","",IFERROR(TRIM(INDEX($A974:$Z974,MATCH('Open answers'!$B$5,$A$1:$Z$1,0))&amp;""),""))</f>
        <v/>
      </c>
      <c r="AI974" s="41">
        <f>IF(LEN(AH974)&gt;0,MAX($AI$1:AI973)+1,"")</f>
        <v/>
      </c>
    </row>
    <row r="975">
      <c r="AA975" s="40" t="n"/>
      <c r="AB975" s="41">
        <f>IF(TRIM('Counts'!$B$8&amp;"")="","",IFERROR(TRIM(INDEX($A975:$Z975,MATCH('Counts'!$B$8,$A$1:$Z$1,0))&amp;""),""))</f>
        <v/>
      </c>
      <c r="AC975" s="41">
        <f>IF(TRIM('Counts'!$B$26&amp;"")="","",IFERROR(TRIM(INDEX($A975:$Z975,MATCH('Counts'!$B$26,$A$1:$Z$1,0))&amp;""),""))</f>
        <v/>
      </c>
      <c r="AD975" s="41">
        <f>IF(TRIM('Counts'!$B$44&amp;"")="","",IFERROR(TRIM(INDEX($A975:$Z975,MATCH('Counts'!$B$44,$A$1:$Z$1,0))&amp;""),""))</f>
        <v/>
      </c>
      <c r="AE975" s="41">
        <f>IF(TRIM('Cross-tab'!$B$5&amp;"")="","",IFERROR(TRIM(INDEX($A975:$Z975,MATCH('Cross-tab'!$B$5,$A$1:$Z$1,0))&amp;""),""))</f>
        <v/>
      </c>
      <c r="AF975" s="41">
        <f>IF(TRIM('Cross-tab'!$B$7&amp;"")="","",IFERROR(TRIM(INDEX($A975:$Z975,MATCH('Cross-tab'!$B$7,$A$1:$Z$1,0))&amp;""),""))</f>
        <v/>
      </c>
      <c r="AG975" s="41">
        <f>IF(ISNUMBER(IFERROR(VALUE(IF(TRIM('Scale score'!$B$5&amp;"")="","",IFERROR(TRIM(INDEX($A975:$Z975,MATCH('Scale score'!$B$5,$A$1:$Z$1,0))&amp;""),""))),"")),IF(AND(IFERROR(VALUE(IF(TRIM('Scale score'!$B$5&amp;"")="","",IFERROR(TRIM(INDEX($A975:$Z975,MATCH('Scale score'!$B$5,$A$1:$Z$1,0))&amp;""),""))),"")&gt;='Scale score'!$B$6,IFERROR(VALUE(IF(TRIM('Scale score'!$B$5&amp;"")="","",IFERROR(TRIM(INDEX($A975:$Z975,MATCH('Scale score'!$B$5,$A$1:$Z$1,0))&amp;""),""))),"")&lt;='Scale score'!$B$7),IFERROR(VALUE(IF(TRIM('Scale score'!$B$5&amp;"")="","",IFERROR(TRIM(INDEX($A975:$Z975,MATCH('Scale score'!$B$5,$A$1:$Z$1,0))&amp;""),""))),""),""),"")</f>
        <v/>
      </c>
      <c r="AH975" s="41">
        <f>IF(TRIM('Open answers'!$B$5&amp;"")="","",IFERROR(TRIM(INDEX($A975:$Z975,MATCH('Open answers'!$B$5,$A$1:$Z$1,0))&amp;""),""))</f>
        <v/>
      </c>
      <c r="AI975" s="41">
        <f>IF(LEN(AH975)&gt;0,MAX($AI$1:AI974)+1,"")</f>
        <v/>
      </c>
    </row>
    <row r="976">
      <c r="AA976" s="40" t="n"/>
      <c r="AB976" s="41">
        <f>IF(TRIM('Counts'!$B$8&amp;"")="","",IFERROR(TRIM(INDEX($A976:$Z976,MATCH('Counts'!$B$8,$A$1:$Z$1,0))&amp;""),""))</f>
        <v/>
      </c>
      <c r="AC976" s="41">
        <f>IF(TRIM('Counts'!$B$26&amp;"")="","",IFERROR(TRIM(INDEX($A976:$Z976,MATCH('Counts'!$B$26,$A$1:$Z$1,0))&amp;""),""))</f>
        <v/>
      </c>
      <c r="AD976" s="41">
        <f>IF(TRIM('Counts'!$B$44&amp;"")="","",IFERROR(TRIM(INDEX($A976:$Z976,MATCH('Counts'!$B$44,$A$1:$Z$1,0))&amp;""),""))</f>
        <v/>
      </c>
      <c r="AE976" s="41">
        <f>IF(TRIM('Cross-tab'!$B$5&amp;"")="","",IFERROR(TRIM(INDEX($A976:$Z976,MATCH('Cross-tab'!$B$5,$A$1:$Z$1,0))&amp;""),""))</f>
        <v/>
      </c>
      <c r="AF976" s="41">
        <f>IF(TRIM('Cross-tab'!$B$7&amp;"")="","",IFERROR(TRIM(INDEX($A976:$Z976,MATCH('Cross-tab'!$B$7,$A$1:$Z$1,0))&amp;""),""))</f>
        <v/>
      </c>
      <c r="AG976" s="41">
        <f>IF(ISNUMBER(IFERROR(VALUE(IF(TRIM('Scale score'!$B$5&amp;"")="","",IFERROR(TRIM(INDEX($A976:$Z976,MATCH('Scale score'!$B$5,$A$1:$Z$1,0))&amp;""),""))),"")),IF(AND(IFERROR(VALUE(IF(TRIM('Scale score'!$B$5&amp;"")="","",IFERROR(TRIM(INDEX($A976:$Z976,MATCH('Scale score'!$B$5,$A$1:$Z$1,0))&amp;""),""))),"")&gt;='Scale score'!$B$6,IFERROR(VALUE(IF(TRIM('Scale score'!$B$5&amp;"")="","",IFERROR(TRIM(INDEX($A976:$Z976,MATCH('Scale score'!$B$5,$A$1:$Z$1,0))&amp;""),""))),"")&lt;='Scale score'!$B$7),IFERROR(VALUE(IF(TRIM('Scale score'!$B$5&amp;"")="","",IFERROR(TRIM(INDEX($A976:$Z976,MATCH('Scale score'!$B$5,$A$1:$Z$1,0))&amp;""),""))),""),""),"")</f>
        <v/>
      </c>
      <c r="AH976" s="41">
        <f>IF(TRIM('Open answers'!$B$5&amp;"")="","",IFERROR(TRIM(INDEX($A976:$Z976,MATCH('Open answers'!$B$5,$A$1:$Z$1,0))&amp;""),""))</f>
        <v/>
      </c>
      <c r="AI976" s="41">
        <f>IF(LEN(AH976)&gt;0,MAX($AI$1:AI975)+1,"")</f>
        <v/>
      </c>
    </row>
    <row r="977">
      <c r="AA977" s="40" t="n"/>
      <c r="AB977" s="41">
        <f>IF(TRIM('Counts'!$B$8&amp;"")="","",IFERROR(TRIM(INDEX($A977:$Z977,MATCH('Counts'!$B$8,$A$1:$Z$1,0))&amp;""),""))</f>
        <v/>
      </c>
      <c r="AC977" s="41">
        <f>IF(TRIM('Counts'!$B$26&amp;"")="","",IFERROR(TRIM(INDEX($A977:$Z977,MATCH('Counts'!$B$26,$A$1:$Z$1,0))&amp;""),""))</f>
        <v/>
      </c>
      <c r="AD977" s="41">
        <f>IF(TRIM('Counts'!$B$44&amp;"")="","",IFERROR(TRIM(INDEX($A977:$Z977,MATCH('Counts'!$B$44,$A$1:$Z$1,0))&amp;""),""))</f>
        <v/>
      </c>
      <c r="AE977" s="41">
        <f>IF(TRIM('Cross-tab'!$B$5&amp;"")="","",IFERROR(TRIM(INDEX($A977:$Z977,MATCH('Cross-tab'!$B$5,$A$1:$Z$1,0))&amp;""),""))</f>
        <v/>
      </c>
      <c r="AF977" s="41">
        <f>IF(TRIM('Cross-tab'!$B$7&amp;"")="","",IFERROR(TRIM(INDEX($A977:$Z977,MATCH('Cross-tab'!$B$7,$A$1:$Z$1,0))&amp;""),""))</f>
        <v/>
      </c>
      <c r="AG977" s="41">
        <f>IF(ISNUMBER(IFERROR(VALUE(IF(TRIM('Scale score'!$B$5&amp;"")="","",IFERROR(TRIM(INDEX($A977:$Z977,MATCH('Scale score'!$B$5,$A$1:$Z$1,0))&amp;""),""))),"")),IF(AND(IFERROR(VALUE(IF(TRIM('Scale score'!$B$5&amp;"")="","",IFERROR(TRIM(INDEX($A977:$Z977,MATCH('Scale score'!$B$5,$A$1:$Z$1,0))&amp;""),""))),"")&gt;='Scale score'!$B$6,IFERROR(VALUE(IF(TRIM('Scale score'!$B$5&amp;"")="","",IFERROR(TRIM(INDEX($A977:$Z977,MATCH('Scale score'!$B$5,$A$1:$Z$1,0))&amp;""),""))),"")&lt;='Scale score'!$B$7),IFERROR(VALUE(IF(TRIM('Scale score'!$B$5&amp;"")="","",IFERROR(TRIM(INDEX($A977:$Z977,MATCH('Scale score'!$B$5,$A$1:$Z$1,0))&amp;""),""))),""),""),"")</f>
        <v/>
      </c>
      <c r="AH977" s="41">
        <f>IF(TRIM('Open answers'!$B$5&amp;"")="","",IFERROR(TRIM(INDEX($A977:$Z977,MATCH('Open answers'!$B$5,$A$1:$Z$1,0))&amp;""),""))</f>
        <v/>
      </c>
      <c r="AI977" s="41">
        <f>IF(LEN(AH977)&gt;0,MAX($AI$1:AI976)+1,"")</f>
        <v/>
      </c>
    </row>
    <row r="978">
      <c r="AA978" s="40" t="n"/>
      <c r="AB978" s="41">
        <f>IF(TRIM('Counts'!$B$8&amp;"")="","",IFERROR(TRIM(INDEX($A978:$Z978,MATCH('Counts'!$B$8,$A$1:$Z$1,0))&amp;""),""))</f>
        <v/>
      </c>
      <c r="AC978" s="41">
        <f>IF(TRIM('Counts'!$B$26&amp;"")="","",IFERROR(TRIM(INDEX($A978:$Z978,MATCH('Counts'!$B$26,$A$1:$Z$1,0))&amp;""),""))</f>
        <v/>
      </c>
      <c r="AD978" s="41">
        <f>IF(TRIM('Counts'!$B$44&amp;"")="","",IFERROR(TRIM(INDEX($A978:$Z978,MATCH('Counts'!$B$44,$A$1:$Z$1,0))&amp;""),""))</f>
        <v/>
      </c>
      <c r="AE978" s="41">
        <f>IF(TRIM('Cross-tab'!$B$5&amp;"")="","",IFERROR(TRIM(INDEX($A978:$Z978,MATCH('Cross-tab'!$B$5,$A$1:$Z$1,0))&amp;""),""))</f>
        <v/>
      </c>
      <c r="AF978" s="41">
        <f>IF(TRIM('Cross-tab'!$B$7&amp;"")="","",IFERROR(TRIM(INDEX($A978:$Z978,MATCH('Cross-tab'!$B$7,$A$1:$Z$1,0))&amp;""),""))</f>
        <v/>
      </c>
      <c r="AG978" s="41">
        <f>IF(ISNUMBER(IFERROR(VALUE(IF(TRIM('Scale score'!$B$5&amp;"")="","",IFERROR(TRIM(INDEX($A978:$Z978,MATCH('Scale score'!$B$5,$A$1:$Z$1,0))&amp;""),""))),"")),IF(AND(IFERROR(VALUE(IF(TRIM('Scale score'!$B$5&amp;"")="","",IFERROR(TRIM(INDEX($A978:$Z978,MATCH('Scale score'!$B$5,$A$1:$Z$1,0))&amp;""),""))),"")&gt;='Scale score'!$B$6,IFERROR(VALUE(IF(TRIM('Scale score'!$B$5&amp;"")="","",IFERROR(TRIM(INDEX($A978:$Z978,MATCH('Scale score'!$B$5,$A$1:$Z$1,0))&amp;""),""))),"")&lt;='Scale score'!$B$7),IFERROR(VALUE(IF(TRIM('Scale score'!$B$5&amp;"")="","",IFERROR(TRIM(INDEX($A978:$Z978,MATCH('Scale score'!$B$5,$A$1:$Z$1,0))&amp;""),""))),""),""),"")</f>
        <v/>
      </c>
      <c r="AH978" s="41">
        <f>IF(TRIM('Open answers'!$B$5&amp;"")="","",IFERROR(TRIM(INDEX($A978:$Z978,MATCH('Open answers'!$B$5,$A$1:$Z$1,0))&amp;""),""))</f>
        <v/>
      </c>
      <c r="AI978" s="41">
        <f>IF(LEN(AH978)&gt;0,MAX($AI$1:AI977)+1,"")</f>
        <v/>
      </c>
    </row>
    <row r="979">
      <c r="AA979" s="40" t="n"/>
      <c r="AB979" s="41">
        <f>IF(TRIM('Counts'!$B$8&amp;"")="","",IFERROR(TRIM(INDEX($A979:$Z979,MATCH('Counts'!$B$8,$A$1:$Z$1,0))&amp;""),""))</f>
        <v/>
      </c>
      <c r="AC979" s="41">
        <f>IF(TRIM('Counts'!$B$26&amp;"")="","",IFERROR(TRIM(INDEX($A979:$Z979,MATCH('Counts'!$B$26,$A$1:$Z$1,0))&amp;""),""))</f>
        <v/>
      </c>
      <c r="AD979" s="41">
        <f>IF(TRIM('Counts'!$B$44&amp;"")="","",IFERROR(TRIM(INDEX($A979:$Z979,MATCH('Counts'!$B$44,$A$1:$Z$1,0))&amp;""),""))</f>
        <v/>
      </c>
      <c r="AE979" s="41">
        <f>IF(TRIM('Cross-tab'!$B$5&amp;"")="","",IFERROR(TRIM(INDEX($A979:$Z979,MATCH('Cross-tab'!$B$5,$A$1:$Z$1,0))&amp;""),""))</f>
        <v/>
      </c>
      <c r="AF979" s="41">
        <f>IF(TRIM('Cross-tab'!$B$7&amp;"")="","",IFERROR(TRIM(INDEX($A979:$Z979,MATCH('Cross-tab'!$B$7,$A$1:$Z$1,0))&amp;""),""))</f>
        <v/>
      </c>
      <c r="AG979" s="41">
        <f>IF(ISNUMBER(IFERROR(VALUE(IF(TRIM('Scale score'!$B$5&amp;"")="","",IFERROR(TRIM(INDEX($A979:$Z979,MATCH('Scale score'!$B$5,$A$1:$Z$1,0))&amp;""),""))),"")),IF(AND(IFERROR(VALUE(IF(TRIM('Scale score'!$B$5&amp;"")="","",IFERROR(TRIM(INDEX($A979:$Z979,MATCH('Scale score'!$B$5,$A$1:$Z$1,0))&amp;""),""))),"")&gt;='Scale score'!$B$6,IFERROR(VALUE(IF(TRIM('Scale score'!$B$5&amp;"")="","",IFERROR(TRIM(INDEX($A979:$Z979,MATCH('Scale score'!$B$5,$A$1:$Z$1,0))&amp;""),""))),"")&lt;='Scale score'!$B$7),IFERROR(VALUE(IF(TRIM('Scale score'!$B$5&amp;"")="","",IFERROR(TRIM(INDEX($A979:$Z979,MATCH('Scale score'!$B$5,$A$1:$Z$1,0))&amp;""),""))),""),""),"")</f>
        <v/>
      </c>
      <c r="AH979" s="41">
        <f>IF(TRIM('Open answers'!$B$5&amp;"")="","",IFERROR(TRIM(INDEX($A979:$Z979,MATCH('Open answers'!$B$5,$A$1:$Z$1,0))&amp;""),""))</f>
        <v/>
      </c>
      <c r="AI979" s="41">
        <f>IF(LEN(AH979)&gt;0,MAX($AI$1:AI978)+1,"")</f>
        <v/>
      </c>
    </row>
    <row r="980">
      <c r="AA980" s="40" t="n"/>
      <c r="AB980" s="41">
        <f>IF(TRIM('Counts'!$B$8&amp;"")="","",IFERROR(TRIM(INDEX($A980:$Z980,MATCH('Counts'!$B$8,$A$1:$Z$1,0))&amp;""),""))</f>
        <v/>
      </c>
      <c r="AC980" s="41">
        <f>IF(TRIM('Counts'!$B$26&amp;"")="","",IFERROR(TRIM(INDEX($A980:$Z980,MATCH('Counts'!$B$26,$A$1:$Z$1,0))&amp;""),""))</f>
        <v/>
      </c>
      <c r="AD980" s="41">
        <f>IF(TRIM('Counts'!$B$44&amp;"")="","",IFERROR(TRIM(INDEX($A980:$Z980,MATCH('Counts'!$B$44,$A$1:$Z$1,0))&amp;""),""))</f>
        <v/>
      </c>
      <c r="AE980" s="41">
        <f>IF(TRIM('Cross-tab'!$B$5&amp;"")="","",IFERROR(TRIM(INDEX($A980:$Z980,MATCH('Cross-tab'!$B$5,$A$1:$Z$1,0))&amp;""),""))</f>
        <v/>
      </c>
      <c r="AF980" s="41">
        <f>IF(TRIM('Cross-tab'!$B$7&amp;"")="","",IFERROR(TRIM(INDEX($A980:$Z980,MATCH('Cross-tab'!$B$7,$A$1:$Z$1,0))&amp;""),""))</f>
        <v/>
      </c>
      <c r="AG980" s="41">
        <f>IF(ISNUMBER(IFERROR(VALUE(IF(TRIM('Scale score'!$B$5&amp;"")="","",IFERROR(TRIM(INDEX($A980:$Z980,MATCH('Scale score'!$B$5,$A$1:$Z$1,0))&amp;""),""))),"")),IF(AND(IFERROR(VALUE(IF(TRIM('Scale score'!$B$5&amp;"")="","",IFERROR(TRIM(INDEX($A980:$Z980,MATCH('Scale score'!$B$5,$A$1:$Z$1,0))&amp;""),""))),"")&gt;='Scale score'!$B$6,IFERROR(VALUE(IF(TRIM('Scale score'!$B$5&amp;"")="","",IFERROR(TRIM(INDEX($A980:$Z980,MATCH('Scale score'!$B$5,$A$1:$Z$1,0))&amp;""),""))),"")&lt;='Scale score'!$B$7),IFERROR(VALUE(IF(TRIM('Scale score'!$B$5&amp;"")="","",IFERROR(TRIM(INDEX($A980:$Z980,MATCH('Scale score'!$B$5,$A$1:$Z$1,0))&amp;""),""))),""),""),"")</f>
        <v/>
      </c>
      <c r="AH980" s="41">
        <f>IF(TRIM('Open answers'!$B$5&amp;"")="","",IFERROR(TRIM(INDEX($A980:$Z980,MATCH('Open answers'!$B$5,$A$1:$Z$1,0))&amp;""),""))</f>
        <v/>
      </c>
      <c r="AI980" s="41">
        <f>IF(LEN(AH980)&gt;0,MAX($AI$1:AI979)+1,"")</f>
        <v/>
      </c>
    </row>
    <row r="981">
      <c r="AA981" s="40" t="n"/>
      <c r="AB981" s="41">
        <f>IF(TRIM('Counts'!$B$8&amp;"")="","",IFERROR(TRIM(INDEX($A981:$Z981,MATCH('Counts'!$B$8,$A$1:$Z$1,0))&amp;""),""))</f>
        <v/>
      </c>
      <c r="AC981" s="41">
        <f>IF(TRIM('Counts'!$B$26&amp;"")="","",IFERROR(TRIM(INDEX($A981:$Z981,MATCH('Counts'!$B$26,$A$1:$Z$1,0))&amp;""),""))</f>
        <v/>
      </c>
      <c r="AD981" s="41">
        <f>IF(TRIM('Counts'!$B$44&amp;"")="","",IFERROR(TRIM(INDEX($A981:$Z981,MATCH('Counts'!$B$44,$A$1:$Z$1,0))&amp;""),""))</f>
        <v/>
      </c>
      <c r="AE981" s="41">
        <f>IF(TRIM('Cross-tab'!$B$5&amp;"")="","",IFERROR(TRIM(INDEX($A981:$Z981,MATCH('Cross-tab'!$B$5,$A$1:$Z$1,0))&amp;""),""))</f>
        <v/>
      </c>
      <c r="AF981" s="41">
        <f>IF(TRIM('Cross-tab'!$B$7&amp;"")="","",IFERROR(TRIM(INDEX($A981:$Z981,MATCH('Cross-tab'!$B$7,$A$1:$Z$1,0))&amp;""),""))</f>
        <v/>
      </c>
      <c r="AG981" s="41">
        <f>IF(ISNUMBER(IFERROR(VALUE(IF(TRIM('Scale score'!$B$5&amp;"")="","",IFERROR(TRIM(INDEX($A981:$Z981,MATCH('Scale score'!$B$5,$A$1:$Z$1,0))&amp;""),""))),"")),IF(AND(IFERROR(VALUE(IF(TRIM('Scale score'!$B$5&amp;"")="","",IFERROR(TRIM(INDEX($A981:$Z981,MATCH('Scale score'!$B$5,$A$1:$Z$1,0))&amp;""),""))),"")&gt;='Scale score'!$B$6,IFERROR(VALUE(IF(TRIM('Scale score'!$B$5&amp;"")="","",IFERROR(TRIM(INDEX($A981:$Z981,MATCH('Scale score'!$B$5,$A$1:$Z$1,0))&amp;""),""))),"")&lt;='Scale score'!$B$7),IFERROR(VALUE(IF(TRIM('Scale score'!$B$5&amp;"")="","",IFERROR(TRIM(INDEX($A981:$Z981,MATCH('Scale score'!$B$5,$A$1:$Z$1,0))&amp;""),""))),""),""),"")</f>
        <v/>
      </c>
      <c r="AH981" s="41">
        <f>IF(TRIM('Open answers'!$B$5&amp;"")="","",IFERROR(TRIM(INDEX($A981:$Z981,MATCH('Open answers'!$B$5,$A$1:$Z$1,0))&amp;""),""))</f>
        <v/>
      </c>
      <c r="AI981" s="41">
        <f>IF(LEN(AH981)&gt;0,MAX($AI$1:AI980)+1,"")</f>
        <v/>
      </c>
    </row>
    <row r="982">
      <c r="AA982" s="40" t="n"/>
      <c r="AB982" s="41">
        <f>IF(TRIM('Counts'!$B$8&amp;"")="","",IFERROR(TRIM(INDEX($A982:$Z982,MATCH('Counts'!$B$8,$A$1:$Z$1,0))&amp;""),""))</f>
        <v/>
      </c>
      <c r="AC982" s="41">
        <f>IF(TRIM('Counts'!$B$26&amp;"")="","",IFERROR(TRIM(INDEX($A982:$Z982,MATCH('Counts'!$B$26,$A$1:$Z$1,0))&amp;""),""))</f>
        <v/>
      </c>
      <c r="AD982" s="41">
        <f>IF(TRIM('Counts'!$B$44&amp;"")="","",IFERROR(TRIM(INDEX($A982:$Z982,MATCH('Counts'!$B$44,$A$1:$Z$1,0))&amp;""),""))</f>
        <v/>
      </c>
      <c r="AE982" s="41">
        <f>IF(TRIM('Cross-tab'!$B$5&amp;"")="","",IFERROR(TRIM(INDEX($A982:$Z982,MATCH('Cross-tab'!$B$5,$A$1:$Z$1,0))&amp;""),""))</f>
        <v/>
      </c>
      <c r="AF982" s="41">
        <f>IF(TRIM('Cross-tab'!$B$7&amp;"")="","",IFERROR(TRIM(INDEX($A982:$Z982,MATCH('Cross-tab'!$B$7,$A$1:$Z$1,0))&amp;""),""))</f>
        <v/>
      </c>
      <c r="AG982" s="41">
        <f>IF(ISNUMBER(IFERROR(VALUE(IF(TRIM('Scale score'!$B$5&amp;"")="","",IFERROR(TRIM(INDEX($A982:$Z982,MATCH('Scale score'!$B$5,$A$1:$Z$1,0))&amp;""),""))),"")),IF(AND(IFERROR(VALUE(IF(TRIM('Scale score'!$B$5&amp;"")="","",IFERROR(TRIM(INDEX($A982:$Z982,MATCH('Scale score'!$B$5,$A$1:$Z$1,0))&amp;""),""))),"")&gt;='Scale score'!$B$6,IFERROR(VALUE(IF(TRIM('Scale score'!$B$5&amp;"")="","",IFERROR(TRIM(INDEX($A982:$Z982,MATCH('Scale score'!$B$5,$A$1:$Z$1,0))&amp;""),""))),"")&lt;='Scale score'!$B$7),IFERROR(VALUE(IF(TRIM('Scale score'!$B$5&amp;"")="","",IFERROR(TRIM(INDEX($A982:$Z982,MATCH('Scale score'!$B$5,$A$1:$Z$1,0))&amp;""),""))),""),""),"")</f>
        <v/>
      </c>
      <c r="AH982" s="41">
        <f>IF(TRIM('Open answers'!$B$5&amp;"")="","",IFERROR(TRIM(INDEX($A982:$Z982,MATCH('Open answers'!$B$5,$A$1:$Z$1,0))&amp;""),""))</f>
        <v/>
      </c>
      <c r="AI982" s="41">
        <f>IF(LEN(AH982)&gt;0,MAX($AI$1:AI981)+1,"")</f>
        <v/>
      </c>
    </row>
    <row r="983">
      <c r="AA983" s="40" t="n"/>
      <c r="AB983" s="41">
        <f>IF(TRIM('Counts'!$B$8&amp;"")="","",IFERROR(TRIM(INDEX($A983:$Z983,MATCH('Counts'!$B$8,$A$1:$Z$1,0))&amp;""),""))</f>
        <v/>
      </c>
      <c r="AC983" s="41">
        <f>IF(TRIM('Counts'!$B$26&amp;"")="","",IFERROR(TRIM(INDEX($A983:$Z983,MATCH('Counts'!$B$26,$A$1:$Z$1,0))&amp;""),""))</f>
        <v/>
      </c>
      <c r="AD983" s="41">
        <f>IF(TRIM('Counts'!$B$44&amp;"")="","",IFERROR(TRIM(INDEX($A983:$Z983,MATCH('Counts'!$B$44,$A$1:$Z$1,0))&amp;""),""))</f>
        <v/>
      </c>
      <c r="AE983" s="41">
        <f>IF(TRIM('Cross-tab'!$B$5&amp;"")="","",IFERROR(TRIM(INDEX($A983:$Z983,MATCH('Cross-tab'!$B$5,$A$1:$Z$1,0))&amp;""),""))</f>
        <v/>
      </c>
      <c r="AF983" s="41">
        <f>IF(TRIM('Cross-tab'!$B$7&amp;"")="","",IFERROR(TRIM(INDEX($A983:$Z983,MATCH('Cross-tab'!$B$7,$A$1:$Z$1,0))&amp;""),""))</f>
        <v/>
      </c>
      <c r="AG983" s="41">
        <f>IF(ISNUMBER(IFERROR(VALUE(IF(TRIM('Scale score'!$B$5&amp;"")="","",IFERROR(TRIM(INDEX($A983:$Z983,MATCH('Scale score'!$B$5,$A$1:$Z$1,0))&amp;""),""))),"")),IF(AND(IFERROR(VALUE(IF(TRIM('Scale score'!$B$5&amp;"")="","",IFERROR(TRIM(INDEX($A983:$Z983,MATCH('Scale score'!$B$5,$A$1:$Z$1,0))&amp;""),""))),"")&gt;='Scale score'!$B$6,IFERROR(VALUE(IF(TRIM('Scale score'!$B$5&amp;"")="","",IFERROR(TRIM(INDEX($A983:$Z983,MATCH('Scale score'!$B$5,$A$1:$Z$1,0))&amp;""),""))),"")&lt;='Scale score'!$B$7),IFERROR(VALUE(IF(TRIM('Scale score'!$B$5&amp;"")="","",IFERROR(TRIM(INDEX($A983:$Z983,MATCH('Scale score'!$B$5,$A$1:$Z$1,0))&amp;""),""))),""),""),"")</f>
        <v/>
      </c>
      <c r="AH983" s="41">
        <f>IF(TRIM('Open answers'!$B$5&amp;"")="","",IFERROR(TRIM(INDEX($A983:$Z983,MATCH('Open answers'!$B$5,$A$1:$Z$1,0))&amp;""),""))</f>
        <v/>
      </c>
      <c r="AI983" s="41">
        <f>IF(LEN(AH983)&gt;0,MAX($AI$1:AI982)+1,"")</f>
        <v/>
      </c>
    </row>
    <row r="984">
      <c r="AA984" s="40" t="n"/>
      <c r="AB984" s="41">
        <f>IF(TRIM('Counts'!$B$8&amp;"")="","",IFERROR(TRIM(INDEX($A984:$Z984,MATCH('Counts'!$B$8,$A$1:$Z$1,0))&amp;""),""))</f>
        <v/>
      </c>
      <c r="AC984" s="41">
        <f>IF(TRIM('Counts'!$B$26&amp;"")="","",IFERROR(TRIM(INDEX($A984:$Z984,MATCH('Counts'!$B$26,$A$1:$Z$1,0))&amp;""),""))</f>
        <v/>
      </c>
      <c r="AD984" s="41">
        <f>IF(TRIM('Counts'!$B$44&amp;"")="","",IFERROR(TRIM(INDEX($A984:$Z984,MATCH('Counts'!$B$44,$A$1:$Z$1,0))&amp;""),""))</f>
        <v/>
      </c>
      <c r="AE984" s="41">
        <f>IF(TRIM('Cross-tab'!$B$5&amp;"")="","",IFERROR(TRIM(INDEX($A984:$Z984,MATCH('Cross-tab'!$B$5,$A$1:$Z$1,0))&amp;""),""))</f>
        <v/>
      </c>
      <c r="AF984" s="41">
        <f>IF(TRIM('Cross-tab'!$B$7&amp;"")="","",IFERROR(TRIM(INDEX($A984:$Z984,MATCH('Cross-tab'!$B$7,$A$1:$Z$1,0))&amp;""),""))</f>
        <v/>
      </c>
      <c r="AG984" s="41">
        <f>IF(ISNUMBER(IFERROR(VALUE(IF(TRIM('Scale score'!$B$5&amp;"")="","",IFERROR(TRIM(INDEX($A984:$Z984,MATCH('Scale score'!$B$5,$A$1:$Z$1,0))&amp;""),""))),"")),IF(AND(IFERROR(VALUE(IF(TRIM('Scale score'!$B$5&amp;"")="","",IFERROR(TRIM(INDEX($A984:$Z984,MATCH('Scale score'!$B$5,$A$1:$Z$1,0))&amp;""),""))),"")&gt;='Scale score'!$B$6,IFERROR(VALUE(IF(TRIM('Scale score'!$B$5&amp;"")="","",IFERROR(TRIM(INDEX($A984:$Z984,MATCH('Scale score'!$B$5,$A$1:$Z$1,0))&amp;""),""))),"")&lt;='Scale score'!$B$7),IFERROR(VALUE(IF(TRIM('Scale score'!$B$5&amp;"")="","",IFERROR(TRIM(INDEX($A984:$Z984,MATCH('Scale score'!$B$5,$A$1:$Z$1,0))&amp;""),""))),""),""),"")</f>
        <v/>
      </c>
      <c r="AH984" s="41">
        <f>IF(TRIM('Open answers'!$B$5&amp;"")="","",IFERROR(TRIM(INDEX($A984:$Z984,MATCH('Open answers'!$B$5,$A$1:$Z$1,0))&amp;""),""))</f>
        <v/>
      </c>
      <c r="AI984" s="41">
        <f>IF(LEN(AH984)&gt;0,MAX($AI$1:AI983)+1,"")</f>
        <v/>
      </c>
    </row>
    <row r="985">
      <c r="AA985" s="40" t="n"/>
      <c r="AB985" s="41">
        <f>IF(TRIM('Counts'!$B$8&amp;"")="","",IFERROR(TRIM(INDEX($A985:$Z985,MATCH('Counts'!$B$8,$A$1:$Z$1,0))&amp;""),""))</f>
        <v/>
      </c>
      <c r="AC985" s="41">
        <f>IF(TRIM('Counts'!$B$26&amp;"")="","",IFERROR(TRIM(INDEX($A985:$Z985,MATCH('Counts'!$B$26,$A$1:$Z$1,0))&amp;""),""))</f>
        <v/>
      </c>
      <c r="AD985" s="41">
        <f>IF(TRIM('Counts'!$B$44&amp;"")="","",IFERROR(TRIM(INDEX($A985:$Z985,MATCH('Counts'!$B$44,$A$1:$Z$1,0))&amp;""),""))</f>
        <v/>
      </c>
      <c r="AE985" s="41">
        <f>IF(TRIM('Cross-tab'!$B$5&amp;"")="","",IFERROR(TRIM(INDEX($A985:$Z985,MATCH('Cross-tab'!$B$5,$A$1:$Z$1,0))&amp;""),""))</f>
        <v/>
      </c>
      <c r="AF985" s="41">
        <f>IF(TRIM('Cross-tab'!$B$7&amp;"")="","",IFERROR(TRIM(INDEX($A985:$Z985,MATCH('Cross-tab'!$B$7,$A$1:$Z$1,0))&amp;""),""))</f>
        <v/>
      </c>
      <c r="AG985" s="41">
        <f>IF(ISNUMBER(IFERROR(VALUE(IF(TRIM('Scale score'!$B$5&amp;"")="","",IFERROR(TRIM(INDEX($A985:$Z985,MATCH('Scale score'!$B$5,$A$1:$Z$1,0))&amp;""),""))),"")),IF(AND(IFERROR(VALUE(IF(TRIM('Scale score'!$B$5&amp;"")="","",IFERROR(TRIM(INDEX($A985:$Z985,MATCH('Scale score'!$B$5,$A$1:$Z$1,0))&amp;""),""))),"")&gt;='Scale score'!$B$6,IFERROR(VALUE(IF(TRIM('Scale score'!$B$5&amp;"")="","",IFERROR(TRIM(INDEX($A985:$Z985,MATCH('Scale score'!$B$5,$A$1:$Z$1,0))&amp;""),""))),"")&lt;='Scale score'!$B$7),IFERROR(VALUE(IF(TRIM('Scale score'!$B$5&amp;"")="","",IFERROR(TRIM(INDEX($A985:$Z985,MATCH('Scale score'!$B$5,$A$1:$Z$1,0))&amp;""),""))),""),""),"")</f>
        <v/>
      </c>
      <c r="AH985" s="41">
        <f>IF(TRIM('Open answers'!$B$5&amp;"")="","",IFERROR(TRIM(INDEX($A985:$Z985,MATCH('Open answers'!$B$5,$A$1:$Z$1,0))&amp;""),""))</f>
        <v/>
      </c>
      <c r="AI985" s="41">
        <f>IF(LEN(AH985)&gt;0,MAX($AI$1:AI984)+1,"")</f>
        <v/>
      </c>
    </row>
    <row r="986">
      <c r="AA986" s="40" t="n"/>
      <c r="AB986" s="41">
        <f>IF(TRIM('Counts'!$B$8&amp;"")="","",IFERROR(TRIM(INDEX($A986:$Z986,MATCH('Counts'!$B$8,$A$1:$Z$1,0))&amp;""),""))</f>
        <v/>
      </c>
      <c r="AC986" s="41">
        <f>IF(TRIM('Counts'!$B$26&amp;"")="","",IFERROR(TRIM(INDEX($A986:$Z986,MATCH('Counts'!$B$26,$A$1:$Z$1,0))&amp;""),""))</f>
        <v/>
      </c>
      <c r="AD986" s="41">
        <f>IF(TRIM('Counts'!$B$44&amp;"")="","",IFERROR(TRIM(INDEX($A986:$Z986,MATCH('Counts'!$B$44,$A$1:$Z$1,0))&amp;""),""))</f>
        <v/>
      </c>
      <c r="AE986" s="41">
        <f>IF(TRIM('Cross-tab'!$B$5&amp;"")="","",IFERROR(TRIM(INDEX($A986:$Z986,MATCH('Cross-tab'!$B$5,$A$1:$Z$1,0))&amp;""),""))</f>
        <v/>
      </c>
      <c r="AF986" s="41">
        <f>IF(TRIM('Cross-tab'!$B$7&amp;"")="","",IFERROR(TRIM(INDEX($A986:$Z986,MATCH('Cross-tab'!$B$7,$A$1:$Z$1,0))&amp;""),""))</f>
        <v/>
      </c>
      <c r="AG986" s="41">
        <f>IF(ISNUMBER(IFERROR(VALUE(IF(TRIM('Scale score'!$B$5&amp;"")="","",IFERROR(TRIM(INDEX($A986:$Z986,MATCH('Scale score'!$B$5,$A$1:$Z$1,0))&amp;""),""))),"")),IF(AND(IFERROR(VALUE(IF(TRIM('Scale score'!$B$5&amp;"")="","",IFERROR(TRIM(INDEX($A986:$Z986,MATCH('Scale score'!$B$5,$A$1:$Z$1,0))&amp;""),""))),"")&gt;='Scale score'!$B$6,IFERROR(VALUE(IF(TRIM('Scale score'!$B$5&amp;"")="","",IFERROR(TRIM(INDEX($A986:$Z986,MATCH('Scale score'!$B$5,$A$1:$Z$1,0))&amp;""),""))),"")&lt;='Scale score'!$B$7),IFERROR(VALUE(IF(TRIM('Scale score'!$B$5&amp;"")="","",IFERROR(TRIM(INDEX($A986:$Z986,MATCH('Scale score'!$B$5,$A$1:$Z$1,0))&amp;""),""))),""),""),"")</f>
        <v/>
      </c>
      <c r="AH986" s="41">
        <f>IF(TRIM('Open answers'!$B$5&amp;"")="","",IFERROR(TRIM(INDEX($A986:$Z986,MATCH('Open answers'!$B$5,$A$1:$Z$1,0))&amp;""),""))</f>
        <v/>
      </c>
      <c r="AI986" s="41">
        <f>IF(LEN(AH986)&gt;0,MAX($AI$1:AI985)+1,"")</f>
        <v/>
      </c>
    </row>
    <row r="987">
      <c r="AA987" s="40" t="n"/>
      <c r="AB987" s="41">
        <f>IF(TRIM('Counts'!$B$8&amp;"")="","",IFERROR(TRIM(INDEX($A987:$Z987,MATCH('Counts'!$B$8,$A$1:$Z$1,0))&amp;""),""))</f>
        <v/>
      </c>
      <c r="AC987" s="41">
        <f>IF(TRIM('Counts'!$B$26&amp;"")="","",IFERROR(TRIM(INDEX($A987:$Z987,MATCH('Counts'!$B$26,$A$1:$Z$1,0))&amp;""),""))</f>
        <v/>
      </c>
      <c r="AD987" s="41">
        <f>IF(TRIM('Counts'!$B$44&amp;"")="","",IFERROR(TRIM(INDEX($A987:$Z987,MATCH('Counts'!$B$44,$A$1:$Z$1,0))&amp;""),""))</f>
        <v/>
      </c>
      <c r="AE987" s="41">
        <f>IF(TRIM('Cross-tab'!$B$5&amp;"")="","",IFERROR(TRIM(INDEX($A987:$Z987,MATCH('Cross-tab'!$B$5,$A$1:$Z$1,0))&amp;""),""))</f>
        <v/>
      </c>
      <c r="AF987" s="41">
        <f>IF(TRIM('Cross-tab'!$B$7&amp;"")="","",IFERROR(TRIM(INDEX($A987:$Z987,MATCH('Cross-tab'!$B$7,$A$1:$Z$1,0))&amp;""),""))</f>
        <v/>
      </c>
      <c r="AG987" s="41">
        <f>IF(ISNUMBER(IFERROR(VALUE(IF(TRIM('Scale score'!$B$5&amp;"")="","",IFERROR(TRIM(INDEX($A987:$Z987,MATCH('Scale score'!$B$5,$A$1:$Z$1,0))&amp;""),""))),"")),IF(AND(IFERROR(VALUE(IF(TRIM('Scale score'!$B$5&amp;"")="","",IFERROR(TRIM(INDEX($A987:$Z987,MATCH('Scale score'!$B$5,$A$1:$Z$1,0))&amp;""),""))),"")&gt;='Scale score'!$B$6,IFERROR(VALUE(IF(TRIM('Scale score'!$B$5&amp;"")="","",IFERROR(TRIM(INDEX($A987:$Z987,MATCH('Scale score'!$B$5,$A$1:$Z$1,0))&amp;""),""))),"")&lt;='Scale score'!$B$7),IFERROR(VALUE(IF(TRIM('Scale score'!$B$5&amp;"")="","",IFERROR(TRIM(INDEX($A987:$Z987,MATCH('Scale score'!$B$5,$A$1:$Z$1,0))&amp;""),""))),""),""),"")</f>
        <v/>
      </c>
      <c r="AH987" s="41">
        <f>IF(TRIM('Open answers'!$B$5&amp;"")="","",IFERROR(TRIM(INDEX($A987:$Z987,MATCH('Open answers'!$B$5,$A$1:$Z$1,0))&amp;""),""))</f>
        <v/>
      </c>
      <c r="AI987" s="41">
        <f>IF(LEN(AH987)&gt;0,MAX($AI$1:AI986)+1,"")</f>
        <v/>
      </c>
    </row>
    <row r="988">
      <c r="AA988" s="40" t="n"/>
      <c r="AB988" s="41">
        <f>IF(TRIM('Counts'!$B$8&amp;"")="","",IFERROR(TRIM(INDEX($A988:$Z988,MATCH('Counts'!$B$8,$A$1:$Z$1,0))&amp;""),""))</f>
        <v/>
      </c>
      <c r="AC988" s="41">
        <f>IF(TRIM('Counts'!$B$26&amp;"")="","",IFERROR(TRIM(INDEX($A988:$Z988,MATCH('Counts'!$B$26,$A$1:$Z$1,0))&amp;""),""))</f>
        <v/>
      </c>
      <c r="AD988" s="41">
        <f>IF(TRIM('Counts'!$B$44&amp;"")="","",IFERROR(TRIM(INDEX($A988:$Z988,MATCH('Counts'!$B$44,$A$1:$Z$1,0))&amp;""),""))</f>
        <v/>
      </c>
      <c r="AE988" s="41">
        <f>IF(TRIM('Cross-tab'!$B$5&amp;"")="","",IFERROR(TRIM(INDEX($A988:$Z988,MATCH('Cross-tab'!$B$5,$A$1:$Z$1,0))&amp;""),""))</f>
        <v/>
      </c>
      <c r="AF988" s="41">
        <f>IF(TRIM('Cross-tab'!$B$7&amp;"")="","",IFERROR(TRIM(INDEX($A988:$Z988,MATCH('Cross-tab'!$B$7,$A$1:$Z$1,0))&amp;""),""))</f>
        <v/>
      </c>
      <c r="AG988" s="41">
        <f>IF(ISNUMBER(IFERROR(VALUE(IF(TRIM('Scale score'!$B$5&amp;"")="","",IFERROR(TRIM(INDEX($A988:$Z988,MATCH('Scale score'!$B$5,$A$1:$Z$1,0))&amp;""),""))),"")),IF(AND(IFERROR(VALUE(IF(TRIM('Scale score'!$B$5&amp;"")="","",IFERROR(TRIM(INDEX($A988:$Z988,MATCH('Scale score'!$B$5,$A$1:$Z$1,0))&amp;""),""))),"")&gt;='Scale score'!$B$6,IFERROR(VALUE(IF(TRIM('Scale score'!$B$5&amp;"")="","",IFERROR(TRIM(INDEX($A988:$Z988,MATCH('Scale score'!$B$5,$A$1:$Z$1,0))&amp;""),""))),"")&lt;='Scale score'!$B$7),IFERROR(VALUE(IF(TRIM('Scale score'!$B$5&amp;"")="","",IFERROR(TRIM(INDEX($A988:$Z988,MATCH('Scale score'!$B$5,$A$1:$Z$1,0))&amp;""),""))),""),""),"")</f>
        <v/>
      </c>
      <c r="AH988" s="41">
        <f>IF(TRIM('Open answers'!$B$5&amp;"")="","",IFERROR(TRIM(INDEX($A988:$Z988,MATCH('Open answers'!$B$5,$A$1:$Z$1,0))&amp;""),""))</f>
        <v/>
      </c>
      <c r="AI988" s="41">
        <f>IF(LEN(AH988)&gt;0,MAX($AI$1:AI987)+1,"")</f>
        <v/>
      </c>
    </row>
    <row r="989">
      <c r="AA989" s="40" t="n"/>
      <c r="AB989" s="41">
        <f>IF(TRIM('Counts'!$B$8&amp;"")="","",IFERROR(TRIM(INDEX($A989:$Z989,MATCH('Counts'!$B$8,$A$1:$Z$1,0))&amp;""),""))</f>
        <v/>
      </c>
      <c r="AC989" s="41">
        <f>IF(TRIM('Counts'!$B$26&amp;"")="","",IFERROR(TRIM(INDEX($A989:$Z989,MATCH('Counts'!$B$26,$A$1:$Z$1,0))&amp;""),""))</f>
        <v/>
      </c>
      <c r="AD989" s="41">
        <f>IF(TRIM('Counts'!$B$44&amp;"")="","",IFERROR(TRIM(INDEX($A989:$Z989,MATCH('Counts'!$B$44,$A$1:$Z$1,0))&amp;""),""))</f>
        <v/>
      </c>
      <c r="AE989" s="41">
        <f>IF(TRIM('Cross-tab'!$B$5&amp;"")="","",IFERROR(TRIM(INDEX($A989:$Z989,MATCH('Cross-tab'!$B$5,$A$1:$Z$1,0))&amp;""),""))</f>
        <v/>
      </c>
      <c r="AF989" s="41">
        <f>IF(TRIM('Cross-tab'!$B$7&amp;"")="","",IFERROR(TRIM(INDEX($A989:$Z989,MATCH('Cross-tab'!$B$7,$A$1:$Z$1,0))&amp;""),""))</f>
        <v/>
      </c>
      <c r="AG989" s="41">
        <f>IF(ISNUMBER(IFERROR(VALUE(IF(TRIM('Scale score'!$B$5&amp;"")="","",IFERROR(TRIM(INDEX($A989:$Z989,MATCH('Scale score'!$B$5,$A$1:$Z$1,0))&amp;""),""))),"")),IF(AND(IFERROR(VALUE(IF(TRIM('Scale score'!$B$5&amp;"")="","",IFERROR(TRIM(INDEX($A989:$Z989,MATCH('Scale score'!$B$5,$A$1:$Z$1,0))&amp;""),""))),"")&gt;='Scale score'!$B$6,IFERROR(VALUE(IF(TRIM('Scale score'!$B$5&amp;"")="","",IFERROR(TRIM(INDEX($A989:$Z989,MATCH('Scale score'!$B$5,$A$1:$Z$1,0))&amp;""),""))),"")&lt;='Scale score'!$B$7),IFERROR(VALUE(IF(TRIM('Scale score'!$B$5&amp;"")="","",IFERROR(TRIM(INDEX($A989:$Z989,MATCH('Scale score'!$B$5,$A$1:$Z$1,0))&amp;""),""))),""),""),"")</f>
        <v/>
      </c>
      <c r="AH989" s="41">
        <f>IF(TRIM('Open answers'!$B$5&amp;"")="","",IFERROR(TRIM(INDEX($A989:$Z989,MATCH('Open answers'!$B$5,$A$1:$Z$1,0))&amp;""),""))</f>
        <v/>
      </c>
      <c r="AI989" s="41">
        <f>IF(LEN(AH989)&gt;0,MAX($AI$1:AI988)+1,"")</f>
        <v/>
      </c>
    </row>
    <row r="990">
      <c r="AA990" s="40" t="n"/>
      <c r="AB990" s="41">
        <f>IF(TRIM('Counts'!$B$8&amp;"")="","",IFERROR(TRIM(INDEX($A990:$Z990,MATCH('Counts'!$B$8,$A$1:$Z$1,0))&amp;""),""))</f>
        <v/>
      </c>
      <c r="AC990" s="41">
        <f>IF(TRIM('Counts'!$B$26&amp;"")="","",IFERROR(TRIM(INDEX($A990:$Z990,MATCH('Counts'!$B$26,$A$1:$Z$1,0))&amp;""),""))</f>
        <v/>
      </c>
      <c r="AD990" s="41">
        <f>IF(TRIM('Counts'!$B$44&amp;"")="","",IFERROR(TRIM(INDEX($A990:$Z990,MATCH('Counts'!$B$44,$A$1:$Z$1,0))&amp;""),""))</f>
        <v/>
      </c>
      <c r="AE990" s="41">
        <f>IF(TRIM('Cross-tab'!$B$5&amp;"")="","",IFERROR(TRIM(INDEX($A990:$Z990,MATCH('Cross-tab'!$B$5,$A$1:$Z$1,0))&amp;""),""))</f>
        <v/>
      </c>
      <c r="AF990" s="41">
        <f>IF(TRIM('Cross-tab'!$B$7&amp;"")="","",IFERROR(TRIM(INDEX($A990:$Z990,MATCH('Cross-tab'!$B$7,$A$1:$Z$1,0))&amp;""),""))</f>
        <v/>
      </c>
      <c r="AG990" s="41">
        <f>IF(ISNUMBER(IFERROR(VALUE(IF(TRIM('Scale score'!$B$5&amp;"")="","",IFERROR(TRIM(INDEX($A990:$Z990,MATCH('Scale score'!$B$5,$A$1:$Z$1,0))&amp;""),""))),"")),IF(AND(IFERROR(VALUE(IF(TRIM('Scale score'!$B$5&amp;"")="","",IFERROR(TRIM(INDEX($A990:$Z990,MATCH('Scale score'!$B$5,$A$1:$Z$1,0))&amp;""),""))),"")&gt;='Scale score'!$B$6,IFERROR(VALUE(IF(TRIM('Scale score'!$B$5&amp;"")="","",IFERROR(TRIM(INDEX($A990:$Z990,MATCH('Scale score'!$B$5,$A$1:$Z$1,0))&amp;""),""))),"")&lt;='Scale score'!$B$7),IFERROR(VALUE(IF(TRIM('Scale score'!$B$5&amp;"")="","",IFERROR(TRIM(INDEX($A990:$Z990,MATCH('Scale score'!$B$5,$A$1:$Z$1,0))&amp;""),""))),""),""),"")</f>
        <v/>
      </c>
      <c r="AH990" s="41">
        <f>IF(TRIM('Open answers'!$B$5&amp;"")="","",IFERROR(TRIM(INDEX($A990:$Z990,MATCH('Open answers'!$B$5,$A$1:$Z$1,0))&amp;""),""))</f>
        <v/>
      </c>
      <c r="AI990" s="41">
        <f>IF(LEN(AH990)&gt;0,MAX($AI$1:AI989)+1,"")</f>
        <v/>
      </c>
    </row>
    <row r="991">
      <c r="AA991" s="40" t="n"/>
      <c r="AB991" s="41">
        <f>IF(TRIM('Counts'!$B$8&amp;"")="","",IFERROR(TRIM(INDEX($A991:$Z991,MATCH('Counts'!$B$8,$A$1:$Z$1,0))&amp;""),""))</f>
        <v/>
      </c>
      <c r="AC991" s="41">
        <f>IF(TRIM('Counts'!$B$26&amp;"")="","",IFERROR(TRIM(INDEX($A991:$Z991,MATCH('Counts'!$B$26,$A$1:$Z$1,0))&amp;""),""))</f>
        <v/>
      </c>
      <c r="AD991" s="41">
        <f>IF(TRIM('Counts'!$B$44&amp;"")="","",IFERROR(TRIM(INDEX($A991:$Z991,MATCH('Counts'!$B$44,$A$1:$Z$1,0))&amp;""),""))</f>
        <v/>
      </c>
      <c r="AE991" s="41">
        <f>IF(TRIM('Cross-tab'!$B$5&amp;"")="","",IFERROR(TRIM(INDEX($A991:$Z991,MATCH('Cross-tab'!$B$5,$A$1:$Z$1,0))&amp;""),""))</f>
        <v/>
      </c>
      <c r="AF991" s="41">
        <f>IF(TRIM('Cross-tab'!$B$7&amp;"")="","",IFERROR(TRIM(INDEX($A991:$Z991,MATCH('Cross-tab'!$B$7,$A$1:$Z$1,0))&amp;""),""))</f>
        <v/>
      </c>
      <c r="AG991" s="41">
        <f>IF(ISNUMBER(IFERROR(VALUE(IF(TRIM('Scale score'!$B$5&amp;"")="","",IFERROR(TRIM(INDEX($A991:$Z991,MATCH('Scale score'!$B$5,$A$1:$Z$1,0))&amp;""),""))),"")),IF(AND(IFERROR(VALUE(IF(TRIM('Scale score'!$B$5&amp;"")="","",IFERROR(TRIM(INDEX($A991:$Z991,MATCH('Scale score'!$B$5,$A$1:$Z$1,0))&amp;""),""))),"")&gt;='Scale score'!$B$6,IFERROR(VALUE(IF(TRIM('Scale score'!$B$5&amp;"")="","",IFERROR(TRIM(INDEX($A991:$Z991,MATCH('Scale score'!$B$5,$A$1:$Z$1,0))&amp;""),""))),"")&lt;='Scale score'!$B$7),IFERROR(VALUE(IF(TRIM('Scale score'!$B$5&amp;"")="","",IFERROR(TRIM(INDEX($A991:$Z991,MATCH('Scale score'!$B$5,$A$1:$Z$1,0))&amp;""),""))),""),""),"")</f>
        <v/>
      </c>
      <c r="AH991" s="41">
        <f>IF(TRIM('Open answers'!$B$5&amp;"")="","",IFERROR(TRIM(INDEX($A991:$Z991,MATCH('Open answers'!$B$5,$A$1:$Z$1,0))&amp;""),""))</f>
        <v/>
      </c>
      <c r="AI991" s="41">
        <f>IF(LEN(AH991)&gt;0,MAX($AI$1:AI990)+1,"")</f>
        <v/>
      </c>
    </row>
    <row r="992">
      <c r="AA992" s="40" t="n"/>
      <c r="AB992" s="41">
        <f>IF(TRIM('Counts'!$B$8&amp;"")="","",IFERROR(TRIM(INDEX($A992:$Z992,MATCH('Counts'!$B$8,$A$1:$Z$1,0))&amp;""),""))</f>
        <v/>
      </c>
      <c r="AC992" s="41">
        <f>IF(TRIM('Counts'!$B$26&amp;"")="","",IFERROR(TRIM(INDEX($A992:$Z992,MATCH('Counts'!$B$26,$A$1:$Z$1,0))&amp;""),""))</f>
        <v/>
      </c>
      <c r="AD992" s="41">
        <f>IF(TRIM('Counts'!$B$44&amp;"")="","",IFERROR(TRIM(INDEX($A992:$Z992,MATCH('Counts'!$B$44,$A$1:$Z$1,0))&amp;""),""))</f>
        <v/>
      </c>
      <c r="AE992" s="41">
        <f>IF(TRIM('Cross-tab'!$B$5&amp;"")="","",IFERROR(TRIM(INDEX($A992:$Z992,MATCH('Cross-tab'!$B$5,$A$1:$Z$1,0))&amp;""),""))</f>
        <v/>
      </c>
      <c r="AF992" s="41">
        <f>IF(TRIM('Cross-tab'!$B$7&amp;"")="","",IFERROR(TRIM(INDEX($A992:$Z992,MATCH('Cross-tab'!$B$7,$A$1:$Z$1,0))&amp;""),""))</f>
        <v/>
      </c>
      <c r="AG992" s="41">
        <f>IF(ISNUMBER(IFERROR(VALUE(IF(TRIM('Scale score'!$B$5&amp;"")="","",IFERROR(TRIM(INDEX($A992:$Z992,MATCH('Scale score'!$B$5,$A$1:$Z$1,0))&amp;""),""))),"")),IF(AND(IFERROR(VALUE(IF(TRIM('Scale score'!$B$5&amp;"")="","",IFERROR(TRIM(INDEX($A992:$Z992,MATCH('Scale score'!$B$5,$A$1:$Z$1,0))&amp;""),""))),"")&gt;='Scale score'!$B$6,IFERROR(VALUE(IF(TRIM('Scale score'!$B$5&amp;"")="","",IFERROR(TRIM(INDEX($A992:$Z992,MATCH('Scale score'!$B$5,$A$1:$Z$1,0))&amp;""),""))),"")&lt;='Scale score'!$B$7),IFERROR(VALUE(IF(TRIM('Scale score'!$B$5&amp;"")="","",IFERROR(TRIM(INDEX($A992:$Z992,MATCH('Scale score'!$B$5,$A$1:$Z$1,0))&amp;""),""))),""),""),"")</f>
        <v/>
      </c>
      <c r="AH992" s="41">
        <f>IF(TRIM('Open answers'!$B$5&amp;"")="","",IFERROR(TRIM(INDEX($A992:$Z992,MATCH('Open answers'!$B$5,$A$1:$Z$1,0))&amp;""),""))</f>
        <v/>
      </c>
      <c r="AI992" s="41">
        <f>IF(LEN(AH992)&gt;0,MAX($AI$1:AI991)+1,"")</f>
        <v/>
      </c>
    </row>
    <row r="993">
      <c r="AA993" s="40" t="n"/>
      <c r="AB993" s="41">
        <f>IF(TRIM('Counts'!$B$8&amp;"")="","",IFERROR(TRIM(INDEX($A993:$Z993,MATCH('Counts'!$B$8,$A$1:$Z$1,0))&amp;""),""))</f>
        <v/>
      </c>
      <c r="AC993" s="41">
        <f>IF(TRIM('Counts'!$B$26&amp;"")="","",IFERROR(TRIM(INDEX($A993:$Z993,MATCH('Counts'!$B$26,$A$1:$Z$1,0))&amp;""),""))</f>
        <v/>
      </c>
      <c r="AD993" s="41">
        <f>IF(TRIM('Counts'!$B$44&amp;"")="","",IFERROR(TRIM(INDEX($A993:$Z993,MATCH('Counts'!$B$44,$A$1:$Z$1,0))&amp;""),""))</f>
        <v/>
      </c>
      <c r="AE993" s="41">
        <f>IF(TRIM('Cross-tab'!$B$5&amp;"")="","",IFERROR(TRIM(INDEX($A993:$Z993,MATCH('Cross-tab'!$B$5,$A$1:$Z$1,0))&amp;""),""))</f>
        <v/>
      </c>
      <c r="AF993" s="41">
        <f>IF(TRIM('Cross-tab'!$B$7&amp;"")="","",IFERROR(TRIM(INDEX($A993:$Z993,MATCH('Cross-tab'!$B$7,$A$1:$Z$1,0))&amp;""),""))</f>
        <v/>
      </c>
      <c r="AG993" s="41">
        <f>IF(ISNUMBER(IFERROR(VALUE(IF(TRIM('Scale score'!$B$5&amp;"")="","",IFERROR(TRIM(INDEX($A993:$Z993,MATCH('Scale score'!$B$5,$A$1:$Z$1,0))&amp;""),""))),"")),IF(AND(IFERROR(VALUE(IF(TRIM('Scale score'!$B$5&amp;"")="","",IFERROR(TRIM(INDEX($A993:$Z993,MATCH('Scale score'!$B$5,$A$1:$Z$1,0))&amp;""),""))),"")&gt;='Scale score'!$B$6,IFERROR(VALUE(IF(TRIM('Scale score'!$B$5&amp;"")="","",IFERROR(TRIM(INDEX($A993:$Z993,MATCH('Scale score'!$B$5,$A$1:$Z$1,0))&amp;""),""))),"")&lt;='Scale score'!$B$7),IFERROR(VALUE(IF(TRIM('Scale score'!$B$5&amp;"")="","",IFERROR(TRIM(INDEX($A993:$Z993,MATCH('Scale score'!$B$5,$A$1:$Z$1,0))&amp;""),""))),""),""),"")</f>
        <v/>
      </c>
      <c r="AH993" s="41">
        <f>IF(TRIM('Open answers'!$B$5&amp;"")="","",IFERROR(TRIM(INDEX($A993:$Z993,MATCH('Open answers'!$B$5,$A$1:$Z$1,0))&amp;""),""))</f>
        <v/>
      </c>
      <c r="AI993" s="41">
        <f>IF(LEN(AH993)&gt;0,MAX($AI$1:AI992)+1,"")</f>
        <v/>
      </c>
    </row>
    <row r="994">
      <c r="AA994" s="40" t="n"/>
      <c r="AB994" s="41">
        <f>IF(TRIM('Counts'!$B$8&amp;"")="","",IFERROR(TRIM(INDEX($A994:$Z994,MATCH('Counts'!$B$8,$A$1:$Z$1,0))&amp;""),""))</f>
        <v/>
      </c>
      <c r="AC994" s="41">
        <f>IF(TRIM('Counts'!$B$26&amp;"")="","",IFERROR(TRIM(INDEX($A994:$Z994,MATCH('Counts'!$B$26,$A$1:$Z$1,0))&amp;""),""))</f>
        <v/>
      </c>
      <c r="AD994" s="41">
        <f>IF(TRIM('Counts'!$B$44&amp;"")="","",IFERROR(TRIM(INDEX($A994:$Z994,MATCH('Counts'!$B$44,$A$1:$Z$1,0))&amp;""),""))</f>
        <v/>
      </c>
      <c r="AE994" s="41">
        <f>IF(TRIM('Cross-tab'!$B$5&amp;"")="","",IFERROR(TRIM(INDEX($A994:$Z994,MATCH('Cross-tab'!$B$5,$A$1:$Z$1,0))&amp;""),""))</f>
        <v/>
      </c>
      <c r="AF994" s="41">
        <f>IF(TRIM('Cross-tab'!$B$7&amp;"")="","",IFERROR(TRIM(INDEX($A994:$Z994,MATCH('Cross-tab'!$B$7,$A$1:$Z$1,0))&amp;""),""))</f>
        <v/>
      </c>
      <c r="AG994" s="41">
        <f>IF(ISNUMBER(IFERROR(VALUE(IF(TRIM('Scale score'!$B$5&amp;"")="","",IFERROR(TRIM(INDEX($A994:$Z994,MATCH('Scale score'!$B$5,$A$1:$Z$1,0))&amp;""),""))),"")),IF(AND(IFERROR(VALUE(IF(TRIM('Scale score'!$B$5&amp;"")="","",IFERROR(TRIM(INDEX($A994:$Z994,MATCH('Scale score'!$B$5,$A$1:$Z$1,0))&amp;""),""))),"")&gt;='Scale score'!$B$6,IFERROR(VALUE(IF(TRIM('Scale score'!$B$5&amp;"")="","",IFERROR(TRIM(INDEX($A994:$Z994,MATCH('Scale score'!$B$5,$A$1:$Z$1,0))&amp;""),""))),"")&lt;='Scale score'!$B$7),IFERROR(VALUE(IF(TRIM('Scale score'!$B$5&amp;"")="","",IFERROR(TRIM(INDEX($A994:$Z994,MATCH('Scale score'!$B$5,$A$1:$Z$1,0))&amp;""),""))),""),""),"")</f>
        <v/>
      </c>
      <c r="AH994" s="41">
        <f>IF(TRIM('Open answers'!$B$5&amp;"")="","",IFERROR(TRIM(INDEX($A994:$Z994,MATCH('Open answers'!$B$5,$A$1:$Z$1,0))&amp;""),""))</f>
        <v/>
      </c>
      <c r="AI994" s="41">
        <f>IF(LEN(AH994)&gt;0,MAX($AI$1:AI993)+1,"")</f>
        <v/>
      </c>
    </row>
    <row r="995">
      <c r="AA995" s="40" t="n"/>
      <c r="AB995" s="41">
        <f>IF(TRIM('Counts'!$B$8&amp;"")="","",IFERROR(TRIM(INDEX($A995:$Z995,MATCH('Counts'!$B$8,$A$1:$Z$1,0))&amp;""),""))</f>
        <v/>
      </c>
      <c r="AC995" s="41">
        <f>IF(TRIM('Counts'!$B$26&amp;"")="","",IFERROR(TRIM(INDEX($A995:$Z995,MATCH('Counts'!$B$26,$A$1:$Z$1,0))&amp;""),""))</f>
        <v/>
      </c>
      <c r="AD995" s="41">
        <f>IF(TRIM('Counts'!$B$44&amp;"")="","",IFERROR(TRIM(INDEX($A995:$Z995,MATCH('Counts'!$B$44,$A$1:$Z$1,0))&amp;""),""))</f>
        <v/>
      </c>
      <c r="AE995" s="41">
        <f>IF(TRIM('Cross-tab'!$B$5&amp;"")="","",IFERROR(TRIM(INDEX($A995:$Z995,MATCH('Cross-tab'!$B$5,$A$1:$Z$1,0))&amp;""),""))</f>
        <v/>
      </c>
      <c r="AF995" s="41">
        <f>IF(TRIM('Cross-tab'!$B$7&amp;"")="","",IFERROR(TRIM(INDEX($A995:$Z995,MATCH('Cross-tab'!$B$7,$A$1:$Z$1,0))&amp;""),""))</f>
        <v/>
      </c>
      <c r="AG995" s="41">
        <f>IF(ISNUMBER(IFERROR(VALUE(IF(TRIM('Scale score'!$B$5&amp;"")="","",IFERROR(TRIM(INDEX($A995:$Z995,MATCH('Scale score'!$B$5,$A$1:$Z$1,0))&amp;""),""))),"")),IF(AND(IFERROR(VALUE(IF(TRIM('Scale score'!$B$5&amp;"")="","",IFERROR(TRIM(INDEX($A995:$Z995,MATCH('Scale score'!$B$5,$A$1:$Z$1,0))&amp;""),""))),"")&gt;='Scale score'!$B$6,IFERROR(VALUE(IF(TRIM('Scale score'!$B$5&amp;"")="","",IFERROR(TRIM(INDEX($A995:$Z995,MATCH('Scale score'!$B$5,$A$1:$Z$1,0))&amp;""),""))),"")&lt;='Scale score'!$B$7),IFERROR(VALUE(IF(TRIM('Scale score'!$B$5&amp;"")="","",IFERROR(TRIM(INDEX($A995:$Z995,MATCH('Scale score'!$B$5,$A$1:$Z$1,0))&amp;""),""))),""),""),"")</f>
        <v/>
      </c>
      <c r="AH995" s="41">
        <f>IF(TRIM('Open answers'!$B$5&amp;"")="","",IFERROR(TRIM(INDEX($A995:$Z995,MATCH('Open answers'!$B$5,$A$1:$Z$1,0))&amp;""),""))</f>
        <v/>
      </c>
      <c r="AI995" s="41">
        <f>IF(LEN(AH995)&gt;0,MAX($AI$1:AI994)+1,"")</f>
        <v/>
      </c>
    </row>
    <row r="996">
      <c r="AA996" s="40" t="n"/>
      <c r="AB996" s="41">
        <f>IF(TRIM('Counts'!$B$8&amp;"")="","",IFERROR(TRIM(INDEX($A996:$Z996,MATCH('Counts'!$B$8,$A$1:$Z$1,0))&amp;""),""))</f>
        <v/>
      </c>
      <c r="AC996" s="41">
        <f>IF(TRIM('Counts'!$B$26&amp;"")="","",IFERROR(TRIM(INDEX($A996:$Z996,MATCH('Counts'!$B$26,$A$1:$Z$1,0))&amp;""),""))</f>
        <v/>
      </c>
      <c r="AD996" s="41">
        <f>IF(TRIM('Counts'!$B$44&amp;"")="","",IFERROR(TRIM(INDEX($A996:$Z996,MATCH('Counts'!$B$44,$A$1:$Z$1,0))&amp;""),""))</f>
        <v/>
      </c>
      <c r="AE996" s="41">
        <f>IF(TRIM('Cross-tab'!$B$5&amp;"")="","",IFERROR(TRIM(INDEX($A996:$Z996,MATCH('Cross-tab'!$B$5,$A$1:$Z$1,0))&amp;""),""))</f>
        <v/>
      </c>
      <c r="AF996" s="41">
        <f>IF(TRIM('Cross-tab'!$B$7&amp;"")="","",IFERROR(TRIM(INDEX($A996:$Z996,MATCH('Cross-tab'!$B$7,$A$1:$Z$1,0))&amp;""),""))</f>
        <v/>
      </c>
      <c r="AG996" s="41">
        <f>IF(ISNUMBER(IFERROR(VALUE(IF(TRIM('Scale score'!$B$5&amp;"")="","",IFERROR(TRIM(INDEX($A996:$Z996,MATCH('Scale score'!$B$5,$A$1:$Z$1,0))&amp;""),""))),"")),IF(AND(IFERROR(VALUE(IF(TRIM('Scale score'!$B$5&amp;"")="","",IFERROR(TRIM(INDEX($A996:$Z996,MATCH('Scale score'!$B$5,$A$1:$Z$1,0))&amp;""),""))),"")&gt;='Scale score'!$B$6,IFERROR(VALUE(IF(TRIM('Scale score'!$B$5&amp;"")="","",IFERROR(TRIM(INDEX($A996:$Z996,MATCH('Scale score'!$B$5,$A$1:$Z$1,0))&amp;""),""))),"")&lt;='Scale score'!$B$7),IFERROR(VALUE(IF(TRIM('Scale score'!$B$5&amp;"")="","",IFERROR(TRIM(INDEX($A996:$Z996,MATCH('Scale score'!$B$5,$A$1:$Z$1,0))&amp;""),""))),""),""),"")</f>
        <v/>
      </c>
      <c r="AH996" s="41">
        <f>IF(TRIM('Open answers'!$B$5&amp;"")="","",IFERROR(TRIM(INDEX($A996:$Z996,MATCH('Open answers'!$B$5,$A$1:$Z$1,0))&amp;""),""))</f>
        <v/>
      </c>
      <c r="AI996" s="41">
        <f>IF(LEN(AH996)&gt;0,MAX($AI$1:AI995)+1,"")</f>
        <v/>
      </c>
    </row>
    <row r="997">
      <c r="AA997" s="40" t="n"/>
      <c r="AB997" s="41">
        <f>IF(TRIM('Counts'!$B$8&amp;"")="","",IFERROR(TRIM(INDEX($A997:$Z997,MATCH('Counts'!$B$8,$A$1:$Z$1,0))&amp;""),""))</f>
        <v/>
      </c>
      <c r="AC997" s="41">
        <f>IF(TRIM('Counts'!$B$26&amp;"")="","",IFERROR(TRIM(INDEX($A997:$Z997,MATCH('Counts'!$B$26,$A$1:$Z$1,0))&amp;""),""))</f>
        <v/>
      </c>
      <c r="AD997" s="41">
        <f>IF(TRIM('Counts'!$B$44&amp;"")="","",IFERROR(TRIM(INDEX($A997:$Z997,MATCH('Counts'!$B$44,$A$1:$Z$1,0))&amp;""),""))</f>
        <v/>
      </c>
      <c r="AE997" s="41">
        <f>IF(TRIM('Cross-tab'!$B$5&amp;"")="","",IFERROR(TRIM(INDEX($A997:$Z997,MATCH('Cross-tab'!$B$5,$A$1:$Z$1,0))&amp;""),""))</f>
        <v/>
      </c>
      <c r="AF997" s="41">
        <f>IF(TRIM('Cross-tab'!$B$7&amp;"")="","",IFERROR(TRIM(INDEX($A997:$Z997,MATCH('Cross-tab'!$B$7,$A$1:$Z$1,0))&amp;""),""))</f>
        <v/>
      </c>
      <c r="AG997" s="41">
        <f>IF(ISNUMBER(IFERROR(VALUE(IF(TRIM('Scale score'!$B$5&amp;"")="","",IFERROR(TRIM(INDEX($A997:$Z997,MATCH('Scale score'!$B$5,$A$1:$Z$1,0))&amp;""),""))),"")),IF(AND(IFERROR(VALUE(IF(TRIM('Scale score'!$B$5&amp;"")="","",IFERROR(TRIM(INDEX($A997:$Z997,MATCH('Scale score'!$B$5,$A$1:$Z$1,0))&amp;""),""))),"")&gt;='Scale score'!$B$6,IFERROR(VALUE(IF(TRIM('Scale score'!$B$5&amp;"")="","",IFERROR(TRIM(INDEX($A997:$Z997,MATCH('Scale score'!$B$5,$A$1:$Z$1,0))&amp;""),""))),"")&lt;='Scale score'!$B$7),IFERROR(VALUE(IF(TRIM('Scale score'!$B$5&amp;"")="","",IFERROR(TRIM(INDEX($A997:$Z997,MATCH('Scale score'!$B$5,$A$1:$Z$1,0))&amp;""),""))),""),""),"")</f>
        <v/>
      </c>
      <c r="AH997" s="41">
        <f>IF(TRIM('Open answers'!$B$5&amp;"")="","",IFERROR(TRIM(INDEX($A997:$Z997,MATCH('Open answers'!$B$5,$A$1:$Z$1,0))&amp;""),""))</f>
        <v/>
      </c>
      <c r="AI997" s="41">
        <f>IF(LEN(AH997)&gt;0,MAX($AI$1:AI996)+1,"")</f>
        <v/>
      </c>
    </row>
    <row r="998">
      <c r="AA998" s="40" t="n"/>
      <c r="AB998" s="41">
        <f>IF(TRIM('Counts'!$B$8&amp;"")="","",IFERROR(TRIM(INDEX($A998:$Z998,MATCH('Counts'!$B$8,$A$1:$Z$1,0))&amp;""),""))</f>
        <v/>
      </c>
      <c r="AC998" s="41">
        <f>IF(TRIM('Counts'!$B$26&amp;"")="","",IFERROR(TRIM(INDEX($A998:$Z998,MATCH('Counts'!$B$26,$A$1:$Z$1,0))&amp;""),""))</f>
        <v/>
      </c>
      <c r="AD998" s="41">
        <f>IF(TRIM('Counts'!$B$44&amp;"")="","",IFERROR(TRIM(INDEX($A998:$Z998,MATCH('Counts'!$B$44,$A$1:$Z$1,0))&amp;""),""))</f>
        <v/>
      </c>
      <c r="AE998" s="41">
        <f>IF(TRIM('Cross-tab'!$B$5&amp;"")="","",IFERROR(TRIM(INDEX($A998:$Z998,MATCH('Cross-tab'!$B$5,$A$1:$Z$1,0))&amp;""),""))</f>
        <v/>
      </c>
      <c r="AF998" s="41">
        <f>IF(TRIM('Cross-tab'!$B$7&amp;"")="","",IFERROR(TRIM(INDEX($A998:$Z998,MATCH('Cross-tab'!$B$7,$A$1:$Z$1,0))&amp;""),""))</f>
        <v/>
      </c>
      <c r="AG998" s="41">
        <f>IF(ISNUMBER(IFERROR(VALUE(IF(TRIM('Scale score'!$B$5&amp;"")="","",IFERROR(TRIM(INDEX($A998:$Z998,MATCH('Scale score'!$B$5,$A$1:$Z$1,0))&amp;""),""))),"")),IF(AND(IFERROR(VALUE(IF(TRIM('Scale score'!$B$5&amp;"")="","",IFERROR(TRIM(INDEX($A998:$Z998,MATCH('Scale score'!$B$5,$A$1:$Z$1,0))&amp;""),""))),"")&gt;='Scale score'!$B$6,IFERROR(VALUE(IF(TRIM('Scale score'!$B$5&amp;"")="","",IFERROR(TRIM(INDEX($A998:$Z998,MATCH('Scale score'!$B$5,$A$1:$Z$1,0))&amp;""),""))),"")&lt;='Scale score'!$B$7),IFERROR(VALUE(IF(TRIM('Scale score'!$B$5&amp;"")="","",IFERROR(TRIM(INDEX($A998:$Z998,MATCH('Scale score'!$B$5,$A$1:$Z$1,0))&amp;""),""))),""),""),"")</f>
        <v/>
      </c>
      <c r="AH998" s="41">
        <f>IF(TRIM('Open answers'!$B$5&amp;"")="","",IFERROR(TRIM(INDEX($A998:$Z998,MATCH('Open answers'!$B$5,$A$1:$Z$1,0))&amp;""),""))</f>
        <v/>
      </c>
      <c r="AI998" s="41">
        <f>IF(LEN(AH998)&gt;0,MAX($AI$1:AI997)+1,"")</f>
        <v/>
      </c>
    </row>
    <row r="999">
      <c r="AA999" s="40" t="n"/>
      <c r="AB999" s="41">
        <f>IF(TRIM('Counts'!$B$8&amp;"")="","",IFERROR(TRIM(INDEX($A999:$Z999,MATCH('Counts'!$B$8,$A$1:$Z$1,0))&amp;""),""))</f>
        <v/>
      </c>
      <c r="AC999" s="41">
        <f>IF(TRIM('Counts'!$B$26&amp;"")="","",IFERROR(TRIM(INDEX($A999:$Z999,MATCH('Counts'!$B$26,$A$1:$Z$1,0))&amp;""),""))</f>
        <v/>
      </c>
      <c r="AD999" s="41">
        <f>IF(TRIM('Counts'!$B$44&amp;"")="","",IFERROR(TRIM(INDEX($A999:$Z999,MATCH('Counts'!$B$44,$A$1:$Z$1,0))&amp;""),""))</f>
        <v/>
      </c>
      <c r="AE999" s="41">
        <f>IF(TRIM('Cross-tab'!$B$5&amp;"")="","",IFERROR(TRIM(INDEX($A999:$Z999,MATCH('Cross-tab'!$B$5,$A$1:$Z$1,0))&amp;""),""))</f>
        <v/>
      </c>
      <c r="AF999" s="41">
        <f>IF(TRIM('Cross-tab'!$B$7&amp;"")="","",IFERROR(TRIM(INDEX($A999:$Z999,MATCH('Cross-tab'!$B$7,$A$1:$Z$1,0))&amp;""),""))</f>
        <v/>
      </c>
      <c r="AG999" s="41">
        <f>IF(ISNUMBER(IFERROR(VALUE(IF(TRIM('Scale score'!$B$5&amp;"")="","",IFERROR(TRIM(INDEX($A999:$Z999,MATCH('Scale score'!$B$5,$A$1:$Z$1,0))&amp;""),""))),"")),IF(AND(IFERROR(VALUE(IF(TRIM('Scale score'!$B$5&amp;"")="","",IFERROR(TRIM(INDEX($A999:$Z999,MATCH('Scale score'!$B$5,$A$1:$Z$1,0))&amp;""),""))),"")&gt;='Scale score'!$B$6,IFERROR(VALUE(IF(TRIM('Scale score'!$B$5&amp;"")="","",IFERROR(TRIM(INDEX($A999:$Z999,MATCH('Scale score'!$B$5,$A$1:$Z$1,0))&amp;""),""))),"")&lt;='Scale score'!$B$7),IFERROR(VALUE(IF(TRIM('Scale score'!$B$5&amp;"")="","",IFERROR(TRIM(INDEX($A999:$Z999,MATCH('Scale score'!$B$5,$A$1:$Z$1,0))&amp;""),""))),""),""),"")</f>
        <v/>
      </c>
      <c r="AH999" s="41">
        <f>IF(TRIM('Open answers'!$B$5&amp;"")="","",IFERROR(TRIM(INDEX($A999:$Z999,MATCH('Open answers'!$B$5,$A$1:$Z$1,0))&amp;""),""))</f>
        <v/>
      </c>
      <c r="AI999" s="41">
        <f>IF(LEN(AH999)&gt;0,MAX($AI$1:AI998)+1,"")</f>
        <v/>
      </c>
    </row>
    <row r="1000">
      <c r="AA1000" s="40" t="n"/>
      <c r="AB1000" s="41">
        <f>IF(TRIM('Counts'!$B$8&amp;"")="","",IFERROR(TRIM(INDEX($A1000:$Z1000,MATCH('Counts'!$B$8,$A$1:$Z$1,0))&amp;""),""))</f>
        <v/>
      </c>
      <c r="AC1000" s="41">
        <f>IF(TRIM('Counts'!$B$26&amp;"")="","",IFERROR(TRIM(INDEX($A1000:$Z1000,MATCH('Counts'!$B$26,$A$1:$Z$1,0))&amp;""),""))</f>
        <v/>
      </c>
      <c r="AD1000" s="41">
        <f>IF(TRIM('Counts'!$B$44&amp;"")="","",IFERROR(TRIM(INDEX($A1000:$Z1000,MATCH('Counts'!$B$44,$A$1:$Z$1,0))&amp;""),""))</f>
        <v/>
      </c>
      <c r="AE1000" s="41">
        <f>IF(TRIM('Cross-tab'!$B$5&amp;"")="","",IFERROR(TRIM(INDEX($A1000:$Z1000,MATCH('Cross-tab'!$B$5,$A$1:$Z$1,0))&amp;""),""))</f>
        <v/>
      </c>
      <c r="AF1000" s="41">
        <f>IF(TRIM('Cross-tab'!$B$7&amp;"")="","",IFERROR(TRIM(INDEX($A1000:$Z1000,MATCH('Cross-tab'!$B$7,$A$1:$Z$1,0))&amp;""),""))</f>
        <v/>
      </c>
      <c r="AG1000" s="41">
        <f>IF(ISNUMBER(IFERROR(VALUE(IF(TRIM('Scale score'!$B$5&amp;"")="","",IFERROR(TRIM(INDEX($A1000:$Z1000,MATCH('Scale score'!$B$5,$A$1:$Z$1,0))&amp;""),""))),"")),IF(AND(IFERROR(VALUE(IF(TRIM('Scale score'!$B$5&amp;"")="","",IFERROR(TRIM(INDEX($A1000:$Z1000,MATCH('Scale score'!$B$5,$A$1:$Z$1,0))&amp;""),""))),"")&gt;='Scale score'!$B$6,IFERROR(VALUE(IF(TRIM('Scale score'!$B$5&amp;"")="","",IFERROR(TRIM(INDEX($A1000:$Z1000,MATCH('Scale score'!$B$5,$A$1:$Z$1,0))&amp;""),""))),"")&lt;='Scale score'!$B$7),IFERROR(VALUE(IF(TRIM('Scale score'!$B$5&amp;"")="","",IFERROR(TRIM(INDEX($A1000:$Z1000,MATCH('Scale score'!$B$5,$A$1:$Z$1,0))&amp;""),""))),""),""),"")</f>
        <v/>
      </c>
      <c r="AH1000" s="41">
        <f>IF(TRIM('Open answers'!$B$5&amp;"")="","",IFERROR(TRIM(INDEX($A1000:$Z1000,MATCH('Open answers'!$B$5,$A$1:$Z$1,0))&amp;""),""))</f>
        <v/>
      </c>
      <c r="AI1000" s="41">
        <f>IF(LEN(AH1000)&gt;0,MAX($AI$1:AI999)+1,"")</f>
        <v/>
      </c>
    </row>
    <row r="1001">
      <c r="AA1001" s="40" t="n"/>
      <c r="AB1001" s="41">
        <f>IF(TRIM('Counts'!$B$8&amp;"")="","",IFERROR(TRIM(INDEX($A1001:$Z1001,MATCH('Counts'!$B$8,$A$1:$Z$1,0))&amp;""),""))</f>
        <v/>
      </c>
      <c r="AC1001" s="41">
        <f>IF(TRIM('Counts'!$B$26&amp;"")="","",IFERROR(TRIM(INDEX($A1001:$Z1001,MATCH('Counts'!$B$26,$A$1:$Z$1,0))&amp;""),""))</f>
        <v/>
      </c>
      <c r="AD1001" s="41">
        <f>IF(TRIM('Counts'!$B$44&amp;"")="","",IFERROR(TRIM(INDEX($A1001:$Z1001,MATCH('Counts'!$B$44,$A$1:$Z$1,0))&amp;""),""))</f>
        <v/>
      </c>
      <c r="AE1001" s="41">
        <f>IF(TRIM('Cross-tab'!$B$5&amp;"")="","",IFERROR(TRIM(INDEX($A1001:$Z1001,MATCH('Cross-tab'!$B$5,$A$1:$Z$1,0))&amp;""),""))</f>
        <v/>
      </c>
      <c r="AF1001" s="41">
        <f>IF(TRIM('Cross-tab'!$B$7&amp;"")="","",IFERROR(TRIM(INDEX($A1001:$Z1001,MATCH('Cross-tab'!$B$7,$A$1:$Z$1,0))&amp;""),""))</f>
        <v/>
      </c>
      <c r="AG1001" s="41">
        <f>IF(ISNUMBER(IFERROR(VALUE(IF(TRIM('Scale score'!$B$5&amp;"")="","",IFERROR(TRIM(INDEX($A1001:$Z1001,MATCH('Scale score'!$B$5,$A$1:$Z$1,0))&amp;""),""))),"")),IF(AND(IFERROR(VALUE(IF(TRIM('Scale score'!$B$5&amp;"")="","",IFERROR(TRIM(INDEX($A1001:$Z1001,MATCH('Scale score'!$B$5,$A$1:$Z$1,0))&amp;""),""))),"")&gt;='Scale score'!$B$6,IFERROR(VALUE(IF(TRIM('Scale score'!$B$5&amp;"")="","",IFERROR(TRIM(INDEX($A1001:$Z1001,MATCH('Scale score'!$B$5,$A$1:$Z$1,0))&amp;""),""))),"")&lt;='Scale score'!$B$7),IFERROR(VALUE(IF(TRIM('Scale score'!$B$5&amp;"")="","",IFERROR(TRIM(INDEX($A1001:$Z1001,MATCH('Scale score'!$B$5,$A$1:$Z$1,0))&amp;""),""))),""),""),"")</f>
        <v/>
      </c>
      <c r="AH1001" s="41">
        <f>IF(TRIM('Open answers'!$B$5&amp;"")="","",IFERROR(TRIM(INDEX($A1001:$Z1001,MATCH('Open answers'!$B$5,$A$1:$Z$1,0))&amp;""),""))</f>
        <v/>
      </c>
      <c r="AI1001" s="41">
        <f>IF(LEN(AH1001)&gt;0,MAX($AI$1:AI1000)+1,"")</f>
        <v/>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2026-10-28T15:35:46Z</dcterms:created>
  <dcterms:modified xmlns:dcterms="http://purl.org/dc/terms/" xmlns:xsi="http://www.w3.org/2001/XMLSchema-instance" xsi:type="dcterms:W3CDTF">2026-10-28T15:35:48Z</dcterms:modified>
</cp:coreProperties>
</file>