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Review" sheetId="3" state="visible" r:id="rId3"/>
    <sheet xmlns:r="http://schemas.openxmlformats.org/officeDocument/2006/relationships" name="Lineup" sheetId="4" state="visible" r:id="rId4"/>
    <sheet xmlns:r="http://schemas.openxmlformats.org/officeDocument/2006/relationships" name="Submission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i val="1"/>
      <color rgb="005E5468"/>
      <sz val="10"/>
    </font>
    <font>
      <name val="Arial"/>
      <b val="1"/>
      <color rgb="005E5468"/>
      <sz val="10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  <fill>
      <patternFill patternType="solid">
        <fgColor rgb="00D9D3E0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1" pivotButton="0" quotePrefix="0" xfId="0"/>
    <xf numFmtId="0" fontId="5" fillId="3" borderId="1" applyAlignment="1" pivotButton="0" quotePrefix="0" xfId="0">
      <alignment horizontal="center"/>
    </xf>
    <xf numFmtId="0" fontId="6" fillId="0" borderId="1" pivotButton="0" quotePrefix="0" xfId="0"/>
    <xf numFmtId="0" fontId="11" fillId="3" borderId="1" pivotButton="0" quotePrefix="0" xfId="0"/>
    <xf numFmtId="0" fontId="6" fillId="3" borderId="1" pivotButton="0" quotePrefix="0" xfId="0"/>
    <xf numFmtId="0" fontId="6" fillId="0" borderId="1" applyAlignment="1" pivotButton="0" quotePrefix="0" xfId="0">
      <alignment vertical="center" wrapText="1"/>
    </xf>
    <xf numFmtId="0" fontId="11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12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7" borderId="1" applyAlignment="1" pivotButton="0" quotePrefix="0" xfId="0">
      <alignment vertical="center" wrapText="1"/>
    </xf>
    <xf numFmtId="0" fontId="6" fillId="4" borderId="1" pivotButton="0" quotePrefix="0" xfId="0"/>
    <xf numFmtId="0" fontId="11" fillId="3" borderId="1" applyAlignment="1" pivotButton="0" quotePrefix="0" xfId="0">
      <alignment horizontal="center"/>
    </xf>
    <xf numFmtId="2" fontId="10" fillId="4" borderId="1" applyAlignment="1" pivotButton="0" quotePrefix="0" xfId="0">
      <alignment horizontal="center"/>
    </xf>
    <xf numFmtId="2" fontId="5" fillId="4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0" fontId="10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3" fillId="8" borderId="1" applyAlignment="1" pivotButton="0" quotePrefix="0" xfId="0">
      <alignment vertical="center" wrapText="1"/>
    </xf>
    <xf numFmtId="0" fontId="11" fillId="0" borderId="0" pivotButton="0" quotePrefix="0" xfId="0"/>
    <xf numFmtId="0" fontId="0" fillId="8" borderId="0" pivotButton="0" quotePrefix="0" xfId="0"/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B4" authorId="0" shapeId="0">
      <text>
        <t>Yes: Review and Lineup show "Submission 3" instead of the name, and "(hidden)" instead of the company. No: they show names. Reviewers can still see the talk title, so this is a first-pass aid, not a guarantee.</t>
      </text>
    </comment>
    <comment ref="B7" authorId="0" shapeId="0">
      <text>
        <t>Type each reviewer's name. A reviewer with no name keeps the label Reviewer 1, 2 and so on. Alex, Bea and Chris are EXAMPLE names.</t>
      </text>
    </comment>
    <comment ref="B15" authorId="0" shapeId="0">
      <text>
        <t>How much relevance counts in a reviewer's score. Any number above 0. Leave empty to use the example in the next column.</t>
      </text>
    </comment>
    <comment ref="B16" authorId="0" shapeId="0">
      <text>
        <t>How much clarity counts in a reviewer's score. Leave empty to use the example in the next column.</t>
      </text>
    </comment>
    <comment ref="B17" authorId="0" shapeId="0">
      <text>
        <t>How much speaker fit counts in a reviewer's score. Leave empty to use the example in the next column.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5" authorId="0" shapeId="0">
      <text>
        <t>Each row here is the same row on Submissions. Do not sort this tab.</t>
      </text>
    </comment>
    <comment ref="G5" authorId="0" shapeId="0">
      <text>
        <t>Score each talk from 1 to 5. A reviewer's score needs all three numbers. Leave a talk empty if you have not read it yet.</t>
      </text>
    </comment>
    <comment ref="AC5" authorId="0" shapeId="0">
      <text>
        <t>Shortlist, Accept, Decline or Waiting. Edit the words on the Lists tab.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B5" authorId="0" shapeId="0">
      <text>
        <t>How many slots you have for each format. You type these; the sheet never guesses. The numbers shown are EXAMPLES.</t>
      </text>
    </comment>
    <comment ref="J12" authorId="0" shapeId="0">
      <text>
        <t>Yes when this talk ranks within the slots you typed for its format. Empty if you have not typed slots for that format.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11 are EXAMPLE data: clear A2 to AB11 first.</t>
      </text>
    </comment>
    <comment ref="AD1" authorId="0" shapeId="0">
      <text>
        <t>Grey columns are worked out for you. Please do not type here. The Review tab reads this tab row by row.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C1" authorId="0" shapeId="0">
      <text>
        <t>These must match the options on your form, because the sheet counts talks by matching the text. Edit them if you changed the options.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Speaker review sheet</t>
        </is>
      </c>
    </row>
    <row r="3">
      <c r="B3" s="2" t="inlineStr">
        <is>
          <t>Score talks as a committee, rank them, and fit the best ones into your slots.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your submissions</t>
        </is>
      </c>
      <c r="D6" s="6" t="inlineStr">
        <is>
          <t>In HornetForms, open the form's Responses page and download the CSV. Using the Google Sheet sync? Open that Sheet and use File, Import, Upload this file, then "Insert new sheet(s)".</t>
        </is>
      </c>
    </row>
    <row r="7" ht="51" customHeight="1">
      <c r="B7" s="4" t="n">
        <v>2</v>
      </c>
      <c r="C7" s="5" t="inlineStr">
        <is>
          <t>Put them on the Submissions tab</t>
        </is>
      </c>
      <c r="D7" s="6" t="inlineStr">
        <is>
          <t>First clear the example: select A2 to AB11 on Submissions and press Delete. Then click A1 and paste your CSV, headers included. Using the Google Sheet? Clear A1 to AB301 and type =ARRAYFORMULA(Responses!A1:AB301) in A1.</t>
        </is>
      </c>
    </row>
    <row r="8" ht="44" customHeight="1">
      <c r="B8" s="4" t="n">
        <v>3</v>
      </c>
      <c r="C8" s="5" t="inlineStr">
        <is>
          <t>Set up Settings</t>
        </is>
      </c>
      <c r="D8" s="6" t="inlineStr">
        <is>
          <t>List up to five reviewer names. Choose whether Blind review is on. Change the score weights if relevance, clarity and speaker fit should count differently.</t>
        </is>
      </c>
    </row>
    <row r="9" ht="51" customHeight="1">
      <c r="B9" s="4" t="n">
        <v>4</v>
      </c>
      <c r="C9" s="5" t="inlineStr">
        <is>
          <t>Score on the Review tab</t>
        </is>
      </c>
      <c r="D9" s="6" t="inlineStr">
        <is>
          <t>Each reviewer gives every talk a score from 1 to 5 for relevance, clarity and speaker fit. Pick a Status when you have decided. Clear the example scores and statuses first.</t>
        </is>
      </c>
    </row>
    <row r="10" ht="44" customHeight="1">
      <c r="B10" s="4" t="n">
        <v>5</v>
      </c>
      <c r="C10" s="5" t="inlineStr">
        <is>
          <t>Build the lineup</t>
        </is>
      </c>
      <c r="D10" s="6" t="inlineStr">
        <is>
          <t>On Lineup, type how many slots you have for each format. The ranked list shows each talk's average and whether it sits inside the slots for its format.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Blind review hides the speaker's name and company on Review and Lineup. It does not remove anything from Submissions, and a talk title or abstract can still hint at who wrote it. Turn it off on Settings when you are ready to see names.</t>
        </is>
      </c>
    </row>
    <row r="19" ht="34" customHeight="1">
      <c r="C19" s="12" t="inlineStr">
        <is>
          <t>A reviewer's score needs all three numbers. A talk's average is the mean of the reviewers who scored it, so check the Reviewers who scored column before you compare two talks.</t>
        </is>
      </c>
    </row>
    <row r="20" ht="28" customHeight="1">
      <c r="C20" s="12" t="inlineStr">
        <is>
          <t>Weights are example numbers. Change them on Settings to match what matters to your event.</t>
        </is>
      </c>
    </row>
    <row r="21" ht="34" customHeight="1">
      <c r="C21" s="12" t="inlineStr">
        <is>
          <t>The sheet finds columns by their header names, so it still works if your columns are in another order. Renamed a question or an option? Update it on the Lists tab.</t>
        </is>
      </c>
    </row>
    <row r="22" ht="34" customHeight="1">
      <c r="C22" s="12" t="inlineStr">
        <is>
          <t>Do not sort or delete rows on Submissions or Review: each Review row is the same row on Submissions. Paste a fresh export over the old one instead.</t>
        </is>
      </c>
    </row>
    <row r="23" ht="28" customHeight="1">
      <c r="C23" s="12" t="inlineStr">
        <is>
          <t>There is room for 300 submissions and five reviewers. Lineup ranks the top 60.</t>
        </is>
      </c>
    </row>
    <row r="24" ht="28" customHeight="1">
      <c r="C24" s="12" t="inlineStr">
        <is>
          <t>Keep this file where only your committee can open it. It holds speakers' names and email addresses.</t>
        </is>
      </c>
    </row>
    <row r="26">
      <c r="B26" s="7" t="inlineStr">
        <is>
          <t>Example data</t>
        </is>
      </c>
    </row>
    <row r="27" ht="32" customHeight="1">
      <c r="C27" s="13" t="inlineStr">
        <is>
          <t>Rows 2 to 11 on Submissions are EXAMPLE data with invented speakers, with example scores, reviewer names and slots, so you can see the Lineup work. Clear them before you add your own.</t>
        </is>
      </c>
    </row>
    <row r="29">
      <c r="C29" s="14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B2E83"/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24" customWidth="1" min="3" max="3"/>
    <col width="12" customWidth="1" min="4" max="4"/>
  </cols>
  <sheetData>
    <row r="1">
      <c r="A1" s="15" t="inlineStr">
        <is>
          <t>Settings</t>
        </is>
      </c>
    </row>
    <row r="2">
      <c r="A2" s="16" t="inlineStr">
        <is>
          <t>Set these first. Yellow cells are yours.</t>
        </is>
      </c>
    </row>
    <row r="4">
      <c r="A4" s="17" t="inlineStr">
        <is>
          <t>Blind review (Yes hides names and companies)</t>
        </is>
      </c>
      <c r="B4" s="18" t="inlineStr">
        <is>
          <t>Yes</t>
        </is>
      </c>
    </row>
    <row r="6">
      <c r="A6" s="3" t="inlineStr">
        <is>
          <t>Reviewers (up to five)</t>
        </is>
      </c>
      <c r="B6" s="3" t="inlineStr">
        <is>
          <t>Name</t>
        </is>
      </c>
    </row>
    <row r="7">
      <c r="A7" s="19" t="inlineStr">
        <is>
          <t>Reviewer 1</t>
        </is>
      </c>
      <c r="B7" s="20" t="inlineStr">
        <is>
          <t>Alex</t>
        </is>
      </c>
    </row>
    <row r="8">
      <c r="A8" s="19" t="inlineStr">
        <is>
          <t>Reviewer 2</t>
        </is>
      </c>
      <c r="B8" s="20" t="inlineStr">
        <is>
          <t>Bea</t>
        </is>
      </c>
    </row>
    <row r="9">
      <c r="A9" s="19" t="inlineStr">
        <is>
          <t>Reviewer 3</t>
        </is>
      </c>
      <c r="B9" s="20" t="inlineStr">
        <is>
          <t>Chris</t>
        </is>
      </c>
    </row>
    <row r="10">
      <c r="A10" s="19" t="inlineStr">
        <is>
          <t>Reviewer 4</t>
        </is>
      </c>
      <c r="B10" s="21" t="n"/>
    </row>
    <row r="11">
      <c r="A11" s="19" t="inlineStr">
        <is>
          <t>Reviewer 5</t>
        </is>
      </c>
      <c r="B11" s="21" t="n"/>
    </row>
    <row r="14" ht="32" customHeight="1">
      <c r="A14" s="3" t="inlineStr">
        <is>
          <t>Score weights (change these)</t>
        </is>
      </c>
      <c r="B14" s="3" t="inlineStr">
        <is>
          <t>Your number</t>
        </is>
      </c>
      <c r="C14" s="3" t="inlineStr">
        <is>
          <t>Template default (example)</t>
        </is>
      </c>
      <c r="D14" s="3" t="inlineStr">
        <is>
          <t>In use</t>
        </is>
      </c>
    </row>
    <row r="15">
      <c r="A15" s="22" t="inlineStr">
        <is>
          <t>Weight for relevance</t>
        </is>
      </c>
      <c r="B15" s="18" t="n"/>
      <c r="C15" s="23" t="n">
        <v>2</v>
      </c>
      <c r="D15" s="24">
        <f>IF(ISNUMBER(B15),B15,C15)</f>
        <v/>
      </c>
    </row>
    <row r="16">
      <c r="A16" s="22" t="inlineStr">
        <is>
          <t>Weight for clarity</t>
        </is>
      </c>
      <c r="B16" s="18" t="n"/>
      <c r="C16" s="23" t="n">
        <v>1</v>
      </c>
      <c r="D16" s="24">
        <f>IF(ISNUMBER(B16),B16,C16)</f>
        <v/>
      </c>
    </row>
    <row r="17">
      <c r="A17" s="22" t="inlineStr">
        <is>
          <t>Weight for speaker fit</t>
        </is>
      </c>
      <c r="B17" s="18" t="n"/>
      <c r="C17" s="23" t="n">
        <v>1</v>
      </c>
      <c r="D17" s="24">
        <f>IF(ISNUMBER(B17),B17,C17)</f>
        <v/>
      </c>
    </row>
    <row r="19">
      <c r="A19" s="14" t="inlineStr">
        <is>
          <t>Relevance, clarity and speaker fit are each scored 1 to 5 on the Review tab.</t>
        </is>
      </c>
    </row>
  </sheetData>
  <dataValidations count="1">
    <dataValidation sqref="B4" showDropDown="0" showInputMessage="1" showErrorMessage="1" allowBlank="1" errorTitle="Blind review" error="Pick a value from the list. Yes or No." promptTitle="Blind review" prompt="Yes or No." type="list" errorStyle="warning">
      <formula1>Lists!$G$2:$G$3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AE30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38" customWidth="1" min="4" max="4"/>
    <col width="22" customWidth="1" min="5" max="5"/>
    <col width="16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2" customWidth="1" min="29" max="29"/>
    <col width="7" customWidth="1" min="30" max="30"/>
    <col width="9" customWidth="1" min="31" max="31"/>
  </cols>
  <sheetData>
    <row r="1">
      <c r="A1" s="15" t="inlineStr">
        <is>
          <t>Review: score each talk</t>
        </is>
      </c>
    </row>
    <row r="2">
      <c r="A2" s="25">
        <f>IF(Settings!$B$4="Yes","Blind review is on: names and companies are hidden. Change it on Settings.","Names are showing. Turn on Blind review on Settings to hide them.")</f>
        <v/>
      </c>
    </row>
    <row r="3">
      <c r="A3" s="26">
        <f>IF(COUNTIF(Submissions!$A$2:$A$301,"EXAMPLE*")&gt;0,"You are looking at EXAMPLE data. Clear A2 to AB11 on Submissions, G6 to U15 and AC6 to AC15 here, and the names on Settings, then paste your own.","")</f>
        <v/>
      </c>
    </row>
    <row r="4">
      <c r="G4" s="27">
        <f>IF(TRIM(Settings!$B$7)="","Reviewer 1",TRIM(Settings!$B$7))</f>
        <v/>
      </c>
      <c r="H4" s="28" t="n"/>
      <c r="I4" s="29" t="n"/>
      <c r="J4" s="27">
        <f>IF(TRIM(Settings!$B$8)="","Reviewer 2",TRIM(Settings!$B$8))</f>
        <v/>
      </c>
      <c r="K4" s="28" t="n"/>
      <c r="L4" s="29" t="n"/>
      <c r="M4" s="27">
        <f>IF(TRIM(Settings!$B$9)="","Reviewer 3",TRIM(Settings!$B$9))</f>
        <v/>
      </c>
      <c r="N4" s="28" t="n"/>
      <c r="O4" s="29" t="n"/>
      <c r="P4" s="27">
        <f>IF(TRIM(Settings!$B$10)="","Reviewer 4",TRIM(Settings!$B$10))</f>
        <v/>
      </c>
      <c r="Q4" s="28" t="n"/>
      <c r="R4" s="29" t="n"/>
      <c r="S4" s="27">
        <f>IF(TRIM(Settings!$B$11)="","Reviewer 5",TRIM(Settings!$B$11))</f>
        <v/>
      </c>
      <c r="T4" s="28" t="n"/>
      <c r="U4" s="29" t="n"/>
    </row>
    <row r="5" ht="46" customHeight="1">
      <c r="A5" s="3" t="inlineStr">
        <is>
          <t>No.</t>
        </is>
      </c>
      <c r="B5" s="3" t="inlineStr">
        <is>
          <t>Speaker</t>
        </is>
      </c>
      <c r="C5" s="3" t="inlineStr">
        <is>
          <t>Company</t>
        </is>
      </c>
      <c r="D5" s="3" t="inlineStr">
        <is>
          <t>Talk title</t>
        </is>
      </c>
      <c r="E5" s="3" t="inlineStr">
        <is>
          <t>Format</t>
        </is>
      </c>
      <c r="F5" s="3" t="inlineStr">
        <is>
          <t>Pitched at</t>
        </is>
      </c>
      <c r="G5" s="27" t="inlineStr">
        <is>
          <t>Relevance</t>
        </is>
      </c>
      <c r="H5" s="27" t="inlineStr">
        <is>
          <t>Clarity</t>
        </is>
      </c>
      <c r="I5" s="27" t="inlineStr">
        <is>
          <t>Speaker fit</t>
        </is>
      </c>
      <c r="J5" s="27" t="inlineStr">
        <is>
          <t>Relevance</t>
        </is>
      </c>
      <c r="K5" s="27" t="inlineStr">
        <is>
          <t>Clarity</t>
        </is>
      </c>
      <c r="L5" s="27" t="inlineStr">
        <is>
          <t>Speaker fit</t>
        </is>
      </c>
      <c r="M5" s="27" t="inlineStr">
        <is>
          <t>Relevance</t>
        </is>
      </c>
      <c r="N5" s="27" t="inlineStr">
        <is>
          <t>Clarity</t>
        </is>
      </c>
      <c r="O5" s="27" t="inlineStr">
        <is>
          <t>Speaker fit</t>
        </is>
      </c>
      <c r="P5" s="27" t="inlineStr">
        <is>
          <t>Relevance</t>
        </is>
      </c>
      <c r="Q5" s="27" t="inlineStr">
        <is>
          <t>Clarity</t>
        </is>
      </c>
      <c r="R5" s="27" t="inlineStr">
        <is>
          <t>Speaker fit</t>
        </is>
      </c>
      <c r="S5" s="27" t="inlineStr">
        <is>
          <t>Relevance</t>
        </is>
      </c>
      <c r="T5" s="27" t="inlineStr">
        <is>
          <t>Clarity</t>
        </is>
      </c>
      <c r="U5" s="27" t="inlineStr">
        <is>
          <t>Speaker fit</t>
        </is>
      </c>
      <c r="V5" s="30">
        <f>"Score: "&amp;G4</f>
        <v/>
      </c>
      <c r="W5" s="30">
        <f>"Score: "&amp;J4</f>
        <v/>
      </c>
      <c r="X5" s="30">
        <f>"Score: "&amp;M4</f>
        <v/>
      </c>
      <c r="Y5" s="30">
        <f>"Score: "&amp;P4</f>
        <v/>
      </c>
      <c r="Z5" s="30">
        <f>"Score: "&amp;S4</f>
        <v/>
      </c>
      <c r="AA5" s="30" t="inlineStr">
        <is>
          <t>Average score</t>
        </is>
      </c>
      <c r="AB5" s="30" t="inlineStr">
        <is>
          <t>Reviewers who scored</t>
        </is>
      </c>
      <c r="AC5" s="27" t="inlineStr">
        <is>
          <t>Status</t>
        </is>
      </c>
      <c r="AD5" s="30" t="inlineStr">
        <is>
          <t>Rank</t>
        </is>
      </c>
      <c r="AE5" s="30" t="inlineStr">
        <is>
          <t>Rank in format</t>
        </is>
      </c>
    </row>
    <row r="6">
      <c r="A6" s="31">
        <f>IF(Submissions!AD2="","",1)</f>
        <v/>
      </c>
      <c r="B6" s="10">
        <f>IF($A6="","",IF(Settings!$B$4="Yes","Submission "&amp;$A6,Submissions!AD2))</f>
        <v/>
      </c>
      <c r="C6" s="31">
        <f>IF($A6="","",IF(Settings!$B$4="Yes","(hidden)",Submissions!AE2))</f>
        <v/>
      </c>
      <c r="D6" s="31">
        <f>IF($A6="","",Submissions!AF2)</f>
        <v/>
      </c>
      <c r="E6" s="31">
        <f>IF($A6="","",Submissions!AG2)</f>
        <v/>
      </c>
      <c r="F6" s="31">
        <f>IF($A6="","",Submissions!AH2)</f>
        <v/>
      </c>
      <c r="G6" s="32" t="n">
        <v>5</v>
      </c>
      <c r="H6" s="32" t="n">
        <v>4</v>
      </c>
      <c r="I6" s="32" t="n">
        <v>4</v>
      </c>
      <c r="J6" s="32" t="n">
        <v>4</v>
      </c>
      <c r="K6" s="32" t="n">
        <v>4</v>
      </c>
      <c r="L6" s="32" t="n">
        <v>5</v>
      </c>
      <c r="M6" s="32" t="n">
        <v>5</v>
      </c>
      <c r="N6" s="32" t="n">
        <v>5</v>
      </c>
      <c r="O6" s="32" t="n">
        <v>4</v>
      </c>
      <c r="P6" s="32" t="n"/>
      <c r="Q6" s="32" t="n"/>
      <c r="R6" s="32" t="n"/>
      <c r="S6" s="32" t="n"/>
      <c r="T6" s="32" t="n"/>
      <c r="U6" s="32" t="n"/>
      <c r="V6" s="33">
        <f>IF(COUNT(G6:I6)=3,IFERROR(ROUND((G6*Settings!$D$15+H6*Settings!$D$16+I6*Settings!$D$17)/(Settings!$D$15+Settings!$D$16+Settings!$D$17),2),""),"")</f>
        <v/>
      </c>
      <c r="W6" s="33">
        <f>IF(COUNT(J6:L6)=3,IFERROR(ROUND((J6*Settings!$D$15+K6*Settings!$D$16+L6*Settings!$D$17)/(Settings!$D$15+Settings!$D$16+Settings!$D$17),2),""),"")</f>
        <v/>
      </c>
      <c r="X6" s="33">
        <f>IF(COUNT(M6:O6)=3,IFERROR(ROUND((M6*Settings!$D$15+N6*Settings!$D$16+O6*Settings!$D$17)/(Settings!$D$15+Settings!$D$16+Settings!$D$17),2),""),"")</f>
        <v/>
      </c>
      <c r="Y6" s="33">
        <f>IF(COUNT(P6:R6)=3,IFERROR(ROUND((P6*Settings!$D$15+Q6*Settings!$D$16+R6*Settings!$D$17)/(Settings!$D$15+Settings!$D$16+Settings!$D$17),2),""),"")</f>
        <v/>
      </c>
      <c r="Z6" s="33">
        <f>IF(COUNT(S6:U6)=3,IFERROR(ROUND((S6*Settings!$D$15+T6*Settings!$D$16+U6*Settings!$D$17)/(Settings!$D$15+Settings!$D$16+Settings!$D$17),2),""),"")</f>
        <v/>
      </c>
      <c r="AA6" s="34">
        <f>IF(COUNT(V6:Z6)=0,"",ROUND(AVERAGE(V6:Z6),2))</f>
        <v/>
      </c>
      <c r="AB6" s="35">
        <f>IF($A6="","",COUNT(V6:Z6))</f>
        <v/>
      </c>
      <c r="AC6" s="36" t="inlineStr">
        <is>
          <t>Accept</t>
        </is>
      </c>
      <c r="AD6" s="35">
        <f>IF(AA6="","",SUMPRODUCT(ISNUMBER($AA$6:$AA$305)*($AA$6:$AA$305&gt;AA6))+SUMPRODUCT(($AA$6:AA6=AA6)*1))</f>
        <v/>
      </c>
      <c r="AE6" s="35">
        <f>IF(AA6="","",SUMPRODUCT(($E$6:$E$305=E6)*ISNUMBER($AA$6:$AA$305)*($AA$6:$AA$305&gt;AA6))+SUMPRODUCT(($E$6:E6=E6)*($AA$6:AA6=AA6)))</f>
        <v/>
      </c>
    </row>
    <row r="7">
      <c r="A7" s="31">
        <f>IF(Submissions!AD3="","",2)</f>
        <v/>
      </c>
      <c r="B7" s="10">
        <f>IF($A7="","",IF(Settings!$B$4="Yes","Submission "&amp;$A7,Submissions!AD3))</f>
        <v/>
      </c>
      <c r="C7" s="31">
        <f>IF($A7="","",IF(Settings!$B$4="Yes","(hidden)",Submissions!AE3))</f>
        <v/>
      </c>
      <c r="D7" s="31">
        <f>IF($A7="","",Submissions!AF3)</f>
        <v/>
      </c>
      <c r="E7" s="31">
        <f>IF($A7="","",Submissions!AG3)</f>
        <v/>
      </c>
      <c r="F7" s="31">
        <f>IF($A7="","",Submissions!AH3)</f>
        <v/>
      </c>
      <c r="G7" s="32" t="n">
        <v>4</v>
      </c>
      <c r="H7" s="32" t="n">
        <v>5</v>
      </c>
      <c r="I7" s="32" t="n">
        <v>4</v>
      </c>
      <c r="J7" s="32" t="n">
        <v>4</v>
      </c>
      <c r="K7" s="32" t="n">
        <v>4</v>
      </c>
      <c r="L7" s="32" t="n">
        <v>4</v>
      </c>
      <c r="M7" s="32" t="n">
        <v>3</v>
      </c>
      <c r="N7" s="32" t="n">
        <v>5</v>
      </c>
      <c r="O7" s="32" t="n">
        <v>4</v>
      </c>
      <c r="P7" s="32" t="n"/>
      <c r="Q7" s="32" t="n"/>
      <c r="R7" s="32" t="n"/>
      <c r="S7" s="32" t="n"/>
      <c r="T7" s="32" t="n"/>
      <c r="U7" s="32" t="n"/>
      <c r="V7" s="33">
        <f>IF(COUNT(G7:I7)=3,IFERROR(ROUND((G7*Settings!$D$15+H7*Settings!$D$16+I7*Settings!$D$17)/(Settings!$D$15+Settings!$D$16+Settings!$D$17),2),""),"")</f>
        <v/>
      </c>
      <c r="W7" s="33">
        <f>IF(COUNT(J7:L7)=3,IFERROR(ROUND((J7*Settings!$D$15+K7*Settings!$D$16+L7*Settings!$D$17)/(Settings!$D$15+Settings!$D$16+Settings!$D$17),2),""),"")</f>
        <v/>
      </c>
      <c r="X7" s="33">
        <f>IF(COUNT(M7:O7)=3,IFERROR(ROUND((M7*Settings!$D$15+N7*Settings!$D$16+O7*Settings!$D$17)/(Settings!$D$15+Settings!$D$16+Settings!$D$17),2),""),"")</f>
        <v/>
      </c>
      <c r="Y7" s="33">
        <f>IF(COUNT(P7:R7)=3,IFERROR(ROUND((P7*Settings!$D$15+Q7*Settings!$D$16+R7*Settings!$D$17)/(Settings!$D$15+Settings!$D$16+Settings!$D$17),2),""),"")</f>
        <v/>
      </c>
      <c r="Z7" s="33">
        <f>IF(COUNT(S7:U7)=3,IFERROR(ROUND((S7*Settings!$D$15+T7*Settings!$D$16+U7*Settings!$D$17)/(Settings!$D$15+Settings!$D$16+Settings!$D$17),2),""),"")</f>
        <v/>
      </c>
      <c r="AA7" s="34">
        <f>IF(COUNT(V7:Z7)=0,"",ROUND(AVERAGE(V7:Z7),2))</f>
        <v/>
      </c>
      <c r="AB7" s="35">
        <f>IF($A7="","",COUNT(V7:Z7))</f>
        <v/>
      </c>
      <c r="AC7" s="36" t="inlineStr">
        <is>
          <t>Shortlist</t>
        </is>
      </c>
      <c r="AD7" s="35">
        <f>IF(AA7="","",SUMPRODUCT(ISNUMBER($AA$6:$AA$305)*($AA$6:$AA$305&gt;AA7))+SUMPRODUCT(($AA$6:AA7=AA7)*1))</f>
        <v/>
      </c>
      <c r="AE7" s="35">
        <f>IF(AA7="","",SUMPRODUCT(($E$6:$E$305=E7)*ISNUMBER($AA$6:$AA$305)*($AA$6:$AA$305&gt;AA7))+SUMPRODUCT(($E$6:E7=E7)*($AA$6:AA7=AA7)))</f>
        <v/>
      </c>
    </row>
    <row r="8">
      <c r="A8" s="31">
        <f>IF(Submissions!AD4="","",3)</f>
        <v/>
      </c>
      <c r="B8" s="10">
        <f>IF($A8="","",IF(Settings!$B$4="Yes","Submission "&amp;$A8,Submissions!AD4))</f>
        <v/>
      </c>
      <c r="C8" s="31">
        <f>IF($A8="","",IF(Settings!$B$4="Yes","(hidden)",Submissions!AE4))</f>
        <v/>
      </c>
      <c r="D8" s="31">
        <f>IF($A8="","",Submissions!AF4)</f>
        <v/>
      </c>
      <c r="E8" s="31">
        <f>IF($A8="","",Submissions!AG4)</f>
        <v/>
      </c>
      <c r="F8" s="31">
        <f>IF($A8="","",Submissions!AH4)</f>
        <v/>
      </c>
      <c r="G8" s="32" t="n">
        <v>5</v>
      </c>
      <c r="H8" s="32" t="n">
        <v>5</v>
      </c>
      <c r="I8" s="32" t="n">
        <v>5</v>
      </c>
      <c r="J8" s="32" t="n">
        <v>5</v>
      </c>
      <c r="K8" s="32" t="n">
        <v>4</v>
      </c>
      <c r="L8" s="32" t="n">
        <v>4</v>
      </c>
      <c r="M8" s="32" t="n">
        <v>4</v>
      </c>
      <c r="N8" s="32" t="n">
        <v>4</v>
      </c>
      <c r="O8" s="32" t="n">
        <v>5</v>
      </c>
      <c r="P8" s="32" t="n"/>
      <c r="Q8" s="32" t="n"/>
      <c r="R8" s="32" t="n"/>
      <c r="S8" s="32" t="n"/>
      <c r="T8" s="32" t="n"/>
      <c r="U8" s="32" t="n"/>
      <c r="V8" s="33">
        <f>IF(COUNT(G8:I8)=3,IFERROR(ROUND((G8*Settings!$D$15+H8*Settings!$D$16+I8*Settings!$D$17)/(Settings!$D$15+Settings!$D$16+Settings!$D$17),2),""),"")</f>
        <v/>
      </c>
      <c r="W8" s="33">
        <f>IF(COUNT(J8:L8)=3,IFERROR(ROUND((J8*Settings!$D$15+K8*Settings!$D$16+L8*Settings!$D$17)/(Settings!$D$15+Settings!$D$16+Settings!$D$17),2),""),"")</f>
        <v/>
      </c>
      <c r="X8" s="33">
        <f>IF(COUNT(M8:O8)=3,IFERROR(ROUND((M8*Settings!$D$15+N8*Settings!$D$16+O8*Settings!$D$17)/(Settings!$D$15+Settings!$D$16+Settings!$D$17),2),""),"")</f>
        <v/>
      </c>
      <c r="Y8" s="33">
        <f>IF(COUNT(P8:R8)=3,IFERROR(ROUND((P8*Settings!$D$15+Q8*Settings!$D$16+R8*Settings!$D$17)/(Settings!$D$15+Settings!$D$16+Settings!$D$17),2),""),"")</f>
        <v/>
      </c>
      <c r="Z8" s="33">
        <f>IF(COUNT(S8:U8)=3,IFERROR(ROUND((S8*Settings!$D$15+T8*Settings!$D$16+U8*Settings!$D$17)/(Settings!$D$15+Settings!$D$16+Settings!$D$17),2),""),"")</f>
        <v/>
      </c>
      <c r="AA8" s="34">
        <f>IF(COUNT(V8:Z8)=0,"",ROUND(AVERAGE(V8:Z8),2))</f>
        <v/>
      </c>
      <c r="AB8" s="35">
        <f>IF($A8="","",COUNT(V8:Z8))</f>
        <v/>
      </c>
      <c r="AC8" s="36" t="inlineStr">
        <is>
          <t>Accept</t>
        </is>
      </c>
      <c r="AD8" s="35">
        <f>IF(AA8="","",SUMPRODUCT(ISNUMBER($AA$6:$AA$305)*($AA$6:$AA$305&gt;AA8))+SUMPRODUCT(($AA$6:AA8=AA8)*1))</f>
        <v/>
      </c>
      <c r="AE8" s="35">
        <f>IF(AA8="","",SUMPRODUCT(($E$6:$E$305=E8)*ISNUMBER($AA$6:$AA$305)*($AA$6:$AA$305&gt;AA8))+SUMPRODUCT(($E$6:E8=E8)*($AA$6:AA8=AA8)))</f>
        <v/>
      </c>
    </row>
    <row r="9">
      <c r="A9" s="31">
        <f>IF(Submissions!AD5="","",4)</f>
        <v/>
      </c>
      <c r="B9" s="10">
        <f>IF($A9="","",IF(Settings!$B$4="Yes","Submission "&amp;$A9,Submissions!AD5))</f>
        <v/>
      </c>
      <c r="C9" s="31">
        <f>IF($A9="","",IF(Settings!$B$4="Yes","(hidden)",Submissions!AE5))</f>
        <v/>
      </c>
      <c r="D9" s="31">
        <f>IF($A9="","",Submissions!AF5)</f>
        <v/>
      </c>
      <c r="E9" s="31">
        <f>IF($A9="","",Submissions!AG5)</f>
        <v/>
      </c>
      <c r="F9" s="31">
        <f>IF($A9="","",Submissions!AH5)</f>
        <v/>
      </c>
      <c r="G9" s="32" t="n">
        <v>3</v>
      </c>
      <c r="H9" s="32" t="n">
        <v>3</v>
      </c>
      <c r="I9" s="32" t="n">
        <v>4</v>
      </c>
      <c r="J9" s="32" t="n">
        <v>4</v>
      </c>
      <c r="K9" s="32" t="n">
        <v>3</v>
      </c>
      <c r="L9" s="32" t="n">
        <v>3</v>
      </c>
      <c r="M9" s="32" t="n">
        <v>3</v>
      </c>
      <c r="N9" s="32" t="n">
        <v>4</v>
      </c>
      <c r="O9" s="32" t="n">
        <v>3</v>
      </c>
      <c r="P9" s="32" t="n"/>
      <c r="Q9" s="32" t="n"/>
      <c r="R9" s="32" t="n"/>
      <c r="S9" s="32" t="n"/>
      <c r="T9" s="32" t="n"/>
      <c r="U9" s="32" t="n"/>
      <c r="V9" s="33">
        <f>IF(COUNT(G9:I9)=3,IFERROR(ROUND((G9*Settings!$D$15+H9*Settings!$D$16+I9*Settings!$D$17)/(Settings!$D$15+Settings!$D$16+Settings!$D$17),2),""),"")</f>
        <v/>
      </c>
      <c r="W9" s="33">
        <f>IF(COUNT(J9:L9)=3,IFERROR(ROUND((J9*Settings!$D$15+K9*Settings!$D$16+L9*Settings!$D$17)/(Settings!$D$15+Settings!$D$16+Settings!$D$17),2),""),"")</f>
        <v/>
      </c>
      <c r="X9" s="33">
        <f>IF(COUNT(M9:O9)=3,IFERROR(ROUND((M9*Settings!$D$15+N9*Settings!$D$16+O9*Settings!$D$17)/(Settings!$D$15+Settings!$D$16+Settings!$D$17),2),""),"")</f>
        <v/>
      </c>
      <c r="Y9" s="33">
        <f>IF(COUNT(P9:R9)=3,IFERROR(ROUND((P9*Settings!$D$15+Q9*Settings!$D$16+R9*Settings!$D$17)/(Settings!$D$15+Settings!$D$16+Settings!$D$17),2),""),"")</f>
        <v/>
      </c>
      <c r="Z9" s="33">
        <f>IF(COUNT(S9:U9)=3,IFERROR(ROUND((S9*Settings!$D$15+T9*Settings!$D$16+U9*Settings!$D$17)/(Settings!$D$15+Settings!$D$16+Settings!$D$17),2),""),"")</f>
        <v/>
      </c>
      <c r="AA9" s="34">
        <f>IF(COUNT(V9:Z9)=0,"",ROUND(AVERAGE(V9:Z9),2))</f>
        <v/>
      </c>
      <c r="AB9" s="35">
        <f>IF($A9="","",COUNT(V9:Z9))</f>
        <v/>
      </c>
      <c r="AC9" s="36" t="inlineStr">
        <is>
          <t>Waiting</t>
        </is>
      </c>
      <c r="AD9" s="35">
        <f>IF(AA9="","",SUMPRODUCT(ISNUMBER($AA$6:$AA$305)*($AA$6:$AA$305&gt;AA9))+SUMPRODUCT(($AA$6:AA9=AA9)*1))</f>
        <v/>
      </c>
      <c r="AE9" s="35">
        <f>IF(AA9="","",SUMPRODUCT(($E$6:$E$305=E9)*ISNUMBER($AA$6:$AA$305)*($AA$6:$AA$305&gt;AA9))+SUMPRODUCT(($E$6:E9=E9)*($AA$6:AA9=AA9)))</f>
        <v/>
      </c>
    </row>
    <row r="10">
      <c r="A10" s="31">
        <f>IF(Submissions!AD6="","",5)</f>
        <v/>
      </c>
      <c r="B10" s="10">
        <f>IF($A10="","",IF(Settings!$B$4="Yes","Submission "&amp;$A10,Submissions!AD6))</f>
        <v/>
      </c>
      <c r="C10" s="31">
        <f>IF($A10="","",IF(Settings!$B$4="Yes","(hidden)",Submissions!AE6))</f>
        <v/>
      </c>
      <c r="D10" s="31">
        <f>IF($A10="","",Submissions!AF6)</f>
        <v/>
      </c>
      <c r="E10" s="31">
        <f>IF($A10="","",Submissions!AG6)</f>
        <v/>
      </c>
      <c r="F10" s="31">
        <f>IF($A10="","",Submissions!AH6)</f>
        <v/>
      </c>
      <c r="G10" s="32" t="n">
        <v>4</v>
      </c>
      <c r="H10" s="32" t="n">
        <v>3</v>
      </c>
      <c r="I10" s="32" t="n">
        <v>5</v>
      </c>
      <c r="J10" s="32" t="n">
        <v>3</v>
      </c>
      <c r="K10" s="32" t="n">
        <v>4</v>
      </c>
      <c r="L10" s="32" t="n">
        <v>4</v>
      </c>
      <c r="M10" s="32" t="n"/>
      <c r="N10" s="32" t="n"/>
      <c r="O10" s="32" t="n"/>
      <c r="P10" s="32" t="n"/>
      <c r="Q10" s="32" t="n"/>
      <c r="R10" s="32" t="n"/>
      <c r="S10" s="32" t="n"/>
      <c r="T10" s="32" t="n"/>
      <c r="U10" s="32" t="n"/>
      <c r="V10" s="33">
        <f>IF(COUNT(G10:I10)=3,IFERROR(ROUND((G10*Settings!$D$15+H10*Settings!$D$16+I10*Settings!$D$17)/(Settings!$D$15+Settings!$D$16+Settings!$D$17),2),""),"")</f>
        <v/>
      </c>
      <c r="W10" s="33">
        <f>IF(COUNT(J10:L10)=3,IFERROR(ROUND((J10*Settings!$D$15+K10*Settings!$D$16+L10*Settings!$D$17)/(Settings!$D$15+Settings!$D$16+Settings!$D$17),2),""),"")</f>
        <v/>
      </c>
      <c r="X10" s="33">
        <f>IF(COUNT(M10:O10)=3,IFERROR(ROUND((M10*Settings!$D$15+N10*Settings!$D$16+O10*Settings!$D$17)/(Settings!$D$15+Settings!$D$16+Settings!$D$17),2),""),"")</f>
        <v/>
      </c>
      <c r="Y10" s="33">
        <f>IF(COUNT(P10:R10)=3,IFERROR(ROUND((P10*Settings!$D$15+Q10*Settings!$D$16+R10*Settings!$D$17)/(Settings!$D$15+Settings!$D$16+Settings!$D$17),2),""),"")</f>
        <v/>
      </c>
      <c r="Z10" s="33">
        <f>IF(COUNT(S10:U10)=3,IFERROR(ROUND((S10*Settings!$D$15+T10*Settings!$D$16+U10*Settings!$D$17)/(Settings!$D$15+Settings!$D$16+Settings!$D$17),2),""),"")</f>
        <v/>
      </c>
      <c r="AA10" s="34">
        <f>IF(COUNT(V10:Z10)=0,"",ROUND(AVERAGE(V10:Z10),2))</f>
        <v/>
      </c>
      <c r="AB10" s="35">
        <f>IF($A10="","",COUNT(V10:Z10))</f>
        <v/>
      </c>
      <c r="AC10" s="36" t="inlineStr">
        <is>
          <t>Shortlist</t>
        </is>
      </c>
      <c r="AD10" s="35">
        <f>IF(AA10="","",SUMPRODUCT(ISNUMBER($AA$6:$AA$305)*($AA$6:$AA$305&gt;AA10))+SUMPRODUCT(($AA$6:AA10=AA10)*1))</f>
        <v/>
      </c>
      <c r="AE10" s="35">
        <f>IF(AA10="","",SUMPRODUCT(($E$6:$E$305=E10)*ISNUMBER($AA$6:$AA$305)*($AA$6:$AA$305&gt;AA10))+SUMPRODUCT(($E$6:E10=E10)*($AA$6:AA10=AA10)))</f>
        <v/>
      </c>
    </row>
    <row r="11">
      <c r="A11" s="31">
        <f>IF(Submissions!AD7="","",6)</f>
        <v/>
      </c>
      <c r="B11" s="10">
        <f>IF($A11="","",IF(Settings!$B$4="Yes","Submission "&amp;$A11,Submissions!AD7))</f>
        <v/>
      </c>
      <c r="C11" s="31">
        <f>IF($A11="","",IF(Settings!$B$4="Yes","(hidden)",Submissions!AE7))</f>
        <v/>
      </c>
      <c r="D11" s="31">
        <f>IF($A11="","",Submissions!AF7)</f>
        <v/>
      </c>
      <c r="E11" s="31">
        <f>IF($A11="","",Submissions!AG7)</f>
        <v/>
      </c>
      <c r="F11" s="31">
        <f>IF($A11="","",Submissions!AH7)</f>
        <v/>
      </c>
      <c r="G11" s="32" t="n">
        <v>2</v>
      </c>
      <c r="H11" s="32" t="n">
        <v>3</v>
      </c>
      <c r="I11" s="32" t="n">
        <v>3</v>
      </c>
      <c r="J11" s="32" t="n">
        <v>3</v>
      </c>
      <c r="K11" s="32" t="n">
        <v>3</v>
      </c>
      <c r="L11" s="32" t="n">
        <v>2</v>
      </c>
      <c r="M11" s="32" t="n">
        <v>2</v>
      </c>
      <c r="N11" s="32" t="n">
        <v>2</v>
      </c>
      <c r="O11" s="32" t="n">
        <v>3</v>
      </c>
      <c r="P11" s="32" t="n"/>
      <c r="Q11" s="32" t="n"/>
      <c r="R11" s="32" t="n"/>
      <c r="S11" s="32" t="n"/>
      <c r="T11" s="32" t="n"/>
      <c r="U11" s="32" t="n"/>
      <c r="V11" s="33">
        <f>IF(COUNT(G11:I11)=3,IFERROR(ROUND((G11*Settings!$D$15+H11*Settings!$D$16+I11*Settings!$D$17)/(Settings!$D$15+Settings!$D$16+Settings!$D$17),2),""),"")</f>
        <v/>
      </c>
      <c r="W11" s="33">
        <f>IF(COUNT(J11:L11)=3,IFERROR(ROUND((J11*Settings!$D$15+K11*Settings!$D$16+L11*Settings!$D$17)/(Settings!$D$15+Settings!$D$16+Settings!$D$17),2),""),"")</f>
        <v/>
      </c>
      <c r="X11" s="33">
        <f>IF(COUNT(M11:O11)=3,IFERROR(ROUND((M11*Settings!$D$15+N11*Settings!$D$16+O11*Settings!$D$17)/(Settings!$D$15+Settings!$D$16+Settings!$D$17),2),""),"")</f>
        <v/>
      </c>
      <c r="Y11" s="33">
        <f>IF(COUNT(P11:R11)=3,IFERROR(ROUND((P11*Settings!$D$15+Q11*Settings!$D$16+R11*Settings!$D$17)/(Settings!$D$15+Settings!$D$16+Settings!$D$17),2),""),"")</f>
        <v/>
      </c>
      <c r="Z11" s="33">
        <f>IF(COUNT(S11:U11)=3,IFERROR(ROUND((S11*Settings!$D$15+T11*Settings!$D$16+U11*Settings!$D$17)/(Settings!$D$15+Settings!$D$16+Settings!$D$17),2),""),"")</f>
        <v/>
      </c>
      <c r="AA11" s="34">
        <f>IF(COUNT(V11:Z11)=0,"",ROUND(AVERAGE(V11:Z11),2))</f>
        <v/>
      </c>
      <c r="AB11" s="35">
        <f>IF($A11="","",COUNT(V11:Z11))</f>
        <v/>
      </c>
      <c r="AC11" s="36" t="inlineStr">
        <is>
          <t>Decline</t>
        </is>
      </c>
      <c r="AD11" s="35">
        <f>IF(AA11="","",SUMPRODUCT(ISNUMBER($AA$6:$AA$305)*($AA$6:$AA$305&gt;AA11))+SUMPRODUCT(($AA$6:AA11=AA11)*1))</f>
        <v/>
      </c>
      <c r="AE11" s="35">
        <f>IF(AA11="","",SUMPRODUCT(($E$6:$E$305=E11)*ISNUMBER($AA$6:$AA$305)*($AA$6:$AA$305&gt;AA11))+SUMPRODUCT(($E$6:E11=E11)*($AA$6:AA11=AA11)))</f>
        <v/>
      </c>
    </row>
    <row r="12">
      <c r="A12" s="31">
        <f>IF(Submissions!AD8="","",7)</f>
        <v/>
      </c>
      <c r="B12" s="10">
        <f>IF($A12="","",IF(Settings!$B$4="Yes","Submission "&amp;$A12,Submissions!AD8))</f>
        <v/>
      </c>
      <c r="C12" s="31">
        <f>IF($A12="","",IF(Settings!$B$4="Yes","(hidden)",Submissions!AE8))</f>
        <v/>
      </c>
      <c r="D12" s="31">
        <f>IF($A12="","",Submissions!AF8)</f>
        <v/>
      </c>
      <c r="E12" s="31">
        <f>IF($A12="","",Submissions!AG8)</f>
        <v/>
      </c>
      <c r="F12" s="31">
        <f>IF($A12="","",Submissions!AH8)</f>
        <v/>
      </c>
      <c r="G12" s="32" t="n">
        <v>4</v>
      </c>
      <c r="H12" s="32" t="n">
        <v>4</v>
      </c>
      <c r="I12" s="32" t="n">
        <v>3</v>
      </c>
      <c r="J12" s="32" t="n"/>
      <c r="K12" s="32" t="n"/>
      <c r="L12" s="32" t="n"/>
      <c r="M12" s="32" t="n"/>
      <c r="N12" s="32" t="n"/>
      <c r="O12" s="32" t="n"/>
      <c r="P12" s="32" t="n"/>
      <c r="Q12" s="32" t="n"/>
      <c r="R12" s="32" t="n"/>
      <c r="S12" s="32" t="n"/>
      <c r="T12" s="32" t="n"/>
      <c r="U12" s="32" t="n"/>
      <c r="V12" s="33">
        <f>IF(COUNT(G12:I12)=3,IFERROR(ROUND((G12*Settings!$D$15+H12*Settings!$D$16+I12*Settings!$D$17)/(Settings!$D$15+Settings!$D$16+Settings!$D$17),2),""),"")</f>
        <v/>
      </c>
      <c r="W12" s="33">
        <f>IF(COUNT(J12:L12)=3,IFERROR(ROUND((J12*Settings!$D$15+K12*Settings!$D$16+L12*Settings!$D$17)/(Settings!$D$15+Settings!$D$16+Settings!$D$17),2),""),"")</f>
        <v/>
      </c>
      <c r="X12" s="33">
        <f>IF(COUNT(M12:O12)=3,IFERROR(ROUND((M12*Settings!$D$15+N12*Settings!$D$16+O12*Settings!$D$17)/(Settings!$D$15+Settings!$D$16+Settings!$D$17),2),""),"")</f>
        <v/>
      </c>
      <c r="Y12" s="33">
        <f>IF(COUNT(P12:R12)=3,IFERROR(ROUND((P12*Settings!$D$15+Q12*Settings!$D$16+R12*Settings!$D$17)/(Settings!$D$15+Settings!$D$16+Settings!$D$17),2),""),"")</f>
        <v/>
      </c>
      <c r="Z12" s="33">
        <f>IF(COUNT(S12:U12)=3,IFERROR(ROUND((S12*Settings!$D$15+T12*Settings!$D$16+U12*Settings!$D$17)/(Settings!$D$15+Settings!$D$16+Settings!$D$17),2),""),"")</f>
        <v/>
      </c>
      <c r="AA12" s="34">
        <f>IF(COUNT(V12:Z12)=0,"",ROUND(AVERAGE(V12:Z12),2))</f>
        <v/>
      </c>
      <c r="AB12" s="35">
        <f>IF($A12="","",COUNT(V12:Z12))</f>
        <v/>
      </c>
      <c r="AC12" s="36" t="n"/>
      <c r="AD12" s="35">
        <f>IF(AA12="","",SUMPRODUCT(ISNUMBER($AA$6:$AA$305)*($AA$6:$AA$305&gt;AA12))+SUMPRODUCT(($AA$6:AA12=AA12)*1))</f>
        <v/>
      </c>
      <c r="AE12" s="35">
        <f>IF(AA12="","",SUMPRODUCT(($E$6:$E$305=E12)*ISNUMBER($AA$6:$AA$305)*($AA$6:$AA$305&gt;AA12))+SUMPRODUCT(($E$6:E12=E12)*($AA$6:AA12=AA12)))</f>
        <v/>
      </c>
    </row>
    <row r="13">
      <c r="A13" s="31">
        <f>IF(Submissions!AD9="","",8)</f>
        <v/>
      </c>
      <c r="B13" s="10">
        <f>IF($A13="","",IF(Settings!$B$4="Yes","Submission "&amp;$A13,Submissions!AD9))</f>
        <v/>
      </c>
      <c r="C13" s="31">
        <f>IF($A13="","",IF(Settings!$B$4="Yes","(hidden)",Submissions!AE9))</f>
        <v/>
      </c>
      <c r="D13" s="31">
        <f>IF($A13="","",Submissions!AF9)</f>
        <v/>
      </c>
      <c r="E13" s="31">
        <f>IF($A13="","",Submissions!AG9)</f>
        <v/>
      </c>
      <c r="F13" s="31">
        <f>IF($A13="","",Submissions!AH9)</f>
        <v/>
      </c>
      <c r="G13" s="32" t="n">
        <v>3</v>
      </c>
      <c r="H13" s="32" t="n">
        <v>4</v>
      </c>
      <c r="I13" s="32" t="n">
        <v>4</v>
      </c>
      <c r="J13" s="32" t="n">
        <v>3</v>
      </c>
      <c r="K13" s="32" t="n">
        <v>3</v>
      </c>
      <c r="L13" s="32" t="n">
        <v>3</v>
      </c>
      <c r="M13" s="32" t="n">
        <v>4</v>
      </c>
      <c r="N13" s="32" t="n">
        <v>3</v>
      </c>
      <c r="O13" s="32" t="n">
        <v>3</v>
      </c>
      <c r="P13" s="32" t="n"/>
      <c r="Q13" s="32" t="n"/>
      <c r="R13" s="32" t="n"/>
      <c r="S13" s="32" t="n"/>
      <c r="T13" s="32" t="n"/>
      <c r="U13" s="32" t="n"/>
      <c r="V13" s="33">
        <f>IF(COUNT(G13:I13)=3,IFERROR(ROUND((G13*Settings!$D$15+H13*Settings!$D$16+I13*Settings!$D$17)/(Settings!$D$15+Settings!$D$16+Settings!$D$17),2),""),"")</f>
        <v/>
      </c>
      <c r="W13" s="33">
        <f>IF(COUNT(J13:L13)=3,IFERROR(ROUND((J13*Settings!$D$15+K13*Settings!$D$16+L13*Settings!$D$17)/(Settings!$D$15+Settings!$D$16+Settings!$D$17),2),""),"")</f>
        <v/>
      </c>
      <c r="X13" s="33">
        <f>IF(COUNT(M13:O13)=3,IFERROR(ROUND((M13*Settings!$D$15+N13*Settings!$D$16+O13*Settings!$D$17)/(Settings!$D$15+Settings!$D$16+Settings!$D$17),2),""),"")</f>
        <v/>
      </c>
      <c r="Y13" s="33">
        <f>IF(COUNT(P13:R13)=3,IFERROR(ROUND((P13*Settings!$D$15+Q13*Settings!$D$16+R13*Settings!$D$17)/(Settings!$D$15+Settings!$D$16+Settings!$D$17),2),""),"")</f>
        <v/>
      </c>
      <c r="Z13" s="33">
        <f>IF(COUNT(S13:U13)=3,IFERROR(ROUND((S13*Settings!$D$15+T13*Settings!$D$16+U13*Settings!$D$17)/(Settings!$D$15+Settings!$D$16+Settings!$D$17),2),""),"")</f>
        <v/>
      </c>
      <c r="AA13" s="34">
        <f>IF(COUNT(V13:Z13)=0,"",ROUND(AVERAGE(V13:Z13),2))</f>
        <v/>
      </c>
      <c r="AB13" s="35">
        <f>IF($A13="","",COUNT(V13:Z13))</f>
        <v/>
      </c>
      <c r="AC13" s="36" t="inlineStr">
        <is>
          <t>Waiting</t>
        </is>
      </c>
      <c r="AD13" s="35">
        <f>IF(AA13="","",SUMPRODUCT(ISNUMBER($AA$6:$AA$305)*($AA$6:$AA$305&gt;AA13))+SUMPRODUCT(($AA$6:AA13=AA13)*1))</f>
        <v/>
      </c>
      <c r="AE13" s="35">
        <f>IF(AA13="","",SUMPRODUCT(($E$6:$E$305=E13)*ISNUMBER($AA$6:$AA$305)*($AA$6:$AA$305&gt;AA13))+SUMPRODUCT(($E$6:E13=E13)*($AA$6:AA13=AA13)))</f>
        <v/>
      </c>
    </row>
    <row r="14">
      <c r="A14" s="31">
        <f>IF(Submissions!AD10="","",9)</f>
        <v/>
      </c>
      <c r="B14" s="10">
        <f>IF($A14="","",IF(Settings!$B$4="Yes","Submission "&amp;$A14,Submissions!AD10))</f>
        <v/>
      </c>
      <c r="C14" s="31">
        <f>IF($A14="","",IF(Settings!$B$4="Yes","(hidden)",Submissions!AE10))</f>
        <v/>
      </c>
      <c r="D14" s="31">
        <f>IF($A14="","",Submissions!AF10)</f>
        <v/>
      </c>
      <c r="E14" s="31">
        <f>IF($A14="","",Submissions!AG10)</f>
        <v/>
      </c>
      <c r="F14" s="31">
        <f>IF($A14="","",Submissions!AH10)</f>
        <v/>
      </c>
      <c r="G14" s="32" t="n">
        <v>5</v>
      </c>
      <c r="H14" s="32" t="n">
        <v>4</v>
      </c>
      <c r="I14" s="32" t="n">
        <v>3</v>
      </c>
      <c r="J14" s="32" t="n">
        <v>4</v>
      </c>
      <c r="K14" s="32" t="n">
        <v>4</v>
      </c>
      <c r="L14" s="32" t="n">
        <v>4</v>
      </c>
      <c r="M14" s="32" t="n">
        <v>4</v>
      </c>
      <c r="N14" s="32" t="n">
        <v>3</v>
      </c>
      <c r="O14" s="32" t="n">
        <v>4</v>
      </c>
      <c r="P14" s="32" t="n"/>
      <c r="Q14" s="32" t="n"/>
      <c r="R14" s="32" t="n"/>
      <c r="S14" s="32" t="n"/>
      <c r="T14" s="32" t="n"/>
      <c r="U14" s="32" t="n"/>
      <c r="V14" s="33">
        <f>IF(COUNT(G14:I14)=3,IFERROR(ROUND((G14*Settings!$D$15+H14*Settings!$D$16+I14*Settings!$D$17)/(Settings!$D$15+Settings!$D$16+Settings!$D$17),2),""),"")</f>
        <v/>
      </c>
      <c r="W14" s="33">
        <f>IF(COUNT(J14:L14)=3,IFERROR(ROUND((J14*Settings!$D$15+K14*Settings!$D$16+L14*Settings!$D$17)/(Settings!$D$15+Settings!$D$16+Settings!$D$17),2),""),"")</f>
        <v/>
      </c>
      <c r="X14" s="33">
        <f>IF(COUNT(M14:O14)=3,IFERROR(ROUND((M14*Settings!$D$15+N14*Settings!$D$16+O14*Settings!$D$17)/(Settings!$D$15+Settings!$D$16+Settings!$D$17),2),""),"")</f>
        <v/>
      </c>
      <c r="Y14" s="33">
        <f>IF(COUNT(P14:R14)=3,IFERROR(ROUND((P14*Settings!$D$15+Q14*Settings!$D$16+R14*Settings!$D$17)/(Settings!$D$15+Settings!$D$16+Settings!$D$17),2),""),"")</f>
        <v/>
      </c>
      <c r="Z14" s="33">
        <f>IF(COUNT(S14:U14)=3,IFERROR(ROUND((S14*Settings!$D$15+T14*Settings!$D$16+U14*Settings!$D$17)/(Settings!$D$15+Settings!$D$16+Settings!$D$17),2),""),"")</f>
        <v/>
      </c>
      <c r="AA14" s="34">
        <f>IF(COUNT(V14:Z14)=0,"",ROUND(AVERAGE(V14:Z14),2))</f>
        <v/>
      </c>
      <c r="AB14" s="35">
        <f>IF($A14="","",COUNT(V14:Z14))</f>
        <v/>
      </c>
      <c r="AC14" s="36" t="inlineStr">
        <is>
          <t>Shortlist</t>
        </is>
      </c>
      <c r="AD14" s="35">
        <f>IF(AA14="","",SUMPRODUCT(ISNUMBER($AA$6:$AA$305)*($AA$6:$AA$305&gt;AA14))+SUMPRODUCT(($AA$6:AA14=AA14)*1))</f>
        <v/>
      </c>
      <c r="AE14" s="35">
        <f>IF(AA14="","",SUMPRODUCT(($E$6:$E$305=E14)*ISNUMBER($AA$6:$AA$305)*($AA$6:$AA$305&gt;AA14))+SUMPRODUCT(($E$6:E14=E14)*($AA$6:AA14=AA14)))</f>
        <v/>
      </c>
    </row>
    <row r="15">
      <c r="A15" s="31">
        <f>IF(Submissions!AD11="","",10)</f>
        <v/>
      </c>
      <c r="B15" s="10">
        <f>IF($A15="","",IF(Settings!$B$4="Yes","Submission "&amp;$A15,Submissions!AD11))</f>
        <v/>
      </c>
      <c r="C15" s="31">
        <f>IF($A15="","",IF(Settings!$B$4="Yes","(hidden)",Submissions!AE11))</f>
        <v/>
      </c>
      <c r="D15" s="31">
        <f>IF($A15="","",Submissions!AF11)</f>
        <v/>
      </c>
      <c r="E15" s="31">
        <f>IF($A15="","",Submissions!AG11)</f>
        <v/>
      </c>
      <c r="F15" s="31">
        <f>IF($A15="","",Submissions!AH11)</f>
        <v/>
      </c>
      <c r="G15" s="32" t="n"/>
      <c r="H15" s="32" t="n"/>
      <c r="I15" s="32" t="n"/>
      <c r="J15" s="32" t="n"/>
      <c r="K15" s="32" t="n"/>
      <c r="L15" s="32" t="n"/>
      <c r="M15" s="32" t="n"/>
      <c r="N15" s="32" t="n"/>
      <c r="O15" s="32" t="n"/>
      <c r="P15" s="32" t="n"/>
      <c r="Q15" s="32" t="n"/>
      <c r="R15" s="32" t="n"/>
      <c r="S15" s="32" t="n"/>
      <c r="T15" s="32" t="n"/>
      <c r="U15" s="32" t="n"/>
      <c r="V15" s="33">
        <f>IF(COUNT(G15:I15)=3,IFERROR(ROUND((G15*Settings!$D$15+H15*Settings!$D$16+I15*Settings!$D$17)/(Settings!$D$15+Settings!$D$16+Settings!$D$17),2),""),"")</f>
        <v/>
      </c>
      <c r="W15" s="33">
        <f>IF(COUNT(J15:L15)=3,IFERROR(ROUND((J15*Settings!$D$15+K15*Settings!$D$16+L15*Settings!$D$17)/(Settings!$D$15+Settings!$D$16+Settings!$D$17),2),""),"")</f>
        <v/>
      </c>
      <c r="X15" s="33">
        <f>IF(COUNT(M15:O15)=3,IFERROR(ROUND((M15*Settings!$D$15+N15*Settings!$D$16+O15*Settings!$D$17)/(Settings!$D$15+Settings!$D$16+Settings!$D$17),2),""),"")</f>
        <v/>
      </c>
      <c r="Y15" s="33">
        <f>IF(COUNT(P15:R15)=3,IFERROR(ROUND((P15*Settings!$D$15+Q15*Settings!$D$16+R15*Settings!$D$17)/(Settings!$D$15+Settings!$D$16+Settings!$D$17),2),""),"")</f>
        <v/>
      </c>
      <c r="Z15" s="33">
        <f>IF(COUNT(S15:U15)=3,IFERROR(ROUND((S15*Settings!$D$15+T15*Settings!$D$16+U15*Settings!$D$17)/(Settings!$D$15+Settings!$D$16+Settings!$D$17),2),""),"")</f>
        <v/>
      </c>
      <c r="AA15" s="34">
        <f>IF(COUNT(V15:Z15)=0,"",ROUND(AVERAGE(V15:Z15),2))</f>
        <v/>
      </c>
      <c r="AB15" s="35">
        <f>IF($A15="","",COUNT(V15:Z15))</f>
        <v/>
      </c>
      <c r="AC15" s="36" t="n"/>
      <c r="AD15" s="35">
        <f>IF(AA15="","",SUMPRODUCT(ISNUMBER($AA$6:$AA$305)*($AA$6:$AA$305&gt;AA15))+SUMPRODUCT(($AA$6:AA15=AA15)*1))</f>
        <v/>
      </c>
      <c r="AE15" s="35">
        <f>IF(AA15="","",SUMPRODUCT(($E$6:$E$305=E15)*ISNUMBER($AA$6:$AA$305)*($AA$6:$AA$305&gt;AA15))+SUMPRODUCT(($E$6:E15=E15)*($AA$6:AA15=AA15)))</f>
        <v/>
      </c>
    </row>
    <row r="16">
      <c r="A16" s="31">
        <f>IF(Submissions!AD12="","",11)</f>
        <v/>
      </c>
      <c r="B16" s="10">
        <f>IF($A16="","",IF(Settings!$B$4="Yes","Submission "&amp;$A16,Submissions!AD12))</f>
        <v/>
      </c>
      <c r="C16" s="31">
        <f>IF($A16="","",IF(Settings!$B$4="Yes","(hidden)",Submissions!AE12))</f>
        <v/>
      </c>
      <c r="D16" s="31">
        <f>IF($A16="","",Submissions!AF12)</f>
        <v/>
      </c>
      <c r="E16" s="31">
        <f>IF($A16="","",Submissions!AG12)</f>
        <v/>
      </c>
      <c r="F16" s="31">
        <f>IF($A16="","",Submissions!AH12)</f>
        <v/>
      </c>
      <c r="G16" s="37" t="n"/>
      <c r="H16" s="37" t="n"/>
      <c r="I16" s="37" t="n"/>
      <c r="J16" s="37" t="n"/>
      <c r="K16" s="37" t="n"/>
      <c r="L16" s="37" t="n"/>
      <c r="M16" s="37" t="n"/>
      <c r="N16" s="37" t="n"/>
      <c r="O16" s="37" t="n"/>
      <c r="P16" s="37" t="n"/>
      <c r="Q16" s="37" t="n"/>
      <c r="R16" s="37" t="n"/>
      <c r="S16" s="37" t="n"/>
      <c r="T16" s="37" t="n"/>
      <c r="U16" s="37" t="n"/>
      <c r="V16" s="33">
        <f>IF(COUNT(G16:I16)=3,IFERROR(ROUND((G16*Settings!$D$15+H16*Settings!$D$16+I16*Settings!$D$17)/(Settings!$D$15+Settings!$D$16+Settings!$D$17),2),""),"")</f>
        <v/>
      </c>
      <c r="W16" s="33">
        <f>IF(COUNT(J16:L16)=3,IFERROR(ROUND((J16*Settings!$D$15+K16*Settings!$D$16+L16*Settings!$D$17)/(Settings!$D$15+Settings!$D$16+Settings!$D$17),2),""),"")</f>
        <v/>
      </c>
      <c r="X16" s="33">
        <f>IF(COUNT(M16:O16)=3,IFERROR(ROUND((M16*Settings!$D$15+N16*Settings!$D$16+O16*Settings!$D$17)/(Settings!$D$15+Settings!$D$16+Settings!$D$17),2),""),"")</f>
        <v/>
      </c>
      <c r="Y16" s="33">
        <f>IF(COUNT(P16:R16)=3,IFERROR(ROUND((P16*Settings!$D$15+Q16*Settings!$D$16+R16*Settings!$D$17)/(Settings!$D$15+Settings!$D$16+Settings!$D$17),2),""),"")</f>
        <v/>
      </c>
      <c r="Z16" s="33">
        <f>IF(COUNT(S16:U16)=3,IFERROR(ROUND((S16*Settings!$D$15+T16*Settings!$D$16+U16*Settings!$D$17)/(Settings!$D$15+Settings!$D$16+Settings!$D$17),2),""),"")</f>
        <v/>
      </c>
      <c r="AA16" s="34">
        <f>IF(COUNT(V16:Z16)=0,"",ROUND(AVERAGE(V16:Z16),2))</f>
        <v/>
      </c>
      <c r="AB16" s="35">
        <f>IF($A16="","",COUNT(V16:Z16))</f>
        <v/>
      </c>
      <c r="AC16" s="36" t="n"/>
      <c r="AD16" s="35">
        <f>IF(AA16="","",SUMPRODUCT(ISNUMBER($AA$6:$AA$305)*($AA$6:$AA$305&gt;AA16))+SUMPRODUCT(($AA$6:AA16=AA16)*1))</f>
        <v/>
      </c>
      <c r="AE16" s="35">
        <f>IF(AA16="","",SUMPRODUCT(($E$6:$E$305=E16)*ISNUMBER($AA$6:$AA$305)*($AA$6:$AA$305&gt;AA16))+SUMPRODUCT(($E$6:E16=E16)*($AA$6:AA16=AA16)))</f>
        <v/>
      </c>
    </row>
    <row r="17">
      <c r="A17" s="31">
        <f>IF(Submissions!AD13="","",12)</f>
        <v/>
      </c>
      <c r="B17" s="10">
        <f>IF($A17="","",IF(Settings!$B$4="Yes","Submission "&amp;$A17,Submissions!AD13))</f>
        <v/>
      </c>
      <c r="C17" s="31">
        <f>IF($A17="","",IF(Settings!$B$4="Yes","(hidden)",Submissions!AE13))</f>
        <v/>
      </c>
      <c r="D17" s="31">
        <f>IF($A17="","",Submissions!AF13)</f>
        <v/>
      </c>
      <c r="E17" s="31">
        <f>IF($A17="","",Submissions!AG13)</f>
        <v/>
      </c>
      <c r="F17" s="31">
        <f>IF($A17="","",Submissions!AH13)</f>
        <v/>
      </c>
      <c r="G17" s="37" t="n"/>
      <c r="H17" s="37" t="n"/>
      <c r="I17" s="37" t="n"/>
      <c r="J17" s="37" t="n"/>
      <c r="K17" s="37" t="n"/>
      <c r="L17" s="37" t="n"/>
      <c r="M17" s="37" t="n"/>
      <c r="N17" s="37" t="n"/>
      <c r="O17" s="37" t="n"/>
      <c r="P17" s="37" t="n"/>
      <c r="Q17" s="37" t="n"/>
      <c r="R17" s="37" t="n"/>
      <c r="S17" s="37" t="n"/>
      <c r="T17" s="37" t="n"/>
      <c r="U17" s="37" t="n"/>
      <c r="V17" s="33">
        <f>IF(COUNT(G17:I17)=3,IFERROR(ROUND((G17*Settings!$D$15+H17*Settings!$D$16+I17*Settings!$D$17)/(Settings!$D$15+Settings!$D$16+Settings!$D$17),2),""),"")</f>
        <v/>
      </c>
      <c r="W17" s="33">
        <f>IF(COUNT(J17:L17)=3,IFERROR(ROUND((J17*Settings!$D$15+K17*Settings!$D$16+L17*Settings!$D$17)/(Settings!$D$15+Settings!$D$16+Settings!$D$17),2),""),"")</f>
        <v/>
      </c>
      <c r="X17" s="33">
        <f>IF(COUNT(M17:O17)=3,IFERROR(ROUND((M17*Settings!$D$15+N17*Settings!$D$16+O17*Settings!$D$17)/(Settings!$D$15+Settings!$D$16+Settings!$D$17),2),""),"")</f>
        <v/>
      </c>
      <c r="Y17" s="33">
        <f>IF(COUNT(P17:R17)=3,IFERROR(ROUND((P17*Settings!$D$15+Q17*Settings!$D$16+R17*Settings!$D$17)/(Settings!$D$15+Settings!$D$16+Settings!$D$17),2),""),"")</f>
        <v/>
      </c>
      <c r="Z17" s="33">
        <f>IF(COUNT(S17:U17)=3,IFERROR(ROUND((S17*Settings!$D$15+T17*Settings!$D$16+U17*Settings!$D$17)/(Settings!$D$15+Settings!$D$16+Settings!$D$17),2),""),"")</f>
        <v/>
      </c>
      <c r="AA17" s="34">
        <f>IF(COUNT(V17:Z17)=0,"",ROUND(AVERAGE(V17:Z17),2))</f>
        <v/>
      </c>
      <c r="AB17" s="35">
        <f>IF($A17="","",COUNT(V17:Z17))</f>
        <v/>
      </c>
      <c r="AC17" s="36" t="n"/>
      <c r="AD17" s="35">
        <f>IF(AA17="","",SUMPRODUCT(ISNUMBER($AA$6:$AA$305)*($AA$6:$AA$305&gt;AA17))+SUMPRODUCT(($AA$6:AA17=AA17)*1))</f>
        <v/>
      </c>
      <c r="AE17" s="35">
        <f>IF(AA17="","",SUMPRODUCT(($E$6:$E$305=E17)*ISNUMBER($AA$6:$AA$305)*($AA$6:$AA$305&gt;AA17))+SUMPRODUCT(($E$6:E17=E17)*($AA$6:AA17=AA17)))</f>
        <v/>
      </c>
    </row>
    <row r="18">
      <c r="A18" s="31">
        <f>IF(Submissions!AD14="","",13)</f>
        <v/>
      </c>
      <c r="B18" s="10">
        <f>IF($A18="","",IF(Settings!$B$4="Yes","Submission "&amp;$A18,Submissions!AD14))</f>
        <v/>
      </c>
      <c r="C18" s="31">
        <f>IF($A18="","",IF(Settings!$B$4="Yes","(hidden)",Submissions!AE14))</f>
        <v/>
      </c>
      <c r="D18" s="31">
        <f>IF($A18="","",Submissions!AF14)</f>
        <v/>
      </c>
      <c r="E18" s="31">
        <f>IF($A18="","",Submissions!AG14)</f>
        <v/>
      </c>
      <c r="F18" s="31">
        <f>IF($A18="","",Submissions!AH14)</f>
        <v/>
      </c>
      <c r="G18" s="37" t="n"/>
      <c r="H18" s="37" t="n"/>
      <c r="I18" s="37" t="n"/>
      <c r="J18" s="37" t="n"/>
      <c r="K18" s="37" t="n"/>
      <c r="L18" s="37" t="n"/>
      <c r="M18" s="37" t="n"/>
      <c r="N18" s="37" t="n"/>
      <c r="O18" s="37" t="n"/>
      <c r="P18" s="37" t="n"/>
      <c r="Q18" s="37" t="n"/>
      <c r="R18" s="37" t="n"/>
      <c r="S18" s="37" t="n"/>
      <c r="T18" s="37" t="n"/>
      <c r="U18" s="37" t="n"/>
      <c r="V18" s="33">
        <f>IF(COUNT(G18:I18)=3,IFERROR(ROUND((G18*Settings!$D$15+H18*Settings!$D$16+I18*Settings!$D$17)/(Settings!$D$15+Settings!$D$16+Settings!$D$17),2),""),"")</f>
        <v/>
      </c>
      <c r="W18" s="33">
        <f>IF(COUNT(J18:L18)=3,IFERROR(ROUND((J18*Settings!$D$15+K18*Settings!$D$16+L18*Settings!$D$17)/(Settings!$D$15+Settings!$D$16+Settings!$D$17),2),""),"")</f>
        <v/>
      </c>
      <c r="X18" s="33">
        <f>IF(COUNT(M18:O18)=3,IFERROR(ROUND((M18*Settings!$D$15+N18*Settings!$D$16+O18*Settings!$D$17)/(Settings!$D$15+Settings!$D$16+Settings!$D$17),2),""),"")</f>
        <v/>
      </c>
      <c r="Y18" s="33">
        <f>IF(COUNT(P18:R18)=3,IFERROR(ROUND((P18*Settings!$D$15+Q18*Settings!$D$16+R18*Settings!$D$17)/(Settings!$D$15+Settings!$D$16+Settings!$D$17),2),""),"")</f>
        <v/>
      </c>
      <c r="Z18" s="33">
        <f>IF(COUNT(S18:U18)=3,IFERROR(ROUND((S18*Settings!$D$15+T18*Settings!$D$16+U18*Settings!$D$17)/(Settings!$D$15+Settings!$D$16+Settings!$D$17),2),""),"")</f>
        <v/>
      </c>
      <c r="AA18" s="34">
        <f>IF(COUNT(V18:Z18)=0,"",ROUND(AVERAGE(V18:Z18),2))</f>
        <v/>
      </c>
      <c r="AB18" s="35">
        <f>IF($A18="","",COUNT(V18:Z18))</f>
        <v/>
      </c>
      <c r="AC18" s="36" t="n"/>
      <c r="AD18" s="35">
        <f>IF(AA18="","",SUMPRODUCT(ISNUMBER($AA$6:$AA$305)*($AA$6:$AA$305&gt;AA18))+SUMPRODUCT(($AA$6:AA18=AA18)*1))</f>
        <v/>
      </c>
      <c r="AE18" s="35">
        <f>IF(AA18="","",SUMPRODUCT(($E$6:$E$305=E18)*ISNUMBER($AA$6:$AA$305)*($AA$6:$AA$305&gt;AA18))+SUMPRODUCT(($E$6:E18=E18)*($AA$6:AA18=AA18)))</f>
        <v/>
      </c>
    </row>
    <row r="19">
      <c r="A19" s="31">
        <f>IF(Submissions!AD15="","",14)</f>
        <v/>
      </c>
      <c r="B19" s="10">
        <f>IF($A19="","",IF(Settings!$B$4="Yes","Submission "&amp;$A19,Submissions!AD15))</f>
        <v/>
      </c>
      <c r="C19" s="31">
        <f>IF($A19="","",IF(Settings!$B$4="Yes","(hidden)",Submissions!AE15))</f>
        <v/>
      </c>
      <c r="D19" s="31">
        <f>IF($A19="","",Submissions!AF15)</f>
        <v/>
      </c>
      <c r="E19" s="31">
        <f>IF($A19="","",Submissions!AG15)</f>
        <v/>
      </c>
      <c r="F19" s="31">
        <f>IF($A19="","",Submissions!AH15)</f>
        <v/>
      </c>
      <c r="G19" s="37" t="n"/>
      <c r="H19" s="37" t="n"/>
      <c r="I19" s="37" t="n"/>
      <c r="J19" s="37" t="n"/>
      <c r="K19" s="37" t="n"/>
      <c r="L19" s="37" t="n"/>
      <c r="M19" s="37" t="n"/>
      <c r="N19" s="37" t="n"/>
      <c r="O19" s="37" t="n"/>
      <c r="P19" s="37" t="n"/>
      <c r="Q19" s="37" t="n"/>
      <c r="R19" s="37" t="n"/>
      <c r="S19" s="37" t="n"/>
      <c r="T19" s="37" t="n"/>
      <c r="U19" s="37" t="n"/>
      <c r="V19" s="33">
        <f>IF(COUNT(G19:I19)=3,IFERROR(ROUND((G19*Settings!$D$15+H19*Settings!$D$16+I19*Settings!$D$17)/(Settings!$D$15+Settings!$D$16+Settings!$D$17),2),""),"")</f>
        <v/>
      </c>
      <c r="W19" s="33">
        <f>IF(COUNT(J19:L19)=3,IFERROR(ROUND((J19*Settings!$D$15+K19*Settings!$D$16+L19*Settings!$D$17)/(Settings!$D$15+Settings!$D$16+Settings!$D$17),2),""),"")</f>
        <v/>
      </c>
      <c r="X19" s="33">
        <f>IF(COUNT(M19:O19)=3,IFERROR(ROUND((M19*Settings!$D$15+N19*Settings!$D$16+O19*Settings!$D$17)/(Settings!$D$15+Settings!$D$16+Settings!$D$17),2),""),"")</f>
        <v/>
      </c>
      <c r="Y19" s="33">
        <f>IF(COUNT(P19:R19)=3,IFERROR(ROUND((P19*Settings!$D$15+Q19*Settings!$D$16+R19*Settings!$D$17)/(Settings!$D$15+Settings!$D$16+Settings!$D$17),2),""),"")</f>
        <v/>
      </c>
      <c r="Z19" s="33">
        <f>IF(COUNT(S19:U19)=3,IFERROR(ROUND((S19*Settings!$D$15+T19*Settings!$D$16+U19*Settings!$D$17)/(Settings!$D$15+Settings!$D$16+Settings!$D$17),2),""),"")</f>
        <v/>
      </c>
      <c r="AA19" s="34">
        <f>IF(COUNT(V19:Z19)=0,"",ROUND(AVERAGE(V19:Z19),2))</f>
        <v/>
      </c>
      <c r="AB19" s="35">
        <f>IF($A19="","",COUNT(V19:Z19))</f>
        <v/>
      </c>
      <c r="AC19" s="36" t="n"/>
      <c r="AD19" s="35">
        <f>IF(AA19="","",SUMPRODUCT(ISNUMBER($AA$6:$AA$305)*($AA$6:$AA$305&gt;AA19))+SUMPRODUCT(($AA$6:AA19=AA19)*1))</f>
        <v/>
      </c>
      <c r="AE19" s="35">
        <f>IF(AA19="","",SUMPRODUCT(($E$6:$E$305=E19)*ISNUMBER($AA$6:$AA$305)*($AA$6:$AA$305&gt;AA19))+SUMPRODUCT(($E$6:E19=E19)*($AA$6:AA19=AA19)))</f>
        <v/>
      </c>
    </row>
    <row r="20">
      <c r="A20" s="31">
        <f>IF(Submissions!AD16="","",15)</f>
        <v/>
      </c>
      <c r="B20" s="10">
        <f>IF($A20="","",IF(Settings!$B$4="Yes","Submission "&amp;$A20,Submissions!AD16))</f>
        <v/>
      </c>
      <c r="C20" s="31">
        <f>IF($A20="","",IF(Settings!$B$4="Yes","(hidden)",Submissions!AE16))</f>
        <v/>
      </c>
      <c r="D20" s="31">
        <f>IF($A20="","",Submissions!AF16)</f>
        <v/>
      </c>
      <c r="E20" s="31">
        <f>IF($A20="","",Submissions!AG16)</f>
        <v/>
      </c>
      <c r="F20" s="31">
        <f>IF($A20="","",Submissions!AH16)</f>
        <v/>
      </c>
      <c r="G20" s="37" t="n"/>
      <c r="H20" s="37" t="n"/>
      <c r="I20" s="37" t="n"/>
      <c r="J20" s="37" t="n"/>
      <c r="K20" s="37" t="n"/>
      <c r="L20" s="37" t="n"/>
      <c r="M20" s="37" t="n"/>
      <c r="N20" s="37" t="n"/>
      <c r="O20" s="37" t="n"/>
      <c r="P20" s="37" t="n"/>
      <c r="Q20" s="37" t="n"/>
      <c r="R20" s="37" t="n"/>
      <c r="S20" s="37" t="n"/>
      <c r="T20" s="37" t="n"/>
      <c r="U20" s="37" t="n"/>
      <c r="V20" s="33">
        <f>IF(COUNT(G20:I20)=3,IFERROR(ROUND((G20*Settings!$D$15+H20*Settings!$D$16+I20*Settings!$D$17)/(Settings!$D$15+Settings!$D$16+Settings!$D$17),2),""),"")</f>
        <v/>
      </c>
      <c r="W20" s="33">
        <f>IF(COUNT(J20:L20)=3,IFERROR(ROUND((J20*Settings!$D$15+K20*Settings!$D$16+L20*Settings!$D$17)/(Settings!$D$15+Settings!$D$16+Settings!$D$17),2),""),"")</f>
        <v/>
      </c>
      <c r="X20" s="33">
        <f>IF(COUNT(M20:O20)=3,IFERROR(ROUND((M20*Settings!$D$15+N20*Settings!$D$16+O20*Settings!$D$17)/(Settings!$D$15+Settings!$D$16+Settings!$D$17),2),""),"")</f>
        <v/>
      </c>
      <c r="Y20" s="33">
        <f>IF(COUNT(P20:R20)=3,IFERROR(ROUND((P20*Settings!$D$15+Q20*Settings!$D$16+R20*Settings!$D$17)/(Settings!$D$15+Settings!$D$16+Settings!$D$17),2),""),"")</f>
        <v/>
      </c>
      <c r="Z20" s="33">
        <f>IF(COUNT(S20:U20)=3,IFERROR(ROUND((S20*Settings!$D$15+T20*Settings!$D$16+U20*Settings!$D$17)/(Settings!$D$15+Settings!$D$16+Settings!$D$17),2),""),"")</f>
        <v/>
      </c>
      <c r="AA20" s="34">
        <f>IF(COUNT(V20:Z20)=0,"",ROUND(AVERAGE(V20:Z20),2))</f>
        <v/>
      </c>
      <c r="AB20" s="35">
        <f>IF($A20="","",COUNT(V20:Z20))</f>
        <v/>
      </c>
      <c r="AC20" s="36" t="n"/>
      <c r="AD20" s="35">
        <f>IF(AA20="","",SUMPRODUCT(ISNUMBER($AA$6:$AA$305)*($AA$6:$AA$305&gt;AA20))+SUMPRODUCT(($AA$6:AA20=AA20)*1))</f>
        <v/>
      </c>
      <c r="AE20" s="35">
        <f>IF(AA20="","",SUMPRODUCT(($E$6:$E$305=E20)*ISNUMBER($AA$6:$AA$305)*($AA$6:$AA$305&gt;AA20))+SUMPRODUCT(($E$6:E20=E20)*($AA$6:AA20=AA20)))</f>
        <v/>
      </c>
    </row>
    <row r="21">
      <c r="A21" s="31">
        <f>IF(Submissions!AD17="","",16)</f>
        <v/>
      </c>
      <c r="B21" s="10">
        <f>IF($A21="","",IF(Settings!$B$4="Yes","Submission "&amp;$A21,Submissions!AD17))</f>
        <v/>
      </c>
      <c r="C21" s="31">
        <f>IF($A21="","",IF(Settings!$B$4="Yes","(hidden)",Submissions!AE17))</f>
        <v/>
      </c>
      <c r="D21" s="31">
        <f>IF($A21="","",Submissions!AF17)</f>
        <v/>
      </c>
      <c r="E21" s="31">
        <f>IF($A21="","",Submissions!AG17)</f>
        <v/>
      </c>
      <c r="F21" s="31">
        <f>IF($A21="","",Submissions!AH17)</f>
        <v/>
      </c>
      <c r="G21" s="37" t="n"/>
      <c r="H21" s="37" t="n"/>
      <c r="I21" s="37" t="n"/>
      <c r="J21" s="37" t="n"/>
      <c r="K21" s="37" t="n"/>
      <c r="L21" s="37" t="n"/>
      <c r="M21" s="37" t="n"/>
      <c r="N21" s="37" t="n"/>
      <c r="O21" s="37" t="n"/>
      <c r="P21" s="37" t="n"/>
      <c r="Q21" s="37" t="n"/>
      <c r="R21" s="37" t="n"/>
      <c r="S21" s="37" t="n"/>
      <c r="T21" s="37" t="n"/>
      <c r="U21" s="37" t="n"/>
      <c r="V21" s="33">
        <f>IF(COUNT(G21:I21)=3,IFERROR(ROUND((G21*Settings!$D$15+H21*Settings!$D$16+I21*Settings!$D$17)/(Settings!$D$15+Settings!$D$16+Settings!$D$17),2),""),"")</f>
        <v/>
      </c>
      <c r="W21" s="33">
        <f>IF(COUNT(J21:L21)=3,IFERROR(ROUND((J21*Settings!$D$15+K21*Settings!$D$16+L21*Settings!$D$17)/(Settings!$D$15+Settings!$D$16+Settings!$D$17),2),""),"")</f>
        <v/>
      </c>
      <c r="X21" s="33">
        <f>IF(COUNT(M21:O21)=3,IFERROR(ROUND((M21*Settings!$D$15+N21*Settings!$D$16+O21*Settings!$D$17)/(Settings!$D$15+Settings!$D$16+Settings!$D$17),2),""),"")</f>
        <v/>
      </c>
      <c r="Y21" s="33">
        <f>IF(COUNT(P21:R21)=3,IFERROR(ROUND((P21*Settings!$D$15+Q21*Settings!$D$16+R21*Settings!$D$17)/(Settings!$D$15+Settings!$D$16+Settings!$D$17),2),""),"")</f>
        <v/>
      </c>
      <c r="Z21" s="33">
        <f>IF(COUNT(S21:U21)=3,IFERROR(ROUND((S21*Settings!$D$15+T21*Settings!$D$16+U21*Settings!$D$17)/(Settings!$D$15+Settings!$D$16+Settings!$D$17),2),""),"")</f>
        <v/>
      </c>
      <c r="AA21" s="34">
        <f>IF(COUNT(V21:Z21)=0,"",ROUND(AVERAGE(V21:Z21),2))</f>
        <v/>
      </c>
      <c r="AB21" s="35">
        <f>IF($A21="","",COUNT(V21:Z21))</f>
        <v/>
      </c>
      <c r="AC21" s="36" t="n"/>
      <c r="AD21" s="35">
        <f>IF(AA21="","",SUMPRODUCT(ISNUMBER($AA$6:$AA$305)*($AA$6:$AA$305&gt;AA21))+SUMPRODUCT(($AA$6:AA21=AA21)*1))</f>
        <v/>
      </c>
      <c r="AE21" s="35">
        <f>IF(AA21="","",SUMPRODUCT(($E$6:$E$305=E21)*ISNUMBER($AA$6:$AA$305)*($AA$6:$AA$305&gt;AA21))+SUMPRODUCT(($E$6:E21=E21)*($AA$6:AA21=AA21)))</f>
        <v/>
      </c>
    </row>
    <row r="22">
      <c r="A22" s="31">
        <f>IF(Submissions!AD18="","",17)</f>
        <v/>
      </c>
      <c r="B22" s="10">
        <f>IF($A22="","",IF(Settings!$B$4="Yes","Submission "&amp;$A22,Submissions!AD18))</f>
        <v/>
      </c>
      <c r="C22" s="31">
        <f>IF($A22="","",IF(Settings!$B$4="Yes","(hidden)",Submissions!AE18))</f>
        <v/>
      </c>
      <c r="D22" s="31">
        <f>IF($A22="","",Submissions!AF18)</f>
        <v/>
      </c>
      <c r="E22" s="31">
        <f>IF($A22="","",Submissions!AG18)</f>
        <v/>
      </c>
      <c r="F22" s="31">
        <f>IF($A22="","",Submissions!AH18)</f>
        <v/>
      </c>
      <c r="G22" s="37" t="n"/>
      <c r="H22" s="37" t="n"/>
      <c r="I22" s="37" t="n"/>
      <c r="J22" s="37" t="n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3">
        <f>IF(COUNT(G22:I22)=3,IFERROR(ROUND((G22*Settings!$D$15+H22*Settings!$D$16+I22*Settings!$D$17)/(Settings!$D$15+Settings!$D$16+Settings!$D$17),2),""),"")</f>
        <v/>
      </c>
      <c r="W22" s="33">
        <f>IF(COUNT(J22:L22)=3,IFERROR(ROUND((J22*Settings!$D$15+K22*Settings!$D$16+L22*Settings!$D$17)/(Settings!$D$15+Settings!$D$16+Settings!$D$17),2),""),"")</f>
        <v/>
      </c>
      <c r="X22" s="33">
        <f>IF(COUNT(M22:O22)=3,IFERROR(ROUND((M22*Settings!$D$15+N22*Settings!$D$16+O22*Settings!$D$17)/(Settings!$D$15+Settings!$D$16+Settings!$D$17),2),""),"")</f>
        <v/>
      </c>
      <c r="Y22" s="33">
        <f>IF(COUNT(P22:R22)=3,IFERROR(ROUND((P22*Settings!$D$15+Q22*Settings!$D$16+R22*Settings!$D$17)/(Settings!$D$15+Settings!$D$16+Settings!$D$17),2),""),"")</f>
        <v/>
      </c>
      <c r="Z22" s="33">
        <f>IF(COUNT(S22:U22)=3,IFERROR(ROUND((S22*Settings!$D$15+T22*Settings!$D$16+U22*Settings!$D$17)/(Settings!$D$15+Settings!$D$16+Settings!$D$17),2),""),"")</f>
        <v/>
      </c>
      <c r="AA22" s="34">
        <f>IF(COUNT(V22:Z22)=0,"",ROUND(AVERAGE(V22:Z22),2))</f>
        <v/>
      </c>
      <c r="AB22" s="35">
        <f>IF($A22="","",COUNT(V22:Z22))</f>
        <v/>
      </c>
      <c r="AC22" s="36" t="n"/>
      <c r="AD22" s="35">
        <f>IF(AA22="","",SUMPRODUCT(ISNUMBER($AA$6:$AA$305)*($AA$6:$AA$305&gt;AA22))+SUMPRODUCT(($AA$6:AA22=AA22)*1))</f>
        <v/>
      </c>
      <c r="AE22" s="35">
        <f>IF(AA22="","",SUMPRODUCT(($E$6:$E$305=E22)*ISNUMBER($AA$6:$AA$305)*($AA$6:$AA$305&gt;AA22))+SUMPRODUCT(($E$6:E22=E22)*($AA$6:AA22=AA22)))</f>
        <v/>
      </c>
    </row>
    <row r="23">
      <c r="A23" s="31">
        <f>IF(Submissions!AD19="","",18)</f>
        <v/>
      </c>
      <c r="B23" s="10">
        <f>IF($A23="","",IF(Settings!$B$4="Yes","Submission "&amp;$A23,Submissions!AD19))</f>
        <v/>
      </c>
      <c r="C23" s="31">
        <f>IF($A23="","",IF(Settings!$B$4="Yes","(hidden)",Submissions!AE19))</f>
        <v/>
      </c>
      <c r="D23" s="31">
        <f>IF($A23="","",Submissions!AF19)</f>
        <v/>
      </c>
      <c r="E23" s="31">
        <f>IF($A23="","",Submissions!AG19)</f>
        <v/>
      </c>
      <c r="F23" s="31">
        <f>IF($A23="","",Submissions!AH19)</f>
        <v/>
      </c>
      <c r="G23" s="37" t="n"/>
      <c r="H23" s="37" t="n"/>
      <c r="I23" s="37" t="n"/>
      <c r="J23" s="37" t="n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3">
        <f>IF(COUNT(G23:I23)=3,IFERROR(ROUND((G23*Settings!$D$15+H23*Settings!$D$16+I23*Settings!$D$17)/(Settings!$D$15+Settings!$D$16+Settings!$D$17),2),""),"")</f>
        <v/>
      </c>
      <c r="W23" s="33">
        <f>IF(COUNT(J23:L23)=3,IFERROR(ROUND((J23*Settings!$D$15+K23*Settings!$D$16+L23*Settings!$D$17)/(Settings!$D$15+Settings!$D$16+Settings!$D$17),2),""),"")</f>
        <v/>
      </c>
      <c r="X23" s="33">
        <f>IF(COUNT(M23:O23)=3,IFERROR(ROUND((M23*Settings!$D$15+N23*Settings!$D$16+O23*Settings!$D$17)/(Settings!$D$15+Settings!$D$16+Settings!$D$17),2),""),"")</f>
        <v/>
      </c>
      <c r="Y23" s="33">
        <f>IF(COUNT(P23:R23)=3,IFERROR(ROUND((P23*Settings!$D$15+Q23*Settings!$D$16+R23*Settings!$D$17)/(Settings!$D$15+Settings!$D$16+Settings!$D$17),2),""),"")</f>
        <v/>
      </c>
      <c r="Z23" s="33">
        <f>IF(COUNT(S23:U23)=3,IFERROR(ROUND((S23*Settings!$D$15+T23*Settings!$D$16+U23*Settings!$D$17)/(Settings!$D$15+Settings!$D$16+Settings!$D$17),2),""),"")</f>
        <v/>
      </c>
      <c r="AA23" s="34">
        <f>IF(COUNT(V23:Z23)=0,"",ROUND(AVERAGE(V23:Z23),2))</f>
        <v/>
      </c>
      <c r="AB23" s="35">
        <f>IF($A23="","",COUNT(V23:Z23))</f>
        <v/>
      </c>
      <c r="AC23" s="36" t="n"/>
      <c r="AD23" s="35">
        <f>IF(AA23="","",SUMPRODUCT(ISNUMBER($AA$6:$AA$305)*($AA$6:$AA$305&gt;AA23))+SUMPRODUCT(($AA$6:AA23=AA23)*1))</f>
        <v/>
      </c>
      <c r="AE23" s="35">
        <f>IF(AA23="","",SUMPRODUCT(($E$6:$E$305=E23)*ISNUMBER($AA$6:$AA$305)*($AA$6:$AA$305&gt;AA23))+SUMPRODUCT(($E$6:E23=E23)*($AA$6:AA23=AA23)))</f>
        <v/>
      </c>
    </row>
    <row r="24">
      <c r="A24" s="31">
        <f>IF(Submissions!AD20="","",19)</f>
        <v/>
      </c>
      <c r="B24" s="10">
        <f>IF($A24="","",IF(Settings!$B$4="Yes","Submission "&amp;$A24,Submissions!AD20))</f>
        <v/>
      </c>
      <c r="C24" s="31">
        <f>IF($A24="","",IF(Settings!$B$4="Yes","(hidden)",Submissions!AE20))</f>
        <v/>
      </c>
      <c r="D24" s="31">
        <f>IF($A24="","",Submissions!AF20)</f>
        <v/>
      </c>
      <c r="E24" s="31">
        <f>IF($A24="","",Submissions!AG20)</f>
        <v/>
      </c>
      <c r="F24" s="31">
        <f>IF($A24="","",Submissions!AH20)</f>
        <v/>
      </c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3">
        <f>IF(COUNT(G24:I24)=3,IFERROR(ROUND((G24*Settings!$D$15+H24*Settings!$D$16+I24*Settings!$D$17)/(Settings!$D$15+Settings!$D$16+Settings!$D$17),2),""),"")</f>
        <v/>
      </c>
      <c r="W24" s="33">
        <f>IF(COUNT(J24:L24)=3,IFERROR(ROUND((J24*Settings!$D$15+K24*Settings!$D$16+L24*Settings!$D$17)/(Settings!$D$15+Settings!$D$16+Settings!$D$17),2),""),"")</f>
        <v/>
      </c>
      <c r="X24" s="33">
        <f>IF(COUNT(M24:O24)=3,IFERROR(ROUND((M24*Settings!$D$15+N24*Settings!$D$16+O24*Settings!$D$17)/(Settings!$D$15+Settings!$D$16+Settings!$D$17),2),""),"")</f>
        <v/>
      </c>
      <c r="Y24" s="33">
        <f>IF(COUNT(P24:R24)=3,IFERROR(ROUND((P24*Settings!$D$15+Q24*Settings!$D$16+R24*Settings!$D$17)/(Settings!$D$15+Settings!$D$16+Settings!$D$17),2),""),"")</f>
        <v/>
      </c>
      <c r="Z24" s="33">
        <f>IF(COUNT(S24:U24)=3,IFERROR(ROUND((S24*Settings!$D$15+T24*Settings!$D$16+U24*Settings!$D$17)/(Settings!$D$15+Settings!$D$16+Settings!$D$17),2),""),"")</f>
        <v/>
      </c>
      <c r="AA24" s="34">
        <f>IF(COUNT(V24:Z24)=0,"",ROUND(AVERAGE(V24:Z24),2))</f>
        <v/>
      </c>
      <c r="AB24" s="35">
        <f>IF($A24="","",COUNT(V24:Z24))</f>
        <v/>
      </c>
      <c r="AC24" s="36" t="n"/>
      <c r="AD24" s="35">
        <f>IF(AA24="","",SUMPRODUCT(ISNUMBER($AA$6:$AA$305)*($AA$6:$AA$305&gt;AA24))+SUMPRODUCT(($AA$6:AA24=AA24)*1))</f>
        <v/>
      </c>
      <c r="AE24" s="35">
        <f>IF(AA24="","",SUMPRODUCT(($E$6:$E$305=E24)*ISNUMBER($AA$6:$AA$305)*($AA$6:$AA$305&gt;AA24))+SUMPRODUCT(($E$6:E24=E24)*($AA$6:AA24=AA24)))</f>
        <v/>
      </c>
    </row>
    <row r="25">
      <c r="A25" s="31">
        <f>IF(Submissions!AD21="","",20)</f>
        <v/>
      </c>
      <c r="B25" s="10">
        <f>IF($A25="","",IF(Settings!$B$4="Yes","Submission "&amp;$A25,Submissions!AD21))</f>
        <v/>
      </c>
      <c r="C25" s="31">
        <f>IF($A25="","",IF(Settings!$B$4="Yes","(hidden)",Submissions!AE21))</f>
        <v/>
      </c>
      <c r="D25" s="31">
        <f>IF($A25="","",Submissions!AF21)</f>
        <v/>
      </c>
      <c r="E25" s="31">
        <f>IF($A25="","",Submissions!AG21)</f>
        <v/>
      </c>
      <c r="F25" s="31">
        <f>IF($A25="","",Submissions!AH21)</f>
        <v/>
      </c>
      <c r="G25" s="37" t="n"/>
      <c r="H25" s="37" t="n"/>
      <c r="I25" s="37" t="n"/>
      <c r="J25" s="37" t="n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3">
        <f>IF(COUNT(G25:I25)=3,IFERROR(ROUND((G25*Settings!$D$15+H25*Settings!$D$16+I25*Settings!$D$17)/(Settings!$D$15+Settings!$D$16+Settings!$D$17),2),""),"")</f>
        <v/>
      </c>
      <c r="W25" s="33">
        <f>IF(COUNT(J25:L25)=3,IFERROR(ROUND((J25*Settings!$D$15+K25*Settings!$D$16+L25*Settings!$D$17)/(Settings!$D$15+Settings!$D$16+Settings!$D$17),2),""),"")</f>
        <v/>
      </c>
      <c r="X25" s="33">
        <f>IF(COUNT(M25:O25)=3,IFERROR(ROUND((M25*Settings!$D$15+N25*Settings!$D$16+O25*Settings!$D$17)/(Settings!$D$15+Settings!$D$16+Settings!$D$17),2),""),"")</f>
        <v/>
      </c>
      <c r="Y25" s="33">
        <f>IF(COUNT(P25:R25)=3,IFERROR(ROUND((P25*Settings!$D$15+Q25*Settings!$D$16+R25*Settings!$D$17)/(Settings!$D$15+Settings!$D$16+Settings!$D$17),2),""),"")</f>
        <v/>
      </c>
      <c r="Z25" s="33">
        <f>IF(COUNT(S25:U25)=3,IFERROR(ROUND((S25*Settings!$D$15+T25*Settings!$D$16+U25*Settings!$D$17)/(Settings!$D$15+Settings!$D$16+Settings!$D$17),2),""),"")</f>
        <v/>
      </c>
      <c r="AA25" s="34">
        <f>IF(COUNT(V25:Z25)=0,"",ROUND(AVERAGE(V25:Z25),2))</f>
        <v/>
      </c>
      <c r="AB25" s="35">
        <f>IF($A25="","",COUNT(V25:Z25))</f>
        <v/>
      </c>
      <c r="AC25" s="36" t="n"/>
      <c r="AD25" s="35">
        <f>IF(AA25="","",SUMPRODUCT(ISNUMBER($AA$6:$AA$305)*($AA$6:$AA$305&gt;AA25))+SUMPRODUCT(($AA$6:AA25=AA25)*1))</f>
        <v/>
      </c>
      <c r="AE25" s="35">
        <f>IF(AA25="","",SUMPRODUCT(($E$6:$E$305=E25)*ISNUMBER($AA$6:$AA$305)*($AA$6:$AA$305&gt;AA25))+SUMPRODUCT(($E$6:E25=E25)*($AA$6:AA25=AA25)))</f>
        <v/>
      </c>
    </row>
    <row r="26">
      <c r="A26" s="31">
        <f>IF(Submissions!AD22="","",21)</f>
        <v/>
      </c>
      <c r="B26" s="10">
        <f>IF($A26="","",IF(Settings!$B$4="Yes","Submission "&amp;$A26,Submissions!AD22))</f>
        <v/>
      </c>
      <c r="C26" s="31">
        <f>IF($A26="","",IF(Settings!$B$4="Yes","(hidden)",Submissions!AE22))</f>
        <v/>
      </c>
      <c r="D26" s="31">
        <f>IF($A26="","",Submissions!AF22)</f>
        <v/>
      </c>
      <c r="E26" s="31">
        <f>IF($A26="","",Submissions!AG22)</f>
        <v/>
      </c>
      <c r="F26" s="31">
        <f>IF($A26="","",Submissions!AH22)</f>
        <v/>
      </c>
      <c r="G26" s="37" t="n"/>
      <c r="H26" s="37" t="n"/>
      <c r="I26" s="37" t="n"/>
      <c r="J26" s="37" t="n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3">
        <f>IF(COUNT(G26:I26)=3,IFERROR(ROUND((G26*Settings!$D$15+H26*Settings!$D$16+I26*Settings!$D$17)/(Settings!$D$15+Settings!$D$16+Settings!$D$17),2),""),"")</f>
        <v/>
      </c>
      <c r="W26" s="33">
        <f>IF(COUNT(J26:L26)=3,IFERROR(ROUND((J26*Settings!$D$15+K26*Settings!$D$16+L26*Settings!$D$17)/(Settings!$D$15+Settings!$D$16+Settings!$D$17),2),""),"")</f>
        <v/>
      </c>
      <c r="X26" s="33">
        <f>IF(COUNT(M26:O26)=3,IFERROR(ROUND((M26*Settings!$D$15+N26*Settings!$D$16+O26*Settings!$D$17)/(Settings!$D$15+Settings!$D$16+Settings!$D$17),2),""),"")</f>
        <v/>
      </c>
      <c r="Y26" s="33">
        <f>IF(COUNT(P26:R26)=3,IFERROR(ROUND((P26*Settings!$D$15+Q26*Settings!$D$16+R26*Settings!$D$17)/(Settings!$D$15+Settings!$D$16+Settings!$D$17),2),""),"")</f>
        <v/>
      </c>
      <c r="Z26" s="33">
        <f>IF(COUNT(S26:U26)=3,IFERROR(ROUND((S26*Settings!$D$15+T26*Settings!$D$16+U26*Settings!$D$17)/(Settings!$D$15+Settings!$D$16+Settings!$D$17),2),""),"")</f>
        <v/>
      </c>
      <c r="AA26" s="34">
        <f>IF(COUNT(V26:Z26)=0,"",ROUND(AVERAGE(V26:Z26),2))</f>
        <v/>
      </c>
      <c r="AB26" s="35">
        <f>IF($A26="","",COUNT(V26:Z26))</f>
        <v/>
      </c>
      <c r="AC26" s="36" t="n"/>
      <c r="AD26" s="35">
        <f>IF(AA26="","",SUMPRODUCT(ISNUMBER($AA$6:$AA$305)*($AA$6:$AA$305&gt;AA26))+SUMPRODUCT(($AA$6:AA26=AA26)*1))</f>
        <v/>
      </c>
      <c r="AE26" s="35">
        <f>IF(AA26="","",SUMPRODUCT(($E$6:$E$305=E26)*ISNUMBER($AA$6:$AA$305)*($AA$6:$AA$305&gt;AA26))+SUMPRODUCT(($E$6:E26=E26)*($AA$6:AA26=AA26)))</f>
        <v/>
      </c>
    </row>
    <row r="27">
      <c r="A27" s="31">
        <f>IF(Submissions!AD23="","",22)</f>
        <v/>
      </c>
      <c r="B27" s="10">
        <f>IF($A27="","",IF(Settings!$B$4="Yes","Submission "&amp;$A27,Submissions!AD23))</f>
        <v/>
      </c>
      <c r="C27" s="31">
        <f>IF($A27="","",IF(Settings!$B$4="Yes","(hidden)",Submissions!AE23))</f>
        <v/>
      </c>
      <c r="D27" s="31">
        <f>IF($A27="","",Submissions!AF23)</f>
        <v/>
      </c>
      <c r="E27" s="31">
        <f>IF($A27="","",Submissions!AG23)</f>
        <v/>
      </c>
      <c r="F27" s="31">
        <f>IF($A27="","",Submissions!AH23)</f>
        <v/>
      </c>
      <c r="G27" s="37" t="n"/>
      <c r="H27" s="37" t="n"/>
      <c r="I27" s="37" t="n"/>
      <c r="J27" s="37" t="n"/>
      <c r="K27" s="37" t="n"/>
      <c r="L27" s="37" t="n"/>
      <c r="M27" s="37" t="n"/>
      <c r="N27" s="37" t="n"/>
      <c r="O27" s="37" t="n"/>
      <c r="P27" s="37" t="n"/>
      <c r="Q27" s="37" t="n"/>
      <c r="R27" s="37" t="n"/>
      <c r="S27" s="37" t="n"/>
      <c r="T27" s="37" t="n"/>
      <c r="U27" s="37" t="n"/>
      <c r="V27" s="33">
        <f>IF(COUNT(G27:I27)=3,IFERROR(ROUND((G27*Settings!$D$15+H27*Settings!$D$16+I27*Settings!$D$17)/(Settings!$D$15+Settings!$D$16+Settings!$D$17),2),""),"")</f>
        <v/>
      </c>
      <c r="W27" s="33">
        <f>IF(COUNT(J27:L27)=3,IFERROR(ROUND((J27*Settings!$D$15+K27*Settings!$D$16+L27*Settings!$D$17)/(Settings!$D$15+Settings!$D$16+Settings!$D$17),2),""),"")</f>
        <v/>
      </c>
      <c r="X27" s="33">
        <f>IF(COUNT(M27:O27)=3,IFERROR(ROUND((M27*Settings!$D$15+N27*Settings!$D$16+O27*Settings!$D$17)/(Settings!$D$15+Settings!$D$16+Settings!$D$17),2),""),"")</f>
        <v/>
      </c>
      <c r="Y27" s="33">
        <f>IF(COUNT(P27:R27)=3,IFERROR(ROUND((P27*Settings!$D$15+Q27*Settings!$D$16+R27*Settings!$D$17)/(Settings!$D$15+Settings!$D$16+Settings!$D$17),2),""),"")</f>
        <v/>
      </c>
      <c r="Z27" s="33">
        <f>IF(COUNT(S27:U27)=3,IFERROR(ROUND((S27*Settings!$D$15+T27*Settings!$D$16+U27*Settings!$D$17)/(Settings!$D$15+Settings!$D$16+Settings!$D$17),2),""),"")</f>
        <v/>
      </c>
      <c r="AA27" s="34">
        <f>IF(COUNT(V27:Z27)=0,"",ROUND(AVERAGE(V27:Z27),2))</f>
        <v/>
      </c>
      <c r="AB27" s="35">
        <f>IF($A27="","",COUNT(V27:Z27))</f>
        <v/>
      </c>
      <c r="AC27" s="36" t="n"/>
      <c r="AD27" s="35">
        <f>IF(AA27="","",SUMPRODUCT(ISNUMBER($AA$6:$AA$305)*($AA$6:$AA$305&gt;AA27))+SUMPRODUCT(($AA$6:AA27=AA27)*1))</f>
        <v/>
      </c>
      <c r="AE27" s="35">
        <f>IF(AA27="","",SUMPRODUCT(($E$6:$E$305=E27)*ISNUMBER($AA$6:$AA$305)*($AA$6:$AA$305&gt;AA27))+SUMPRODUCT(($E$6:E27=E27)*($AA$6:AA27=AA27)))</f>
        <v/>
      </c>
    </row>
    <row r="28">
      <c r="A28" s="31">
        <f>IF(Submissions!AD24="","",23)</f>
        <v/>
      </c>
      <c r="B28" s="10">
        <f>IF($A28="","",IF(Settings!$B$4="Yes","Submission "&amp;$A28,Submissions!AD24))</f>
        <v/>
      </c>
      <c r="C28" s="31">
        <f>IF($A28="","",IF(Settings!$B$4="Yes","(hidden)",Submissions!AE24))</f>
        <v/>
      </c>
      <c r="D28" s="31">
        <f>IF($A28="","",Submissions!AF24)</f>
        <v/>
      </c>
      <c r="E28" s="31">
        <f>IF($A28="","",Submissions!AG24)</f>
        <v/>
      </c>
      <c r="F28" s="31">
        <f>IF($A28="","",Submissions!AH24)</f>
        <v/>
      </c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3">
        <f>IF(COUNT(G28:I28)=3,IFERROR(ROUND((G28*Settings!$D$15+H28*Settings!$D$16+I28*Settings!$D$17)/(Settings!$D$15+Settings!$D$16+Settings!$D$17),2),""),"")</f>
        <v/>
      </c>
      <c r="W28" s="33">
        <f>IF(COUNT(J28:L28)=3,IFERROR(ROUND((J28*Settings!$D$15+K28*Settings!$D$16+L28*Settings!$D$17)/(Settings!$D$15+Settings!$D$16+Settings!$D$17),2),""),"")</f>
        <v/>
      </c>
      <c r="X28" s="33">
        <f>IF(COUNT(M28:O28)=3,IFERROR(ROUND((M28*Settings!$D$15+N28*Settings!$D$16+O28*Settings!$D$17)/(Settings!$D$15+Settings!$D$16+Settings!$D$17),2),""),"")</f>
        <v/>
      </c>
      <c r="Y28" s="33">
        <f>IF(COUNT(P28:R28)=3,IFERROR(ROUND((P28*Settings!$D$15+Q28*Settings!$D$16+R28*Settings!$D$17)/(Settings!$D$15+Settings!$D$16+Settings!$D$17),2),""),"")</f>
        <v/>
      </c>
      <c r="Z28" s="33">
        <f>IF(COUNT(S28:U28)=3,IFERROR(ROUND((S28*Settings!$D$15+T28*Settings!$D$16+U28*Settings!$D$17)/(Settings!$D$15+Settings!$D$16+Settings!$D$17),2),""),"")</f>
        <v/>
      </c>
      <c r="AA28" s="34">
        <f>IF(COUNT(V28:Z28)=0,"",ROUND(AVERAGE(V28:Z28),2))</f>
        <v/>
      </c>
      <c r="AB28" s="35">
        <f>IF($A28="","",COUNT(V28:Z28))</f>
        <v/>
      </c>
      <c r="AC28" s="36" t="n"/>
      <c r="AD28" s="35">
        <f>IF(AA28="","",SUMPRODUCT(ISNUMBER($AA$6:$AA$305)*($AA$6:$AA$305&gt;AA28))+SUMPRODUCT(($AA$6:AA28=AA28)*1))</f>
        <v/>
      </c>
      <c r="AE28" s="35">
        <f>IF(AA28="","",SUMPRODUCT(($E$6:$E$305=E28)*ISNUMBER($AA$6:$AA$305)*($AA$6:$AA$305&gt;AA28))+SUMPRODUCT(($E$6:E28=E28)*($AA$6:AA28=AA28)))</f>
        <v/>
      </c>
    </row>
    <row r="29">
      <c r="A29" s="31">
        <f>IF(Submissions!AD25="","",24)</f>
        <v/>
      </c>
      <c r="B29" s="10">
        <f>IF($A29="","",IF(Settings!$B$4="Yes","Submission "&amp;$A29,Submissions!AD25))</f>
        <v/>
      </c>
      <c r="C29" s="31">
        <f>IF($A29="","",IF(Settings!$B$4="Yes","(hidden)",Submissions!AE25))</f>
        <v/>
      </c>
      <c r="D29" s="31">
        <f>IF($A29="","",Submissions!AF25)</f>
        <v/>
      </c>
      <c r="E29" s="31">
        <f>IF($A29="","",Submissions!AG25)</f>
        <v/>
      </c>
      <c r="F29" s="31">
        <f>IF($A29="","",Submissions!AH25)</f>
        <v/>
      </c>
      <c r="G29" s="37" t="n"/>
      <c r="H29" s="37" t="n"/>
      <c r="I29" s="37" t="n"/>
      <c r="J29" s="37" t="n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3">
        <f>IF(COUNT(G29:I29)=3,IFERROR(ROUND((G29*Settings!$D$15+H29*Settings!$D$16+I29*Settings!$D$17)/(Settings!$D$15+Settings!$D$16+Settings!$D$17),2),""),"")</f>
        <v/>
      </c>
      <c r="W29" s="33">
        <f>IF(COUNT(J29:L29)=3,IFERROR(ROUND((J29*Settings!$D$15+K29*Settings!$D$16+L29*Settings!$D$17)/(Settings!$D$15+Settings!$D$16+Settings!$D$17),2),""),"")</f>
        <v/>
      </c>
      <c r="X29" s="33">
        <f>IF(COUNT(M29:O29)=3,IFERROR(ROUND((M29*Settings!$D$15+N29*Settings!$D$16+O29*Settings!$D$17)/(Settings!$D$15+Settings!$D$16+Settings!$D$17),2),""),"")</f>
        <v/>
      </c>
      <c r="Y29" s="33">
        <f>IF(COUNT(P29:R29)=3,IFERROR(ROUND((P29*Settings!$D$15+Q29*Settings!$D$16+R29*Settings!$D$17)/(Settings!$D$15+Settings!$D$16+Settings!$D$17),2),""),"")</f>
        <v/>
      </c>
      <c r="Z29" s="33">
        <f>IF(COUNT(S29:U29)=3,IFERROR(ROUND((S29*Settings!$D$15+T29*Settings!$D$16+U29*Settings!$D$17)/(Settings!$D$15+Settings!$D$16+Settings!$D$17),2),""),"")</f>
        <v/>
      </c>
      <c r="AA29" s="34">
        <f>IF(COUNT(V29:Z29)=0,"",ROUND(AVERAGE(V29:Z29),2))</f>
        <v/>
      </c>
      <c r="AB29" s="35">
        <f>IF($A29="","",COUNT(V29:Z29))</f>
        <v/>
      </c>
      <c r="AC29" s="36" t="n"/>
      <c r="AD29" s="35">
        <f>IF(AA29="","",SUMPRODUCT(ISNUMBER($AA$6:$AA$305)*($AA$6:$AA$305&gt;AA29))+SUMPRODUCT(($AA$6:AA29=AA29)*1))</f>
        <v/>
      </c>
      <c r="AE29" s="35">
        <f>IF(AA29="","",SUMPRODUCT(($E$6:$E$305=E29)*ISNUMBER($AA$6:$AA$305)*($AA$6:$AA$305&gt;AA29))+SUMPRODUCT(($E$6:E29=E29)*($AA$6:AA29=AA29)))</f>
        <v/>
      </c>
    </row>
    <row r="30">
      <c r="A30" s="31">
        <f>IF(Submissions!AD26="","",25)</f>
        <v/>
      </c>
      <c r="B30" s="10">
        <f>IF($A30="","",IF(Settings!$B$4="Yes","Submission "&amp;$A30,Submissions!AD26))</f>
        <v/>
      </c>
      <c r="C30" s="31">
        <f>IF($A30="","",IF(Settings!$B$4="Yes","(hidden)",Submissions!AE26))</f>
        <v/>
      </c>
      <c r="D30" s="31">
        <f>IF($A30="","",Submissions!AF26)</f>
        <v/>
      </c>
      <c r="E30" s="31">
        <f>IF($A30="","",Submissions!AG26)</f>
        <v/>
      </c>
      <c r="F30" s="31">
        <f>IF($A30="","",Submissions!AH26)</f>
        <v/>
      </c>
      <c r="G30" s="37" t="n"/>
      <c r="H30" s="37" t="n"/>
      <c r="I30" s="37" t="n"/>
      <c r="J30" s="37" t="n"/>
      <c r="K30" s="37" t="n"/>
      <c r="L30" s="37" t="n"/>
      <c r="M30" s="37" t="n"/>
      <c r="N30" s="37" t="n"/>
      <c r="O30" s="37" t="n"/>
      <c r="P30" s="37" t="n"/>
      <c r="Q30" s="37" t="n"/>
      <c r="R30" s="37" t="n"/>
      <c r="S30" s="37" t="n"/>
      <c r="T30" s="37" t="n"/>
      <c r="U30" s="37" t="n"/>
      <c r="V30" s="33">
        <f>IF(COUNT(G30:I30)=3,IFERROR(ROUND((G30*Settings!$D$15+H30*Settings!$D$16+I30*Settings!$D$17)/(Settings!$D$15+Settings!$D$16+Settings!$D$17),2),""),"")</f>
        <v/>
      </c>
      <c r="W30" s="33">
        <f>IF(COUNT(J30:L30)=3,IFERROR(ROUND((J30*Settings!$D$15+K30*Settings!$D$16+L30*Settings!$D$17)/(Settings!$D$15+Settings!$D$16+Settings!$D$17),2),""),"")</f>
        <v/>
      </c>
      <c r="X30" s="33">
        <f>IF(COUNT(M30:O30)=3,IFERROR(ROUND((M30*Settings!$D$15+N30*Settings!$D$16+O30*Settings!$D$17)/(Settings!$D$15+Settings!$D$16+Settings!$D$17),2),""),"")</f>
        <v/>
      </c>
      <c r="Y30" s="33">
        <f>IF(COUNT(P30:R30)=3,IFERROR(ROUND((P30*Settings!$D$15+Q30*Settings!$D$16+R30*Settings!$D$17)/(Settings!$D$15+Settings!$D$16+Settings!$D$17),2),""),"")</f>
        <v/>
      </c>
      <c r="Z30" s="33">
        <f>IF(COUNT(S30:U30)=3,IFERROR(ROUND((S30*Settings!$D$15+T30*Settings!$D$16+U30*Settings!$D$17)/(Settings!$D$15+Settings!$D$16+Settings!$D$17),2),""),"")</f>
        <v/>
      </c>
      <c r="AA30" s="34">
        <f>IF(COUNT(V30:Z30)=0,"",ROUND(AVERAGE(V30:Z30),2))</f>
        <v/>
      </c>
      <c r="AB30" s="35">
        <f>IF($A30="","",COUNT(V30:Z30))</f>
        <v/>
      </c>
      <c r="AC30" s="36" t="n"/>
      <c r="AD30" s="35">
        <f>IF(AA30="","",SUMPRODUCT(ISNUMBER($AA$6:$AA$305)*($AA$6:$AA$305&gt;AA30))+SUMPRODUCT(($AA$6:AA30=AA30)*1))</f>
        <v/>
      </c>
      <c r="AE30" s="35">
        <f>IF(AA30="","",SUMPRODUCT(($E$6:$E$305=E30)*ISNUMBER($AA$6:$AA$305)*($AA$6:$AA$305&gt;AA30))+SUMPRODUCT(($E$6:E30=E30)*($AA$6:AA30=AA30)))</f>
        <v/>
      </c>
    </row>
    <row r="31">
      <c r="A31" s="31">
        <f>IF(Submissions!AD27="","",26)</f>
        <v/>
      </c>
      <c r="B31" s="10">
        <f>IF($A31="","",IF(Settings!$B$4="Yes","Submission "&amp;$A31,Submissions!AD27))</f>
        <v/>
      </c>
      <c r="C31" s="31">
        <f>IF($A31="","",IF(Settings!$B$4="Yes","(hidden)",Submissions!AE27))</f>
        <v/>
      </c>
      <c r="D31" s="31">
        <f>IF($A31="","",Submissions!AF27)</f>
        <v/>
      </c>
      <c r="E31" s="31">
        <f>IF($A31="","",Submissions!AG27)</f>
        <v/>
      </c>
      <c r="F31" s="31">
        <f>IF($A31="","",Submissions!AH27)</f>
        <v/>
      </c>
      <c r="G31" s="37" t="n"/>
      <c r="H31" s="37" t="n"/>
      <c r="I31" s="37" t="n"/>
      <c r="J31" s="37" t="n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3">
        <f>IF(COUNT(G31:I31)=3,IFERROR(ROUND((G31*Settings!$D$15+H31*Settings!$D$16+I31*Settings!$D$17)/(Settings!$D$15+Settings!$D$16+Settings!$D$17),2),""),"")</f>
        <v/>
      </c>
      <c r="W31" s="33">
        <f>IF(COUNT(J31:L31)=3,IFERROR(ROUND((J31*Settings!$D$15+K31*Settings!$D$16+L31*Settings!$D$17)/(Settings!$D$15+Settings!$D$16+Settings!$D$17),2),""),"")</f>
        <v/>
      </c>
      <c r="X31" s="33">
        <f>IF(COUNT(M31:O31)=3,IFERROR(ROUND((M31*Settings!$D$15+N31*Settings!$D$16+O31*Settings!$D$17)/(Settings!$D$15+Settings!$D$16+Settings!$D$17),2),""),"")</f>
        <v/>
      </c>
      <c r="Y31" s="33">
        <f>IF(COUNT(P31:R31)=3,IFERROR(ROUND((P31*Settings!$D$15+Q31*Settings!$D$16+R31*Settings!$D$17)/(Settings!$D$15+Settings!$D$16+Settings!$D$17),2),""),"")</f>
        <v/>
      </c>
      <c r="Z31" s="33">
        <f>IF(COUNT(S31:U31)=3,IFERROR(ROUND((S31*Settings!$D$15+T31*Settings!$D$16+U31*Settings!$D$17)/(Settings!$D$15+Settings!$D$16+Settings!$D$17),2),""),"")</f>
        <v/>
      </c>
      <c r="AA31" s="34">
        <f>IF(COUNT(V31:Z31)=0,"",ROUND(AVERAGE(V31:Z31),2))</f>
        <v/>
      </c>
      <c r="AB31" s="35">
        <f>IF($A31="","",COUNT(V31:Z31))</f>
        <v/>
      </c>
      <c r="AC31" s="36" t="n"/>
      <c r="AD31" s="35">
        <f>IF(AA31="","",SUMPRODUCT(ISNUMBER($AA$6:$AA$305)*($AA$6:$AA$305&gt;AA31))+SUMPRODUCT(($AA$6:AA31=AA31)*1))</f>
        <v/>
      </c>
      <c r="AE31" s="35">
        <f>IF(AA31="","",SUMPRODUCT(($E$6:$E$305=E31)*ISNUMBER($AA$6:$AA$305)*($AA$6:$AA$305&gt;AA31))+SUMPRODUCT(($E$6:E31=E31)*($AA$6:AA31=AA31)))</f>
        <v/>
      </c>
    </row>
    <row r="32">
      <c r="A32" s="31">
        <f>IF(Submissions!AD28="","",27)</f>
        <v/>
      </c>
      <c r="B32" s="10">
        <f>IF($A32="","",IF(Settings!$B$4="Yes","Submission "&amp;$A32,Submissions!AD28))</f>
        <v/>
      </c>
      <c r="C32" s="31">
        <f>IF($A32="","",IF(Settings!$B$4="Yes","(hidden)",Submissions!AE28))</f>
        <v/>
      </c>
      <c r="D32" s="31">
        <f>IF($A32="","",Submissions!AF28)</f>
        <v/>
      </c>
      <c r="E32" s="31">
        <f>IF($A32="","",Submissions!AG28)</f>
        <v/>
      </c>
      <c r="F32" s="31">
        <f>IF($A32="","",Submissions!AH28)</f>
        <v/>
      </c>
      <c r="G32" s="37" t="n"/>
      <c r="H32" s="37" t="n"/>
      <c r="I32" s="37" t="n"/>
      <c r="J32" s="37" t="n"/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3">
        <f>IF(COUNT(G32:I32)=3,IFERROR(ROUND((G32*Settings!$D$15+H32*Settings!$D$16+I32*Settings!$D$17)/(Settings!$D$15+Settings!$D$16+Settings!$D$17),2),""),"")</f>
        <v/>
      </c>
      <c r="W32" s="33">
        <f>IF(COUNT(J32:L32)=3,IFERROR(ROUND((J32*Settings!$D$15+K32*Settings!$D$16+L32*Settings!$D$17)/(Settings!$D$15+Settings!$D$16+Settings!$D$17),2),""),"")</f>
        <v/>
      </c>
      <c r="X32" s="33">
        <f>IF(COUNT(M32:O32)=3,IFERROR(ROUND((M32*Settings!$D$15+N32*Settings!$D$16+O32*Settings!$D$17)/(Settings!$D$15+Settings!$D$16+Settings!$D$17),2),""),"")</f>
        <v/>
      </c>
      <c r="Y32" s="33">
        <f>IF(COUNT(P32:R32)=3,IFERROR(ROUND((P32*Settings!$D$15+Q32*Settings!$D$16+R32*Settings!$D$17)/(Settings!$D$15+Settings!$D$16+Settings!$D$17),2),""),"")</f>
        <v/>
      </c>
      <c r="Z32" s="33">
        <f>IF(COUNT(S32:U32)=3,IFERROR(ROUND((S32*Settings!$D$15+T32*Settings!$D$16+U32*Settings!$D$17)/(Settings!$D$15+Settings!$D$16+Settings!$D$17),2),""),"")</f>
        <v/>
      </c>
      <c r="AA32" s="34">
        <f>IF(COUNT(V32:Z32)=0,"",ROUND(AVERAGE(V32:Z32),2))</f>
        <v/>
      </c>
      <c r="AB32" s="35">
        <f>IF($A32="","",COUNT(V32:Z32))</f>
        <v/>
      </c>
      <c r="AC32" s="36" t="n"/>
      <c r="AD32" s="35">
        <f>IF(AA32="","",SUMPRODUCT(ISNUMBER($AA$6:$AA$305)*($AA$6:$AA$305&gt;AA32))+SUMPRODUCT(($AA$6:AA32=AA32)*1))</f>
        <v/>
      </c>
      <c r="AE32" s="35">
        <f>IF(AA32="","",SUMPRODUCT(($E$6:$E$305=E32)*ISNUMBER($AA$6:$AA$305)*($AA$6:$AA$305&gt;AA32))+SUMPRODUCT(($E$6:E32=E32)*($AA$6:AA32=AA32)))</f>
        <v/>
      </c>
    </row>
    <row r="33">
      <c r="A33" s="31">
        <f>IF(Submissions!AD29="","",28)</f>
        <v/>
      </c>
      <c r="B33" s="10">
        <f>IF($A33="","",IF(Settings!$B$4="Yes","Submission "&amp;$A33,Submissions!AD29))</f>
        <v/>
      </c>
      <c r="C33" s="31">
        <f>IF($A33="","",IF(Settings!$B$4="Yes","(hidden)",Submissions!AE29))</f>
        <v/>
      </c>
      <c r="D33" s="31">
        <f>IF($A33="","",Submissions!AF29)</f>
        <v/>
      </c>
      <c r="E33" s="31">
        <f>IF($A33="","",Submissions!AG29)</f>
        <v/>
      </c>
      <c r="F33" s="31">
        <f>IF($A33="","",Submissions!AH29)</f>
        <v/>
      </c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3">
        <f>IF(COUNT(G33:I33)=3,IFERROR(ROUND((G33*Settings!$D$15+H33*Settings!$D$16+I33*Settings!$D$17)/(Settings!$D$15+Settings!$D$16+Settings!$D$17),2),""),"")</f>
        <v/>
      </c>
      <c r="W33" s="33">
        <f>IF(COUNT(J33:L33)=3,IFERROR(ROUND((J33*Settings!$D$15+K33*Settings!$D$16+L33*Settings!$D$17)/(Settings!$D$15+Settings!$D$16+Settings!$D$17),2),""),"")</f>
        <v/>
      </c>
      <c r="X33" s="33">
        <f>IF(COUNT(M33:O33)=3,IFERROR(ROUND((M33*Settings!$D$15+N33*Settings!$D$16+O33*Settings!$D$17)/(Settings!$D$15+Settings!$D$16+Settings!$D$17),2),""),"")</f>
        <v/>
      </c>
      <c r="Y33" s="33">
        <f>IF(COUNT(P33:R33)=3,IFERROR(ROUND((P33*Settings!$D$15+Q33*Settings!$D$16+R33*Settings!$D$17)/(Settings!$D$15+Settings!$D$16+Settings!$D$17),2),""),"")</f>
        <v/>
      </c>
      <c r="Z33" s="33">
        <f>IF(COUNT(S33:U33)=3,IFERROR(ROUND((S33*Settings!$D$15+T33*Settings!$D$16+U33*Settings!$D$17)/(Settings!$D$15+Settings!$D$16+Settings!$D$17),2),""),"")</f>
        <v/>
      </c>
      <c r="AA33" s="34">
        <f>IF(COUNT(V33:Z33)=0,"",ROUND(AVERAGE(V33:Z33),2))</f>
        <v/>
      </c>
      <c r="AB33" s="35">
        <f>IF($A33="","",COUNT(V33:Z33))</f>
        <v/>
      </c>
      <c r="AC33" s="36" t="n"/>
      <c r="AD33" s="35">
        <f>IF(AA33="","",SUMPRODUCT(ISNUMBER($AA$6:$AA$305)*($AA$6:$AA$305&gt;AA33))+SUMPRODUCT(($AA$6:AA33=AA33)*1))</f>
        <v/>
      </c>
      <c r="AE33" s="35">
        <f>IF(AA33="","",SUMPRODUCT(($E$6:$E$305=E33)*ISNUMBER($AA$6:$AA$305)*($AA$6:$AA$305&gt;AA33))+SUMPRODUCT(($E$6:E33=E33)*($AA$6:AA33=AA33)))</f>
        <v/>
      </c>
    </row>
    <row r="34">
      <c r="A34" s="31">
        <f>IF(Submissions!AD30="","",29)</f>
        <v/>
      </c>
      <c r="B34" s="10">
        <f>IF($A34="","",IF(Settings!$B$4="Yes","Submission "&amp;$A34,Submissions!AD30))</f>
        <v/>
      </c>
      <c r="C34" s="31">
        <f>IF($A34="","",IF(Settings!$B$4="Yes","(hidden)",Submissions!AE30))</f>
        <v/>
      </c>
      <c r="D34" s="31">
        <f>IF($A34="","",Submissions!AF30)</f>
        <v/>
      </c>
      <c r="E34" s="31">
        <f>IF($A34="","",Submissions!AG30)</f>
        <v/>
      </c>
      <c r="F34" s="31">
        <f>IF($A34="","",Submissions!AH30)</f>
        <v/>
      </c>
      <c r="G34" s="37" t="n"/>
      <c r="H34" s="37" t="n"/>
      <c r="I34" s="37" t="n"/>
      <c r="J34" s="37" t="n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3">
        <f>IF(COUNT(G34:I34)=3,IFERROR(ROUND((G34*Settings!$D$15+H34*Settings!$D$16+I34*Settings!$D$17)/(Settings!$D$15+Settings!$D$16+Settings!$D$17),2),""),"")</f>
        <v/>
      </c>
      <c r="W34" s="33">
        <f>IF(COUNT(J34:L34)=3,IFERROR(ROUND((J34*Settings!$D$15+K34*Settings!$D$16+L34*Settings!$D$17)/(Settings!$D$15+Settings!$D$16+Settings!$D$17),2),""),"")</f>
        <v/>
      </c>
      <c r="X34" s="33">
        <f>IF(COUNT(M34:O34)=3,IFERROR(ROUND((M34*Settings!$D$15+N34*Settings!$D$16+O34*Settings!$D$17)/(Settings!$D$15+Settings!$D$16+Settings!$D$17),2),""),"")</f>
        <v/>
      </c>
      <c r="Y34" s="33">
        <f>IF(COUNT(P34:R34)=3,IFERROR(ROUND((P34*Settings!$D$15+Q34*Settings!$D$16+R34*Settings!$D$17)/(Settings!$D$15+Settings!$D$16+Settings!$D$17),2),""),"")</f>
        <v/>
      </c>
      <c r="Z34" s="33">
        <f>IF(COUNT(S34:U34)=3,IFERROR(ROUND((S34*Settings!$D$15+T34*Settings!$D$16+U34*Settings!$D$17)/(Settings!$D$15+Settings!$D$16+Settings!$D$17),2),""),"")</f>
        <v/>
      </c>
      <c r="AA34" s="34">
        <f>IF(COUNT(V34:Z34)=0,"",ROUND(AVERAGE(V34:Z34),2))</f>
        <v/>
      </c>
      <c r="AB34" s="35">
        <f>IF($A34="","",COUNT(V34:Z34))</f>
        <v/>
      </c>
      <c r="AC34" s="36" t="n"/>
      <c r="AD34" s="35">
        <f>IF(AA34="","",SUMPRODUCT(ISNUMBER($AA$6:$AA$305)*($AA$6:$AA$305&gt;AA34))+SUMPRODUCT(($AA$6:AA34=AA34)*1))</f>
        <v/>
      </c>
      <c r="AE34" s="35">
        <f>IF(AA34="","",SUMPRODUCT(($E$6:$E$305=E34)*ISNUMBER($AA$6:$AA$305)*($AA$6:$AA$305&gt;AA34))+SUMPRODUCT(($E$6:E34=E34)*($AA$6:AA34=AA34)))</f>
        <v/>
      </c>
    </row>
    <row r="35">
      <c r="A35" s="31">
        <f>IF(Submissions!AD31="","",30)</f>
        <v/>
      </c>
      <c r="B35" s="10">
        <f>IF($A35="","",IF(Settings!$B$4="Yes","Submission "&amp;$A35,Submissions!AD31))</f>
        <v/>
      </c>
      <c r="C35" s="31">
        <f>IF($A35="","",IF(Settings!$B$4="Yes","(hidden)",Submissions!AE31))</f>
        <v/>
      </c>
      <c r="D35" s="31">
        <f>IF($A35="","",Submissions!AF31)</f>
        <v/>
      </c>
      <c r="E35" s="31">
        <f>IF($A35="","",Submissions!AG31)</f>
        <v/>
      </c>
      <c r="F35" s="31">
        <f>IF($A35="","",Submissions!AH31)</f>
        <v/>
      </c>
      <c r="G35" s="37" t="n"/>
      <c r="H35" s="37" t="n"/>
      <c r="I35" s="37" t="n"/>
      <c r="J35" s="37" t="n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3">
        <f>IF(COUNT(G35:I35)=3,IFERROR(ROUND((G35*Settings!$D$15+H35*Settings!$D$16+I35*Settings!$D$17)/(Settings!$D$15+Settings!$D$16+Settings!$D$17),2),""),"")</f>
        <v/>
      </c>
      <c r="W35" s="33">
        <f>IF(COUNT(J35:L35)=3,IFERROR(ROUND((J35*Settings!$D$15+K35*Settings!$D$16+L35*Settings!$D$17)/(Settings!$D$15+Settings!$D$16+Settings!$D$17),2),""),"")</f>
        <v/>
      </c>
      <c r="X35" s="33">
        <f>IF(COUNT(M35:O35)=3,IFERROR(ROUND((M35*Settings!$D$15+N35*Settings!$D$16+O35*Settings!$D$17)/(Settings!$D$15+Settings!$D$16+Settings!$D$17),2),""),"")</f>
        <v/>
      </c>
      <c r="Y35" s="33">
        <f>IF(COUNT(P35:R35)=3,IFERROR(ROUND((P35*Settings!$D$15+Q35*Settings!$D$16+R35*Settings!$D$17)/(Settings!$D$15+Settings!$D$16+Settings!$D$17),2),""),"")</f>
        <v/>
      </c>
      <c r="Z35" s="33">
        <f>IF(COUNT(S35:U35)=3,IFERROR(ROUND((S35*Settings!$D$15+T35*Settings!$D$16+U35*Settings!$D$17)/(Settings!$D$15+Settings!$D$16+Settings!$D$17),2),""),"")</f>
        <v/>
      </c>
      <c r="AA35" s="34">
        <f>IF(COUNT(V35:Z35)=0,"",ROUND(AVERAGE(V35:Z35),2))</f>
        <v/>
      </c>
      <c r="AB35" s="35">
        <f>IF($A35="","",COUNT(V35:Z35))</f>
        <v/>
      </c>
      <c r="AC35" s="36" t="n"/>
      <c r="AD35" s="35">
        <f>IF(AA35="","",SUMPRODUCT(ISNUMBER($AA$6:$AA$305)*($AA$6:$AA$305&gt;AA35))+SUMPRODUCT(($AA$6:AA35=AA35)*1))</f>
        <v/>
      </c>
      <c r="AE35" s="35">
        <f>IF(AA35="","",SUMPRODUCT(($E$6:$E$305=E35)*ISNUMBER($AA$6:$AA$305)*($AA$6:$AA$305&gt;AA35))+SUMPRODUCT(($E$6:E35=E35)*($AA$6:AA35=AA35)))</f>
        <v/>
      </c>
    </row>
    <row r="36">
      <c r="A36" s="31">
        <f>IF(Submissions!AD32="","",31)</f>
        <v/>
      </c>
      <c r="B36" s="10">
        <f>IF($A36="","",IF(Settings!$B$4="Yes","Submission "&amp;$A36,Submissions!AD32))</f>
        <v/>
      </c>
      <c r="C36" s="31">
        <f>IF($A36="","",IF(Settings!$B$4="Yes","(hidden)",Submissions!AE32))</f>
        <v/>
      </c>
      <c r="D36" s="31">
        <f>IF($A36="","",Submissions!AF32)</f>
        <v/>
      </c>
      <c r="E36" s="31">
        <f>IF($A36="","",Submissions!AG32)</f>
        <v/>
      </c>
      <c r="F36" s="31">
        <f>IF($A36="","",Submissions!AH32)</f>
        <v/>
      </c>
      <c r="G36" s="37" t="n"/>
      <c r="H36" s="37" t="n"/>
      <c r="I36" s="37" t="n"/>
      <c r="J36" s="37" t="n"/>
      <c r="K36" s="37" t="n"/>
      <c r="L36" s="37" t="n"/>
      <c r="M36" s="37" t="n"/>
      <c r="N36" s="37" t="n"/>
      <c r="O36" s="37" t="n"/>
      <c r="P36" s="37" t="n"/>
      <c r="Q36" s="37" t="n"/>
      <c r="R36" s="37" t="n"/>
      <c r="S36" s="37" t="n"/>
      <c r="T36" s="37" t="n"/>
      <c r="U36" s="37" t="n"/>
      <c r="V36" s="33">
        <f>IF(COUNT(G36:I36)=3,IFERROR(ROUND((G36*Settings!$D$15+H36*Settings!$D$16+I36*Settings!$D$17)/(Settings!$D$15+Settings!$D$16+Settings!$D$17),2),""),"")</f>
        <v/>
      </c>
      <c r="W36" s="33">
        <f>IF(COUNT(J36:L36)=3,IFERROR(ROUND((J36*Settings!$D$15+K36*Settings!$D$16+L36*Settings!$D$17)/(Settings!$D$15+Settings!$D$16+Settings!$D$17),2),""),"")</f>
        <v/>
      </c>
      <c r="X36" s="33">
        <f>IF(COUNT(M36:O36)=3,IFERROR(ROUND((M36*Settings!$D$15+N36*Settings!$D$16+O36*Settings!$D$17)/(Settings!$D$15+Settings!$D$16+Settings!$D$17),2),""),"")</f>
        <v/>
      </c>
      <c r="Y36" s="33">
        <f>IF(COUNT(P36:R36)=3,IFERROR(ROUND((P36*Settings!$D$15+Q36*Settings!$D$16+R36*Settings!$D$17)/(Settings!$D$15+Settings!$D$16+Settings!$D$17),2),""),"")</f>
        <v/>
      </c>
      <c r="Z36" s="33">
        <f>IF(COUNT(S36:U36)=3,IFERROR(ROUND((S36*Settings!$D$15+T36*Settings!$D$16+U36*Settings!$D$17)/(Settings!$D$15+Settings!$D$16+Settings!$D$17),2),""),"")</f>
        <v/>
      </c>
      <c r="AA36" s="34">
        <f>IF(COUNT(V36:Z36)=0,"",ROUND(AVERAGE(V36:Z36),2))</f>
        <v/>
      </c>
      <c r="AB36" s="35">
        <f>IF($A36="","",COUNT(V36:Z36))</f>
        <v/>
      </c>
      <c r="AC36" s="36" t="n"/>
      <c r="AD36" s="35">
        <f>IF(AA36="","",SUMPRODUCT(ISNUMBER($AA$6:$AA$305)*($AA$6:$AA$305&gt;AA36))+SUMPRODUCT(($AA$6:AA36=AA36)*1))</f>
        <v/>
      </c>
      <c r="AE36" s="35">
        <f>IF(AA36="","",SUMPRODUCT(($E$6:$E$305=E36)*ISNUMBER($AA$6:$AA$305)*($AA$6:$AA$305&gt;AA36))+SUMPRODUCT(($E$6:E36=E36)*($AA$6:AA36=AA36)))</f>
        <v/>
      </c>
    </row>
    <row r="37">
      <c r="A37" s="31">
        <f>IF(Submissions!AD33="","",32)</f>
        <v/>
      </c>
      <c r="B37" s="10">
        <f>IF($A37="","",IF(Settings!$B$4="Yes","Submission "&amp;$A37,Submissions!AD33))</f>
        <v/>
      </c>
      <c r="C37" s="31">
        <f>IF($A37="","",IF(Settings!$B$4="Yes","(hidden)",Submissions!AE33))</f>
        <v/>
      </c>
      <c r="D37" s="31">
        <f>IF($A37="","",Submissions!AF33)</f>
        <v/>
      </c>
      <c r="E37" s="31">
        <f>IF($A37="","",Submissions!AG33)</f>
        <v/>
      </c>
      <c r="F37" s="31">
        <f>IF($A37="","",Submissions!AH33)</f>
        <v/>
      </c>
      <c r="G37" s="37" t="n"/>
      <c r="H37" s="37" t="n"/>
      <c r="I37" s="37" t="n"/>
      <c r="J37" s="37" t="n"/>
      <c r="K37" s="37" t="n"/>
      <c r="L37" s="37" t="n"/>
      <c r="M37" s="37" t="n"/>
      <c r="N37" s="37" t="n"/>
      <c r="O37" s="37" t="n"/>
      <c r="P37" s="37" t="n"/>
      <c r="Q37" s="37" t="n"/>
      <c r="R37" s="37" t="n"/>
      <c r="S37" s="37" t="n"/>
      <c r="T37" s="37" t="n"/>
      <c r="U37" s="37" t="n"/>
      <c r="V37" s="33">
        <f>IF(COUNT(G37:I37)=3,IFERROR(ROUND((G37*Settings!$D$15+H37*Settings!$D$16+I37*Settings!$D$17)/(Settings!$D$15+Settings!$D$16+Settings!$D$17),2),""),"")</f>
        <v/>
      </c>
      <c r="W37" s="33">
        <f>IF(COUNT(J37:L37)=3,IFERROR(ROUND((J37*Settings!$D$15+K37*Settings!$D$16+L37*Settings!$D$17)/(Settings!$D$15+Settings!$D$16+Settings!$D$17),2),""),"")</f>
        <v/>
      </c>
      <c r="X37" s="33">
        <f>IF(COUNT(M37:O37)=3,IFERROR(ROUND((M37*Settings!$D$15+N37*Settings!$D$16+O37*Settings!$D$17)/(Settings!$D$15+Settings!$D$16+Settings!$D$17),2),""),"")</f>
        <v/>
      </c>
      <c r="Y37" s="33">
        <f>IF(COUNT(P37:R37)=3,IFERROR(ROUND((P37*Settings!$D$15+Q37*Settings!$D$16+R37*Settings!$D$17)/(Settings!$D$15+Settings!$D$16+Settings!$D$17),2),""),"")</f>
        <v/>
      </c>
      <c r="Z37" s="33">
        <f>IF(COUNT(S37:U37)=3,IFERROR(ROUND((S37*Settings!$D$15+T37*Settings!$D$16+U37*Settings!$D$17)/(Settings!$D$15+Settings!$D$16+Settings!$D$17),2),""),"")</f>
        <v/>
      </c>
      <c r="AA37" s="34">
        <f>IF(COUNT(V37:Z37)=0,"",ROUND(AVERAGE(V37:Z37),2))</f>
        <v/>
      </c>
      <c r="AB37" s="35">
        <f>IF($A37="","",COUNT(V37:Z37))</f>
        <v/>
      </c>
      <c r="AC37" s="36" t="n"/>
      <c r="AD37" s="35">
        <f>IF(AA37="","",SUMPRODUCT(ISNUMBER($AA$6:$AA$305)*($AA$6:$AA$305&gt;AA37))+SUMPRODUCT(($AA$6:AA37=AA37)*1))</f>
        <v/>
      </c>
      <c r="AE37" s="35">
        <f>IF(AA37="","",SUMPRODUCT(($E$6:$E$305=E37)*ISNUMBER($AA$6:$AA$305)*($AA$6:$AA$305&gt;AA37))+SUMPRODUCT(($E$6:E37=E37)*($AA$6:AA37=AA37)))</f>
        <v/>
      </c>
    </row>
    <row r="38">
      <c r="A38" s="31">
        <f>IF(Submissions!AD34="","",33)</f>
        <v/>
      </c>
      <c r="B38" s="10">
        <f>IF($A38="","",IF(Settings!$B$4="Yes","Submission "&amp;$A38,Submissions!AD34))</f>
        <v/>
      </c>
      <c r="C38" s="31">
        <f>IF($A38="","",IF(Settings!$B$4="Yes","(hidden)",Submissions!AE34))</f>
        <v/>
      </c>
      <c r="D38" s="31">
        <f>IF($A38="","",Submissions!AF34)</f>
        <v/>
      </c>
      <c r="E38" s="31">
        <f>IF($A38="","",Submissions!AG34)</f>
        <v/>
      </c>
      <c r="F38" s="31">
        <f>IF($A38="","",Submissions!AH34)</f>
        <v/>
      </c>
      <c r="G38" s="37" t="n"/>
      <c r="H38" s="37" t="n"/>
      <c r="I38" s="37" t="n"/>
      <c r="J38" s="37" t="n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3">
        <f>IF(COUNT(G38:I38)=3,IFERROR(ROUND((G38*Settings!$D$15+H38*Settings!$D$16+I38*Settings!$D$17)/(Settings!$D$15+Settings!$D$16+Settings!$D$17),2),""),"")</f>
        <v/>
      </c>
      <c r="W38" s="33">
        <f>IF(COUNT(J38:L38)=3,IFERROR(ROUND((J38*Settings!$D$15+K38*Settings!$D$16+L38*Settings!$D$17)/(Settings!$D$15+Settings!$D$16+Settings!$D$17),2),""),"")</f>
        <v/>
      </c>
      <c r="X38" s="33">
        <f>IF(COUNT(M38:O38)=3,IFERROR(ROUND((M38*Settings!$D$15+N38*Settings!$D$16+O38*Settings!$D$17)/(Settings!$D$15+Settings!$D$16+Settings!$D$17),2),""),"")</f>
        <v/>
      </c>
      <c r="Y38" s="33">
        <f>IF(COUNT(P38:R38)=3,IFERROR(ROUND((P38*Settings!$D$15+Q38*Settings!$D$16+R38*Settings!$D$17)/(Settings!$D$15+Settings!$D$16+Settings!$D$17),2),""),"")</f>
        <v/>
      </c>
      <c r="Z38" s="33">
        <f>IF(COUNT(S38:U38)=3,IFERROR(ROUND((S38*Settings!$D$15+T38*Settings!$D$16+U38*Settings!$D$17)/(Settings!$D$15+Settings!$D$16+Settings!$D$17),2),""),"")</f>
        <v/>
      </c>
      <c r="AA38" s="34">
        <f>IF(COUNT(V38:Z38)=0,"",ROUND(AVERAGE(V38:Z38),2))</f>
        <v/>
      </c>
      <c r="AB38" s="35">
        <f>IF($A38="","",COUNT(V38:Z38))</f>
        <v/>
      </c>
      <c r="AC38" s="36" t="n"/>
      <c r="AD38" s="35">
        <f>IF(AA38="","",SUMPRODUCT(ISNUMBER($AA$6:$AA$305)*($AA$6:$AA$305&gt;AA38))+SUMPRODUCT(($AA$6:AA38=AA38)*1))</f>
        <v/>
      </c>
      <c r="AE38" s="35">
        <f>IF(AA38="","",SUMPRODUCT(($E$6:$E$305=E38)*ISNUMBER($AA$6:$AA$305)*($AA$6:$AA$305&gt;AA38))+SUMPRODUCT(($E$6:E38=E38)*($AA$6:AA38=AA38)))</f>
        <v/>
      </c>
    </row>
    <row r="39">
      <c r="A39" s="31">
        <f>IF(Submissions!AD35="","",34)</f>
        <v/>
      </c>
      <c r="B39" s="10">
        <f>IF($A39="","",IF(Settings!$B$4="Yes","Submission "&amp;$A39,Submissions!AD35))</f>
        <v/>
      </c>
      <c r="C39" s="31">
        <f>IF($A39="","",IF(Settings!$B$4="Yes","(hidden)",Submissions!AE35))</f>
        <v/>
      </c>
      <c r="D39" s="31">
        <f>IF($A39="","",Submissions!AF35)</f>
        <v/>
      </c>
      <c r="E39" s="31">
        <f>IF($A39="","",Submissions!AG35)</f>
        <v/>
      </c>
      <c r="F39" s="31">
        <f>IF($A39="","",Submissions!AH35)</f>
        <v/>
      </c>
      <c r="G39" s="37" t="n"/>
      <c r="H39" s="37" t="n"/>
      <c r="I39" s="37" t="n"/>
      <c r="J39" s="37" t="n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3">
        <f>IF(COUNT(G39:I39)=3,IFERROR(ROUND((G39*Settings!$D$15+H39*Settings!$D$16+I39*Settings!$D$17)/(Settings!$D$15+Settings!$D$16+Settings!$D$17),2),""),"")</f>
        <v/>
      </c>
      <c r="W39" s="33">
        <f>IF(COUNT(J39:L39)=3,IFERROR(ROUND((J39*Settings!$D$15+K39*Settings!$D$16+L39*Settings!$D$17)/(Settings!$D$15+Settings!$D$16+Settings!$D$17),2),""),"")</f>
        <v/>
      </c>
      <c r="X39" s="33">
        <f>IF(COUNT(M39:O39)=3,IFERROR(ROUND((M39*Settings!$D$15+N39*Settings!$D$16+O39*Settings!$D$17)/(Settings!$D$15+Settings!$D$16+Settings!$D$17),2),""),"")</f>
        <v/>
      </c>
      <c r="Y39" s="33">
        <f>IF(COUNT(P39:R39)=3,IFERROR(ROUND((P39*Settings!$D$15+Q39*Settings!$D$16+R39*Settings!$D$17)/(Settings!$D$15+Settings!$D$16+Settings!$D$17),2),""),"")</f>
        <v/>
      </c>
      <c r="Z39" s="33">
        <f>IF(COUNT(S39:U39)=3,IFERROR(ROUND((S39*Settings!$D$15+T39*Settings!$D$16+U39*Settings!$D$17)/(Settings!$D$15+Settings!$D$16+Settings!$D$17),2),""),"")</f>
        <v/>
      </c>
      <c r="AA39" s="34">
        <f>IF(COUNT(V39:Z39)=0,"",ROUND(AVERAGE(V39:Z39),2))</f>
        <v/>
      </c>
      <c r="AB39" s="35">
        <f>IF($A39="","",COUNT(V39:Z39))</f>
        <v/>
      </c>
      <c r="AC39" s="36" t="n"/>
      <c r="AD39" s="35">
        <f>IF(AA39="","",SUMPRODUCT(ISNUMBER($AA$6:$AA$305)*($AA$6:$AA$305&gt;AA39))+SUMPRODUCT(($AA$6:AA39=AA39)*1))</f>
        <v/>
      </c>
      <c r="AE39" s="35">
        <f>IF(AA39="","",SUMPRODUCT(($E$6:$E$305=E39)*ISNUMBER($AA$6:$AA$305)*($AA$6:$AA$305&gt;AA39))+SUMPRODUCT(($E$6:E39=E39)*($AA$6:AA39=AA39)))</f>
        <v/>
      </c>
    </row>
    <row r="40">
      <c r="A40" s="31">
        <f>IF(Submissions!AD36="","",35)</f>
        <v/>
      </c>
      <c r="B40" s="10">
        <f>IF($A40="","",IF(Settings!$B$4="Yes","Submission "&amp;$A40,Submissions!AD36))</f>
        <v/>
      </c>
      <c r="C40" s="31">
        <f>IF($A40="","",IF(Settings!$B$4="Yes","(hidden)",Submissions!AE36))</f>
        <v/>
      </c>
      <c r="D40" s="31">
        <f>IF($A40="","",Submissions!AF36)</f>
        <v/>
      </c>
      <c r="E40" s="31">
        <f>IF($A40="","",Submissions!AG36)</f>
        <v/>
      </c>
      <c r="F40" s="31">
        <f>IF($A40="","",Submissions!AH36)</f>
        <v/>
      </c>
      <c r="G40" s="37" t="n"/>
      <c r="H40" s="37" t="n"/>
      <c r="I40" s="37" t="n"/>
      <c r="J40" s="37" t="n"/>
      <c r="K40" s="37" t="n"/>
      <c r="L40" s="37" t="n"/>
      <c r="M40" s="37" t="n"/>
      <c r="N40" s="37" t="n"/>
      <c r="O40" s="37" t="n"/>
      <c r="P40" s="37" t="n"/>
      <c r="Q40" s="37" t="n"/>
      <c r="R40" s="37" t="n"/>
      <c r="S40" s="37" t="n"/>
      <c r="T40" s="37" t="n"/>
      <c r="U40" s="37" t="n"/>
      <c r="V40" s="33">
        <f>IF(COUNT(G40:I40)=3,IFERROR(ROUND((G40*Settings!$D$15+H40*Settings!$D$16+I40*Settings!$D$17)/(Settings!$D$15+Settings!$D$16+Settings!$D$17),2),""),"")</f>
        <v/>
      </c>
      <c r="W40" s="33">
        <f>IF(COUNT(J40:L40)=3,IFERROR(ROUND((J40*Settings!$D$15+K40*Settings!$D$16+L40*Settings!$D$17)/(Settings!$D$15+Settings!$D$16+Settings!$D$17),2),""),"")</f>
        <v/>
      </c>
      <c r="X40" s="33">
        <f>IF(COUNT(M40:O40)=3,IFERROR(ROUND((M40*Settings!$D$15+N40*Settings!$D$16+O40*Settings!$D$17)/(Settings!$D$15+Settings!$D$16+Settings!$D$17),2),""),"")</f>
        <v/>
      </c>
      <c r="Y40" s="33">
        <f>IF(COUNT(P40:R40)=3,IFERROR(ROUND((P40*Settings!$D$15+Q40*Settings!$D$16+R40*Settings!$D$17)/(Settings!$D$15+Settings!$D$16+Settings!$D$17),2),""),"")</f>
        <v/>
      </c>
      <c r="Z40" s="33">
        <f>IF(COUNT(S40:U40)=3,IFERROR(ROUND((S40*Settings!$D$15+T40*Settings!$D$16+U40*Settings!$D$17)/(Settings!$D$15+Settings!$D$16+Settings!$D$17),2),""),"")</f>
        <v/>
      </c>
      <c r="AA40" s="34">
        <f>IF(COUNT(V40:Z40)=0,"",ROUND(AVERAGE(V40:Z40),2))</f>
        <v/>
      </c>
      <c r="AB40" s="35">
        <f>IF($A40="","",COUNT(V40:Z40))</f>
        <v/>
      </c>
      <c r="AC40" s="36" t="n"/>
      <c r="AD40" s="35">
        <f>IF(AA40="","",SUMPRODUCT(ISNUMBER($AA$6:$AA$305)*($AA$6:$AA$305&gt;AA40))+SUMPRODUCT(($AA$6:AA40=AA40)*1))</f>
        <v/>
      </c>
      <c r="AE40" s="35">
        <f>IF(AA40="","",SUMPRODUCT(($E$6:$E$305=E40)*ISNUMBER($AA$6:$AA$305)*($AA$6:$AA$305&gt;AA40))+SUMPRODUCT(($E$6:E40=E40)*($AA$6:AA40=AA40)))</f>
        <v/>
      </c>
    </row>
    <row r="41">
      <c r="A41" s="31">
        <f>IF(Submissions!AD37="","",36)</f>
        <v/>
      </c>
      <c r="B41" s="10">
        <f>IF($A41="","",IF(Settings!$B$4="Yes","Submission "&amp;$A41,Submissions!AD37))</f>
        <v/>
      </c>
      <c r="C41" s="31">
        <f>IF($A41="","",IF(Settings!$B$4="Yes","(hidden)",Submissions!AE37))</f>
        <v/>
      </c>
      <c r="D41" s="31">
        <f>IF($A41="","",Submissions!AF37)</f>
        <v/>
      </c>
      <c r="E41" s="31">
        <f>IF($A41="","",Submissions!AG37)</f>
        <v/>
      </c>
      <c r="F41" s="31">
        <f>IF($A41="","",Submissions!AH37)</f>
        <v/>
      </c>
      <c r="G41" s="37" t="n"/>
      <c r="H41" s="37" t="n"/>
      <c r="I41" s="37" t="n"/>
      <c r="J41" s="37" t="n"/>
      <c r="K41" s="37" t="n"/>
      <c r="L41" s="37" t="n"/>
      <c r="M41" s="37" t="n"/>
      <c r="N41" s="37" t="n"/>
      <c r="O41" s="37" t="n"/>
      <c r="P41" s="37" t="n"/>
      <c r="Q41" s="37" t="n"/>
      <c r="R41" s="37" t="n"/>
      <c r="S41" s="37" t="n"/>
      <c r="T41" s="37" t="n"/>
      <c r="U41" s="37" t="n"/>
      <c r="V41" s="33">
        <f>IF(COUNT(G41:I41)=3,IFERROR(ROUND((G41*Settings!$D$15+H41*Settings!$D$16+I41*Settings!$D$17)/(Settings!$D$15+Settings!$D$16+Settings!$D$17),2),""),"")</f>
        <v/>
      </c>
      <c r="W41" s="33">
        <f>IF(COUNT(J41:L41)=3,IFERROR(ROUND((J41*Settings!$D$15+K41*Settings!$D$16+L41*Settings!$D$17)/(Settings!$D$15+Settings!$D$16+Settings!$D$17),2),""),"")</f>
        <v/>
      </c>
      <c r="X41" s="33">
        <f>IF(COUNT(M41:O41)=3,IFERROR(ROUND((M41*Settings!$D$15+N41*Settings!$D$16+O41*Settings!$D$17)/(Settings!$D$15+Settings!$D$16+Settings!$D$17),2),""),"")</f>
        <v/>
      </c>
      <c r="Y41" s="33">
        <f>IF(COUNT(P41:R41)=3,IFERROR(ROUND((P41*Settings!$D$15+Q41*Settings!$D$16+R41*Settings!$D$17)/(Settings!$D$15+Settings!$D$16+Settings!$D$17),2),""),"")</f>
        <v/>
      </c>
      <c r="Z41" s="33">
        <f>IF(COUNT(S41:U41)=3,IFERROR(ROUND((S41*Settings!$D$15+T41*Settings!$D$16+U41*Settings!$D$17)/(Settings!$D$15+Settings!$D$16+Settings!$D$17),2),""),"")</f>
        <v/>
      </c>
      <c r="AA41" s="34">
        <f>IF(COUNT(V41:Z41)=0,"",ROUND(AVERAGE(V41:Z41),2))</f>
        <v/>
      </c>
      <c r="AB41" s="35">
        <f>IF($A41="","",COUNT(V41:Z41))</f>
        <v/>
      </c>
      <c r="AC41" s="36" t="n"/>
      <c r="AD41" s="35">
        <f>IF(AA41="","",SUMPRODUCT(ISNUMBER($AA$6:$AA$305)*($AA$6:$AA$305&gt;AA41))+SUMPRODUCT(($AA$6:AA41=AA41)*1))</f>
        <v/>
      </c>
      <c r="AE41" s="35">
        <f>IF(AA41="","",SUMPRODUCT(($E$6:$E$305=E41)*ISNUMBER($AA$6:$AA$305)*($AA$6:$AA$305&gt;AA41))+SUMPRODUCT(($E$6:E41=E41)*($AA$6:AA41=AA41)))</f>
        <v/>
      </c>
    </row>
    <row r="42">
      <c r="A42" s="31">
        <f>IF(Submissions!AD38="","",37)</f>
        <v/>
      </c>
      <c r="B42" s="10">
        <f>IF($A42="","",IF(Settings!$B$4="Yes","Submission "&amp;$A42,Submissions!AD38))</f>
        <v/>
      </c>
      <c r="C42" s="31">
        <f>IF($A42="","",IF(Settings!$B$4="Yes","(hidden)",Submissions!AE38))</f>
        <v/>
      </c>
      <c r="D42" s="31">
        <f>IF($A42="","",Submissions!AF38)</f>
        <v/>
      </c>
      <c r="E42" s="31">
        <f>IF($A42="","",Submissions!AG38)</f>
        <v/>
      </c>
      <c r="F42" s="31">
        <f>IF($A42="","",Submissions!AH38)</f>
        <v/>
      </c>
      <c r="G42" s="37" t="n"/>
      <c r="H42" s="37" t="n"/>
      <c r="I42" s="37" t="n"/>
      <c r="J42" s="37" t="n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3">
        <f>IF(COUNT(G42:I42)=3,IFERROR(ROUND((G42*Settings!$D$15+H42*Settings!$D$16+I42*Settings!$D$17)/(Settings!$D$15+Settings!$D$16+Settings!$D$17),2),""),"")</f>
        <v/>
      </c>
      <c r="W42" s="33">
        <f>IF(COUNT(J42:L42)=3,IFERROR(ROUND((J42*Settings!$D$15+K42*Settings!$D$16+L42*Settings!$D$17)/(Settings!$D$15+Settings!$D$16+Settings!$D$17),2),""),"")</f>
        <v/>
      </c>
      <c r="X42" s="33">
        <f>IF(COUNT(M42:O42)=3,IFERROR(ROUND((M42*Settings!$D$15+N42*Settings!$D$16+O42*Settings!$D$17)/(Settings!$D$15+Settings!$D$16+Settings!$D$17),2),""),"")</f>
        <v/>
      </c>
      <c r="Y42" s="33">
        <f>IF(COUNT(P42:R42)=3,IFERROR(ROUND((P42*Settings!$D$15+Q42*Settings!$D$16+R42*Settings!$D$17)/(Settings!$D$15+Settings!$D$16+Settings!$D$17),2),""),"")</f>
        <v/>
      </c>
      <c r="Z42" s="33">
        <f>IF(COUNT(S42:U42)=3,IFERROR(ROUND((S42*Settings!$D$15+T42*Settings!$D$16+U42*Settings!$D$17)/(Settings!$D$15+Settings!$D$16+Settings!$D$17),2),""),"")</f>
        <v/>
      </c>
      <c r="AA42" s="34">
        <f>IF(COUNT(V42:Z42)=0,"",ROUND(AVERAGE(V42:Z42),2))</f>
        <v/>
      </c>
      <c r="AB42" s="35">
        <f>IF($A42="","",COUNT(V42:Z42))</f>
        <v/>
      </c>
      <c r="AC42" s="36" t="n"/>
      <c r="AD42" s="35">
        <f>IF(AA42="","",SUMPRODUCT(ISNUMBER($AA$6:$AA$305)*($AA$6:$AA$305&gt;AA42))+SUMPRODUCT(($AA$6:AA42=AA42)*1))</f>
        <v/>
      </c>
      <c r="AE42" s="35">
        <f>IF(AA42="","",SUMPRODUCT(($E$6:$E$305=E42)*ISNUMBER($AA$6:$AA$305)*($AA$6:$AA$305&gt;AA42))+SUMPRODUCT(($E$6:E42=E42)*($AA$6:AA42=AA42)))</f>
        <v/>
      </c>
    </row>
    <row r="43">
      <c r="A43" s="31">
        <f>IF(Submissions!AD39="","",38)</f>
        <v/>
      </c>
      <c r="B43" s="10">
        <f>IF($A43="","",IF(Settings!$B$4="Yes","Submission "&amp;$A43,Submissions!AD39))</f>
        <v/>
      </c>
      <c r="C43" s="31">
        <f>IF($A43="","",IF(Settings!$B$4="Yes","(hidden)",Submissions!AE39))</f>
        <v/>
      </c>
      <c r="D43" s="31">
        <f>IF($A43="","",Submissions!AF39)</f>
        <v/>
      </c>
      <c r="E43" s="31">
        <f>IF($A43="","",Submissions!AG39)</f>
        <v/>
      </c>
      <c r="F43" s="31">
        <f>IF($A43="","",Submissions!AH39)</f>
        <v/>
      </c>
      <c r="G43" s="37" t="n"/>
      <c r="H43" s="37" t="n"/>
      <c r="I43" s="37" t="n"/>
      <c r="J43" s="37" t="n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3">
        <f>IF(COUNT(G43:I43)=3,IFERROR(ROUND((G43*Settings!$D$15+H43*Settings!$D$16+I43*Settings!$D$17)/(Settings!$D$15+Settings!$D$16+Settings!$D$17),2),""),"")</f>
        <v/>
      </c>
      <c r="W43" s="33">
        <f>IF(COUNT(J43:L43)=3,IFERROR(ROUND((J43*Settings!$D$15+K43*Settings!$D$16+L43*Settings!$D$17)/(Settings!$D$15+Settings!$D$16+Settings!$D$17),2),""),"")</f>
        <v/>
      </c>
      <c r="X43" s="33">
        <f>IF(COUNT(M43:O43)=3,IFERROR(ROUND((M43*Settings!$D$15+N43*Settings!$D$16+O43*Settings!$D$17)/(Settings!$D$15+Settings!$D$16+Settings!$D$17),2),""),"")</f>
        <v/>
      </c>
      <c r="Y43" s="33">
        <f>IF(COUNT(P43:R43)=3,IFERROR(ROUND((P43*Settings!$D$15+Q43*Settings!$D$16+R43*Settings!$D$17)/(Settings!$D$15+Settings!$D$16+Settings!$D$17),2),""),"")</f>
        <v/>
      </c>
      <c r="Z43" s="33">
        <f>IF(COUNT(S43:U43)=3,IFERROR(ROUND((S43*Settings!$D$15+T43*Settings!$D$16+U43*Settings!$D$17)/(Settings!$D$15+Settings!$D$16+Settings!$D$17),2),""),"")</f>
        <v/>
      </c>
      <c r="AA43" s="34">
        <f>IF(COUNT(V43:Z43)=0,"",ROUND(AVERAGE(V43:Z43),2))</f>
        <v/>
      </c>
      <c r="AB43" s="35">
        <f>IF($A43="","",COUNT(V43:Z43))</f>
        <v/>
      </c>
      <c r="AC43" s="36" t="n"/>
      <c r="AD43" s="35">
        <f>IF(AA43="","",SUMPRODUCT(ISNUMBER($AA$6:$AA$305)*($AA$6:$AA$305&gt;AA43))+SUMPRODUCT(($AA$6:AA43=AA43)*1))</f>
        <v/>
      </c>
      <c r="AE43" s="35">
        <f>IF(AA43="","",SUMPRODUCT(($E$6:$E$305=E43)*ISNUMBER($AA$6:$AA$305)*($AA$6:$AA$305&gt;AA43))+SUMPRODUCT(($E$6:E43=E43)*($AA$6:AA43=AA43)))</f>
        <v/>
      </c>
    </row>
    <row r="44">
      <c r="A44" s="31">
        <f>IF(Submissions!AD40="","",39)</f>
        <v/>
      </c>
      <c r="B44" s="10">
        <f>IF($A44="","",IF(Settings!$B$4="Yes","Submission "&amp;$A44,Submissions!AD40))</f>
        <v/>
      </c>
      <c r="C44" s="31">
        <f>IF($A44="","",IF(Settings!$B$4="Yes","(hidden)",Submissions!AE40))</f>
        <v/>
      </c>
      <c r="D44" s="31">
        <f>IF($A44="","",Submissions!AF40)</f>
        <v/>
      </c>
      <c r="E44" s="31">
        <f>IF($A44="","",Submissions!AG40)</f>
        <v/>
      </c>
      <c r="F44" s="31">
        <f>IF($A44="","",Submissions!AH40)</f>
        <v/>
      </c>
      <c r="G44" s="37" t="n"/>
      <c r="H44" s="37" t="n"/>
      <c r="I44" s="37" t="n"/>
      <c r="J44" s="37" t="n"/>
      <c r="K44" s="37" t="n"/>
      <c r="L44" s="37" t="n"/>
      <c r="M44" s="37" t="n"/>
      <c r="N44" s="37" t="n"/>
      <c r="O44" s="37" t="n"/>
      <c r="P44" s="37" t="n"/>
      <c r="Q44" s="37" t="n"/>
      <c r="R44" s="37" t="n"/>
      <c r="S44" s="37" t="n"/>
      <c r="T44" s="37" t="n"/>
      <c r="U44" s="37" t="n"/>
      <c r="V44" s="33">
        <f>IF(COUNT(G44:I44)=3,IFERROR(ROUND((G44*Settings!$D$15+H44*Settings!$D$16+I44*Settings!$D$17)/(Settings!$D$15+Settings!$D$16+Settings!$D$17),2),""),"")</f>
        <v/>
      </c>
      <c r="W44" s="33">
        <f>IF(COUNT(J44:L44)=3,IFERROR(ROUND((J44*Settings!$D$15+K44*Settings!$D$16+L44*Settings!$D$17)/(Settings!$D$15+Settings!$D$16+Settings!$D$17),2),""),"")</f>
        <v/>
      </c>
      <c r="X44" s="33">
        <f>IF(COUNT(M44:O44)=3,IFERROR(ROUND((M44*Settings!$D$15+N44*Settings!$D$16+O44*Settings!$D$17)/(Settings!$D$15+Settings!$D$16+Settings!$D$17),2),""),"")</f>
        <v/>
      </c>
      <c r="Y44" s="33">
        <f>IF(COUNT(P44:R44)=3,IFERROR(ROUND((P44*Settings!$D$15+Q44*Settings!$D$16+R44*Settings!$D$17)/(Settings!$D$15+Settings!$D$16+Settings!$D$17),2),""),"")</f>
        <v/>
      </c>
      <c r="Z44" s="33">
        <f>IF(COUNT(S44:U44)=3,IFERROR(ROUND((S44*Settings!$D$15+T44*Settings!$D$16+U44*Settings!$D$17)/(Settings!$D$15+Settings!$D$16+Settings!$D$17),2),""),"")</f>
        <v/>
      </c>
      <c r="AA44" s="34">
        <f>IF(COUNT(V44:Z44)=0,"",ROUND(AVERAGE(V44:Z44),2))</f>
        <v/>
      </c>
      <c r="AB44" s="35">
        <f>IF($A44="","",COUNT(V44:Z44))</f>
        <v/>
      </c>
      <c r="AC44" s="36" t="n"/>
      <c r="AD44" s="35">
        <f>IF(AA44="","",SUMPRODUCT(ISNUMBER($AA$6:$AA$305)*($AA$6:$AA$305&gt;AA44))+SUMPRODUCT(($AA$6:AA44=AA44)*1))</f>
        <v/>
      </c>
      <c r="AE44" s="35">
        <f>IF(AA44="","",SUMPRODUCT(($E$6:$E$305=E44)*ISNUMBER($AA$6:$AA$305)*($AA$6:$AA$305&gt;AA44))+SUMPRODUCT(($E$6:E44=E44)*($AA$6:AA44=AA44)))</f>
        <v/>
      </c>
    </row>
    <row r="45">
      <c r="A45" s="31">
        <f>IF(Submissions!AD41="","",40)</f>
        <v/>
      </c>
      <c r="B45" s="10">
        <f>IF($A45="","",IF(Settings!$B$4="Yes","Submission "&amp;$A45,Submissions!AD41))</f>
        <v/>
      </c>
      <c r="C45" s="31">
        <f>IF($A45="","",IF(Settings!$B$4="Yes","(hidden)",Submissions!AE41))</f>
        <v/>
      </c>
      <c r="D45" s="31">
        <f>IF($A45="","",Submissions!AF41)</f>
        <v/>
      </c>
      <c r="E45" s="31">
        <f>IF($A45="","",Submissions!AG41)</f>
        <v/>
      </c>
      <c r="F45" s="31">
        <f>IF($A45="","",Submissions!AH41)</f>
        <v/>
      </c>
      <c r="G45" s="37" t="n"/>
      <c r="H45" s="37" t="n"/>
      <c r="I45" s="37" t="n"/>
      <c r="J45" s="37" t="n"/>
      <c r="K45" s="37" t="n"/>
      <c r="L45" s="37" t="n"/>
      <c r="M45" s="37" t="n"/>
      <c r="N45" s="37" t="n"/>
      <c r="O45" s="37" t="n"/>
      <c r="P45" s="37" t="n"/>
      <c r="Q45" s="37" t="n"/>
      <c r="R45" s="37" t="n"/>
      <c r="S45" s="37" t="n"/>
      <c r="T45" s="37" t="n"/>
      <c r="U45" s="37" t="n"/>
      <c r="V45" s="33">
        <f>IF(COUNT(G45:I45)=3,IFERROR(ROUND((G45*Settings!$D$15+H45*Settings!$D$16+I45*Settings!$D$17)/(Settings!$D$15+Settings!$D$16+Settings!$D$17),2),""),"")</f>
        <v/>
      </c>
      <c r="W45" s="33">
        <f>IF(COUNT(J45:L45)=3,IFERROR(ROUND((J45*Settings!$D$15+K45*Settings!$D$16+L45*Settings!$D$17)/(Settings!$D$15+Settings!$D$16+Settings!$D$17),2),""),"")</f>
        <v/>
      </c>
      <c r="X45" s="33">
        <f>IF(COUNT(M45:O45)=3,IFERROR(ROUND((M45*Settings!$D$15+N45*Settings!$D$16+O45*Settings!$D$17)/(Settings!$D$15+Settings!$D$16+Settings!$D$17),2),""),"")</f>
        <v/>
      </c>
      <c r="Y45" s="33">
        <f>IF(COUNT(P45:R45)=3,IFERROR(ROUND((P45*Settings!$D$15+Q45*Settings!$D$16+R45*Settings!$D$17)/(Settings!$D$15+Settings!$D$16+Settings!$D$17),2),""),"")</f>
        <v/>
      </c>
      <c r="Z45" s="33">
        <f>IF(COUNT(S45:U45)=3,IFERROR(ROUND((S45*Settings!$D$15+T45*Settings!$D$16+U45*Settings!$D$17)/(Settings!$D$15+Settings!$D$16+Settings!$D$17),2),""),"")</f>
        <v/>
      </c>
      <c r="AA45" s="34">
        <f>IF(COUNT(V45:Z45)=0,"",ROUND(AVERAGE(V45:Z45),2))</f>
        <v/>
      </c>
      <c r="AB45" s="35">
        <f>IF($A45="","",COUNT(V45:Z45))</f>
        <v/>
      </c>
      <c r="AC45" s="36" t="n"/>
      <c r="AD45" s="35">
        <f>IF(AA45="","",SUMPRODUCT(ISNUMBER($AA$6:$AA$305)*($AA$6:$AA$305&gt;AA45))+SUMPRODUCT(($AA$6:AA45=AA45)*1))</f>
        <v/>
      </c>
      <c r="AE45" s="35">
        <f>IF(AA45="","",SUMPRODUCT(($E$6:$E$305=E45)*ISNUMBER($AA$6:$AA$305)*($AA$6:$AA$305&gt;AA45))+SUMPRODUCT(($E$6:E45=E45)*($AA$6:AA45=AA45)))</f>
        <v/>
      </c>
    </row>
    <row r="46">
      <c r="A46" s="31">
        <f>IF(Submissions!AD42="","",41)</f>
        <v/>
      </c>
      <c r="B46" s="10">
        <f>IF($A46="","",IF(Settings!$B$4="Yes","Submission "&amp;$A46,Submissions!AD42))</f>
        <v/>
      </c>
      <c r="C46" s="31">
        <f>IF($A46="","",IF(Settings!$B$4="Yes","(hidden)",Submissions!AE42))</f>
        <v/>
      </c>
      <c r="D46" s="31">
        <f>IF($A46="","",Submissions!AF42)</f>
        <v/>
      </c>
      <c r="E46" s="31">
        <f>IF($A46="","",Submissions!AG42)</f>
        <v/>
      </c>
      <c r="F46" s="31">
        <f>IF($A46="","",Submissions!AH42)</f>
        <v/>
      </c>
      <c r="G46" s="37" t="n"/>
      <c r="H46" s="37" t="n"/>
      <c r="I46" s="37" t="n"/>
      <c r="J46" s="37" t="n"/>
      <c r="K46" s="37" t="n"/>
      <c r="L46" s="37" t="n"/>
      <c r="M46" s="37" t="n"/>
      <c r="N46" s="37" t="n"/>
      <c r="O46" s="37" t="n"/>
      <c r="P46" s="37" t="n"/>
      <c r="Q46" s="37" t="n"/>
      <c r="R46" s="37" t="n"/>
      <c r="S46" s="37" t="n"/>
      <c r="T46" s="37" t="n"/>
      <c r="U46" s="37" t="n"/>
      <c r="V46" s="33">
        <f>IF(COUNT(G46:I46)=3,IFERROR(ROUND((G46*Settings!$D$15+H46*Settings!$D$16+I46*Settings!$D$17)/(Settings!$D$15+Settings!$D$16+Settings!$D$17),2),""),"")</f>
        <v/>
      </c>
      <c r="W46" s="33">
        <f>IF(COUNT(J46:L46)=3,IFERROR(ROUND((J46*Settings!$D$15+K46*Settings!$D$16+L46*Settings!$D$17)/(Settings!$D$15+Settings!$D$16+Settings!$D$17),2),""),"")</f>
        <v/>
      </c>
      <c r="X46" s="33">
        <f>IF(COUNT(M46:O46)=3,IFERROR(ROUND((M46*Settings!$D$15+N46*Settings!$D$16+O46*Settings!$D$17)/(Settings!$D$15+Settings!$D$16+Settings!$D$17),2),""),"")</f>
        <v/>
      </c>
      <c r="Y46" s="33">
        <f>IF(COUNT(P46:R46)=3,IFERROR(ROUND((P46*Settings!$D$15+Q46*Settings!$D$16+R46*Settings!$D$17)/(Settings!$D$15+Settings!$D$16+Settings!$D$17),2),""),"")</f>
        <v/>
      </c>
      <c r="Z46" s="33">
        <f>IF(COUNT(S46:U46)=3,IFERROR(ROUND((S46*Settings!$D$15+T46*Settings!$D$16+U46*Settings!$D$17)/(Settings!$D$15+Settings!$D$16+Settings!$D$17),2),""),"")</f>
        <v/>
      </c>
      <c r="AA46" s="34">
        <f>IF(COUNT(V46:Z46)=0,"",ROUND(AVERAGE(V46:Z46),2))</f>
        <v/>
      </c>
      <c r="AB46" s="35">
        <f>IF($A46="","",COUNT(V46:Z46))</f>
        <v/>
      </c>
      <c r="AC46" s="36" t="n"/>
      <c r="AD46" s="35">
        <f>IF(AA46="","",SUMPRODUCT(ISNUMBER($AA$6:$AA$305)*($AA$6:$AA$305&gt;AA46))+SUMPRODUCT(($AA$6:AA46=AA46)*1))</f>
        <v/>
      </c>
      <c r="AE46" s="35">
        <f>IF(AA46="","",SUMPRODUCT(($E$6:$E$305=E46)*ISNUMBER($AA$6:$AA$305)*($AA$6:$AA$305&gt;AA46))+SUMPRODUCT(($E$6:E46=E46)*($AA$6:AA46=AA46)))</f>
        <v/>
      </c>
    </row>
    <row r="47">
      <c r="A47" s="31">
        <f>IF(Submissions!AD43="","",42)</f>
        <v/>
      </c>
      <c r="B47" s="10">
        <f>IF($A47="","",IF(Settings!$B$4="Yes","Submission "&amp;$A47,Submissions!AD43))</f>
        <v/>
      </c>
      <c r="C47" s="31">
        <f>IF($A47="","",IF(Settings!$B$4="Yes","(hidden)",Submissions!AE43))</f>
        <v/>
      </c>
      <c r="D47" s="31">
        <f>IF($A47="","",Submissions!AF43)</f>
        <v/>
      </c>
      <c r="E47" s="31">
        <f>IF($A47="","",Submissions!AG43)</f>
        <v/>
      </c>
      <c r="F47" s="31">
        <f>IF($A47="","",Submissions!AH43)</f>
        <v/>
      </c>
      <c r="G47" s="37" t="n"/>
      <c r="H47" s="37" t="n"/>
      <c r="I47" s="37" t="n"/>
      <c r="J47" s="37" t="n"/>
      <c r="K47" s="37" t="n"/>
      <c r="L47" s="37" t="n"/>
      <c r="M47" s="37" t="n"/>
      <c r="N47" s="37" t="n"/>
      <c r="O47" s="37" t="n"/>
      <c r="P47" s="37" t="n"/>
      <c r="Q47" s="37" t="n"/>
      <c r="R47" s="37" t="n"/>
      <c r="S47" s="37" t="n"/>
      <c r="T47" s="37" t="n"/>
      <c r="U47" s="37" t="n"/>
      <c r="V47" s="33">
        <f>IF(COUNT(G47:I47)=3,IFERROR(ROUND((G47*Settings!$D$15+H47*Settings!$D$16+I47*Settings!$D$17)/(Settings!$D$15+Settings!$D$16+Settings!$D$17),2),""),"")</f>
        <v/>
      </c>
      <c r="W47" s="33">
        <f>IF(COUNT(J47:L47)=3,IFERROR(ROUND((J47*Settings!$D$15+K47*Settings!$D$16+L47*Settings!$D$17)/(Settings!$D$15+Settings!$D$16+Settings!$D$17),2),""),"")</f>
        <v/>
      </c>
      <c r="X47" s="33">
        <f>IF(COUNT(M47:O47)=3,IFERROR(ROUND((M47*Settings!$D$15+N47*Settings!$D$16+O47*Settings!$D$17)/(Settings!$D$15+Settings!$D$16+Settings!$D$17),2),""),"")</f>
        <v/>
      </c>
      <c r="Y47" s="33">
        <f>IF(COUNT(P47:R47)=3,IFERROR(ROUND((P47*Settings!$D$15+Q47*Settings!$D$16+R47*Settings!$D$17)/(Settings!$D$15+Settings!$D$16+Settings!$D$17),2),""),"")</f>
        <v/>
      </c>
      <c r="Z47" s="33">
        <f>IF(COUNT(S47:U47)=3,IFERROR(ROUND((S47*Settings!$D$15+T47*Settings!$D$16+U47*Settings!$D$17)/(Settings!$D$15+Settings!$D$16+Settings!$D$17),2),""),"")</f>
        <v/>
      </c>
      <c r="AA47" s="34">
        <f>IF(COUNT(V47:Z47)=0,"",ROUND(AVERAGE(V47:Z47),2))</f>
        <v/>
      </c>
      <c r="AB47" s="35">
        <f>IF($A47="","",COUNT(V47:Z47))</f>
        <v/>
      </c>
      <c r="AC47" s="36" t="n"/>
      <c r="AD47" s="35">
        <f>IF(AA47="","",SUMPRODUCT(ISNUMBER($AA$6:$AA$305)*($AA$6:$AA$305&gt;AA47))+SUMPRODUCT(($AA$6:AA47=AA47)*1))</f>
        <v/>
      </c>
      <c r="AE47" s="35">
        <f>IF(AA47="","",SUMPRODUCT(($E$6:$E$305=E47)*ISNUMBER($AA$6:$AA$305)*($AA$6:$AA$305&gt;AA47))+SUMPRODUCT(($E$6:E47=E47)*($AA$6:AA47=AA47)))</f>
        <v/>
      </c>
    </row>
    <row r="48">
      <c r="A48" s="31">
        <f>IF(Submissions!AD44="","",43)</f>
        <v/>
      </c>
      <c r="B48" s="10">
        <f>IF($A48="","",IF(Settings!$B$4="Yes","Submission "&amp;$A48,Submissions!AD44))</f>
        <v/>
      </c>
      <c r="C48" s="31">
        <f>IF($A48="","",IF(Settings!$B$4="Yes","(hidden)",Submissions!AE44))</f>
        <v/>
      </c>
      <c r="D48" s="31">
        <f>IF($A48="","",Submissions!AF44)</f>
        <v/>
      </c>
      <c r="E48" s="31">
        <f>IF($A48="","",Submissions!AG44)</f>
        <v/>
      </c>
      <c r="F48" s="31">
        <f>IF($A48="","",Submissions!AH44)</f>
        <v/>
      </c>
      <c r="G48" s="37" t="n"/>
      <c r="H48" s="37" t="n"/>
      <c r="I48" s="37" t="n"/>
      <c r="J48" s="37" t="n"/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3">
        <f>IF(COUNT(G48:I48)=3,IFERROR(ROUND((G48*Settings!$D$15+H48*Settings!$D$16+I48*Settings!$D$17)/(Settings!$D$15+Settings!$D$16+Settings!$D$17),2),""),"")</f>
        <v/>
      </c>
      <c r="W48" s="33">
        <f>IF(COUNT(J48:L48)=3,IFERROR(ROUND((J48*Settings!$D$15+K48*Settings!$D$16+L48*Settings!$D$17)/(Settings!$D$15+Settings!$D$16+Settings!$D$17),2),""),"")</f>
        <v/>
      </c>
      <c r="X48" s="33">
        <f>IF(COUNT(M48:O48)=3,IFERROR(ROUND((M48*Settings!$D$15+N48*Settings!$D$16+O48*Settings!$D$17)/(Settings!$D$15+Settings!$D$16+Settings!$D$17),2),""),"")</f>
        <v/>
      </c>
      <c r="Y48" s="33">
        <f>IF(COUNT(P48:R48)=3,IFERROR(ROUND((P48*Settings!$D$15+Q48*Settings!$D$16+R48*Settings!$D$17)/(Settings!$D$15+Settings!$D$16+Settings!$D$17),2),""),"")</f>
        <v/>
      </c>
      <c r="Z48" s="33">
        <f>IF(COUNT(S48:U48)=3,IFERROR(ROUND((S48*Settings!$D$15+T48*Settings!$D$16+U48*Settings!$D$17)/(Settings!$D$15+Settings!$D$16+Settings!$D$17),2),""),"")</f>
        <v/>
      </c>
      <c r="AA48" s="34">
        <f>IF(COUNT(V48:Z48)=0,"",ROUND(AVERAGE(V48:Z48),2))</f>
        <v/>
      </c>
      <c r="AB48" s="35">
        <f>IF($A48="","",COUNT(V48:Z48))</f>
        <v/>
      </c>
      <c r="AC48" s="36" t="n"/>
      <c r="AD48" s="35">
        <f>IF(AA48="","",SUMPRODUCT(ISNUMBER($AA$6:$AA$305)*($AA$6:$AA$305&gt;AA48))+SUMPRODUCT(($AA$6:AA48=AA48)*1))</f>
        <v/>
      </c>
      <c r="AE48" s="35">
        <f>IF(AA48="","",SUMPRODUCT(($E$6:$E$305=E48)*ISNUMBER($AA$6:$AA$305)*($AA$6:$AA$305&gt;AA48))+SUMPRODUCT(($E$6:E48=E48)*($AA$6:AA48=AA48)))</f>
        <v/>
      </c>
    </row>
    <row r="49">
      <c r="A49" s="31">
        <f>IF(Submissions!AD45="","",44)</f>
        <v/>
      </c>
      <c r="B49" s="10">
        <f>IF($A49="","",IF(Settings!$B$4="Yes","Submission "&amp;$A49,Submissions!AD45))</f>
        <v/>
      </c>
      <c r="C49" s="31">
        <f>IF($A49="","",IF(Settings!$B$4="Yes","(hidden)",Submissions!AE45))</f>
        <v/>
      </c>
      <c r="D49" s="31">
        <f>IF($A49="","",Submissions!AF45)</f>
        <v/>
      </c>
      <c r="E49" s="31">
        <f>IF($A49="","",Submissions!AG45)</f>
        <v/>
      </c>
      <c r="F49" s="31">
        <f>IF($A49="","",Submissions!AH45)</f>
        <v/>
      </c>
      <c r="G49" s="37" t="n"/>
      <c r="H49" s="37" t="n"/>
      <c r="I49" s="37" t="n"/>
      <c r="J49" s="37" t="n"/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3">
        <f>IF(COUNT(G49:I49)=3,IFERROR(ROUND((G49*Settings!$D$15+H49*Settings!$D$16+I49*Settings!$D$17)/(Settings!$D$15+Settings!$D$16+Settings!$D$17),2),""),"")</f>
        <v/>
      </c>
      <c r="W49" s="33">
        <f>IF(COUNT(J49:L49)=3,IFERROR(ROUND((J49*Settings!$D$15+K49*Settings!$D$16+L49*Settings!$D$17)/(Settings!$D$15+Settings!$D$16+Settings!$D$17),2),""),"")</f>
        <v/>
      </c>
      <c r="X49" s="33">
        <f>IF(COUNT(M49:O49)=3,IFERROR(ROUND((M49*Settings!$D$15+N49*Settings!$D$16+O49*Settings!$D$17)/(Settings!$D$15+Settings!$D$16+Settings!$D$17),2),""),"")</f>
        <v/>
      </c>
      <c r="Y49" s="33">
        <f>IF(COUNT(P49:R49)=3,IFERROR(ROUND((P49*Settings!$D$15+Q49*Settings!$D$16+R49*Settings!$D$17)/(Settings!$D$15+Settings!$D$16+Settings!$D$17),2),""),"")</f>
        <v/>
      </c>
      <c r="Z49" s="33">
        <f>IF(COUNT(S49:U49)=3,IFERROR(ROUND((S49*Settings!$D$15+T49*Settings!$D$16+U49*Settings!$D$17)/(Settings!$D$15+Settings!$D$16+Settings!$D$17),2),""),"")</f>
        <v/>
      </c>
      <c r="AA49" s="34">
        <f>IF(COUNT(V49:Z49)=0,"",ROUND(AVERAGE(V49:Z49),2))</f>
        <v/>
      </c>
      <c r="AB49" s="35">
        <f>IF($A49="","",COUNT(V49:Z49))</f>
        <v/>
      </c>
      <c r="AC49" s="36" t="n"/>
      <c r="AD49" s="35">
        <f>IF(AA49="","",SUMPRODUCT(ISNUMBER($AA$6:$AA$305)*($AA$6:$AA$305&gt;AA49))+SUMPRODUCT(($AA$6:AA49=AA49)*1))</f>
        <v/>
      </c>
      <c r="AE49" s="35">
        <f>IF(AA49="","",SUMPRODUCT(($E$6:$E$305=E49)*ISNUMBER($AA$6:$AA$305)*($AA$6:$AA$305&gt;AA49))+SUMPRODUCT(($E$6:E49=E49)*($AA$6:AA49=AA49)))</f>
        <v/>
      </c>
    </row>
    <row r="50">
      <c r="A50" s="31">
        <f>IF(Submissions!AD46="","",45)</f>
        <v/>
      </c>
      <c r="B50" s="10">
        <f>IF($A50="","",IF(Settings!$B$4="Yes","Submission "&amp;$A50,Submissions!AD46))</f>
        <v/>
      </c>
      <c r="C50" s="31">
        <f>IF($A50="","",IF(Settings!$B$4="Yes","(hidden)",Submissions!AE46))</f>
        <v/>
      </c>
      <c r="D50" s="31">
        <f>IF($A50="","",Submissions!AF46)</f>
        <v/>
      </c>
      <c r="E50" s="31">
        <f>IF($A50="","",Submissions!AG46)</f>
        <v/>
      </c>
      <c r="F50" s="31">
        <f>IF($A50="","",Submissions!AH46)</f>
        <v/>
      </c>
      <c r="G50" s="37" t="n"/>
      <c r="H50" s="37" t="n"/>
      <c r="I50" s="37" t="n"/>
      <c r="J50" s="37" t="n"/>
      <c r="K50" s="37" t="n"/>
      <c r="L50" s="37" t="n"/>
      <c r="M50" s="37" t="n"/>
      <c r="N50" s="37" t="n"/>
      <c r="O50" s="37" t="n"/>
      <c r="P50" s="37" t="n"/>
      <c r="Q50" s="37" t="n"/>
      <c r="R50" s="37" t="n"/>
      <c r="S50" s="37" t="n"/>
      <c r="T50" s="37" t="n"/>
      <c r="U50" s="37" t="n"/>
      <c r="V50" s="33">
        <f>IF(COUNT(G50:I50)=3,IFERROR(ROUND((G50*Settings!$D$15+H50*Settings!$D$16+I50*Settings!$D$17)/(Settings!$D$15+Settings!$D$16+Settings!$D$17),2),""),"")</f>
        <v/>
      </c>
      <c r="W50" s="33">
        <f>IF(COUNT(J50:L50)=3,IFERROR(ROUND((J50*Settings!$D$15+K50*Settings!$D$16+L50*Settings!$D$17)/(Settings!$D$15+Settings!$D$16+Settings!$D$17),2),""),"")</f>
        <v/>
      </c>
      <c r="X50" s="33">
        <f>IF(COUNT(M50:O50)=3,IFERROR(ROUND((M50*Settings!$D$15+N50*Settings!$D$16+O50*Settings!$D$17)/(Settings!$D$15+Settings!$D$16+Settings!$D$17),2),""),"")</f>
        <v/>
      </c>
      <c r="Y50" s="33">
        <f>IF(COUNT(P50:R50)=3,IFERROR(ROUND((P50*Settings!$D$15+Q50*Settings!$D$16+R50*Settings!$D$17)/(Settings!$D$15+Settings!$D$16+Settings!$D$17),2),""),"")</f>
        <v/>
      </c>
      <c r="Z50" s="33">
        <f>IF(COUNT(S50:U50)=3,IFERROR(ROUND((S50*Settings!$D$15+T50*Settings!$D$16+U50*Settings!$D$17)/(Settings!$D$15+Settings!$D$16+Settings!$D$17),2),""),"")</f>
        <v/>
      </c>
      <c r="AA50" s="34">
        <f>IF(COUNT(V50:Z50)=0,"",ROUND(AVERAGE(V50:Z50),2))</f>
        <v/>
      </c>
      <c r="AB50" s="35">
        <f>IF($A50="","",COUNT(V50:Z50))</f>
        <v/>
      </c>
      <c r="AC50" s="36" t="n"/>
      <c r="AD50" s="35">
        <f>IF(AA50="","",SUMPRODUCT(ISNUMBER($AA$6:$AA$305)*($AA$6:$AA$305&gt;AA50))+SUMPRODUCT(($AA$6:AA50=AA50)*1))</f>
        <v/>
      </c>
      <c r="AE50" s="35">
        <f>IF(AA50="","",SUMPRODUCT(($E$6:$E$305=E50)*ISNUMBER($AA$6:$AA$305)*($AA$6:$AA$305&gt;AA50))+SUMPRODUCT(($E$6:E50=E50)*($AA$6:AA50=AA50)))</f>
        <v/>
      </c>
    </row>
    <row r="51">
      <c r="A51" s="31">
        <f>IF(Submissions!AD47="","",46)</f>
        <v/>
      </c>
      <c r="B51" s="10">
        <f>IF($A51="","",IF(Settings!$B$4="Yes","Submission "&amp;$A51,Submissions!AD47))</f>
        <v/>
      </c>
      <c r="C51" s="31">
        <f>IF($A51="","",IF(Settings!$B$4="Yes","(hidden)",Submissions!AE47))</f>
        <v/>
      </c>
      <c r="D51" s="31">
        <f>IF($A51="","",Submissions!AF47)</f>
        <v/>
      </c>
      <c r="E51" s="31">
        <f>IF($A51="","",Submissions!AG47)</f>
        <v/>
      </c>
      <c r="F51" s="31">
        <f>IF($A51="","",Submissions!AH47)</f>
        <v/>
      </c>
      <c r="G51" s="37" t="n"/>
      <c r="H51" s="37" t="n"/>
      <c r="I51" s="37" t="n"/>
      <c r="J51" s="37" t="n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3">
        <f>IF(COUNT(G51:I51)=3,IFERROR(ROUND((G51*Settings!$D$15+H51*Settings!$D$16+I51*Settings!$D$17)/(Settings!$D$15+Settings!$D$16+Settings!$D$17),2),""),"")</f>
        <v/>
      </c>
      <c r="W51" s="33">
        <f>IF(COUNT(J51:L51)=3,IFERROR(ROUND((J51*Settings!$D$15+K51*Settings!$D$16+L51*Settings!$D$17)/(Settings!$D$15+Settings!$D$16+Settings!$D$17),2),""),"")</f>
        <v/>
      </c>
      <c r="X51" s="33">
        <f>IF(COUNT(M51:O51)=3,IFERROR(ROUND((M51*Settings!$D$15+N51*Settings!$D$16+O51*Settings!$D$17)/(Settings!$D$15+Settings!$D$16+Settings!$D$17),2),""),"")</f>
        <v/>
      </c>
      <c r="Y51" s="33">
        <f>IF(COUNT(P51:R51)=3,IFERROR(ROUND((P51*Settings!$D$15+Q51*Settings!$D$16+R51*Settings!$D$17)/(Settings!$D$15+Settings!$D$16+Settings!$D$17),2),""),"")</f>
        <v/>
      </c>
      <c r="Z51" s="33">
        <f>IF(COUNT(S51:U51)=3,IFERROR(ROUND((S51*Settings!$D$15+T51*Settings!$D$16+U51*Settings!$D$17)/(Settings!$D$15+Settings!$D$16+Settings!$D$17),2),""),"")</f>
        <v/>
      </c>
      <c r="AA51" s="34">
        <f>IF(COUNT(V51:Z51)=0,"",ROUND(AVERAGE(V51:Z51),2))</f>
        <v/>
      </c>
      <c r="AB51" s="35">
        <f>IF($A51="","",COUNT(V51:Z51))</f>
        <v/>
      </c>
      <c r="AC51" s="36" t="n"/>
      <c r="AD51" s="35">
        <f>IF(AA51="","",SUMPRODUCT(ISNUMBER($AA$6:$AA$305)*($AA$6:$AA$305&gt;AA51))+SUMPRODUCT(($AA$6:AA51=AA51)*1))</f>
        <v/>
      </c>
      <c r="AE51" s="35">
        <f>IF(AA51="","",SUMPRODUCT(($E$6:$E$305=E51)*ISNUMBER($AA$6:$AA$305)*($AA$6:$AA$305&gt;AA51))+SUMPRODUCT(($E$6:E51=E51)*($AA$6:AA51=AA51)))</f>
        <v/>
      </c>
    </row>
    <row r="52">
      <c r="A52" s="31">
        <f>IF(Submissions!AD48="","",47)</f>
        <v/>
      </c>
      <c r="B52" s="10">
        <f>IF($A52="","",IF(Settings!$B$4="Yes","Submission "&amp;$A52,Submissions!AD48))</f>
        <v/>
      </c>
      <c r="C52" s="31">
        <f>IF($A52="","",IF(Settings!$B$4="Yes","(hidden)",Submissions!AE48))</f>
        <v/>
      </c>
      <c r="D52" s="31">
        <f>IF($A52="","",Submissions!AF48)</f>
        <v/>
      </c>
      <c r="E52" s="31">
        <f>IF($A52="","",Submissions!AG48)</f>
        <v/>
      </c>
      <c r="F52" s="31">
        <f>IF($A52="","",Submissions!AH48)</f>
        <v/>
      </c>
      <c r="G52" s="37" t="n"/>
      <c r="H52" s="37" t="n"/>
      <c r="I52" s="37" t="n"/>
      <c r="J52" s="37" t="n"/>
      <c r="K52" s="37" t="n"/>
      <c r="L52" s="37" t="n"/>
      <c r="M52" s="37" t="n"/>
      <c r="N52" s="37" t="n"/>
      <c r="O52" s="37" t="n"/>
      <c r="P52" s="37" t="n"/>
      <c r="Q52" s="37" t="n"/>
      <c r="R52" s="37" t="n"/>
      <c r="S52" s="37" t="n"/>
      <c r="T52" s="37" t="n"/>
      <c r="U52" s="37" t="n"/>
      <c r="V52" s="33">
        <f>IF(COUNT(G52:I52)=3,IFERROR(ROUND((G52*Settings!$D$15+H52*Settings!$D$16+I52*Settings!$D$17)/(Settings!$D$15+Settings!$D$16+Settings!$D$17),2),""),"")</f>
        <v/>
      </c>
      <c r="W52" s="33">
        <f>IF(COUNT(J52:L52)=3,IFERROR(ROUND((J52*Settings!$D$15+K52*Settings!$D$16+L52*Settings!$D$17)/(Settings!$D$15+Settings!$D$16+Settings!$D$17),2),""),"")</f>
        <v/>
      </c>
      <c r="X52" s="33">
        <f>IF(COUNT(M52:O52)=3,IFERROR(ROUND((M52*Settings!$D$15+N52*Settings!$D$16+O52*Settings!$D$17)/(Settings!$D$15+Settings!$D$16+Settings!$D$17),2),""),"")</f>
        <v/>
      </c>
      <c r="Y52" s="33">
        <f>IF(COUNT(P52:R52)=3,IFERROR(ROUND((P52*Settings!$D$15+Q52*Settings!$D$16+R52*Settings!$D$17)/(Settings!$D$15+Settings!$D$16+Settings!$D$17),2),""),"")</f>
        <v/>
      </c>
      <c r="Z52" s="33">
        <f>IF(COUNT(S52:U52)=3,IFERROR(ROUND((S52*Settings!$D$15+T52*Settings!$D$16+U52*Settings!$D$17)/(Settings!$D$15+Settings!$D$16+Settings!$D$17),2),""),"")</f>
        <v/>
      </c>
      <c r="AA52" s="34">
        <f>IF(COUNT(V52:Z52)=0,"",ROUND(AVERAGE(V52:Z52),2))</f>
        <v/>
      </c>
      <c r="AB52" s="35">
        <f>IF($A52="","",COUNT(V52:Z52))</f>
        <v/>
      </c>
      <c r="AC52" s="36" t="n"/>
      <c r="AD52" s="35">
        <f>IF(AA52="","",SUMPRODUCT(ISNUMBER($AA$6:$AA$305)*($AA$6:$AA$305&gt;AA52))+SUMPRODUCT(($AA$6:AA52=AA52)*1))</f>
        <v/>
      </c>
      <c r="AE52" s="35">
        <f>IF(AA52="","",SUMPRODUCT(($E$6:$E$305=E52)*ISNUMBER($AA$6:$AA$305)*($AA$6:$AA$305&gt;AA52))+SUMPRODUCT(($E$6:E52=E52)*($AA$6:AA52=AA52)))</f>
        <v/>
      </c>
    </row>
    <row r="53">
      <c r="A53" s="31">
        <f>IF(Submissions!AD49="","",48)</f>
        <v/>
      </c>
      <c r="B53" s="10">
        <f>IF($A53="","",IF(Settings!$B$4="Yes","Submission "&amp;$A53,Submissions!AD49))</f>
        <v/>
      </c>
      <c r="C53" s="31">
        <f>IF($A53="","",IF(Settings!$B$4="Yes","(hidden)",Submissions!AE49))</f>
        <v/>
      </c>
      <c r="D53" s="31">
        <f>IF($A53="","",Submissions!AF49)</f>
        <v/>
      </c>
      <c r="E53" s="31">
        <f>IF($A53="","",Submissions!AG49)</f>
        <v/>
      </c>
      <c r="F53" s="31">
        <f>IF($A53="","",Submissions!AH49)</f>
        <v/>
      </c>
      <c r="G53" s="37" t="n"/>
      <c r="H53" s="37" t="n"/>
      <c r="I53" s="37" t="n"/>
      <c r="J53" s="37" t="n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3">
        <f>IF(COUNT(G53:I53)=3,IFERROR(ROUND((G53*Settings!$D$15+H53*Settings!$D$16+I53*Settings!$D$17)/(Settings!$D$15+Settings!$D$16+Settings!$D$17),2),""),"")</f>
        <v/>
      </c>
      <c r="W53" s="33">
        <f>IF(COUNT(J53:L53)=3,IFERROR(ROUND((J53*Settings!$D$15+K53*Settings!$D$16+L53*Settings!$D$17)/(Settings!$D$15+Settings!$D$16+Settings!$D$17),2),""),"")</f>
        <v/>
      </c>
      <c r="X53" s="33">
        <f>IF(COUNT(M53:O53)=3,IFERROR(ROUND((M53*Settings!$D$15+N53*Settings!$D$16+O53*Settings!$D$17)/(Settings!$D$15+Settings!$D$16+Settings!$D$17),2),""),"")</f>
        <v/>
      </c>
      <c r="Y53" s="33">
        <f>IF(COUNT(P53:R53)=3,IFERROR(ROUND((P53*Settings!$D$15+Q53*Settings!$D$16+R53*Settings!$D$17)/(Settings!$D$15+Settings!$D$16+Settings!$D$17),2),""),"")</f>
        <v/>
      </c>
      <c r="Z53" s="33">
        <f>IF(COUNT(S53:U53)=3,IFERROR(ROUND((S53*Settings!$D$15+T53*Settings!$D$16+U53*Settings!$D$17)/(Settings!$D$15+Settings!$D$16+Settings!$D$17),2),""),"")</f>
        <v/>
      </c>
      <c r="AA53" s="34">
        <f>IF(COUNT(V53:Z53)=0,"",ROUND(AVERAGE(V53:Z53),2))</f>
        <v/>
      </c>
      <c r="AB53" s="35">
        <f>IF($A53="","",COUNT(V53:Z53))</f>
        <v/>
      </c>
      <c r="AC53" s="36" t="n"/>
      <c r="AD53" s="35">
        <f>IF(AA53="","",SUMPRODUCT(ISNUMBER($AA$6:$AA$305)*($AA$6:$AA$305&gt;AA53))+SUMPRODUCT(($AA$6:AA53=AA53)*1))</f>
        <v/>
      </c>
      <c r="AE53" s="35">
        <f>IF(AA53="","",SUMPRODUCT(($E$6:$E$305=E53)*ISNUMBER($AA$6:$AA$305)*($AA$6:$AA$305&gt;AA53))+SUMPRODUCT(($E$6:E53=E53)*($AA$6:AA53=AA53)))</f>
        <v/>
      </c>
    </row>
    <row r="54">
      <c r="A54" s="31">
        <f>IF(Submissions!AD50="","",49)</f>
        <v/>
      </c>
      <c r="B54" s="10">
        <f>IF($A54="","",IF(Settings!$B$4="Yes","Submission "&amp;$A54,Submissions!AD50))</f>
        <v/>
      </c>
      <c r="C54" s="31">
        <f>IF($A54="","",IF(Settings!$B$4="Yes","(hidden)",Submissions!AE50))</f>
        <v/>
      </c>
      <c r="D54" s="31">
        <f>IF($A54="","",Submissions!AF50)</f>
        <v/>
      </c>
      <c r="E54" s="31">
        <f>IF($A54="","",Submissions!AG50)</f>
        <v/>
      </c>
      <c r="F54" s="31">
        <f>IF($A54="","",Submissions!AH50)</f>
        <v/>
      </c>
      <c r="G54" s="37" t="n"/>
      <c r="H54" s="37" t="n"/>
      <c r="I54" s="37" t="n"/>
      <c r="J54" s="37" t="n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3">
        <f>IF(COUNT(G54:I54)=3,IFERROR(ROUND((G54*Settings!$D$15+H54*Settings!$D$16+I54*Settings!$D$17)/(Settings!$D$15+Settings!$D$16+Settings!$D$17),2),""),"")</f>
        <v/>
      </c>
      <c r="W54" s="33">
        <f>IF(COUNT(J54:L54)=3,IFERROR(ROUND((J54*Settings!$D$15+K54*Settings!$D$16+L54*Settings!$D$17)/(Settings!$D$15+Settings!$D$16+Settings!$D$17),2),""),"")</f>
        <v/>
      </c>
      <c r="X54" s="33">
        <f>IF(COUNT(M54:O54)=3,IFERROR(ROUND((M54*Settings!$D$15+N54*Settings!$D$16+O54*Settings!$D$17)/(Settings!$D$15+Settings!$D$16+Settings!$D$17),2),""),"")</f>
        <v/>
      </c>
      <c r="Y54" s="33">
        <f>IF(COUNT(P54:R54)=3,IFERROR(ROUND((P54*Settings!$D$15+Q54*Settings!$D$16+R54*Settings!$D$17)/(Settings!$D$15+Settings!$D$16+Settings!$D$17),2),""),"")</f>
        <v/>
      </c>
      <c r="Z54" s="33">
        <f>IF(COUNT(S54:U54)=3,IFERROR(ROUND((S54*Settings!$D$15+T54*Settings!$D$16+U54*Settings!$D$17)/(Settings!$D$15+Settings!$D$16+Settings!$D$17),2),""),"")</f>
        <v/>
      </c>
      <c r="AA54" s="34">
        <f>IF(COUNT(V54:Z54)=0,"",ROUND(AVERAGE(V54:Z54),2))</f>
        <v/>
      </c>
      <c r="AB54" s="35">
        <f>IF($A54="","",COUNT(V54:Z54))</f>
        <v/>
      </c>
      <c r="AC54" s="36" t="n"/>
      <c r="AD54" s="35">
        <f>IF(AA54="","",SUMPRODUCT(ISNUMBER($AA$6:$AA$305)*($AA$6:$AA$305&gt;AA54))+SUMPRODUCT(($AA$6:AA54=AA54)*1))</f>
        <v/>
      </c>
      <c r="AE54" s="35">
        <f>IF(AA54="","",SUMPRODUCT(($E$6:$E$305=E54)*ISNUMBER($AA$6:$AA$305)*($AA$6:$AA$305&gt;AA54))+SUMPRODUCT(($E$6:E54=E54)*($AA$6:AA54=AA54)))</f>
        <v/>
      </c>
    </row>
    <row r="55">
      <c r="A55" s="31">
        <f>IF(Submissions!AD51="","",50)</f>
        <v/>
      </c>
      <c r="B55" s="10">
        <f>IF($A55="","",IF(Settings!$B$4="Yes","Submission "&amp;$A55,Submissions!AD51))</f>
        <v/>
      </c>
      <c r="C55" s="31">
        <f>IF($A55="","",IF(Settings!$B$4="Yes","(hidden)",Submissions!AE51))</f>
        <v/>
      </c>
      <c r="D55" s="31">
        <f>IF($A55="","",Submissions!AF51)</f>
        <v/>
      </c>
      <c r="E55" s="31">
        <f>IF($A55="","",Submissions!AG51)</f>
        <v/>
      </c>
      <c r="F55" s="31">
        <f>IF($A55="","",Submissions!AH51)</f>
        <v/>
      </c>
      <c r="G55" s="37" t="n"/>
      <c r="H55" s="37" t="n"/>
      <c r="I55" s="37" t="n"/>
      <c r="J55" s="37" t="n"/>
      <c r="K55" s="37" t="n"/>
      <c r="L55" s="37" t="n"/>
      <c r="M55" s="37" t="n"/>
      <c r="N55" s="37" t="n"/>
      <c r="O55" s="37" t="n"/>
      <c r="P55" s="37" t="n"/>
      <c r="Q55" s="37" t="n"/>
      <c r="R55" s="37" t="n"/>
      <c r="S55" s="37" t="n"/>
      <c r="T55" s="37" t="n"/>
      <c r="U55" s="37" t="n"/>
      <c r="V55" s="33">
        <f>IF(COUNT(G55:I55)=3,IFERROR(ROUND((G55*Settings!$D$15+H55*Settings!$D$16+I55*Settings!$D$17)/(Settings!$D$15+Settings!$D$16+Settings!$D$17),2),""),"")</f>
        <v/>
      </c>
      <c r="W55" s="33">
        <f>IF(COUNT(J55:L55)=3,IFERROR(ROUND((J55*Settings!$D$15+K55*Settings!$D$16+L55*Settings!$D$17)/(Settings!$D$15+Settings!$D$16+Settings!$D$17),2),""),"")</f>
        <v/>
      </c>
      <c r="X55" s="33">
        <f>IF(COUNT(M55:O55)=3,IFERROR(ROUND((M55*Settings!$D$15+N55*Settings!$D$16+O55*Settings!$D$17)/(Settings!$D$15+Settings!$D$16+Settings!$D$17),2),""),"")</f>
        <v/>
      </c>
      <c r="Y55" s="33">
        <f>IF(COUNT(P55:R55)=3,IFERROR(ROUND((P55*Settings!$D$15+Q55*Settings!$D$16+R55*Settings!$D$17)/(Settings!$D$15+Settings!$D$16+Settings!$D$17),2),""),"")</f>
        <v/>
      </c>
      <c r="Z55" s="33">
        <f>IF(COUNT(S55:U55)=3,IFERROR(ROUND((S55*Settings!$D$15+T55*Settings!$D$16+U55*Settings!$D$17)/(Settings!$D$15+Settings!$D$16+Settings!$D$17),2),""),"")</f>
        <v/>
      </c>
      <c r="AA55" s="34">
        <f>IF(COUNT(V55:Z55)=0,"",ROUND(AVERAGE(V55:Z55),2))</f>
        <v/>
      </c>
      <c r="AB55" s="35">
        <f>IF($A55="","",COUNT(V55:Z55))</f>
        <v/>
      </c>
      <c r="AC55" s="36" t="n"/>
      <c r="AD55" s="35">
        <f>IF(AA55="","",SUMPRODUCT(ISNUMBER($AA$6:$AA$305)*($AA$6:$AA$305&gt;AA55))+SUMPRODUCT(($AA$6:AA55=AA55)*1))</f>
        <v/>
      </c>
      <c r="AE55" s="35">
        <f>IF(AA55="","",SUMPRODUCT(($E$6:$E$305=E55)*ISNUMBER($AA$6:$AA$305)*($AA$6:$AA$305&gt;AA55))+SUMPRODUCT(($E$6:E55=E55)*($AA$6:AA55=AA55)))</f>
        <v/>
      </c>
    </row>
    <row r="56">
      <c r="A56" s="31">
        <f>IF(Submissions!AD52="","",51)</f>
        <v/>
      </c>
      <c r="B56" s="10">
        <f>IF($A56="","",IF(Settings!$B$4="Yes","Submission "&amp;$A56,Submissions!AD52))</f>
        <v/>
      </c>
      <c r="C56" s="31">
        <f>IF($A56="","",IF(Settings!$B$4="Yes","(hidden)",Submissions!AE52))</f>
        <v/>
      </c>
      <c r="D56" s="31">
        <f>IF($A56="","",Submissions!AF52)</f>
        <v/>
      </c>
      <c r="E56" s="31">
        <f>IF($A56="","",Submissions!AG52)</f>
        <v/>
      </c>
      <c r="F56" s="31">
        <f>IF($A56="","",Submissions!AH52)</f>
        <v/>
      </c>
      <c r="G56" s="37" t="n"/>
      <c r="H56" s="37" t="n"/>
      <c r="I56" s="37" t="n"/>
      <c r="J56" s="37" t="n"/>
      <c r="K56" s="37" t="n"/>
      <c r="L56" s="37" t="n"/>
      <c r="M56" s="37" t="n"/>
      <c r="N56" s="37" t="n"/>
      <c r="O56" s="37" t="n"/>
      <c r="P56" s="37" t="n"/>
      <c r="Q56" s="37" t="n"/>
      <c r="R56" s="37" t="n"/>
      <c r="S56" s="37" t="n"/>
      <c r="T56" s="37" t="n"/>
      <c r="U56" s="37" t="n"/>
      <c r="V56" s="33">
        <f>IF(COUNT(G56:I56)=3,IFERROR(ROUND((G56*Settings!$D$15+H56*Settings!$D$16+I56*Settings!$D$17)/(Settings!$D$15+Settings!$D$16+Settings!$D$17),2),""),"")</f>
        <v/>
      </c>
      <c r="W56" s="33">
        <f>IF(COUNT(J56:L56)=3,IFERROR(ROUND((J56*Settings!$D$15+K56*Settings!$D$16+L56*Settings!$D$17)/(Settings!$D$15+Settings!$D$16+Settings!$D$17),2),""),"")</f>
        <v/>
      </c>
      <c r="X56" s="33">
        <f>IF(COUNT(M56:O56)=3,IFERROR(ROUND((M56*Settings!$D$15+N56*Settings!$D$16+O56*Settings!$D$17)/(Settings!$D$15+Settings!$D$16+Settings!$D$17),2),""),"")</f>
        <v/>
      </c>
      <c r="Y56" s="33">
        <f>IF(COUNT(P56:R56)=3,IFERROR(ROUND((P56*Settings!$D$15+Q56*Settings!$D$16+R56*Settings!$D$17)/(Settings!$D$15+Settings!$D$16+Settings!$D$17),2),""),"")</f>
        <v/>
      </c>
      <c r="Z56" s="33">
        <f>IF(COUNT(S56:U56)=3,IFERROR(ROUND((S56*Settings!$D$15+T56*Settings!$D$16+U56*Settings!$D$17)/(Settings!$D$15+Settings!$D$16+Settings!$D$17),2),""),"")</f>
        <v/>
      </c>
      <c r="AA56" s="34">
        <f>IF(COUNT(V56:Z56)=0,"",ROUND(AVERAGE(V56:Z56),2))</f>
        <v/>
      </c>
      <c r="AB56" s="35">
        <f>IF($A56="","",COUNT(V56:Z56))</f>
        <v/>
      </c>
      <c r="AC56" s="36" t="n"/>
      <c r="AD56" s="35">
        <f>IF(AA56="","",SUMPRODUCT(ISNUMBER($AA$6:$AA$305)*($AA$6:$AA$305&gt;AA56))+SUMPRODUCT(($AA$6:AA56=AA56)*1))</f>
        <v/>
      </c>
      <c r="AE56" s="35">
        <f>IF(AA56="","",SUMPRODUCT(($E$6:$E$305=E56)*ISNUMBER($AA$6:$AA$305)*($AA$6:$AA$305&gt;AA56))+SUMPRODUCT(($E$6:E56=E56)*($AA$6:AA56=AA56)))</f>
        <v/>
      </c>
    </row>
    <row r="57">
      <c r="A57" s="31">
        <f>IF(Submissions!AD53="","",52)</f>
        <v/>
      </c>
      <c r="B57" s="10">
        <f>IF($A57="","",IF(Settings!$B$4="Yes","Submission "&amp;$A57,Submissions!AD53))</f>
        <v/>
      </c>
      <c r="C57" s="31">
        <f>IF($A57="","",IF(Settings!$B$4="Yes","(hidden)",Submissions!AE53))</f>
        <v/>
      </c>
      <c r="D57" s="31">
        <f>IF($A57="","",Submissions!AF53)</f>
        <v/>
      </c>
      <c r="E57" s="31">
        <f>IF($A57="","",Submissions!AG53)</f>
        <v/>
      </c>
      <c r="F57" s="31">
        <f>IF($A57="","",Submissions!AH53)</f>
        <v/>
      </c>
      <c r="G57" s="37" t="n"/>
      <c r="H57" s="37" t="n"/>
      <c r="I57" s="37" t="n"/>
      <c r="J57" s="37" t="n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3">
        <f>IF(COUNT(G57:I57)=3,IFERROR(ROUND((G57*Settings!$D$15+H57*Settings!$D$16+I57*Settings!$D$17)/(Settings!$D$15+Settings!$D$16+Settings!$D$17),2),""),"")</f>
        <v/>
      </c>
      <c r="W57" s="33">
        <f>IF(COUNT(J57:L57)=3,IFERROR(ROUND((J57*Settings!$D$15+K57*Settings!$D$16+L57*Settings!$D$17)/(Settings!$D$15+Settings!$D$16+Settings!$D$17),2),""),"")</f>
        <v/>
      </c>
      <c r="X57" s="33">
        <f>IF(COUNT(M57:O57)=3,IFERROR(ROUND((M57*Settings!$D$15+N57*Settings!$D$16+O57*Settings!$D$17)/(Settings!$D$15+Settings!$D$16+Settings!$D$17),2),""),"")</f>
        <v/>
      </c>
      <c r="Y57" s="33">
        <f>IF(COUNT(P57:R57)=3,IFERROR(ROUND((P57*Settings!$D$15+Q57*Settings!$D$16+R57*Settings!$D$17)/(Settings!$D$15+Settings!$D$16+Settings!$D$17),2),""),"")</f>
        <v/>
      </c>
      <c r="Z57" s="33">
        <f>IF(COUNT(S57:U57)=3,IFERROR(ROUND((S57*Settings!$D$15+T57*Settings!$D$16+U57*Settings!$D$17)/(Settings!$D$15+Settings!$D$16+Settings!$D$17),2),""),"")</f>
        <v/>
      </c>
      <c r="AA57" s="34">
        <f>IF(COUNT(V57:Z57)=0,"",ROUND(AVERAGE(V57:Z57),2))</f>
        <v/>
      </c>
      <c r="AB57" s="35">
        <f>IF($A57="","",COUNT(V57:Z57))</f>
        <v/>
      </c>
      <c r="AC57" s="36" t="n"/>
      <c r="AD57" s="35">
        <f>IF(AA57="","",SUMPRODUCT(ISNUMBER($AA$6:$AA$305)*($AA$6:$AA$305&gt;AA57))+SUMPRODUCT(($AA$6:AA57=AA57)*1))</f>
        <v/>
      </c>
      <c r="AE57" s="35">
        <f>IF(AA57="","",SUMPRODUCT(($E$6:$E$305=E57)*ISNUMBER($AA$6:$AA$305)*($AA$6:$AA$305&gt;AA57))+SUMPRODUCT(($E$6:E57=E57)*($AA$6:AA57=AA57)))</f>
        <v/>
      </c>
    </row>
    <row r="58">
      <c r="A58" s="31">
        <f>IF(Submissions!AD54="","",53)</f>
        <v/>
      </c>
      <c r="B58" s="10">
        <f>IF($A58="","",IF(Settings!$B$4="Yes","Submission "&amp;$A58,Submissions!AD54))</f>
        <v/>
      </c>
      <c r="C58" s="31">
        <f>IF($A58="","",IF(Settings!$B$4="Yes","(hidden)",Submissions!AE54))</f>
        <v/>
      </c>
      <c r="D58" s="31">
        <f>IF($A58="","",Submissions!AF54)</f>
        <v/>
      </c>
      <c r="E58" s="31">
        <f>IF($A58="","",Submissions!AG54)</f>
        <v/>
      </c>
      <c r="F58" s="31">
        <f>IF($A58="","",Submissions!AH54)</f>
        <v/>
      </c>
      <c r="G58" s="37" t="n"/>
      <c r="H58" s="37" t="n"/>
      <c r="I58" s="37" t="n"/>
      <c r="J58" s="37" t="n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3">
        <f>IF(COUNT(G58:I58)=3,IFERROR(ROUND((G58*Settings!$D$15+H58*Settings!$D$16+I58*Settings!$D$17)/(Settings!$D$15+Settings!$D$16+Settings!$D$17),2),""),"")</f>
        <v/>
      </c>
      <c r="W58" s="33">
        <f>IF(COUNT(J58:L58)=3,IFERROR(ROUND((J58*Settings!$D$15+K58*Settings!$D$16+L58*Settings!$D$17)/(Settings!$D$15+Settings!$D$16+Settings!$D$17),2),""),"")</f>
        <v/>
      </c>
      <c r="X58" s="33">
        <f>IF(COUNT(M58:O58)=3,IFERROR(ROUND((M58*Settings!$D$15+N58*Settings!$D$16+O58*Settings!$D$17)/(Settings!$D$15+Settings!$D$16+Settings!$D$17),2),""),"")</f>
        <v/>
      </c>
      <c r="Y58" s="33">
        <f>IF(COUNT(P58:R58)=3,IFERROR(ROUND((P58*Settings!$D$15+Q58*Settings!$D$16+R58*Settings!$D$17)/(Settings!$D$15+Settings!$D$16+Settings!$D$17),2),""),"")</f>
        <v/>
      </c>
      <c r="Z58" s="33">
        <f>IF(COUNT(S58:U58)=3,IFERROR(ROUND((S58*Settings!$D$15+T58*Settings!$D$16+U58*Settings!$D$17)/(Settings!$D$15+Settings!$D$16+Settings!$D$17),2),""),"")</f>
        <v/>
      </c>
      <c r="AA58" s="34">
        <f>IF(COUNT(V58:Z58)=0,"",ROUND(AVERAGE(V58:Z58),2))</f>
        <v/>
      </c>
      <c r="AB58" s="35">
        <f>IF($A58="","",COUNT(V58:Z58))</f>
        <v/>
      </c>
      <c r="AC58" s="36" t="n"/>
      <c r="AD58" s="35">
        <f>IF(AA58="","",SUMPRODUCT(ISNUMBER($AA$6:$AA$305)*($AA$6:$AA$305&gt;AA58))+SUMPRODUCT(($AA$6:AA58=AA58)*1))</f>
        <v/>
      </c>
      <c r="AE58" s="35">
        <f>IF(AA58="","",SUMPRODUCT(($E$6:$E$305=E58)*ISNUMBER($AA$6:$AA$305)*($AA$6:$AA$305&gt;AA58))+SUMPRODUCT(($E$6:E58=E58)*($AA$6:AA58=AA58)))</f>
        <v/>
      </c>
    </row>
    <row r="59">
      <c r="A59" s="31">
        <f>IF(Submissions!AD55="","",54)</f>
        <v/>
      </c>
      <c r="B59" s="10">
        <f>IF($A59="","",IF(Settings!$B$4="Yes","Submission "&amp;$A59,Submissions!AD55))</f>
        <v/>
      </c>
      <c r="C59" s="31">
        <f>IF($A59="","",IF(Settings!$B$4="Yes","(hidden)",Submissions!AE55))</f>
        <v/>
      </c>
      <c r="D59" s="31">
        <f>IF($A59="","",Submissions!AF55)</f>
        <v/>
      </c>
      <c r="E59" s="31">
        <f>IF($A59="","",Submissions!AG55)</f>
        <v/>
      </c>
      <c r="F59" s="31">
        <f>IF($A59="","",Submissions!AH55)</f>
        <v/>
      </c>
      <c r="G59" s="37" t="n"/>
      <c r="H59" s="37" t="n"/>
      <c r="I59" s="37" t="n"/>
      <c r="J59" s="37" t="n"/>
      <c r="K59" s="37" t="n"/>
      <c r="L59" s="37" t="n"/>
      <c r="M59" s="37" t="n"/>
      <c r="N59" s="37" t="n"/>
      <c r="O59" s="37" t="n"/>
      <c r="P59" s="37" t="n"/>
      <c r="Q59" s="37" t="n"/>
      <c r="R59" s="37" t="n"/>
      <c r="S59" s="37" t="n"/>
      <c r="T59" s="37" t="n"/>
      <c r="U59" s="37" t="n"/>
      <c r="V59" s="33">
        <f>IF(COUNT(G59:I59)=3,IFERROR(ROUND((G59*Settings!$D$15+H59*Settings!$D$16+I59*Settings!$D$17)/(Settings!$D$15+Settings!$D$16+Settings!$D$17),2),""),"")</f>
        <v/>
      </c>
      <c r="W59" s="33">
        <f>IF(COUNT(J59:L59)=3,IFERROR(ROUND((J59*Settings!$D$15+K59*Settings!$D$16+L59*Settings!$D$17)/(Settings!$D$15+Settings!$D$16+Settings!$D$17),2),""),"")</f>
        <v/>
      </c>
      <c r="X59" s="33">
        <f>IF(COUNT(M59:O59)=3,IFERROR(ROUND((M59*Settings!$D$15+N59*Settings!$D$16+O59*Settings!$D$17)/(Settings!$D$15+Settings!$D$16+Settings!$D$17),2),""),"")</f>
        <v/>
      </c>
      <c r="Y59" s="33">
        <f>IF(COUNT(P59:R59)=3,IFERROR(ROUND((P59*Settings!$D$15+Q59*Settings!$D$16+R59*Settings!$D$17)/(Settings!$D$15+Settings!$D$16+Settings!$D$17),2),""),"")</f>
        <v/>
      </c>
      <c r="Z59" s="33">
        <f>IF(COUNT(S59:U59)=3,IFERROR(ROUND((S59*Settings!$D$15+T59*Settings!$D$16+U59*Settings!$D$17)/(Settings!$D$15+Settings!$D$16+Settings!$D$17),2),""),"")</f>
        <v/>
      </c>
      <c r="AA59" s="34">
        <f>IF(COUNT(V59:Z59)=0,"",ROUND(AVERAGE(V59:Z59),2))</f>
        <v/>
      </c>
      <c r="AB59" s="35">
        <f>IF($A59="","",COUNT(V59:Z59))</f>
        <v/>
      </c>
      <c r="AC59" s="36" t="n"/>
      <c r="AD59" s="35">
        <f>IF(AA59="","",SUMPRODUCT(ISNUMBER($AA$6:$AA$305)*($AA$6:$AA$305&gt;AA59))+SUMPRODUCT(($AA$6:AA59=AA59)*1))</f>
        <v/>
      </c>
      <c r="AE59" s="35">
        <f>IF(AA59="","",SUMPRODUCT(($E$6:$E$305=E59)*ISNUMBER($AA$6:$AA$305)*($AA$6:$AA$305&gt;AA59))+SUMPRODUCT(($E$6:E59=E59)*($AA$6:AA59=AA59)))</f>
        <v/>
      </c>
    </row>
    <row r="60">
      <c r="A60" s="31">
        <f>IF(Submissions!AD56="","",55)</f>
        <v/>
      </c>
      <c r="B60" s="10">
        <f>IF($A60="","",IF(Settings!$B$4="Yes","Submission "&amp;$A60,Submissions!AD56))</f>
        <v/>
      </c>
      <c r="C60" s="31">
        <f>IF($A60="","",IF(Settings!$B$4="Yes","(hidden)",Submissions!AE56))</f>
        <v/>
      </c>
      <c r="D60" s="31">
        <f>IF($A60="","",Submissions!AF56)</f>
        <v/>
      </c>
      <c r="E60" s="31">
        <f>IF($A60="","",Submissions!AG56)</f>
        <v/>
      </c>
      <c r="F60" s="31">
        <f>IF($A60="","",Submissions!AH56)</f>
        <v/>
      </c>
      <c r="G60" s="37" t="n"/>
      <c r="H60" s="37" t="n"/>
      <c r="I60" s="37" t="n"/>
      <c r="J60" s="37" t="n"/>
      <c r="K60" s="37" t="n"/>
      <c r="L60" s="37" t="n"/>
      <c r="M60" s="37" t="n"/>
      <c r="N60" s="37" t="n"/>
      <c r="O60" s="37" t="n"/>
      <c r="P60" s="37" t="n"/>
      <c r="Q60" s="37" t="n"/>
      <c r="R60" s="37" t="n"/>
      <c r="S60" s="37" t="n"/>
      <c r="T60" s="37" t="n"/>
      <c r="U60" s="37" t="n"/>
      <c r="V60" s="33">
        <f>IF(COUNT(G60:I60)=3,IFERROR(ROUND((G60*Settings!$D$15+H60*Settings!$D$16+I60*Settings!$D$17)/(Settings!$D$15+Settings!$D$16+Settings!$D$17),2),""),"")</f>
        <v/>
      </c>
      <c r="W60" s="33">
        <f>IF(COUNT(J60:L60)=3,IFERROR(ROUND((J60*Settings!$D$15+K60*Settings!$D$16+L60*Settings!$D$17)/(Settings!$D$15+Settings!$D$16+Settings!$D$17),2),""),"")</f>
        <v/>
      </c>
      <c r="X60" s="33">
        <f>IF(COUNT(M60:O60)=3,IFERROR(ROUND((M60*Settings!$D$15+N60*Settings!$D$16+O60*Settings!$D$17)/(Settings!$D$15+Settings!$D$16+Settings!$D$17),2),""),"")</f>
        <v/>
      </c>
      <c r="Y60" s="33">
        <f>IF(COUNT(P60:R60)=3,IFERROR(ROUND((P60*Settings!$D$15+Q60*Settings!$D$16+R60*Settings!$D$17)/(Settings!$D$15+Settings!$D$16+Settings!$D$17),2),""),"")</f>
        <v/>
      </c>
      <c r="Z60" s="33">
        <f>IF(COUNT(S60:U60)=3,IFERROR(ROUND((S60*Settings!$D$15+T60*Settings!$D$16+U60*Settings!$D$17)/(Settings!$D$15+Settings!$D$16+Settings!$D$17),2),""),"")</f>
        <v/>
      </c>
      <c r="AA60" s="34">
        <f>IF(COUNT(V60:Z60)=0,"",ROUND(AVERAGE(V60:Z60),2))</f>
        <v/>
      </c>
      <c r="AB60" s="35">
        <f>IF($A60="","",COUNT(V60:Z60))</f>
        <v/>
      </c>
      <c r="AC60" s="36" t="n"/>
      <c r="AD60" s="35">
        <f>IF(AA60="","",SUMPRODUCT(ISNUMBER($AA$6:$AA$305)*($AA$6:$AA$305&gt;AA60))+SUMPRODUCT(($AA$6:AA60=AA60)*1))</f>
        <v/>
      </c>
      <c r="AE60" s="35">
        <f>IF(AA60="","",SUMPRODUCT(($E$6:$E$305=E60)*ISNUMBER($AA$6:$AA$305)*($AA$6:$AA$305&gt;AA60))+SUMPRODUCT(($E$6:E60=E60)*($AA$6:AA60=AA60)))</f>
        <v/>
      </c>
    </row>
    <row r="61">
      <c r="A61" s="31">
        <f>IF(Submissions!AD57="","",56)</f>
        <v/>
      </c>
      <c r="B61" s="10">
        <f>IF($A61="","",IF(Settings!$B$4="Yes","Submission "&amp;$A61,Submissions!AD57))</f>
        <v/>
      </c>
      <c r="C61" s="31">
        <f>IF($A61="","",IF(Settings!$B$4="Yes","(hidden)",Submissions!AE57))</f>
        <v/>
      </c>
      <c r="D61" s="31">
        <f>IF($A61="","",Submissions!AF57)</f>
        <v/>
      </c>
      <c r="E61" s="31">
        <f>IF($A61="","",Submissions!AG57)</f>
        <v/>
      </c>
      <c r="F61" s="31">
        <f>IF($A61="","",Submissions!AH57)</f>
        <v/>
      </c>
      <c r="G61" s="37" t="n"/>
      <c r="H61" s="37" t="n"/>
      <c r="I61" s="37" t="n"/>
      <c r="J61" s="37" t="n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3">
        <f>IF(COUNT(G61:I61)=3,IFERROR(ROUND((G61*Settings!$D$15+H61*Settings!$D$16+I61*Settings!$D$17)/(Settings!$D$15+Settings!$D$16+Settings!$D$17),2),""),"")</f>
        <v/>
      </c>
      <c r="W61" s="33">
        <f>IF(COUNT(J61:L61)=3,IFERROR(ROUND((J61*Settings!$D$15+K61*Settings!$D$16+L61*Settings!$D$17)/(Settings!$D$15+Settings!$D$16+Settings!$D$17),2),""),"")</f>
        <v/>
      </c>
      <c r="X61" s="33">
        <f>IF(COUNT(M61:O61)=3,IFERROR(ROUND((M61*Settings!$D$15+N61*Settings!$D$16+O61*Settings!$D$17)/(Settings!$D$15+Settings!$D$16+Settings!$D$17),2),""),"")</f>
        <v/>
      </c>
      <c r="Y61" s="33">
        <f>IF(COUNT(P61:R61)=3,IFERROR(ROUND((P61*Settings!$D$15+Q61*Settings!$D$16+R61*Settings!$D$17)/(Settings!$D$15+Settings!$D$16+Settings!$D$17),2),""),"")</f>
        <v/>
      </c>
      <c r="Z61" s="33">
        <f>IF(COUNT(S61:U61)=3,IFERROR(ROUND((S61*Settings!$D$15+T61*Settings!$D$16+U61*Settings!$D$17)/(Settings!$D$15+Settings!$D$16+Settings!$D$17),2),""),"")</f>
        <v/>
      </c>
      <c r="AA61" s="34">
        <f>IF(COUNT(V61:Z61)=0,"",ROUND(AVERAGE(V61:Z61),2))</f>
        <v/>
      </c>
      <c r="AB61" s="35">
        <f>IF($A61="","",COUNT(V61:Z61))</f>
        <v/>
      </c>
      <c r="AC61" s="36" t="n"/>
      <c r="AD61" s="35">
        <f>IF(AA61="","",SUMPRODUCT(ISNUMBER($AA$6:$AA$305)*($AA$6:$AA$305&gt;AA61))+SUMPRODUCT(($AA$6:AA61=AA61)*1))</f>
        <v/>
      </c>
      <c r="AE61" s="35">
        <f>IF(AA61="","",SUMPRODUCT(($E$6:$E$305=E61)*ISNUMBER($AA$6:$AA$305)*($AA$6:$AA$305&gt;AA61))+SUMPRODUCT(($E$6:E61=E61)*($AA$6:AA61=AA61)))</f>
        <v/>
      </c>
    </row>
    <row r="62">
      <c r="A62" s="31">
        <f>IF(Submissions!AD58="","",57)</f>
        <v/>
      </c>
      <c r="B62" s="10">
        <f>IF($A62="","",IF(Settings!$B$4="Yes","Submission "&amp;$A62,Submissions!AD58))</f>
        <v/>
      </c>
      <c r="C62" s="31">
        <f>IF($A62="","",IF(Settings!$B$4="Yes","(hidden)",Submissions!AE58))</f>
        <v/>
      </c>
      <c r="D62" s="31">
        <f>IF($A62="","",Submissions!AF58)</f>
        <v/>
      </c>
      <c r="E62" s="31">
        <f>IF($A62="","",Submissions!AG58)</f>
        <v/>
      </c>
      <c r="F62" s="31">
        <f>IF($A62="","",Submissions!AH58)</f>
        <v/>
      </c>
      <c r="G62" s="37" t="n"/>
      <c r="H62" s="37" t="n"/>
      <c r="I62" s="37" t="n"/>
      <c r="J62" s="37" t="n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3">
        <f>IF(COUNT(G62:I62)=3,IFERROR(ROUND((G62*Settings!$D$15+H62*Settings!$D$16+I62*Settings!$D$17)/(Settings!$D$15+Settings!$D$16+Settings!$D$17),2),""),"")</f>
        <v/>
      </c>
      <c r="W62" s="33">
        <f>IF(COUNT(J62:L62)=3,IFERROR(ROUND((J62*Settings!$D$15+K62*Settings!$D$16+L62*Settings!$D$17)/(Settings!$D$15+Settings!$D$16+Settings!$D$17),2),""),"")</f>
        <v/>
      </c>
      <c r="X62" s="33">
        <f>IF(COUNT(M62:O62)=3,IFERROR(ROUND((M62*Settings!$D$15+N62*Settings!$D$16+O62*Settings!$D$17)/(Settings!$D$15+Settings!$D$16+Settings!$D$17),2),""),"")</f>
        <v/>
      </c>
      <c r="Y62" s="33">
        <f>IF(COUNT(P62:R62)=3,IFERROR(ROUND((P62*Settings!$D$15+Q62*Settings!$D$16+R62*Settings!$D$17)/(Settings!$D$15+Settings!$D$16+Settings!$D$17),2),""),"")</f>
        <v/>
      </c>
      <c r="Z62" s="33">
        <f>IF(COUNT(S62:U62)=3,IFERROR(ROUND((S62*Settings!$D$15+T62*Settings!$D$16+U62*Settings!$D$17)/(Settings!$D$15+Settings!$D$16+Settings!$D$17),2),""),"")</f>
        <v/>
      </c>
      <c r="AA62" s="34">
        <f>IF(COUNT(V62:Z62)=0,"",ROUND(AVERAGE(V62:Z62),2))</f>
        <v/>
      </c>
      <c r="AB62" s="35">
        <f>IF($A62="","",COUNT(V62:Z62))</f>
        <v/>
      </c>
      <c r="AC62" s="36" t="n"/>
      <c r="AD62" s="35">
        <f>IF(AA62="","",SUMPRODUCT(ISNUMBER($AA$6:$AA$305)*($AA$6:$AA$305&gt;AA62))+SUMPRODUCT(($AA$6:AA62=AA62)*1))</f>
        <v/>
      </c>
      <c r="AE62" s="35">
        <f>IF(AA62="","",SUMPRODUCT(($E$6:$E$305=E62)*ISNUMBER($AA$6:$AA$305)*($AA$6:$AA$305&gt;AA62))+SUMPRODUCT(($E$6:E62=E62)*($AA$6:AA62=AA62)))</f>
        <v/>
      </c>
    </row>
    <row r="63">
      <c r="A63" s="31">
        <f>IF(Submissions!AD59="","",58)</f>
        <v/>
      </c>
      <c r="B63" s="10">
        <f>IF($A63="","",IF(Settings!$B$4="Yes","Submission "&amp;$A63,Submissions!AD59))</f>
        <v/>
      </c>
      <c r="C63" s="31">
        <f>IF($A63="","",IF(Settings!$B$4="Yes","(hidden)",Submissions!AE59))</f>
        <v/>
      </c>
      <c r="D63" s="31">
        <f>IF($A63="","",Submissions!AF59)</f>
        <v/>
      </c>
      <c r="E63" s="31">
        <f>IF($A63="","",Submissions!AG59)</f>
        <v/>
      </c>
      <c r="F63" s="31">
        <f>IF($A63="","",Submissions!AH59)</f>
        <v/>
      </c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3">
        <f>IF(COUNT(G63:I63)=3,IFERROR(ROUND((G63*Settings!$D$15+H63*Settings!$D$16+I63*Settings!$D$17)/(Settings!$D$15+Settings!$D$16+Settings!$D$17),2),""),"")</f>
        <v/>
      </c>
      <c r="W63" s="33">
        <f>IF(COUNT(J63:L63)=3,IFERROR(ROUND((J63*Settings!$D$15+K63*Settings!$D$16+L63*Settings!$D$17)/(Settings!$D$15+Settings!$D$16+Settings!$D$17),2),""),"")</f>
        <v/>
      </c>
      <c r="X63" s="33">
        <f>IF(COUNT(M63:O63)=3,IFERROR(ROUND((M63*Settings!$D$15+N63*Settings!$D$16+O63*Settings!$D$17)/(Settings!$D$15+Settings!$D$16+Settings!$D$17),2),""),"")</f>
        <v/>
      </c>
      <c r="Y63" s="33">
        <f>IF(COUNT(P63:R63)=3,IFERROR(ROUND((P63*Settings!$D$15+Q63*Settings!$D$16+R63*Settings!$D$17)/(Settings!$D$15+Settings!$D$16+Settings!$D$17),2),""),"")</f>
        <v/>
      </c>
      <c r="Z63" s="33">
        <f>IF(COUNT(S63:U63)=3,IFERROR(ROUND((S63*Settings!$D$15+T63*Settings!$D$16+U63*Settings!$D$17)/(Settings!$D$15+Settings!$D$16+Settings!$D$17),2),""),"")</f>
        <v/>
      </c>
      <c r="AA63" s="34">
        <f>IF(COUNT(V63:Z63)=0,"",ROUND(AVERAGE(V63:Z63),2))</f>
        <v/>
      </c>
      <c r="AB63" s="35">
        <f>IF($A63="","",COUNT(V63:Z63))</f>
        <v/>
      </c>
      <c r="AC63" s="36" t="n"/>
      <c r="AD63" s="35">
        <f>IF(AA63="","",SUMPRODUCT(ISNUMBER($AA$6:$AA$305)*($AA$6:$AA$305&gt;AA63))+SUMPRODUCT(($AA$6:AA63=AA63)*1))</f>
        <v/>
      </c>
      <c r="AE63" s="35">
        <f>IF(AA63="","",SUMPRODUCT(($E$6:$E$305=E63)*ISNUMBER($AA$6:$AA$305)*($AA$6:$AA$305&gt;AA63))+SUMPRODUCT(($E$6:E63=E63)*($AA$6:AA63=AA63)))</f>
        <v/>
      </c>
    </row>
    <row r="64">
      <c r="A64" s="31">
        <f>IF(Submissions!AD60="","",59)</f>
        <v/>
      </c>
      <c r="B64" s="10">
        <f>IF($A64="","",IF(Settings!$B$4="Yes","Submission "&amp;$A64,Submissions!AD60))</f>
        <v/>
      </c>
      <c r="C64" s="31">
        <f>IF($A64="","",IF(Settings!$B$4="Yes","(hidden)",Submissions!AE60))</f>
        <v/>
      </c>
      <c r="D64" s="31">
        <f>IF($A64="","",Submissions!AF60)</f>
        <v/>
      </c>
      <c r="E64" s="31">
        <f>IF($A64="","",Submissions!AG60)</f>
        <v/>
      </c>
      <c r="F64" s="31">
        <f>IF($A64="","",Submissions!AH60)</f>
        <v/>
      </c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  <c r="P64" s="37" t="n"/>
      <c r="Q64" s="37" t="n"/>
      <c r="R64" s="37" t="n"/>
      <c r="S64" s="37" t="n"/>
      <c r="T64" s="37" t="n"/>
      <c r="U64" s="37" t="n"/>
      <c r="V64" s="33">
        <f>IF(COUNT(G64:I64)=3,IFERROR(ROUND((G64*Settings!$D$15+H64*Settings!$D$16+I64*Settings!$D$17)/(Settings!$D$15+Settings!$D$16+Settings!$D$17),2),""),"")</f>
        <v/>
      </c>
      <c r="W64" s="33">
        <f>IF(COUNT(J64:L64)=3,IFERROR(ROUND((J64*Settings!$D$15+K64*Settings!$D$16+L64*Settings!$D$17)/(Settings!$D$15+Settings!$D$16+Settings!$D$17),2),""),"")</f>
        <v/>
      </c>
      <c r="X64" s="33">
        <f>IF(COUNT(M64:O64)=3,IFERROR(ROUND((M64*Settings!$D$15+N64*Settings!$D$16+O64*Settings!$D$17)/(Settings!$D$15+Settings!$D$16+Settings!$D$17),2),""),"")</f>
        <v/>
      </c>
      <c r="Y64" s="33">
        <f>IF(COUNT(P64:R64)=3,IFERROR(ROUND((P64*Settings!$D$15+Q64*Settings!$D$16+R64*Settings!$D$17)/(Settings!$D$15+Settings!$D$16+Settings!$D$17),2),""),"")</f>
        <v/>
      </c>
      <c r="Z64" s="33">
        <f>IF(COUNT(S64:U64)=3,IFERROR(ROUND((S64*Settings!$D$15+T64*Settings!$D$16+U64*Settings!$D$17)/(Settings!$D$15+Settings!$D$16+Settings!$D$17),2),""),"")</f>
        <v/>
      </c>
      <c r="AA64" s="34">
        <f>IF(COUNT(V64:Z64)=0,"",ROUND(AVERAGE(V64:Z64),2))</f>
        <v/>
      </c>
      <c r="AB64" s="35">
        <f>IF($A64="","",COUNT(V64:Z64))</f>
        <v/>
      </c>
      <c r="AC64" s="36" t="n"/>
      <c r="AD64" s="35">
        <f>IF(AA64="","",SUMPRODUCT(ISNUMBER($AA$6:$AA$305)*($AA$6:$AA$305&gt;AA64))+SUMPRODUCT(($AA$6:AA64=AA64)*1))</f>
        <v/>
      </c>
      <c r="AE64" s="35">
        <f>IF(AA64="","",SUMPRODUCT(($E$6:$E$305=E64)*ISNUMBER($AA$6:$AA$305)*($AA$6:$AA$305&gt;AA64))+SUMPRODUCT(($E$6:E64=E64)*($AA$6:AA64=AA64)))</f>
        <v/>
      </c>
    </row>
    <row r="65">
      <c r="A65" s="31">
        <f>IF(Submissions!AD61="","",60)</f>
        <v/>
      </c>
      <c r="B65" s="10">
        <f>IF($A65="","",IF(Settings!$B$4="Yes","Submission "&amp;$A65,Submissions!AD61))</f>
        <v/>
      </c>
      <c r="C65" s="31">
        <f>IF($A65="","",IF(Settings!$B$4="Yes","(hidden)",Submissions!AE61))</f>
        <v/>
      </c>
      <c r="D65" s="31">
        <f>IF($A65="","",Submissions!AF61)</f>
        <v/>
      </c>
      <c r="E65" s="31">
        <f>IF($A65="","",Submissions!AG61)</f>
        <v/>
      </c>
      <c r="F65" s="31">
        <f>IF($A65="","",Submissions!AH61)</f>
        <v/>
      </c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3">
        <f>IF(COUNT(G65:I65)=3,IFERROR(ROUND((G65*Settings!$D$15+H65*Settings!$D$16+I65*Settings!$D$17)/(Settings!$D$15+Settings!$D$16+Settings!$D$17),2),""),"")</f>
        <v/>
      </c>
      <c r="W65" s="33">
        <f>IF(COUNT(J65:L65)=3,IFERROR(ROUND((J65*Settings!$D$15+K65*Settings!$D$16+L65*Settings!$D$17)/(Settings!$D$15+Settings!$D$16+Settings!$D$17),2),""),"")</f>
        <v/>
      </c>
      <c r="X65" s="33">
        <f>IF(COUNT(M65:O65)=3,IFERROR(ROUND((M65*Settings!$D$15+N65*Settings!$D$16+O65*Settings!$D$17)/(Settings!$D$15+Settings!$D$16+Settings!$D$17),2),""),"")</f>
        <v/>
      </c>
      <c r="Y65" s="33">
        <f>IF(COUNT(P65:R65)=3,IFERROR(ROUND((P65*Settings!$D$15+Q65*Settings!$D$16+R65*Settings!$D$17)/(Settings!$D$15+Settings!$D$16+Settings!$D$17),2),""),"")</f>
        <v/>
      </c>
      <c r="Z65" s="33">
        <f>IF(COUNT(S65:U65)=3,IFERROR(ROUND((S65*Settings!$D$15+T65*Settings!$D$16+U65*Settings!$D$17)/(Settings!$D$15+Settings!$D$16+Settings!$D$17),2),""),"")</f>
        <v/>
      </c>
      <c r="AA65" s="34">
        <f>IF(COUNT(V65:Z65)=0,"",ROUND(AVERAGE(V65:Z65),2))</f>
        <v/>
      </c>
      <c r="AB65" s="35">
        <f>IF($A65="","",COUNT(V65:Z65))</f>
        <v/>
      </c>
      <c r="AC65" s="36" t="n"/>
      <c r="AD65" s="35">
        <f>IF(AA65="","",SUMPRODUCT(ISNUMBER($AA$6:$AA$305)*($AA$6:$AA$305&gt;AA65))+SUMPRODUCT(($AA$6:AA65=AA65)*1))</f>
        <v/>
      </c>
      <c r="AE65" s="35">
        <f>IF(AA65="","",SUMPRODUCT(($E$6:$E$305=E65)*ISNUMBER($AA$6:$AA$305)*($AA$6:$AA$305&gt;AA65))+SUMPRODUCT(($E$6:E65=E65)*($AA$6:AA65=AA65)))</f>
        <v/>
      </c>
    </row>
    <row r="66">
      <c r="A66" s="31">
        <f>IF(Submissions!AD62="","",61)</f>
        <v/>
      </c>
      <c r="B66" s="10">
        <f>IF($A66="","",IF(Settings!$B$4="Yes","Submission "&amp;$A66,Submissions!AD62))</f>
        <v/>
      </c>
      <c r="C66" s="31">
        <f>IF($A66="","",IF(Settings!$B$4="Yes","(hidden)",Submissions!AE62))</f>
        <v/>
      </c>
      <c r="D66" s="31">
        <f>IF($A66="","",Submissions!AF62)</f>
        <v/>
      </c>
      <c r="E66" s="31">
        <f>IF($A66="","",Submissions!AG62)</f>
        <v/>
      </c>
      <c r="F66" s="31">
        <f>IF($A66="","",Submissions!AH62)</f>
        <v/>
      </c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3">
        <f>IF(COUNT(G66:I66)=3,IFERROR(ROUND((G66*Settings!$D$15+H66*Settings!$D$16+I66*Settings!$D$17)/(Settings!$D$15+Settings!$D$16+Settings!$D$17),2),""),"")</f>
        <v/>
      </c>
      <c r="W66" s="33">
        <f>IF(COUNT(J66:L66)=3,IFERROR(ROUND((J66*Settings!$D$15+K66*Settings!$D$16+L66*Settings!$D$17)/(Settings!$D$15+Settings!$D$16+Settings!$D$17),2),""),"")</f>
        <v/>
      </c>
      <c r="X66" s="33">
        <f>IF(COUNT(M66:O66)=3,IFERROR(ROUND((M66*Settings!$D$15+N66*Settings!$D$16+O66*Settings!$D$17)/(Settings!$D$15+Settings!$D$16+Settings!$D$17),2),""),"")</f>
        <v/>
      </c>
      <c r="Y66" s="33">
        <f>IF(COUNT(P66:R66)=3,IFERROR(ROUND((P66*Settings!$D$15+Q66*Settings!$D$16+R66*Settings!$D$17)/(Settings!$D$15+Settings!$D$16+Settings!$D$17),2),""),"")</f>
        <v/>
      </c>
      <c r="Z66" s="33">
        <f>IF(COUNT(S66:U66)=3,IFERROR(ROUND((S66*Settings!$D$15+T66*Settings!$D$16+U66*Settings!$D$17)/(Settings!$D$15+Settings!$D$16+Settings!$D$17),2),""),"")</f>
        <v/>
      </c>
      <c r="AA66" s="34">
        <f>IF(COUNT(V66:Z66)=0,"",ROUND(AVERAGE(V66:Z66),2))</f>
        <v/>
      </c>
      <c r="AB66" s="35">
        <f>IF($A66="","",COUNT(V66:Z66))</f>
        <v/>
      </c>
      <c r="AC66" s="36" t="n"/>
      <c r="AD66" s="35">
        <f>IF(AA66="","",SUMPRODUCT(ISNUMBER($AA$6:$AA$305)*($AA$6:$AA$305&gt;AA66))+SUMPRODUCT(($AA$6:AA66=AA66)*1))</f>
        <v/>
      </c>
      <c r="AE66" s="35">
        <f>IF(AA66="","",SUMPRODUCT(($E$6:$E$305=E66)*ISNUMBER($AA$6:$AA$305)*($AA$6:$AA$305&gt;AA66))+SUMPRODUCT(($E$6:E66=E66)*($AA$6:AA66=AA66)))</f>
        <v/>
      </c>
    </row>
    <row r="67">
      <c r="A67" s="31">
        <f>IF(Submissions!AD63="","",62)</f>
        <v/>
      </c>
      <c r="B67" s="10">
        <f>IF($A67="","",IF(Settings!$B$4="Yes","Submission "&amp;$A67,Submissions!AD63))</f>
        <v/>
      </c>
      <c r="C67" s="31">
        <f>IF($A67="","",IF(Settings!$B$4="Yes","(hidden)",Submissions!AE63))</f>
        <v/>
      </c>
      <c r="D67" s="31">
        <f>IF($A67="","",Submissions!AF63)</f>
        <v/>
      </c>
      <c r="E67" s="31">
        <f>IF($A67="","",Submissions!AG63)</f>
        <v/>
      </c>
      <c r="F67" s="31">
        <f>IF($A67="","",Submissions!AH63)</f>
        <v/>
      </c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  <c r="P67" s="37" t="n"/>
      <c r="Q67" s="37" t="n"/>
      <c r="R67" s="37" t="n"/>
      <c r="S67" s="37" t="n"/>
      <c r="T67" s="37" t="n"/>
      <c r="U67" s="37" t="n"/>
      <c r="V67" s="33">
        <f>IF(COUNT(G67:I67)=3,IFERROR(ROUND((G67*Settings!$D$15+H67*Settings!$D$16+I67*Settings!$D$17)/(Settings!$D$15+Settings!$D$16+Settings!$D$17),2),""),"")</f>
        <v/>
      </c>
      <c r="W67" s="33">
        <f>IF(COUNT(J67:L67)=3,IFERROR(ROUND((J67*Settings!$D$15+K67*Settings!$D$16+L67*Settings!$D$17)/(Settings!$D$15+Settings!$D$16+Settings!$D$17),2),""),"")</f>
        <v/>
      </c>
      <c r="X67" s="33">
        <f>IF(COUNT(M67:O67)=3,IFERROR(ROUND((M67*Settings!$D$15+N67*Settings!$D$16+O67*Settings!$D$17)/(Settings!$D$15+Settings!$D$16+Settings!$D$17),2),""),"")</f>
        <v/>
      </c>
      <c r="Y67" s="33">
        <f>IF(COUNT(P67:R67)=3,IFERROR(ROUND((P67*Settings!$D$15+Q67*Settings!$D$16+R67*Settings!$D$17)/(Settings!$D$15+Settings!$D$16+Settings!$D$17),2),""),"")</f>
        <v/>
      </c>
      <c r="Z67" s="33">
        <f>IF(COUNT(S67:U67)=3,IFERROR(ROUND((S67*Settings!$D$15+T67*Settings!$D$16+U67*Settings!$D$17)/(Settings!$D$15+Settings!$D$16+Settings!$D$17),2),""),"")</f>
        <v/>
      </c>
      <c r="AA67" s="34">
        <f>IF(COUNT(V67:Z67)=0,"",ROUND(AVERAGE(V67:Z67),2))</f>
        <v/>
      </c>
      <c r="AB67" s="35">
        <f>IF($A67="","",COUNT(V67:Z67))</f>
        <v/>
      </c>
      <c r="AC67" s="36" t="n"/>
      <c r="AD67" s="35">
        <f>IF(AA67="","",SUMPRODUCT(ISNUMBER($AA$6:$AA$305)*($AA$6:$AA$305&gt;AA67))+SUMPRODUCT(($AA$6:AA67=AA67)*1))</f>
        <v/>
      </c>
      <c r="AE67" s="35">
        <f>IF(AA67="","",SUMPRODUCT(($E$6:$E$305=E67)*ISNUMBER($AA$6:$AA$305)*($AA$6:$AA$305&gt;AA67))+SUMPRODUCT(($E$6:E67=E67)*($AA$6:AA67=AA67)))</f>
        <v/>
      </c>
    </row>
    <row r="68">
      <c r="A68" s="31">
        <f>IF(Submissions!AD64="","",63)</f>
        <v/>
      </c>
      <c r="B68" s="10">
        <f>IF($A68="","",IF(Settings!$B$4="Yes","Submission "&amp;$A68,Submissions!AD64))</f>
        <v/>
      </c>
      <c r="C68" s="31">
        <f>IF($A68="","",IF(Settings!$B$4="Yes","(hidden)",Submissions!AE64))</f>
        <v/>
      </c>
      <c r="D68" s="31">
        <f>IF($A68="","",Submissions!AF64)</f>
        <v/>
      </c>
      <c r="E68" s="31">
        <f>IF($A68="","",Submissions!AG64)</f>
        <v/>
      </c>
      <c r="F68" s="31">
        <f>IF($A68="","",Submissions!AH64)</f>
        <v/>
      </c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  <c r="P68" s="37" t="n"/>
      <c r="Q68" s="37" t="n"/>
      <c r="R68" s="37" t="n"/>
      <c r="S68" s="37" t="n"/>
      <c r="T68" s="37" t="n"/>
      <c r="U68" s="37" t="n"/>
      <c r="V68" s="33">
        <f>IF(COUNT(G68:I68)=3,IFERROR(ROUND((G68*Settings!$D$15+H68*Settings!$D$16+I68*Settings!$D$17)/(Settings!$D$15+Settings!$D$16+Settings!$D$17),2),""),"")</f>
        <v/>
      </c>
      <c r="W68" s="33">
        <f>IF(COUNT(J68:L68)=3,IFERROR(ROUND((J68*Settings!$D$15+K68*Settings!$D$16+L68*Settings!$D$17)/(Settings!$D$15+Settings!$D$16+Settings!$D$17),2),""),"")</f>
        <v/>
      </c>
      <c r="X68" s="33">
        <f>IF(COUNT(M68:O68)=3,IFERROR(ROUND((M68*Settings!$D$15+N68*Settings!$D$16+O68*Settings!$D$17)/(Settings!$D$15+Settings!$D$16+Settings!$D$17),2),""),"")</f>
        <v/>
      </c>
      <c r="Y68" s="33">
        <f>IF(COUNT(P68:R68)=3,IFERROR(ROUND((P68*Settings!$D$15+Q68*Settings!$D$16+R68*Settings!$D$17)/(Settings!$D$15+Settings!$D$16+Settings!$D$17),2),""),"")</f>
        <v/>
      </c>
      <c r="Z68" s="33">
        <f>IF(COUNT(S68:U68)=3,IFERROR(ROUND((S68*Settings!$D$15+T68*Settings!$D$16+U68*Settings!$D$17)/(Settings!$D$15+Settings!$D$16+Settings!$D$17),2),""),"")</f>
        <v/>
      </c>
      <c r="AA68" s="34">
        <f>IF(COUNT(V68:Z68)=0,"",ROUND(AVERAGE(V68:Z68),2))</f>
        <v/>
      </c>
      <c r="AB68" s="35">
        <f>IF($A68="","",COUNT(V68:Z68))</f>
        <v/>
      </c>
      <c r="AC68" s="36" t="n"/>
      <c r="AD68" s="35">
        <f>IF(AA68="","",SUMPRODUCT(ISNUMBER($AA$6:$AA$305)*($AA$6:$AA$305&gt;AA68))+SUMPRODUCT(($AA$6:AA68=AA68)*1))</f>
        <v/>
      </c>
      <c r="AE68" s="35">
        <f>IF(AA68="","",SUMPRODUCT(($E$6:$E$305=E68)*ISNUMBER($AA$6:$AA$305)*($AA$6:$AA$305&gt;AA68))+SUMPRODUCT(($E$6:E68=E68)*($AA$6:AA68=AA68)))</f>
        <v/>
      </c>
    </row>
    <row r="69">
      <c r="A69" s="31">
        <f>IF(Submissions!AD65="","",64)</f>
        <v/>
      </c>
      <c r="B69" s="10">
        <f>IF($A69="","",IF(Settings!$B$4="Yes","Submission "&amp;$A69,Submissions!AD65))</f>
        <v/>
      </c>
      <c r="C69" s="31">
        <f>IF($A69="","",IF(Settings!$B$4="Yes","(hidden)",Submissions!AE65))</f>
        <v/>
      </c>
      <c r="D69" s="31">
        <f>IF($A69="","",Submissions!AF65)</f>
        <v/>
      </c>
      <c r="E69" s="31">
        <f>IF($A69="","",Submissions!AG65)</f>
        <v/>
      </c>
      <c r="F69" s="31">
        <f>IF($A69="","",Submissions!AH65)</f>
        <v/>
      </c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3">
        <f>IF(COUNT(G69:I69)=3,IFERROR(ROUND((G69*Settings!$D$15+H69*Settings!$D$16+I69*Settings!$D$17)/(Settings!$D$15+Settings!$D$16+Settings!$D$17),2),""),"")</f>
        <v/>
      </c>
      <c r="W69" s="33">
        <f>IF(COUNT(J69:L69)=3,IFERROR(ROUND((J69*Settings!$D$15+K69*Settings!$D$16+L69*Settings!$D$17)/(Settings!$D$15+Settings!$D$16+Settings!$D$17),2),""),"")</f>
        <v/>
      </c>
      <c r="X69" s="33">
        <f>IF(COUNT(M69:O69)=3,IFERROR(ROUND((M69*Settings!$D$15+N69*Settings!$D$16+O69*Settings!$D$17)/(Settings!$D$15+Settings!$D$16+Settings!$D$17),2),""),"")</f>
        <v/>
      </c>
      <c r="Y69" s="33">
        <f>IF(COUNT(P69:R69)=3,IFERROR(ROUND((P69*Settings!$D$15+Q69*Settings!$D$16+R69*Settings!$D$17)/(Settings!$D$15+Settings!$D$16+Settings!$D$17),2),""),"")</f>
        <v/>
      </c>
      <c r="Z69" s="33">
        <f>IF(COUNT(S69:U69)=3,IFERROR(ROUND((S69*Settings!$D$15+T69*Settings!$D$16+U69*Settings!$D$17)/(Settings!$D$15+Settings!$D$16+Settings!$D$17),2),""),"")</f>
        <v/>
      </c>
      <c r="AA69" s="34">
        <f>IF(COUNT(V69:Z69)=0,"",ROUND(AVERAGE(V69:Z69),2))</f>
        <v/>
      </c>
      <c r="AB69" s="35">
        <f>IF($A69="","",COUNT(V69:Z69))</f>
        <v/>
      </c>
      <c r="AC69" s="36" t="n"/>
      <c r="AD69" s="35">
        <f>IF(AA69="","",SUMPRODUCT(ISNUMBER($AA$6:$AA$305)*($AA$6:$AA$305&gt;AA69))+SUMPRODUCT(($AA$6:AA69=AA69)*1))</f>
        <v/>
      </c>
      <c r="AE69" s="35">
        <f>IF(AA69="","",SUMPRODUCT(($E$6:$E$305=E69)*ISNUMBER($AA$6:$AA$305)*($AA$6:$AA$305&gt;AA69))+SUMPRODUCT(($E$6:E69=E69)*($AA$6:AA69=AA69)))</f>
        <v/>
      </c>
    </row>
    <row r="70">
      <c r="A70" s="31">
        <f>IF(Submissions!AD66="","",65)</f>
        <v/>
      </c>
      <c r="B70" s="10">
        <f>IF($A70="","",IF(Settings!$B$4="Yes","Submission "&amp;$A70,Submissions!AD66))</f>
        <v/>
      </c>
      <c r="C70" s="31">
        <f>IF($A70="","",IF(Settings!$B$4="Yes","(hidden)",Submissions!AE66))</f>
        <v/>
      </c>
      <c r="D70" s="31">
        <f>IF($A70="","",Submissions!AF66)</f>
        <v/>
      </c>
      <c r="E70" s="31">
        <f>IF($A70="","",Submissions!AG66)</f>
        <v/>
      </c>
      <c r="F70" s="31">
        <f>IF($A70="","",Submissions!AH66)</f>
        <v/>
      </c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3">
        <f>IF(COUNT(G70:I70)=3,IFERROR(ROUND((G70*Settings!$D$15+H70*Settings!$D$16+I70*Settings!$D$17)/(Settings!$D$15+Settings!$D$16+Settings!$D$17),2),""),"")</f>
        <v/>
      </c>
      <c r="W70" s="33">
        <f>IF(COUNT(J70:L70)=3,IFERROR(ROUND((J70*Settings!$D$15+K70*Settings!$D$16+L70*Settings!$D$17)/(Settings!$D$15+Settings!$D$16+Settings!$D$17),2),""),"")</f>
        <v/>
      </c>
      <c r="X70" s="33">
        <f>IF(COUNT(M70:O70)=3,IFERROR(ROUND((M70*Settings!$D$15+N70*Settings!$D$16+O70*Settings!$D$17)/(Settings!$D$15+Settings!$D$16+Settings!$D$17),2),""),"")</f>
        <v/>
      </c>
      <c r="Y70" s="33">
        <f>IF(COUNT(P70:R70)=3,IFERROR(ROUND((P70*Settings!$D$15+Q70*Settings!$D$16+R70*Settings!$D$17)/(Settings!$D$15+Settings!$D$16+Settings!$D$17),2),""),"")</f>
        <v/>
      </c>
      <c r="Z70" s="33">
        <f>IF(COUNT(S70:U70)=3,IFERROR(ROUND((S70*Settings!$D$15+T70*Settings!$D$16+U70*Settings!$D$17)/(Settings!$D$15+Settings!$D$16+Settings!$D$17),2),""),"")</f>
        <v/>
      </c>
      <c r="AA70" s="34">
        <f>IF(COUNT(V70:Z70)=0,"",ROUND(AVERAGE(V70:Z70),2))</f>
        <v/>
      </c>
      <c r="AB70" s="35">
        <f>IF($A70="","",COUNT(V70:Z70))</f>
        <v/>
      </c>
      <c r="AC70" s="36" t="n"/>
      <c r="AD70" s="35">
        <f>IF(AA70="","",SUMPRODUCT(ISNUMBER($AA$6:$AA$305)*($AA$6:$AA$305&gt;AA70))+SUMPRODUCT(($AA$6:AA70=AA70)*1))</f>
        <v/>
      </c>
      <c r="AE70" s="35">
        <f>IF(AA70="","",SUMPRODUCT(($E$6:$E$305=E70)*ISNUMBER($AA$6:$AA$305)*($AA$6:$AA$305&gt;AA70))+SUMPRODUCT(($E$6:E70=E70)*($AA$6:AA70=AA70)))</f>
        <v/>
      </c>
    </row>
    <row r="71">
      <c r="A71" s="31">
        <f>IF(Submissions!AD67="","",66)</f>
        <v/>
      </c>
      <c r="B71" s="10">
        <f>IF($A71="","",IF(Settings!$B$4="Yes","Submission "&amp;$A71,Submissions!AD67))</f>
        <v/>
      </c>
      <c r="C71" s="31">
        <f>IF($A71="","",IF(Settings!$B$4="Yes","(hidden)",Submissions!AE67))</f>
        <v/>
      </c>
      <c r="D71" s="31">
        <f>IF($A71="","",Submissions!AF67)</f>
        <v/>
      </c>
      <c r="E71" s="31">
        <f>IF($A71="","",Submissions!AG67)</f>
        <v/>
      </c>
      <c r="F71" s="31">
        <f>IF($A71="","",Submissions!AH67)</f>
        <v/>
      </c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  <c r="P71" s="37" t="n"/>
      <c r="Q71" s="37" t="n"/>
      <c r="R71" s="37" t="n"/>
      <c r="S71" s="37" t="n"/>
      <c r="T71" s="37" t="n"/>
      <c r="U71" s="37" t="n"/>
      <c r="V71" s="33">
        <f>IF(COUNT(G71:I71)=3,IFERROR(ROUND((G71*Settings!$D$15+H71*Settings!$D$16+I71*Settings!$D$17)/(Settings!$D$15+Settings!$D$16+Settings!$D$17),2),""),"")</f>
        <v/>
      </c>
      <c r="W71" s="33">
        <f>IF(COUNT(J71:L71)=3,IFERROR(ROUND((J71*Settings!$D$15+K71*Settings!$D$16+L71*Settings!$D$17)/(Settings!$D$15+Settings!$D$16+Settings!$D$17),2),""),"")</f>
        <v/>
      </c>
      <c r="X71" s="33">
        <f>IF(COUNT(M71:O71)=3,IFERROR(ROUND((M71*Settings!$D$15+N71*Settings!$D$16+O71*Settings!$D$17)/(Settings!$D$15+Settings!$D$16+Settings!$D$17),2),""),"")</f>
        <v/>
      </c>
      <c r="Y71" s="33">
        <f>IF(COUNT(P71:R71)=3,IFERROR(ROUND((P71*Settings!$D$15+Q71*Settings!$D$16+R71*Settings!$D$17)/(Settings!$D$15+Settings!$D$16+Settings!$D$17),2),""),"")</f>
        <v/>
      </c>
      <c r="Z71" s="33">
        <f>IF(COUNT(S71:U71)=3,IFERROR(ROUND((S71*Settings!$D$15+T71*Settings!$D$16+U71*Settings!$D$17)/(Settings!$D$15+Settings!$D$16+Settings!$D$17),2),""),"")</f>
        <v/>
      </c>
      <c r="AA71" s="34">
        <f>IF(COUNT(V71:Z71)=0,"",ROUND(AVERAGE(V71:Z71),2))</f>
        <v/>
      </c>
      <c r="AB71" s="35">
        <f>IF($A71="","",COUNT(V71:Z71))</f>
        <v/>
      </c>
      <c r="AC71" s="36" t="n"/>
      <c r="AD71" s="35">
        <f>IF(AA71="","",SUMPRODUCT(ISNUMBER($AA$6:$AA$305)*($AA$6:$AA$305&gt;AA71))+SUMPRODUCT(($AA$6:AA71=AA71)*1))</f>
        <v/>
      </c>
      <c r="AE71" s="35">
        <f>IF(AA71="","",SUMPRODUCT(($E$6:$E$305=E71)*ISNUMBER($AA$6:$AA$305)*($AA$6:$AA$305&gt;AA71))+SUMPRODUCT(($E$6:E71=E71)*($AA$6:AA71=AA71)))</f>
        <v/>
      </c>
    </row>
    <row r="72">
      <c r="A72" s="31">
        <f>IF(Submissions!AD68="","",67)</f>
        <v/>
      </c>
      <c r="B72" s="10">
        <f>IF($A72="","",IF(Settings!$B$4="Yes","Submission "&amp;$A72,Submissions!AD68))</f>
        <v/>
      </c>
      <c r="C72" s="31">
        <f>IF($A72="","",IF(Settings!$B$4="Yes","(hidden)",Submissions!AE68))</f>
        <v/>
      </c>
      <c r="D72" s="31">
        <f>IF($A72="","",Submissions!AF68)</f>
        <v/>
      </c>
      <c r="E72" s="31">
        <f>IF($A72="","",Submissions!AG68)</f>
        <v/>
      </c>
      <c r="F72" s="31">
        <f>IF($A72="","",Submissions!AH68)</f>
        <v/>
      </c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  <c r="P72" s="37" t="n"/>
      <c r="Q72" s="37" t="n"/>
      <c r="R72" s="37" t="n"/>
      <c r="S72" s="37" t="n"/>
      <c r="T72" s="37" t="n"/>
      <c r="U72" s="37" t="n"/>
      <c r="V72" s="33">
        <f>IF(COUNT(G72:I72)=3,IFERROR(ROUND((G72*Settings!$D$15+H72*Settings!$D$16+I72*Settings!$D$17)/(Settings!$D$15+Settings!$D$16+Settings!$D$17),2),""),"")</f>
        <v/>
      </c>
      <c r="W72" s="33">
        <f>IF(COUNT(J72:L72)=3,IFERROR(ROUND((J72*Settings!$D$15+K72*Settings!$D$16+L72*Settings!$D$17)/(Settings!$D$15+Settings!$D$16+Settings!$D$17),2),""),"")</f>
        <v/>
      </c>
      <c r="X72" s="33">
        <f>IF(COUNT(M72:O72)=3,IFERROR(ROUND((M72*Settings!$D$15+N72*Settings!$D$16+O72*Settings!$D$17)/(Settings!$D$15+Settings!$D$16+Settings!$D$17),2),""),"")</f>
        <v/>
      </c>
      <c r="Y72" s="33">
        <f>IF(COUNT(P72:R72)=3,IFERROR(ROUND((P72*Settings!$D$15+Q72*Settings!$D$16+R72*Settings!$D$17)/(Settings!$D$15+Settings!$D$16+Settings!$D$17),2),""),"")</f>
        <v/>
      </c>
      <c r="Z72" s="33">
        <f>IF(COUNT(S72:U72)=3,IFERROR(ROUND((S72*Settings!$D$15+T72*Settings!$D$16+U72*Settings!$D$17)/(Settings!$D$15+Settings!$D$16+Settings!$D$17),2),""),"")</f>
        <v/>
      </c>
      <c r="AA72" s="34">
        <f>IF(COUNT(V72:Z72)=0,"",ROUND(AVERAGE(V72:Z72),2))</f>
        <v/>
      </c>
      <c r="AB72" s="35">
        <f>IF($A72="","",COUNT(V72:Z72))</f>
        <v/>
      </c>
      <c r="AC72" s="36" t="n"/>
      <c r="AD72" s="35">
        <f>IF(AA72="","",SUMPRODUCT(ISNUMBER($AA$6:$AA$305)*($AA$6:$AA$305&gt;AA72))+SUMPRODUCT(($AA$6:AA72=AA72)*1))</f>
        <v/>
      </c>
      <c r="AE72" s="35">
        <f>IF(AA72="","",SUMPRODUCT(($E$6:$E$305=E72)*ISNUMBER($AA$6:$AA$305)*($AA$6:$AA$305&gt;AA72))+SUMPRODUCT(($E$6:E72=E72)*($AA$6:AA72=AA72)))</f>
        <v/>
      </c>
    </row>
    <row r="73">
      <c r="A73" s="31">
        <f>IF(Submissions!AD69="","",68)</f>
        <v/>
      </c>
      <c r="B73" s="10">
        <f>IF($A73="","",IF(Settings!$B$4="Yes","Submission "&amp;$A73,Submissions!AD69))</f>
        <v/>
      </c>
      <c r="C73" s="31">
        <f>IF($A73="","",IF(Settings!$B$4="Yes","(hidden)",Submissions!AE69))</f>
        <v/>
      </c>
      <c r="D73" s="31">
        <f>IF($A73="","",Submissions!AF69)</f>
        <v/>
      </c>
      <c r="E73" s="31">
        <f>IF($A73="","",Submissions!AG69)</f>
        <v/>
      </c>
      <c r="F73" s="31">
        <f>IF($A73="","",Submissions!AH69)</f>
        <v/>
      </c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3">
        <f>IF(COUNT(G73:I73)=3,IFERROR(ROUND((G73*Settings!$D$15+H73*Settings!$D$16+I73*Settings!$D$17)/(Settings!$D$15+Settings!$D$16+Settings!$D$17),2),""),"")</f>
        <v/>
      </c>
      <c r="W73" s="33">
        <f>IF(COUNT(J73:L73)=3,IFERROR(ROUND((J73*Settings!$D$15+K73*Settings!$D$16+L73*Settings!$D$17)/(Settings!$D$15+Settings!$D$16+Settings!$D$17),2),""),"")</f>
        <v/>
      </c>
      <c r="X73" s="33">
        <f>IF(COUNT(M73:O73)=3,IFERROR(ROUND((M73*Settings!$D$15+N73*Settings!$D$16+O73*Settings!$D$17)/(Settings!$D$15+Settings!$D$16+Settings!$D$17),2),""),"")</f>
        <v/>
      </c>
      <c r="Y73" s="33">
        <f>IF(COUNT(P73:R73)=3,IFERROR(ROUND((P73*Settings!$D$15+Q73*Settings!$D$16+R73*Settings!$D$17)/(Settings!$D$15+Settings!$D$16+Settings!$D$17),2),""),"")</f>
        <v/>
      </c>
      <c r="Z73" s="33">
        <f>IF(COUNT(S73:U73)=3,IFERROR(ROUND((S73*Settings!$D$15+T73*Settings!$D$16+U73*Settings!$D$17)/(Settings!$D$15+Settings!$D$16+Settings!$D$17),2),""),"")</f>
        <v/>
      </c>
      <c r="AA73" s="34">
        <f>IF(COUNT(V73:Z73)=0,"",ROUND(AVERAGE(V73:Z73),2))</f>
        <v/>
      </c>
      <c r="AB73" s="35">
        <f>IF($A73="","",COUNT(V73:Z73))</f>
        <v/>
      </c>
      <c r="AC73" s="36" t="n"/>
      <c r="AD73" s="35">
        <f>IF(AA73="","",SUMPRODUCT(ISNUMBER($AA$6:$AA$305)*($AA$6:$AA$305&gt;AA73))+SUMPRODUCT(($AA$6:AA73=AA73)*1))</f>
        <v/>
      </c>
      <c r="AE73" s="35">
        <f>IF(AA73="","",SUMPRODUCT(($E$6:$E$305=E73)*ISNUMBER($AA$6:$AA$305)*($AA$6:$AA$305&gt;AA73))+SUMPRODUCT(($E$6:E73=E73)*($AA$6:AA73=AA73)))</f>
        <v/>
      </c>
    </row>
    <row r="74">
      <c r="A74" s="31">
        <f>IF(Submissions!AD70="","",69)</f>
        <v/>
      </c>
      <c r="B74" s="10">
        <f>IF($A74="","",IF(Settings!$B$4="Yes","Submission "&amp;$A74,Submissions!AD70))</f>
        <v/>
      </c>
      <c r="C74" s="31">
        <f>IF($A74="","",IF(Settings!$B$4="Yes","(hidden)",Submissions!AE70))</f>
        <v/>
      </c>
      <c r="D74" s="31">
        <f>IF($A74="","",Submissions!AF70)</f>
        <v/>
      </c>
      <c r="E74" s="31">
        <f>IF($A74="","",Submissions!AG70)</f>
        <v/>
      </c>
      <c r="F74" s="31">
        <f>IF($A74="","",Submissions!AH70)</f>
        <v/>
      </c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3">
        <f>IF(COUNT(G74:I74)=3,IFERROR(ROUND((G74*Settings!$D$15+H74*Settings!$D$16+I74*Settings!$D$17)/(Settings!$D$15+Settings!$D$16+Settings!$D$17),2),""),"")</f>
        <v/>
      </c>
      <c r="W74" s="33">
        <f>IF(COUNT(J74:L74)=3,IFERROR(ROUND((J74*Settings!$D$15+K74*Settings!$D$16+L74*Settings!$D$17)/(Settings!$D$15+Settings!$D$16+Settings!$D$17),2),""),"")</f>
        <v/>
      </c>
      <c r="X74" s="33">
        <f>IF(COUNT(M74:O74)=3,IFERROR(ROUND((M74*Settings!$D$15+N74*Settings!$D$16+O74*Settings!$D$17)/(Settings!$D$15+Settings!$D$16+Settings!$D$17),2),""),"")</f>
        <v/>
      </c>
      <c r="Y74" s="33">
        <f>IF(COUNT(P74:R74)=3,IFERROR(ROUND((P74*Settings!$D$15+Q74*Settings!$D$16+R74*Settings!$D$17)/(Settings!$D$15+Settings!$D$16+Settings!$D$17),2),""),"")</f>
        <v/>
      </c>
      <c r="Z74" s="33">
        <f>IF(COUNT(S74:U74)=3,IFERROR(ROUND((S74*Settings!$D$15+T74*Settings!$D$16+U74*Settings!$D$17)/(Settings!$D$15+Settings!$D$16+Settings!$D$17),2),""),"")</f>
        <v/>
      </c>
      <c r="AA74" s="34">
        <f>IF(COUNT(V74:Z74)=0,"",ROUND(AVERAGE(V74:Z74),2))</f>
        <v/>
      </c>
      <c r="AB74" s="35">
        <f>IF($A74="","",COUNT(V74:Z74))</f>
        <v/>
      </c>
      <c r="AC74" s="36" t="n"/>
      <c r="AD74" s="35">
        <f>IF(AA74="","",SUMPRODUCT(ISNUMBER($AA$6:$AA$305)*($AA$6:$AA$305&gt;AA74))+SUMPRODUCT(($AA$6:AA74=AA74)*1))</f>
        <v/>
      </c>
      <c r="AE74" s="35">
        <f>IF(AA74="","",SUMPRODUCT(($E$6:$E$305=E74)*ISNUMBER($AA$6:$AA$305)*($AA$6:$AA$305&gt;AA74))+SUMPRODUCT(($E$6:E74=E74)*($AA$6:AA74=AA74)))</f>
        <v/>
      </c>
    </row>
    <row r="75">
      <c r="A75" s="31">
        <f>IF(Submissions!AD71="","",70)</f>
        <v/>
      </c>
      <c r="B75" s="10">
        <f>IF($A75="","",IF(Settings!$B$4="Yes","Submission "&amp;$A75,Submissions!AD71))</f>
        <v/>
      </c>
      <c r="C75" s="31">
        <f>IF($A75="","",IF(Settings!$B$4="Yes","(hidden)",Submissions!AE71))</f>
        <v/>
      </c>
      <c r="D75" s="31">
        <f>IF($A75="","",Submissions!AF71)</f>
        <v/>
      </c>
      <c r="E75" s="31">
        <f>IF($A75="","",Submissions!AG71)</f>
        <v/>
      </c>
      <c r="F75" s="31">
        <f>IF($A75="","",Submissions!AH71)</f>
        <v/>
      </c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3">
        <f>IF(COUNT(G75:I75)=3,IFERROR(ROUND((G75*Settings!$D$15+H75*Settings!$D$16+I75*Settings!$D$17)/(Settings!$D$15+Settings!$D$16+Settings!$D$17),2),""),"")</f>
        <v/>
      </c>
      <c r="W75" s="33">
        <f>IF(COUNT(J75:L75)=3,IFERROR(ROUND((J75*Settings!$D$15+K75*Settings!$D$16+L75*Settings!$D$17)/(Settings!$D$15+Settings!$D$16+Settings!$D$17),2),""),"")</f>
        <v/>
      </c>
      <c r="X75" s="33">
        <f>IF(COUNT(M75:O75)=3,IFERROR(ROUND((M75*Settings!$D$15+N75*Settings!$D$16+O75*Settings!$D$17)/(Settings!$D$15+Settings!$D$16+Settings!$D$17),2),""),"")</f>
        <v/>
      </c>
      <c r="Y75" s="33">
        <f>IF(COUNT(P75:R75)=3,IFERROR(ROUND((P75*Settings!$D$15+Q75*Settings!$D$16+R75*Settings!$D$17)/(Settings!$D$15+Settings!$D$16+Settings!$D$17),2),""),"")</f>
        <v/>
      </c>
      <c r="Z75" s="33">
        <f>IF(COUNT(S75:U75)=3,IFERROR(ROUND((S75*Settings!$D$15+T75*Settings!$D$16+U75*Settings!$D$17)/(Settings!$D$15+Settings!$D$16+Settings!$D$17),2),""),"")</f>
        <v/>
      </c>
      <c r="AA75" s="34">
        <f>IF(COUNT(V75:Z75)=0,"",ROUND(AVERAGE(V75:Z75),2))</f>
        <v/>
      </c>
      <c r="AB75" s="35">
        <f>IF($A75="","",COUNT(V75:Z75))</f>
        <v/>
      </c>
      <c r="AC75" s="36" t="n"/>
      <c r="AD75" s="35">
        <f>IF(AA75="","",SUMPRODUCT(ISNUMBER($AA$6:$AA$305)*($AA$6:$AA$305&gt;AA75))+SUMPRODUCT(($AA$6:AA75=AA75)*1))</f>
        <v/>
      </c>
      <c r="AE75" s="35">
        <f>IF(AA75="","",SUMPRODUCT(($E$6:$E$305=E75)*ISNUMBER($AA$6:$AA$305)*($AA$6:$AA$305&gt;AA75))+SUMPRODUCT(($E$6:E75=E75)*($AA$6:AA75=AA75)))</f>
        <v/>
      </c>
    </row>
    <row r="76">
      <c r="A76" s="31">
        <f>IF(Submissions!AD72="","",71)</f>
        <v/>
      </c>
      <c r="B76" s="10">
        <f>IF($A76="","",IF(Settings!$B$4="Yes","Submission "&amp;$A76,Submissions!AD72))</f>
        <v/>
      </c>
      <c r="C76" s="31">
        <f>IF($A76="","",IF(Settings!$B$4="Yes","(hidden)",Submissions!AE72))</f>
        <v/>
      </c>
      <c r="D76" s="31">
        <f>IF($A76="","",Submissions!AF72)</f>
        <v/>
      </c>
      <c r="E76" s="31">
        <f>IF($A76="","",Submissions!AG72)</f>
        <v/>
      </c>
      <c r="F76" s="31">
        <f>IF($A76="","",Submissions!AH72)</f>
        <v/>
      </c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  <c r="P76" s="37" t="n"/>
      <c r="Q76" s="37" t="n"/>
      <c r="R76" s="37" t="n"/>
      <c r="S76" s="37" t="n"/>
      <c r="T76" s="37" t="n"/>
      <c r="U76" s="37" t="n"/>
      <c r="V76" s="33">
        <f>IF(COUNT(G76:I76)=3,IFERROR(ROUND((G76*Settings!$D$15+H76*Settings!$D$16+I76*Settings!$D$17)/(Settings!$D$15+Settings!$D$16+Settings!$D$17),2),""),"")</f>
        <v/>
      </c>
      <c r="W76" s="33">
        <f>IF(COUNT(J76:L76)=3,IFERROR(ROUND((J76*Settings!$D$15+K76*Settings!$D$16+L76*Settings!$D$17)/(Settings!$D$15+Settings!$D$16+Settings!$D$17),2),""),"")</f>
        <v/>
      </c>
      <c r="X76" s="33">
        <f>IF(COUNT(M76:O76)=3,IFERROR(ROUND((M76*Settings!$D$15+N76*Settings!$D$16+O76*Settings!$D$17)/(Settings!$D$15+Settings!$D$16+Settings!$D$17),2),""),"")</f>
        <v/>
      </c>
      <c r="Y76" s="33">
        <f>IF(COUNT(P76:R76)=3,IFERROR(ROUND((P76*Settings!$D$15+Q76*Settings!$D$16+R76*Settings!$D$17)/(Settings!$D$15+Settings!$D$16+Settings!$D$17),2),""),"")</f>
        <v/>
      </c>
      <c r="Z76" s="33">
        <f>IF(COUNT(S76:U76)=3,IFERROR(ROUND((S76*Settings!$D$15+T76*Settings!$D$16+U76*Settings!$D$17)/(Settings!$D$15+Settings!$D$16+Settings!$D$17),2),""),"")</f>
        <v/>
      </c>
      <c r="AA76" s="34">
        <f>IF(COUNT(V76:Z76)=0,"",ROUND(AVERAGE(V76:Z76),2))</f>
        <v/>
      </c>
      <c r="AB76" s="35">
        <f>IF($A76="","",COUNT(V76:Z76))</f>
        <v/>
      </c>
      <c r="AC76" s="36" t="n"/>
      <c r="AD76" s="35">
        <f>IF(AA76="","",SUMPRODUCT(ISNUMBER($AA$6:$AA$305)*($AA$6:$AA$305&gt;AA76))+SUMPRODUCT(($AA$6:AA76=AA76)*1))</f>
        <v/>
      </c>
      <c r="AE76" s="35">
        <f>IF(AA76="","",SUMPRODUCT(($E$6:$E$305=E76)*ISNUMBER($AA$6:$AA$305)*($AA$6:$AA$305&gt;AA76))+SUMPRODUCT(($E$6:E76=E76)*($AA$6:AA76=AA76)))</f>
        <v/>
      </c>
    </row>
    <row r="77">
      <c r="A77" s="31">
        <f>IF(Submissions!AD73="","",72)</f>
        <v/>
      </c>
      <c r="B77" s="10">
        <f>IF($A77="","",IF(Settings!$B$4="Yes","Submission "&amp;$A77,Submissions!AD73))</f>
        <v/>
      </c>
      <c r="C77" s="31">
        <f>IF($A77="","",IF(Settings!$B$4="Yes","(hidden)",Submissions!AE73))</f>
        <v/>
      </c>
      <c r="D77" s="31">
        <f>IF($A77="","",Submissions!AF73)</f>
        <v/>
      </c>
      <c r="E77" s="31">
        <f>IF($A77="","",Submissions!AG73)</f>
        <v/>
      </c>
      <c r="F77" s="31">
        <f>IF($A77="","",Submissions!AH73)</f>
        <v/>
      </c>
      <c r="G77" s="37" t="n"/>
      <c r="H77" s="37" t="n"/>
      <c r="I77" s="37" t="n"/>
      <c r="J77" s="37" t="n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3">
        <f>IF(COUNT(G77:I77)=3,IFERROR(ROUND((G77*Settings!$D$15+H77*Settings!$D$16+I77*Settings!$D$17)/(Settings!$D$15+Settings!$D$16+Settings!$D$17),2),""),"")</f>
        <v/>
      </c>
      <c r="W77" s="33">
        <f>IF(COUNT(J77:L77)=3,IFERROR(ROUND((J77*Settings!$D$15+K77*Settings!$D$16+L77*Settings!$D$17)/(Settings!$D$15+Settings!$D$16+Settings!$D$17),2),""),"")</f>
        <v/>
      </c>
      <c r="X77" s="33">
        <f>IF(COUNT(M77:O77)=3,IFERROR(ROUND((M77*Settings!$D$15+N77*Settings!$D$16+O77*Settings!$D$17)/(Settings!$D$15+Settings!$D$16+Settings!$D$17),2),""),"")</f>
        <v/>
      </c>
      <c r="Y77" s="33">
        <f>IF(COUNT(P77:R77)=3,IFERROR(ROUND((P77*Settings!$D$15+Q77*Settings!$D$16+R77*Settings!$D$17)/(Settings!$D$15+Settings!$D$16+Settings!$D$17),2),""),"")</f>
        <v/>
      </c>
      <c r="Z77" s="33">
        <f>IF(COUNT(S77:U77)=3,IFERROR(ROUND((S77*Settings!$D$15+T77*Settings!$D$16+U77*Settings!$D$17)/(Settings!$D$15+Settings!$D$16+Settings!$D$17),2),""),"")</f>
        <v/>
      </c>
      <c r="AA77" s="34">
        <f>IF(COUNT(V77:Z77)=0,"",ROUND(AVERAGE(V77:Z77),2))</f>
        <v/>
      </c>
      <c r="AB77" s="35">
        <f>IF($A77="","",COUNT(V77:Z77))</f>
        <v/>
      </c>
      <c r="AC77" s="36" t="n"/>
      <c r="AD77" s="35">
        <f>IF(AA77="","",SUMPRODUCT(ISNUMBER($AA$6:$AA$305)*($AA$6:$AA$305&gt;AA77))+SUMPRODUCT(($AA$6:AA77=AA77)*1))</f>
        <v/>
      </c>
      <c r="AE77" s="35">
        <f>IF(AA77="","",SUMPRODUCT(($E$6:$E$305=E77)*ISNUMBER($AA$6:$AA$305)*($AA$6:$AA$305&gt;AA77))+SUMPRODUCT(($E$6:E77=E77)*($AA$6:AA77=AA77)))</f>
        <v/>
      </c>
    </row>
    <row r="78">
      <c r="A78" s="31">
        <f>IF(Submissions!AD74="","",73)</f>
        <v/>
      </c>
      <c r="B78" s="10">
        <f>IF($A78="","",IF(Settings!$B$4="Yes","Submission "&amp;$A78,Submissions!AD74))</f>
        <v/>
      </c>
      <c r="C78" s="31">
        <f>IF($A78="","",IF(Settings!$B$4="Yes","(hidden)",Submissions!AE74))</f>
        <v/>
      </c>
      <c r="D78" s="31">
        <f>IF($A78="","",Submissions!AF74)</f>
        <v/>
      </c>
      <c r="E78" s="31">
        <f>IF($A78="","",Submissions!AG74)</f>
        <v/>
      </c>
      <c r="F78" s="31">
        <f>IF($A78="","",Submissions!AH74)</f>
        <v/>
      </c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3">
        <f>IF(COUNT(G78:I78)=3,IFERROR(ROUND((G78*Settings!$D$15+H78*Settings!$D$16+I78*Settings!$D$17)/(Settings!$D$15+Settings!$D$16+Settings!$D$17),2),""),"")</f>
        <v/>
      </c>
      <c r="W78" s="33">
        <f>IF(COUNT(J78:L78)=3,IFERROR(ROUND((J78*Settings!$D$15+K78*Settings!$D$16+L78*Settings!$D$17)/(Settings!$D$15+Settings!$D$16+Settings!$D$17),2),""),"")</f>
        <v/>
      </c>
      <c r="X78" s="33">
        <f>IF(COUNT(M78:O78)=3,IFERROR(ROUND((M78*Settings!$D$15+N78*Settings!$D$16+O78*Settings!$D$17)/(Settings!$D$15+Settings!$D$16+Settings!$D$17),2),""),"")</f>
        <v/>
      </c>
      <c r="Y78" s="33">
        <f>IF(COUNT(P78:R78)=3,IFERROR(ROUND((P78*Settings!$D$15+Q78*Settings!$D$16+R78*Settings!$D$17)/(Settings!$D$15+Settings!$D$16+Settings!$D$17),2),""),"")</f>
        <v/>
      </c>
      <c r="Z78" s="33">
        <f>IF(COUNT(S78:U78)=3,IFERROR(ROUND((S78*Settings!$D$15+T78*Settings!$D$16+U78*Settings!$D$17)/(Settings!$D$15+Settings!$D$16+Settings!$D$17),2),""),"")</f>
        <v/>
      </c>
      <c r="AA78" s="34">
        <f>IF(COUNT(V78:Z78)=0,"",ROUND(AVERAGE(V78:Z78),2))</f>
        <v/>
      </c>
      <c r="AB78" s="35">
        <f>IF($A78="","",COUNT(V78:Z78))</f>
        <v/>
      </c>
      <c r="AC78" s="36" t="n"/>
      <c r="AD78" s="35">
        <f>IF(AA78="","",SUMPRODUCT(ISNUMBER($AA$6:$AA$305)*($AA$6:$AA$305&gt;AA78))+SUMPRODUCT(($AA$6:AA78=AA78)*1))</f>
        <v/>
      </c>
      <c r="AE78" s="35">
        <f>IF(AA78="","",SUMPRODUCT(($E$6:$E$305=E78)*ISNUMBER($AA$6:$AA$305)*($AA$6:$AA$305&gt;AA78))+SUMPRODUCT(($E$6:E78=E78)*($AA$6:AA78=AA78)))</f>
        <v/>
      </c>
    </row>
    <row r="79">
      <c r="A79" s="31">
        <f>IF(Submissions!AD75="","",74)</f>
        <v/>
      </c>
      <c r="B79" s="10">
        <f>IF($A79="","",IF(Settings!$B$4="Yes","Submission "&amp;$A79,Submissions!AD75))</f>
        <v/>
      </c>
      <c r="C79" s="31">
        <f>IF($A79="","",IF(Settings!$B$4="Yes","(hidden)",Submissions!AE75))</f>
        <v/>
      </c>
      <c r="D79" s="31">
        <f>IF($A79="","",Submissions!AF75)</f>
        <v/>
      </c>
      <c r="E79" s="31">
        <f>IF($A79="","",Submissions!AG75)</f>
        <v/>
      </c>
      <c r="F79" s="31">
        <f>IF($A79="","",Submissions!AH75)</f>
        <v/>
      </c>
      <c r="G79" s="37" t="n"/>
      <c r="H79" s="37" t="n"/>
      <c r="I79" s="37" t="n"/>
      <c r="J79" s="37" t="n"/>
      <c r="K79" s="37" t="n"/>
      <c r="L79" s="37" t="n"/>
      <c r="M79" s="37" t="n"/>
      <c r="N79" s="37" t="n"/>
      <c r="O79" s="37" t="n"/>
      <c r="P79" s="37" t="n"/>
      <c r="Q79" s="37" t="n"/>
      <c r="R79" s="37" t="n"/>
      <c r="S79" s="37" t="n"/>
      <c r="T79" s="37" t="n"/>
      <c r="U79" s="37" t="n"/>
      <c r="V79" s="33">
        <f>IF(COUNT(G79:I79)=3,IFERROR(ROUND((G79*Settings!$D$15+H79*Settings!$D$16+I79*Settings!$D$17)/(Settings!$D$15+Settings!$D$16+Settings!$D$17),2),""),"")</f>
        <v/>
      </c>
      <c r="W79" s="33">
        <f>IF(COUNT(J79:L79)=3,IFERROR(ROUND((J79*Settings!$D$15+K79*Settings!$D$16+L79*Settings!$D$17)/(Settings!$D$15+Settings!$D$16+Settings!$D$17),2),""),"")</f>
        <v/>
      </c>
      <c r="X79" s="33">
        <f>IF(COUNT(M79:O79)=3,IFERROR(ROUND((M79*Settings!$D$15+N79*Settings!$D$16+O79*Settings!$D$17)/(Settings!$D$15+Settings!$D$16+Settings!$D$17),2),""),"")</f>
        <v/>
      </c>
      <c r="Y79" s="33">
        <f>IF(COUNT(P79:R79)=3,IFERROR(ROUND((P79*Settings!$D$15+Q79*Settings!$D$16+R79*Settings!$D$17)/(Settings!$D$15+Settings!$D$16+Settings!$D$17),2),""),"")</f>
        <v/>
      </c>
      <c r="Z79" s="33">
        <f>IF(COUNT(S79:U79)=3,IFERROR(ROUND((S79*Settings!$D$15+T79*Settings!$D$16+U79*Settings!$D$17)/(Settings!$D$15+Settings!$D$16+Settings!$D$17),2),""),"")</f>
        <v/>
      </c>
      <c r="AA79" s="34">
        <f>IF(COUNT(V79:Z79)=0,"",ROUND(AVERAGE(V79:Z79),2))</f>
        <v/>
      </c>
      <c r="AB79" s="35">
        <f>IF($A79="","",COUNT(V79:Z79))</f>
        <v/>
      </c>
      <c r="AC79" s="36" t="n"/>
      <c r="AD79" s="35">
        <f>IF(AA79="","",SUMPRODUCT(ISNUMBER($AA$6:$AA$305)*($AA$6:$AA$305&gt;AA79))+SUMPRODUCT(($AA$6:AA79=AA79)*1))</f>
        <v/>
      </c>
      <c r="AE79" s="35">
        <f>IF(AA79="","",SUMPRODUCT(($E$6:$E$305=E79)*ISNUMBER($AA$6:$AA$305)*($AA$6:$AA$305&gt;AA79))+SUMPRODUCT(($E$6:E79=E79)*($AA$6:AA79=AA79)))</f>
        <v/>
      </c>
    </row>
    <row r="80">
      <c r="A80" s="31">
        <f>IF(Submissions!AD76="","",75)</f>
        <v/>
      </c>
      <c r="B80" s="10">
        <f>IF($A80="","",IF(Settings!$B$4="Yes","Submission "&amp;$A80,Submissions!AD76))</f>
        <v/>
      </c>
      <c r="C80" s="31">
        <f>IF($A80="","",IF(Settings!$B$4="Yes","(hidden)",Submissions!AE76))</f>
        <v/>
      </c>
      <c r="D80" s="31">
        <f>IF($A80="","",Submissions!AF76)</f>
        <v/>
      </c>
      <c r="E80" s="31">
        <f>IF($A80="","",Submissions!AG76)</f>
        <v/>
      </c>
      <c r="F80" s="31">
        <f>IF($A80="","",Submissions!AH76)</f>
        <v/>
      </c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3">
        <f>IF(COUNT(G80:I80)=3,IFERROR(ROUND((G80*Settings!$D$15+H80*Settings!$D$16+I80*Settings!$D$17)/(Settings!$D$15+Settings!$D$16+Settings!$D$17),2),""),"")</f>
        <v/>
      </c>
      <c r="W80" s="33">
        <f>IF(COUNT(J80:L80)=3,IFERROR(ROUND((J80*Settings!$D$15+K80*Settings!$D$16+L80*Settings!$D$17)/(Settings!$D$15+Settings!$D$16+Settings!$D$17),2),""),"")</f>
        <v/>
      </c>
      <c r="X80" s="33">
        <f>IF(COUNT(M80:O80)=3,IFERROR(ROUND((M80*Settings!$D$15+N80*Settings!$D$16+O80*Settings!$D$17)/(Settings!$D$15+Settings!$D$16+Settings!$D$17),2),""),"")</f>
        <v/>
      </c>
      <c r="Y80" s="33">
        <f>IF(COUNT(P80:R80)=3,IFERROR(ROUND((P80*Settings!$D$15+Q80*Settings!$D$16+R80*Settings!$D$17)/(Settings!$D$15+Settings!$D$16+Settings!$D$17),2),""),"")</f>
        <v/>
      </c>
      <c r="Z80" s="33">
        <f>IF(COUNT(S80:U80)=3,IFERROR(ROUND((S80*Settings!$D$15+T80*Settings!$D$16+U80*Settings!$D$17)/(Settings!$D$15+Settings!$D$16+Settings!$D$17),2),""),"")</f>
        <v/>
      </c>
      <c r="AA80" s="34">
        <f>IF(COUNT(V80:Z80)=0,"",ROUND(AVERAGE(V80:Z80),2))</f>
        <v/>
      </c>
      <c r="AB80" s="35">
        <f>IF($A80="","",COUNT(V80:Z80))</f>
        <v/>
      </c>
      <c r="AC80" s="36" t="n"/>
      <c r="AD80" s="35">
        <f>IF(AA80="","",SUMPRODUCT(ISNUMBER($AA$6:$AA$305)*($AA$6:$AA$305&gt;AA80))+SUMPRODUCT(($AA$6:AA80=AA80)*1))</f>
        <v/>
      </c>
      <c r="AE80" s="35">
        <f>IF(AA80="","",SUMPRODUCT(($E$6:$E$305=E80)*ISNUMBER($AA$6:$AA$305)*($AA$6:$AA$305&gt;AA80))+SUMPRODUCT(($E$6:E80=E80)*($AA$6:AA80=AA80)))</f>
        <v/>
      </c>
    </row>
    <row r="81">
      <c r="A81" s="31">
        <f>IF(Submissions!AD77="","",76)</f>
        <v/>
      </c>
      <c r="B81" s="10">
        <f>IF($A81="","",IF(Settings!$B$4="Yes","Submission "&amp;$A81,Submissions!AD77))</f>
        <v/>
      </c>
      <c r="C81" s="31">
        <f>IF($A81="","",IF(Settings!$B$4="Yes","(hidden)",Submissions!AE77))</f>
        <v/>
      </c>
      <c r="D81" s="31">
        <f>IF($A81="","",Submissions!AF77)</f>
        <v/>
      </c>
      <c r="E81" s="31">
        <f>IF($A81="","",Submissions!AG77)</f>
        <v/>
      </c>
      <c r="F81" s="31">
        <f>IF($A81="","",Submissions!AH77)</f>
        <v/>
      </c>
      <c r="G81" s="37" t="n"/>
      <c r="H81" s="37" t="n"/>
      <c r="I81" s="37" t="n"/>
      <c r="J81" s="37" t="n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3">
        <f>IF(COUNT(G81:I81)=3,IFERROR(ROUND((G81*Settings!$D$15+H81*Settings!$D$16+I81*Settings!$D$17)/(Settings!$D$15+Settings!$D$16+Settings!$D$17),2),""),"")</f>
        <v/>
      </c>
      <c r="W81" s="33">
        <f>IF(COUNT(J81:L81)=3,IFERROR(ROUND((J81*Settings!$D$15+K81*Settings!$D$16+L81*Settings!$D$17)/(Settings!$D$15+Settings!$D$16+Settings!$D$17),2),""),"")</f>
        <v/>
      </c>
      <c r="X81" s="33">
        <f>IF(COUNT(M81:O81)=3,IFERROR(ROUND((M81*Settings!$D$15+N81*Settings!$D$16+O81*Settings!$D$17)/(Settings!$D$15+Settings!$D$16+Settings!$D$17),2),""),"")</f>
        <v/>
      </c>
      <c r="Y81" s="33">
        <f>IF(COUNT(P81:R81)=3,IFERROR(ROUND((P81*Settings!$D$15+Q81*Settings!$D$16+R81*Settings!$D$17)/(Settings!$D$15+Settings!$D$16+Settings!$D$17),2),""),"")</f>
        <v/>
      </c>
      <c r="Z81" s="33">
        <f>IF(COUNT(S81:U81)=3,IFERROR(ROUND((S81*Settings!$D$15+T81*Settings!$D$16+U81*Settings!$D$17)/(Settings!$D$15+Settings!$D$16+Settings!$D$17),2),""),"")</f>
        <v/>
      </c>
      <c r="AA81" s="34">
        <f>IF(COUNT(V81:Z81)=0,"",ROUND(AVERAGE(V81:Z81),2))</f>
        <v/>
      </c>
      <c r="AB81" s="35">
        <f>IF($A81="","",COUNT(V81:Z81))</f>
        <v/>
      </c>
      <c r="AC81" s="36" t="n"/>
      <c r="AD81" s="35">
        <f>IF(AA81="","",SUMPRODUCT(ISNUMBER($AA$6:$AA$305)*($AA$6:$AA$305&gt;AA81))+SUMPRODUCT(($AA$6:AA81=AA81)*1))</f>
        <v/>
      </c>
      <c r="AE81" s="35">
        <f>IF(AA81="","",SUMPRODUCT(($E$6:$E$305=E81)*ISNUMBER($AA$6:$AA$305)*($AA$6:$AA$305&gt;AA81))+SUMPRODUCT(($E$6:E81=E81)*($AA$6:AA81=AA81)))</f>
        <v/>
      </c>
    </row>
    <row r="82">
      <c r="A82" s="31">
        <f>IF(Submissions!AD78="","",77)</f>
        <v/>
      </c>
      <c r="B82" s="10">
        <f>IF($A82="","",IF(Settings!$B$4="Yes","Submission "&amp;$A82,Submissions!AD78))</f>
        <v/>
      </c>
      <c r="C82" s="31">
        <f>IF($A82="","",IF(Settings!$B$4="Yes","(hidden)",Submissions!AE78))</f>
        <v/>
      </c>
      <c r="D82" s="31">
        <f>IF($A82="","",Submissions!AF78)</f>
        <v/>
      </c>
      <c r="E82" s="31">
        <f>IF($A82="","",Submissions!AG78)</f>
        <v/>
      </c>
      <c r="F82" s="31">
        <f>IF($A82="","",Submissions!AH78)</f>
        <v/>
      </c>
      <c r="G82" s="37" t="n"/>
      <c r="H82" s="37" t="n"/>
      <c r="I82" s="37" t="n"/>
      <c r="J82" s="37" t="n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3">
        <f>IF(COUNT(G82:I82)=3,IFERROR(ROUND((G82*Settings!$D$15+H82*Settings!$D$16+I82*Settings!$D$17)/(Settings!$D$15+Settings!$D$16+Settings!$D$17),2),""),"")</f>
        <v/>
      </c>
      <c r="W82" s="33">
        <f>IF(COUNT(J82:L82)=3,IFERROR(ROUND((J82*Settings!$D$15+K82*Settings!$D$16+L82*Settings!$D$17)/(Settings!$D$15+Settings!$D$16+Settings!$D$17),2),""),"")</f>
        <v/>
      </c>
      <c r="X82" s="33">
        <f>IF(COUNT(M82:O82)=3,IFERROR(ROUND((M82*Settings!$D$15+N82*Settings!$D$16+O82*Settings!$D$17)/(Settings!$D$15+Settings!$D$16+Settings!$D$17),2),""),"")</f>
        <v/>
      </c>
      <c r="Y82" s="33">
        <f>IF(COUNT(P82:R82)=3,IFERROR(ROUND((P82*Settings!$D$15+Q82*Settings!$D$16+R82*Settings!$D$17)/(Settings!$D$15+Settings!$D$16+Settings!$D$17),2),""),"")</f>
        <v/>
      </c>
      <c r="Z82" s="33">
        <f>IF(COUNT(S82:U82)=3,IFERROR(ROUND((S82*Settings!$D$15+T82*Settings!$D$16+U82*Settings!$D$17)/(Settings!$D$15+Settings!$D$16+Settings!$D$17),2),""),"")</f>
        <v/>
      </c>
      <c r="AA82" s="34">
        <f>IF(COUNT(V82:Z82)=0,"",ROUND(AVERAGE(V82:Z82),2))</f>
        <v/>
      </c>
      <c r="AB82" s="35">
        <f>IF($A82="","",COUNT(V82:Z82))</f>
        <v/>
      </c>
      <c r="AC82" s="36" t="n"/>
      <c r="AD82" s="35">
        <f>IF(AA82="","",SUMPRODUCT(ISNUMBER($AA$6:$AA$305)*($AA$6:$AA$305&gt;AA82))+SUMPRODUCT(($AA$6:AA82=AA82)*1))</f>
        <v/>
      </c>
      <c r="AE82" s="35">
        <f>IF(AA82="","",SUMPRODUCT(($E$6:$E$305=E82)*ISNUMBER($AA$6:$AA$305)*($AA$6:$AA$305&gt;AA82))+SUMPRODUCT(($E$6:E82=E82)*($AA$6:AA82=AA82)))</f>
        <v/>
      </c>
    </row>
    <row r="83">
      <c r="A83" s="31">
        <f>IF(Submissions!AD79="","",78)</f>
        <v/>
      </c>
      <c r="B83" s="10">
        <f>IF($A83="","",IF(Settings!$B$4="Yes","Submission "&amp;$A83,Submissions!AD79))</f>
        <v/>
      </c>
      <c r="C83" s="31">
        <f>IF($A83="","",IF(Settings!$B$4="Yes","(hidden)",Submissions!AE79))</f>
        <v/>
      </c>
      <c r="D83" s="31">
        <f>IF($A83="","",Submissions!AF79)</f>
        <v/>
      </c>
      <c r="E83" s="31">
        <f>IF($A83="","",Submissions!AG79)</f>
        <v/>
      </c>
      <c r="F83" s="31">
        <f>IF($A83="","",Submissions!AH79)</f>
        <v/>
      </c>
      <c r="G83" s="37" t="n"/>
      <c r="H83" s="37" t="n"/>
      <c r="I83" s="37" t="n"/>
      <c r="J83" s="37" t="n"/>
      <c r="K83" s="37" t="n"/>
      <c r="L83" s="37" t="n"/>
      <c r="M83" s="37" t="n"/>
      <c r="N83" s="37" t="n"/>
      <c r="O83" s="37" t="n"/>
      <c r="P83" s="37" t="n"/>
      <c r="Q83" s="37" t="n"/>
      <c r="R83" s="37" t="n"/>
      <c r="S83" s="37" t="n"/>
      <c r="T83" s="37" t="n"/>
      <c r="U83" s="37" t="n"/>
      <c r="V83" s="33">
        <f>IF(COUNT(G83:I83)=3,IFERROR(ROUND((G83*Settings!$D$15+H83*Settings!$D$16+I83*Settings!$D$17)/(Settings!$D$15+Settings!$D$16+Settings!$D$17),2),""),"")</f>
        <v/>
      </c>
      <c r="W83" s="33">
        <f>IF(COUNT(J83:L83)=3,IFERROR(ROUND((J83*Settings!$D$15+K83*Settings!$D$16+L83*Settings!$D$17)/(Settings!$D$15+Settings!$D$16+Settings!$D$17),2),""),"")</f>
        <v/>
      </c>
      <c r="X83" s="33">
        <f>IF(COUNT(M83:O83)=3,IFERROR(ROUND((M83*Settings!$D$15+N83*Settings!$D$16+O83*Settings!$D$17)/(Settings!$D$15+Settings!$D$16+Settings!$D$17),2),""),"")</f>
        <v/>
      </c>
      <c r="Y83" s="33">
        <f>IF(COUNT(P83:R83)=3,IFERROR(ROUND((P83*Settings!$D$15+Q83*Settings!$D$16+R83*Settings!$D$17)/(Settings!$D$15+Settings!$D$16+Settings!$D$17),2),""),"")</f>
        <v/>
      </c>
      <c r="Z83" s="33">
        <f>IF(COUNT(S83:U83)=3,IFERROR(ROUND((S83*Settings!$D$15+T83*Settings!$D$16+U83*Settings!$D$17)/(Settings!$D$15+Settings!$D$16+Settings!$D$17),2),""),"")</f>
        <v/>
      </c>
      <c r="AA83" s="34">
        <f>IF(COUNT(V83:Z83)=0,"",ROUND(AVERAGE(V83:Z83),2))</f>
        <v/>
      </c>
      <c r="AB83" s="35">
        <f>IF($A83="","",COUNT(V83:Z83))</f>
        <v/>
      </c>
      <c r="AC83" s="36" t="n"/>
      <c r="AD83" s="35">
        <f>IF(AA83="","",SUMPRODUCT(ISNUMBER($AA$6:$AA$305)*($AA$6:$AA$305&gt;AA83))+SUMPRODUCT(($AA$6:AA83=AA83)*1))</f>
        <v/>
      </c>
      <c r="AE83" s="35">
        <f>IF(AA83="","",SUMPRODUCT(($E$6:$E$305=E83)*ISNUMBER($AA$6:$AA$305)*($AA$6:$AA$305&gt;AA83))+SUMPRODUCT(($E$6:E83=E83)*($AA$6:AA83=AA83)))</f>
        <v/>
      </c>
    </row>
    <row r="84">
      <c r="A84" s="31">
        <f>IF(Submissions!AD80="","",79)</f>
        <v/>
      </c>
      <c r="B84" s="10">
        <f>IF($A84="","",IF(Settings!$B$4="Yes","Submission "&amp;$A84,Submissions!AD80))</f>
        <v/>
      </c>
      <c r="C84" s="31">
        <f>IF($A84="","",IF(Settings!$B$4="Yes","(hidden)",Submissions!AE80))</f>
        <v/>
      </c>
      <c r="D84" s="31">
        <f>IF($A84="","",Submissions!AF80)</f>
        <v/>
      </c>
      <c r="E84" s="31">
        <f>IF($A84="","",Submissions!AG80)</f>
        <v/>
      </c>
      <c r="F84" s="31">
        <f>IF($A84="","",Submissions!AH80)</f>
        <v/>
      </c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3">
        <f>IF(COUNT(G84:I84)=3,IFERROR(ROUND((G84*Settings!$D$15+H84*Settings!$D$16+I84*Settings!$D$17)/(Settings!$D$15+Settings!$D$16+Settings!$D$17),2),""),"")</f>
        <v/>
      </c>
      <c r="W84" s="33">
        <f>IF(COUNT(J84:L84)=3,IFERROR(ROUND((J84*Settings!$D$15+K84*Settings!$D$16+L84*Settings!$D$17)/(Settings!$D$15+Settings!$D$16+Settings!$D$17),2),""),"")</f>
        <v/>
      </c>
      <c r="X84" s="33">
        <f>IF(COUNT(M84:O84)=3,IFERROR(ROUND((M84*Settings!$D$15+N84*Settings!$D$16+O84*Settings!$D$17)/(Settings!$D$15+Settings!$D$16+Settings!$D$17),2),""),"")</f>
        <v/>
      </c>
      <c r="Y84" s="33">
        <f>IF(COUNT(P84:R84)=3,IFERROR(ROUND((P84*Settings!$D$15+Q84*Settings!$D$16+R84*Settings!$D$17)/(Settings!$D$15+Settings!$D$16+Settings!$D$17),2),""),"")</f>
        <v/>
      </c>
      <c r="Z84" s="33">
        <f>IF(COUNT(S84:U84)=3,IFERROR(ROUND((S84*Settings!$D$15+T84*Settings!$D$16+U84*Settings!$D$17)/(Settings!$D$15+Settings!$D$16+Settings!$D$17),2),""),"")</f>
        <v/>
      </c>
      <c r="AA84" s="34">
        <f>IF(COUNT(V84:Z84)=0,"",ROUND(AVERAGE(V84:Z84),2))</f>
        <v/>
      </c>
      <c r="AB84" s="35">
        <f>IF($A84="","",COUNT(V84:Z84))</f>
        <v/>
      </c>
      <c r="AC84" s="36" t="n"/>
      <c r="AD84" s="35">
        <f>IF(AA84="","",SUMPRODUCT(ISNUMBER($AA$6:$AA$305)*($AA$6:$AA$305&gt;AA84))+SUMPRODUCT(($AA$6:AA84=AA84)*1))</f>
        <v/>
      </c>
      <c r="AE84" s="35">
        <f>IF(AA84="","",SUMPRODUCT(($E$6:$E$305=E84)*ISNUMBER($AA$6:$AA$305)*($AA$6:$AA$305&gt;AA84))+SUMPRODUCT(($E$6:E84=E84)*($AA$6:AA84=AA84)))</f>
        <v/>
      </c>
    </row>
    <row r="85">
      <c r="A85" s="31">
        <f>IF(Submissions!AD81="","",80)</f>
        <v/>
      </c>
      <c r="B85" s="10">
        <f>IF($A85="","",IF(Settings!$B$4="Yes","Submission "&amp;$A85,Submissions!AD81))</f>
        <v/>
      </c>
      <c r="C85" s="31">
        <f>IF($A85="","",IF(Settings!$B$4="Yes","(hidden)",Submissions!AE81))</f>
        <v/>
      </c>
      <c r="D85" s="31">
        <f>IF($A85="","",Submissions!AF81)</f>
        <v/>
      </c>
      <c r="E85" s="31">
        <f>IF($A85="","",Submissions!AG81)</f>
        <v/>
      </c>
      <c r="F85" s="31">
        <f>IF($A85="","",Submissions!AH81)</f>
        <v/>
      </c>
      <c r="G85" s="37" t="n"/>
      <c r="H85" s="37" t="n"/>
      <c r="I85" s="37" t="n"/>
      <c r="J85" s="37" t="n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3">
        <f>IF(COUNT(G85:I85)=3,IFERROR(ROUND((G85*Settings!$D$15+H85*Settings!$D$16+I85*Settings!$D$17)/(Settings!$D$15+Settings!$D$16+Settings!$D$17),2),""),"")</f>
        <v/>
      </c>
      <c r="W85" s="33">
        <f>IF(COUNT(J85:L85)=3,IFERROR(ROUND((J85*Settings!$D$15+K85*Settings!$D$16+L85*Settings!$D$17)/(Settings!$D$15+Settings!$D$16+Settings!$D$17),2),""),"")</f>
        <v/>
      </c>
      <c r="X85" s="33">
        <f>IF(COUNT(M85:O85)=3,IFERROR(ROUND((M85*Settings!$D$15+N85*Settings!$D$16+O85*Settings!$D$17)/(Settings!$D$15+Settings!$D$16+Settings!$D$17),2),""),"")</f>
        <v/>
      </c>
      <c r="Y85" s="33">
        <f>IF(COUNT(P85:R85)=3,IFERROR(ROUND((P85*Settings!$D$15+Q85*Settings!$D$16+R85*Settings!$D$17)/(Settings!$D$15+Settings!$D$16+Settings!$D$17),2),""),"")</f>
        <v/>
      </c>
      <c r="Z85" s="33">
        <f>IF(COUNT(S85:U85)=3,IFERROR(ROUND((S85*Settings!$D$15+T85*Settings!$D$16+U85*Settings!$D$17)/(Settings!$D$15+Settings!$D$16+Settings!$D$17),2),""),"")</f>
        <v/>
      </c>
      <c r="AA85" s="34">
        <f>IF(COUNT(V85:Z85)=0,"",ROUND(AVERAGE(V85:Z85),2))</f>
        <v/>
      </c>
      <c r="AB85" s="35">
        <f>IF($A85="","",COUNT(V85:Z85))</f>
        <v/>
      </c>
      <c r="AC85" s="36" t="n"/>
      <c r="AD85" s="35">
        <f>IF(AA85="","",SUMPRODUCT(ISNUMBER($AA$6:$AA$305)*($AA$6:$AA$305&gt;AA85))+SUMPRODUCT(($AA$6:AA85=AA85)*1))</f>
        <v/>
      </c>
      <c r="AE85" s="35">
        <f>IF(AA85="","",SUMPRODUCT(($E$6:$E$305=E85)*ISNUMBER($AA$6:$AA$305)*($AA$6:$AA$305&gt;AA85))+SUMPRODUCT(($E$6:E85=E85)*($AA$6:AA85=AA85)))</f>
        <v/>
      </c>
    </row>
    <row r="86">
      <c r="A86" s="31">
        <f>IF(Submissions!AD82="","",81)</f>
        <v/>
      </c>
      <c r="B86" s="10">
        <f>IF($A86="","",IF(Settings!$B$4="Yes","Submission "&amp;$A86,Submissions!AD82))</f>
        <v/>
      </c>
      <c r="C86" s="31">
        <f>IF($A86="","",IF(Settings!$B$4="Yes","(hidden)",Submissions!AE82))</f>
        <v/>
      </c>
      <c r="D86" s="31">
        <f>IF($A86="","",Submissions!AF82)</f>
        <v/>
      </c>
      <c r="E86" s="31">
        <f>IF($A86="","",Submissions!AG82)</f>
        <v/>
      </c>
      <c r="F86" s="31">
        <f>IF($A86="","",Submissions!AH82)</f>
        <v/>
      </c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3">
        <f>IF(COUNT(G86:I86)=3,IFERROR(ROUND((G86*Settings!$D$15+H86*Settings!$D$16+I86*Settings!$D$17)/(Settings!$D$15+Settings!$D$16+Settings!$D$17),2),""),"")</f>
        <v/>
      </c>
      <c r="W86" s="33">
        <f>IF(COUNT(J86:L86)=3,IFERROR(ROUND((J86*Settings!$D$15+K86*Settings!$D$16+L86*Settings!$D$17)/(Settings!$D$15+Settings!$D$16+Settings!$D$17),2),""),"")</f>
        <v/>
      </c>
      <c r="X86" s="33">
        <f>IF(COUNT(M86:O86)=3,IFERROR(ROUND((M86*Settings!$D$15+N86*Settings!$D$16+O86*Settings!$D$17)/(Settings!$D$15+Settings!$D$16+Settings!$D$17),2),""),"")</f>
        <v/>
      </c>
      <c r="Y86" s="33">
        <f>IF(COUNT(P86:R86)=3,IFERROR(ROUND((P86*Settings!$D$15+Q86*Settings!$D$16+R86*Settings!$D$17)/(Settings!$D$15+Settings!$D$16+Settings!$D$17),2),""),"")</f>
        <v/>
      </c>
      <c r="Z86" s="33">
        <f>IF(COUNT(S86:U86)=3,IFERROR(ROUND((S86*Settings!$D$15+T86*Settings!$D$16+U86*Settings!$D$17)/(Settings!$D$15+Settings!$D$16+Settings!$D$17),2),""),"")</f>
        <v/>
      </c>
      <c r="AA86" s="34">
        <f>IF(COUNT(V86:Z86)=0,"",ROUND(AVERAGE(V86:Z86),2))</f>
        <v/>
      </c>
      <c r="AB86" s="35">
        <f>IF($A86="","",COUNT(V86:Z86))</f>
        <v/>
      </c>
      <c r="AC86" s="36" t="n"/>
      <c r="AD86" s="35">
        <f>IF(AA86="","",SUMPRODUCT(ISNUMBER($AA$6:$AA$305)*($AA$6:$AA$305&gt;AA86))+SUMPRODUCT(($AA$6:AA86=AA86)*1))</f>
        <v/>
      </c>
      <c r="AE86" s="35">
        <f>IF(AA86="","",SUMPRODUCT(($E$6:$E$305=E86)*ISNUMBER($AA$6:$AA$305)*($AA$6:$AA$305&gt;AA86))+SUMPRODUCT(($E$6:E86=E86)*($AA$6:AA86=AA86)))</f>
        <v/>
      </c>
    </row>
    <row r="87">
      <c r="A87" s="31">
        <f>IF(Submissions!AD83="","",82)</f>
        <v/>
      </c>
      <c r="B87" s="10">
        <f>IF($A87="","",IF(Settings!$B$4="Yes","Submission "&amp;$A87,Submissions!AD83))</f>
        <v/>
      </c>
      <c r="C87" s="31">
        <f>IF($A87="","",IF(Settings!$B$4="Yes","(hidden)",Submissions!AE83))</f>
        <v/>
      </c>
      <c r="D87" s="31">
        <f>IF($A87="","",Submissions!AF83)</f>
        <v/>
      </c>
      <c r="E87" s="31">
        <f>IF($A87="","",Submissions!AG83)</f>
        <v/>
      </c>
      <c r="F87" s="31">
        <f>IF($A87="","",Submissions!AH83)</f>
        <v/>
      </c>
      <c r="G87" s="37" t="n"/>
      <c r="H87" s="37" t="n"/>
      <c r="I87" s="37" t="n"/>
      <c r="J87" s="37" t="n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3">
        <f>IF(COUNT(G87:I87)=3,IFERROR(ROUND((G87*Settings!$D$15+H87*Settings!$D$16+I87*Settings!$D$17)/(Settings!$D$15+Settings!$D$16+Settings!$D$17),2),""),"")</f>
        <v/>
      </c>
      <c r="W87" s="33">
        <f>IF(COUNT(J87:L87)=3,IFERROR(ROUND((J87*Settings!$D$15+K87*Settings!$D$16+L87*Settings!$D$17)/(Settings!$D$15+Settings!$D$16+Settings!$D$17),2),""),"")</f>
        <v/>
      </c>
      <c r="X87" s="33">
        <f>IF(COUNT(M87:O87)=3,IFERROR(ROUND((M87*Settings!$D$15+N87*Settings!$D$16+O87*Settings!$D$17)/(Settings!$D$15+Settings!$D$16+Settings!$D$17),2),""),"")</f>
        <v/>
      </c>
      <c r="Y87" s="33">
        <f>IF(COUNT(P87:R87)=3,IFERROR(ROUND((P87*Settings!$D$15+Q87*Settings!$D$16+R87*Settings!$D$17)/(Settings!$D$15+Settings!$D$16+Settings!$D$17),2),""),"")</f>
        <v/>
      </c>
      <c r="Z87" s="33">
        <f>IF(COUNT(S87:U87)=3,IFERROR(ROUND((S87*Settings!$D$15+T87*Settings!$D$16+U87*Settings!$D$17)/(Settings!$D$15+Settings!$D$16+Settings!$D$17),2),""),"")</f>
        <v/>
      </c>
      <c r="AA87" s="34">
        <f>IF(COUNT(V87:Z87)=0,"",ROUND(AVERAGE(V87:Z87),2))</f>
        <v/>
      </c>
      <c r="AB87" s="35">
        <f>IF($A87="","",COUNT(V87:Z87))</f>
        <v/>
      </c>
      <c r="AC87" s="36" t="n"/>
      <c r="AD87" s="35">
        <f>IF(AA87="","",SUMPRODUCT(ISNUMBER($AA$6:$AA$305)*($AA$6:$AA$305&gt;AA87))+SUMPRODUCT(($AA$6:AA87=AA87)*1))</f>
        <v/>
      </c>
      <c r="AE87" s="35">
        <f>IF(AA87="","",SUMPRODUCT(($E$6:$E$305=E87)*ISNUMBER($AA$6:$AA$305)*($AA$6:$AA$305&gt;AA87))+SUMPRODUCT(($E$6:E87=E87)*($AA$6:AA87=AA87)))</f>
        <v/>
      </c>
    </row>
    <row r="88">
      <c r="A88" s="31">
        <f>IF(Submissions!AD84="","",83)</f>
        <v/>
      </c>
      <c r="B88" s="10">
        <f>IF($A88="","",IF(Settings!$B$4="Yes","Submission "&amp;$A88,Submissions!AD84))</f>
        <v/>
      </c>
      <c r="C88" s="31">
        <f>IF($A88="","",IF(Settings!$B$4="Yes","(hidden)",Submissions!AE84))</f>
        <v/>
      </c>
      <c r="D88" s="31">
        <f>IF($A88="","",Submissions!AF84)</f>
        <v/>
      </c>
      <c r="E88" s="31">
        <f>IF($A88="","",Submissions!AG84)</f>
        <v/>
      </c>
      <c r="F88" s="31">
        <f>IF($A88="","",Submissions!AH84)</f>
        <v/>
      </c>
      <c r="G88" s="37" t="n"/>
      <c r="H88" s="37" t="n"/>
      <c r="I88" s="37" t="n"/>
      <c r="J88" s="37" t="n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3">
        <f>IF(COUNT(G88:I88)=3,IFERROR(ROUND((G88*Settings!$D$15+H88*Settings!$D$16+I88*Settings!$D$17)/(Settings!$D$15+Settings!$D$16+Settings!$D$17),2),""),"")</f>
        <v/>
      </c>
      <c r="W88" s="33">
        <f>IF(COUNT(J88:L88)=3,IFERROR(ROUND((J88*Settings!$D$15+K88*Settings!$D$16+L88*Settings!$D$17)/(Settings!$D$15+Settings!$D$16+Settings!$D$17),2),""),"")</f>
        <v/>
      </c>
      <c r="X88" s="33">
        <f>IF(COUNT(M88:O88)=3,IFERROR(ROUND((M88*Settings!$D$15+N88*Settings!$D$16+O88*Settings!$D$17)/(Settings!$D$15+Settings!$D$16+Settings!$D$17),2),""),"")</f>
        <v/>
      </c>
      <c r="Y88" s="33">
        <f>IF(COUNT(P88:R88)=3,IFERROR(ROUND((P88*Settings!$D$15+Q88*Settings!$D$16+R88*Settings!$D$17)/(Settings!$D$15+Settings!$D$16+Settings!$D$17),2),""),"")</f>
        <v/>
      </c>
      <c r="Z88" s="33">
        <f>IF(COUNT(S88:U88)=3,IFERROR(ROUND((S88*Settings!$D$15+T88*Settings!$D$16+U88*Settings!$D$17)/(Settings!$D$15+Settings!$D$16+Settings!$D$17),2),""),"")</f>
        <v/>
      </c>
      <c r="AA88" s="34">
        <f>IF(COUNT(V88:Z88)=0,"",ROUND(AVERAGE(V88:Z88),2))</f>
        <v/>
      </c>
      <c r="AB88" s="35">
        <f>IF($A88="","",COUNT(V88:Z88))</f>
        <v/>
      </c>
      <c r="AC88" s="36" t="n"/>
      <c r="AD88" s="35">
        <f>IF(AA88="","",SUMPRODUCT(ISNUMBER($AA$6:$AA$305)*($AA$6:$AA$305&gt;AA88))+SUMPRODUCT(($AA$6:AA88=AA88)*1))</f>
        <v/>
      </c>
      <c r="AE88" s="35">
        <f>IF(AA88="","",SUMPRODUCT(($E$6:$E$305=E88)*ISNUMBER($AA$6:$AA$305)*($AA$6:$AA$305&gt;AA88))+SUMPRODUCT(($E$6:E88=E88)*($AA$6:AA88=AA88)))</f>
        <v/>
      </c>
    </row>
    <row r="89">
      <c r="A89" s="31">
        <f>IF(Submissions!AD85="","",84)</f>
        <v/>
      </c>
      <c r="B89" s="10">
        <f>IF($A89="","",IF(Settings!$B$4="Yes","Submission "&amp;$A89,Submissions!AD85))</f>
        <v/>
      </c>
      <c r="C89" s="31">
        <f>IF($A89="","",IF(Settings!$B$4="Yes","(hidden)",Submissions!AE85))</f>
        <v/>
      </c>
      <c r="D89" s="31">
        <f>IF($A89="","",Submissions!AF85)</f>
        <v/>
      </c>
      <c r="E89" s="31">
        <f>IF($A89="","",Submissions!AG85)</f>
        <v/>
      </c>
      <c r="F89" s="31">
        <f>IF($A89="","",Submissions!AH85)</f>
        <v/>
      </c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3">
        <f>IF(COUNT(G89:I89)=3,IFERROR(ROUND((G89*Settings!$D$15+H89*Settings!$D$16+I89*Settings!$D$17)/(Settings!$D$15+Settings!$D$16+Settings!$D$17),2),""),"")</f>
        <v/>
      </c>
      <c r="W89" s="33">
        <f>IF(COUNT(J89:L89)=3,IFERROR(ROUND((J89*Settings!$D$15+K89*Settings!$D$16+L89*Settings!$D$17)/(Settings!$D$15+Settings!$D$16+Settings!$D$17),2),""),"")</f>
        <v/>
      </c>
      <c r="X89" s="33">
        <f>IF(COUNT(M89:O89)=3,IFERROR(ROUND((M89*Settings!$D$15+N89*Settings!$D$16+O89*Settings!$D$17)/(Settings!$D$15+Settings!$D$16+Settings!$D$17),2),""),"")</f>
        <v/>
      </c>
      <c r="Y89" s="33">
        <f>IF(COUNT(P89:R89)=3,IFERROR(ROUND((P89*Settings!$D$15+Q89*Settings!$D$16+R89*Settings!$D$17)/(Settings!$D$15+Settings!$D$16+Settings!$D$17),2),""),"")</f>
        <v/>
      </c>
      <c r="Z89" s="33">
        <f>IF(COUNT(S89:U89)=3,IFERROR(ROUND((S89*Settings!$D$15+T89*Settings!$D$16+U89*Settings!$D$17)/(Settings!$D$15+Settings!$D$16+Settings!$D$17),2),""),"")</f>
        <v/>
      </c>
      <c r="AA89" s="34">
        <f>IF(COUNT(V89:Z89)=0,"",ROUND(AVERAGE(V89:Z89),2))</f>
        <v/>
      </c>
      <c r="AB89" s="35">
        <f>IF($A89="","",COUNT(V89:Z89))</f>
        <v/>
      </c>
      <c r="AC89" s="36" t="n"/>
      <c r="AD89" s="35">
        <f>IF(AA89="","",SUMPRODUCT(ISNUMBER($AA$6:$AA$305)*($AA$6:$AA$305&gt;AA89))+SUMPRODUCT(($AA$6:AA89=AA89)*1))</f>
        <v/>
      </c>
      <c r="AE89" s="35">
        <f>IF(AA89="","",SUMPRODUCT(($E$6:$E$305=E89)*ISNUMBER($AA$6:$AA$305)*($AA$6:$AA$305&gt;AA89))+SUMPRODUCT(($E$6:E89=E89)*($AA$6:AA89=AA89)))</f>
        <v/>
      </c>
    </row>
    <row r="90">
      <c r="A90" s="31">
        <f>IF(Submissions!AD86="","",85)</f>
        <v/>
      </c>
      <c r="B90" s="10">
        <f>IF($A90="","",IF(Settings!$B$4="Yes","Submission "&amp;$A90,Submissions!AD86))</f>
        <v/>
      </c>
      <c r="C90" s="31">
        <f>IF($A90="","",IF(Settings!$B$4="Yes","(hidden)",Submissions!AE86))</f>
        <v/>
      </c>
      <c r="D90" s="31">
        <f>IF($A90="","",Submissions!AF86)</f>
        <v/>
      </c>
      <c r="E90" s="31">
        <f>IF($A90="","",Submissions!AG86)</f>
        <v/>
      </c>
      <c r="F90" s="31">
        <f>IF($A90="","",Submissions!AH86)</f>
        <v/>
      </c>
      <c r="G90" s="37" t="n"/>
      <c r="H90" s="37" t="n"/>
      <c r="I90" s="37" t="n"/>
      <c r="J90" s="37" t="n"/>
      <c r="K90" s="37" t="n"/>
      <c r="L90" s="37" t="n"/>
      <c r="M90" s="37" t="n"/>
      <c r="N90" s="37" t="n"/>
      <c r="O90" s="37" t="n"/>
      <c r="P90" s="37" t="n"/>
      <c r="Q90" s="37" t="n"/>
      <c r="R90" s="37" t="n"/>
      <c r="S90" s="37" t="n"/>
      <c r="T90" s="37" t="n"/>
      <c r="U90" s="37" t="n"/>
      <c r="V90" s="33">
        <f>IF(COUNT(G90:I90)=3,IFERROR(ROUND((G90*Settings!$D$15+H90*Settings!$D$16+I90*Settings!$D$17)/(Settings!$D$15+Settings!$D$16+Settings!$D$17),2),""),"")</f>
        <v/>
      </c>
      <c r="W90" s="33">
        <f>IF(COUNT(J90:L90)=3,IFERROR(ROUND((J90*Settings!$D$15+K90*Settings!$D$16+L90*Settings!$D$17)/(Settings!$D$15+Settings!$D$16+Settings!$D$17),2),""),"")</f>
        <v/>
      </c>
      <c r="X90" s="33">
        <f>IF(COUNT(M90:O90)=3,IFERROR(ROUND((M90*Settings!$D$15+N90*Settings!$D$16+O90*Settings!$D$17)/(Settings!$D$15+Settings!$D$16+Settings!$D$17),2),""),"")</f>
        <v/>
      </c>
      <c r="Y90" s="33">
        <f>IF(COUNT(P90:R90)=3,IFERROR(ROUND((P90*Settings!$D$15+Q90*Settings!$D$16+R90*Settings!$D$17)/(Settings!$D$15+Settings!$D$16+Settings!$D$17),2),""),"")</f>
        <v/>
      </c>
      <c r="Z90" s="33">
        <f>IF(COUNT(S90:U90)=3,IFERROR(ROUND((S90*Settings!$D$15+T90*Settings!$D$16+U90*Settings!$D$17)/(Settings!$D$15+Settings!$D$16+Settings!$D$17),2),""),"")</f>
        <v/>
      </c>
      <c r="AA90" s="34">
        <f>IF(COUNT(V90:Z90)=0,"",ROUND(AVERAGE(V90:Z90),2))</f>
        <v/>
      </c>
      <c r="AB90" s="35">
        <f>IF($A90="","",COUNT(V90:Z90))</f>
        <v/>
      </c>
      <c r="AC90" s="36" t="n"/>
      <c r="AD90" s="35">
        <f>IF(AA90="","",SUMPRODUCT(ISNUMBER($AA$6:$AA$305)*($AA$6:$AA$305&gt;AA90))+SUMPRODUCT(($AA$6:AA90=AA90)*1))</f>
        <v/>
      </c>
      <c r="AE90" s="35">
        <f>IF(AA90="","",SUMPRODUCT(($E$6:$E$305=E90)*ISNUMBER($AA$6:$AA$305)*($AA$6:$AA$305&gt;AA90))+SUMPRODUCT(($E$6:E90=E90)*($AA$6:AA90=AA90)))</f>
        <v/>
      </c>
    </row>
    <row r="91">
      <c r="A91" s="31">
        <f>IF(Submissions!AD87="","",86)</f>
        <v/>
      </c>
      <c r="B91" s="10">
        <f>IF($A91="","",IF(Settings!$B$4="Yes","Submission "&amp;$A91,Submissions!AD87))</f>
        <v/>
      </c>
      <c r="C91" s="31">
        <f>IF($A91="","",IF(Settings!$B$4="Yes","(hidden)",Submissions!AE87))</f>
        <v/>
      </c>
      <c r="D91" s="31">
        <f>IF($A91="","",Submissions!AF87)</f>
        <v/>
      </c>
      <c r="E91" s="31">
        <f>IF($A91="","",Submissions!AG87)</f>
        <v/>
      </c>
      <c r="F91" s="31">
        <f>IF($A91="","",Submissions!AH87)</f>
        <v/>
      </c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3">
        <f>IF(COUNT(G91:I91)=3,IFERROR(ROUND((G91*Settings!$D$15+H91*Settings!$D$16+I91*Settings!$D$17)/(Settings!$D$15+Settings!$D$16+Settings!$D$17),2),""),"")</f>
        <v/>
      </c>
      <c r="W91" s="33">
        <f>IF(COUNT(J91:L91)=3,IFERROR(ROUND((J91*Settings!$D$15+K91*Settings!$D$16+L91*Settings!$D$17)/(Settings!$D$15+Settings!$D$16+Settings!$D$17),2),""),"")</f>
        <v/>
      </c>
      <c r="X91" s="33">
        <f>IF(COUNT(M91:O91)=3,IFERROR(ROUND((M91*Settings!$D$15+N91*Settings!$D$16+O91*Settings!$D$17)/(Settings!$D$15+Settings!$D$16+Settings!$D$17),2),""),"")</f>
        <v/>
      </c>
      <c r="Y91" s="33">
        <f>IF(COUNT(P91:R91)=3,IFERROR(ROUND((P91*Settings!$D$15+Q91*Settings!$D$16+R91*Settings!$D$17)/(Settings!$D$15+Settings!$D$16+Settings!$D$17),2),""),"")</f>
        <v/>
      </c>
      <c r="Z91" s="33">
        <f>IF(COUNT(S91:U91)=3,IFERROR(ROUND((S91*Settings!$D$15+T91*Settings!$D$16+U91*Settings!$D$17)/(Settings!$D$15+Settings!$D$16+Settings!$D$17),2),""),"")</f>
        <v/>
      </c>
      <c r="AA91" s="34">
        <f>IF(COUNT(V91:Z91)=0,"",ROUND(AVERAGE(V91:Z91),2))</f>
        <v/>
      </c>
      <c r="AB91" s="35">
        <f>IF($A91="","",COUNT(V91:Z91))</f>
        <v/>
      </c>
      <c r="AC91" s="36" t="n"/>
      <c r="AD91" s="35">
        <f>IF(AA91="","",SUMPRODUCT(ISNUMBER($AA$6:$AA$305)*($AA$6:$AA$305&gt;AA91))+SUMPRODUCT(($AA$6:AA91=AA91)*1))</f>
        <v/>
      </c>
      <c r="AE91" s="35">
        <f>IF(AA91="","",SUMPRODUCT(($E$6:$E$305=E91)*ISNUMBER($AA$6:$AA$305)*($AA$6:$AA$305&gt;AA91))+SUMPRODUCT(($E$6:E91=E91)*($AA$6:AA91=AA91)))</f>
        <v/>
      </c>
    </row>
    <row r="92">
      <c r="A92" s="31">
        <f>IF(Submissions!AD88="","",87)</f>
        <v/>
      </c>
      <c r="B92" s="10">
        <f>IF($A92="","",IF(Settings!$B$4="Yes","Submission "&amp;$A92,Submissions!AD88))</f>
        <v/>
      </c>
      <c r="C92" s="31">
        <f>IF($A92="","",IF(Settings!$B$4="Yes","(hidden)",Submissions!AE88))</f>
        <v/>
      </c>
      <c r="D92" s="31">
        <f>IF($A92="","",Submissions!AF88)</f>
        <v/>
      </c>
      <c r="E92" s="31">
        <f>IF($A92="","",Submissions!AG88)</f>
        <v/>
      </c>
      <c r="F92" s="31">
        <f>IF($A92="","",Submissions!AH88)</f>
        <v/>
      </c>
      <c r="G92" s="37" t="n"/>
      <c r="H92" s="37" t="n"/>
      <c r="I92" s="37" t="n"/>
      <c r="J92" s="37" t="n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3">
        <f>IF(COUNT(G92:I92)=3,IFERROR(ROUND((G92*Settings!$D$15+H92*Settings!$D$16+I92*Settings!$D$17)/(Settings!$D$15+Settings!$D$16+Settings!$D$17),2),""),"")</f>
        <v/>
      </c>
      <c r="W92" s="33">
        <f>IF(COUNT(J92:L92)=3,IFERROR(ROUND((J92*Settings!$D$15+K92*Settings!$D$16+L92*Settings!$D$17)/(Settings!$D$15+Settings!$D$16+Settings!$D$17),2),""),"")</f>
        <v/>
      </c>
      <c r="X92" s="33">
        <f>IF(COUNT(M92:O92)=3,IFERROR(ROUND((M92*Settings!$D$15+N92*Settings!$D$16+O92*Settings!$D$17)/(Settings!$D$15+Settings!$D$16+Settings!$D$17),2),""),"")</f>
        <v/>
      </c>
      <c r="Y92" s="33">
        <f>IF(COUNT(P92:R92)=3,IFERROR(ROUND((P92*Settings!$D$15+Q92*Settings!$D$16+R92*Settings!$D$17)/(Settings!$D$15+Settings!$D$16+Settings!$D$17),2),""),"")</f>
        <v/>
      </c>
      <c r="Z92" s="33">
        <f>IF(COUNT(S92:U92)=3,IFERROR(ROUND((S92*Settings!$D$15+T92*Settings!$D$16+U92*Settings!$D$17)/(Settings!$D$15+Settings!$D$16+Settings!$D$17),2),""),"")</f>
        <v/>
      </c>
      <c r="AA92" s="34">
        <f>IF(COUNT(V92:Z92)=0,"",ROUND(AVERAGE(V92:Z92),2))</f>
        <v/>
      </c>
      <c r="AB92" s="35">
        <f>IF($A92="","",COUNT(V92:Z92))</f>
        <v/>
      </c>
      <c r="AC92" s="36" t="n"/>
      <c r="AD92" s="35">
        <f>IF(AA92="","",SUMPRODUCT(ISNUMBER($AA$6:$AA$305)*($AA$6:$AA$305&gt;AA92))+SUMPRODUCT(($AA$6:AA92=AA92)*1))</f>
        <v/>
      </c>
      <c r="AE92" s="35">
        <f>IF(AA92="","",SUMPRODUCT(($E$6:$E$305=E92)*ISNUMBER($AA$6:$AA$305)*($AA$6:$AA$305&gt;AA92))+SUMPRODUCT(($E$6:E92=E92)*($AA$6:AA92=AA92)))</f>
        <v/>
      </c>
    </row>
    <row r="93">
      <c r="A93" s="31">
        <f>IF(Submissions!AD89="","",88)</f>
        <v/>
      </c>
      <c r="B93" s="10">
        <f>IF($A93="","",IF(Settings!$B$4="Yes","Submission "&amp;$A93,Submissions!AD89))</f>
        <v/>
      </c>
      <c r="C93" s="31">
        <f>IF($A93="","",IF(Settings!$B$4="Yes","(hidden)",Submissions!AE89))</f>
        <v/>
      </c>
      <c r="D93" s="31">
        <f>IF($A93="","",Submissions!AF89)</f>
        <v/>
      </c>
      <c r="E93" s="31">
        <f>IF($A93="","",Submissions!AG89)</f>
        <v/>
      </c>
      <c r="F93" s="31">
        <f>IF($A93="","",Submissions!AH89)</f>
        <v/>
      </c>
      <c r="G93" s="37" t="n"/>
      <c r="H93" s="37" t="n"/>
      <c r="I93" s="37" t="n"/>
      <c r="J93" s="37" t="n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3">
        <f>IF(COUNT(G93:I93)=3,IFERROR(ROUND((G93*Settings!$D$15+H93*Settings!$D$16+I93*Settings!$D$17)/(Settings!$D$15+Settings!$D$16+Settings!$D$17),2),""),"")</f>
        <v/>
      </c>
      <c r="W93" s="33">
        <f>IF(COUNT(J93:L93)=3,IFERROR(ROUND((J93*Settings!$D$15+K93*Settings!$D$16+L93*Settings!$D$17)/(Settings!$D$15+Settings!$D$16+Settings!$D$17),2),""),"")</f>
        <v/>
      </c>
      <c r="X93" s="33">
        <f>IF(COUNT(M93:O93)=3,IFERROR(ROUND((M93*Settings!$D$15+N93*Settings!$D$16+O93*Settings!$D$17)/(Settings!$D$15+Settings!$D$16+Settings!$D$17),2),""),"")</f>
        <v/>
      </c>
      <c r="Y93" s="33">
        <f>IF(COUNT(P93:R93)=3,IFERROR(ROUND((P93*Settings!$D$15+Q93*Settings!$D$16+R93*Settings!$D$17)/(Settings!$D$15+Settings!$D$16+Settings!$D$17),2),""),"")</f>
        <v/>
      </c>
      <c r="Z93" s="33">
        <f>IF(COUNT(S93:U93)=3,IFERROR(ROUND((S93*Settings!$D$15+T93*Settings!$D$16+U93*Settings!$D$17)/(Settings!$D$15+Settings!$D$16+Settings!$D$17),2),""),"")</f>
        <v/>
      </c>
      <c r="AA93" s="34">
        <f>IF(COUNT(V93:Z93)=0,"",ROUND(AVERAGE(V93:Z93),2))</f>
        <v/>
      </c>
      <c r="AB93" s="35">
        <f>IF($A93="","",COUNT(V93:Z93))</f>
        <v/>
      </c>
      <c r="AC93" s="36" t="n"/>
      <c r="AD93" s="35">
        <f>IF(AA93="","",SUMPRODUCT(ISNUMBER($AA$6:$AA$305)*($AA$6:$AA$305&gt;AA93))+SUMPRODUCT(($AA$6:AA93=AA93)*1))</f>
        <v/>
      </c>
      <c r="AE93" s="35">
        <f>IF(AA93="","",SUMPRODUCT(($E$6:$E$305=E93)*ISNUMBER($AA$6:$AA$305)*($AA$6:$AA$305&gt;AA93))+SUMPRODUCT(($E$6:E93=E93)*($AA$6:AA93=AA93)))</f>
        <v/>
      </c>
    </row>
    <row r="94">
      <c r="A94" s="31">
        <f>IF(Submissions!AD90="","",89)</f>
        <v/>
      </c>
      <c r="B94" s="10">
        <f>IF($A94="","",IF(Settings!$B$4="Yes","Submission "&amp;$A94,Submissions!AD90))</f>
        <v/>
      </c>
      <c r="C94" s="31">
        <f>IF($A94="","",IF(Settings!$B$4="Yes","(hidden)",Submissions!AE90))</f>
        <v/>
      </c>
      <c r="D94" s="31">
        <f>IF($A94="","",Submissions!AF90)</f>
        <v/>
      </c>
      <c r="E94" s="31">
        <f>IF($A94="","",Submissions!AG90)</f>
        <v/>
      </c>
      <c r="F94" s="31">
        <f>IF($A94="","",Submissions!AH90)</f>
        <v/>
      </c>
      <c r="G94" s="37" t="n"/>
      <c r="H94" s="37" t="n"/>
      <c r="I94" s="37" t="n"/>
      <c r="J94" s="37" t="n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3">
        <f>IF(COUNT(G94:I94)=3,IFERROR(ROUND((G94*Settings!$D$15+H94*Settings!$D$16+I94*Settings!$D$17)/(Settings!$D$15+Settings!$D$16+Settings!$D$17),2),""),"")</f>
        <v/>
      </c>
      <c r="W94" s="33">
        <f>IF(COUNT(J94:L94)=3,IFERROR(ROUND((J94*Settings!$D$15+K94*Settings!$D$16+L94*Settings!$D$17)/(Settings!$D$15+Settings!$D$16+Settings!$D$17),2),""),"")</f>
        <v/>
      </c>
      <c r="X94" s="33">
        <f>IF(COUNT(M94:O94)=3,IFERROR(ROUND((M94*Settings!$D$15+N94*Settings!$D$16+O94*Settings!$D$17)/(Settings!$D$15+Settings!$D$16+Settings!$D$17),2),""),"")</f>
        <v/>
      </c>
      <c r="Y94" s="33">
        <f>IF(COUNT(P94:R94)=3,IFERROR(ROUND((P94*Settings!$D$15+Q94*Settings!$D$16+R94*Settings!$D$17)/(Settings!$D$15+Settings!$D$16+Settings!$D$17),2),""),"")</f>
        <v/>
      </c>
      <c r="Z94" s="33">
        <f>IF(COUNT(S94:U94)=3,IFERROR(ROUND((S94*Settings!$D$15+T94*Settings!$D$16+U94*Settings!$D$17)/(Settings!$D$15+Settings!$D$16+Settings!$D$17),2),""),"")</f>
        <v/>
      </c>
      <c r="AA94" s="34">
        <f>IF(COUNT(V94:Z94)=0,"",ROUND(AVERAGE(V94:Z94),2))</f>
        <v/>
      </c>
      <c r="AB94" s="35">
        <f>IF($A94="","",COUNT(V94:Z94))</f>
        <v/>
      </c>
      <c r="AC94" s="36" t="n"/>
      <c r="AD94" s="35">
        <f>IF(AA94="","",SUMPRODUCT(ISNUMBER($AA$6:$AA$305)*($AA$6:$AA$305&gt;AA94))+SUMPRODUCT(($AA$6:AA94=AA94)*1))</f>
        <v/>
      </c>
      <c r="AE94" s="35">
        <f>IF(AA94="","",SUMPRODUCT(($E$6:$E$305=E94)*ISNUMBER($AA$6:$AA$305)*($AA$6:$AA$305&gt;AA94))+SUMPRODUCT(($E$6:E94=E94)*($AA$6:AA94=AA94)))</f>
        <v/>
      </c>
    </row>
    <row r="95">
      <c r="A95" s="31">
        <f>IF(Submissions!AD91="","",90)</f>
        <v/>
      </c>
      <c r="B95" s="10">
        <f>IF($A95="","",IF(Settings!$B$4="Yes","Submission "&amp;$A95,Submissions!AD91))</f>
        <v/>
      </c>
      <c r="C95" s="31">
        <f>IF($A95="","",IF(Settings!$B$4="Yes","(hidden)",Submissions!AE91))</f>
        <v/>
      </c>
      <c r="D95" s="31">
        <f>IF($A95="","",Submissions!AF91)</f>
        <v/>
      </c>
      <c r="E95" s="31">
        <f>IF($A95="","",Submissions!AG91)</f>
        <v/>
      </c>
      <c r="F95" s="31">
        <f>IF($A95="","",Submissions!AH91)</f>
        <v/>
      </c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3">
        <f>IF(COUNT(G95:I95)=3,IFERROR(ROUND((G95*Settings!$D$15+H95*Settings!$D$16+I95*Settings!$D$17)/(Settings!$D$15+Settings!$D$16+Settings!$D$17),2),""),"")</f>
        <v/>
      </c>
      <c r="W95" s="33">
        <f>IF(COUNT(J95:L95)=3,IFERROR(ROUND((J95*Settings!$D$15+K95*Settings!$D$16+L95*Settings!$D$17)/(Settings!$D$15+Settings!$D$16+Settings!$D$17),2),""),"")</f>
        <v/>
      </c>
      <c r="X95" s="33">
        <f>IF(COUNT(M95:O95)=3,IFERROR(ROUND((M95*Settings!$D$15+N95*Settings!$D$16+O95*Settings!$D$17)/(Settings!$D$15+Settings!$D$16+Settings!$D$17),2),""),"")</f>
        <v/>
      </c>
      <c r="Y95" s="33">
        <f>IF(COUNT(P95:R95)=3,IFERROR(ROUND((P95*Settings!$D$15+Q95*Settings!$D$16+R95*Settings!$D$17)/(Settings!$D$15+Settings!$D$16+Settings!$D$17),2),""),"")</f>
        <v/>
      </c>
      <c r="Z95" s="33">
        <f>IF(COUNT(S95:U95)=3,IFERROR(ROUND((S95*Settings!$D$15+T95*Settings!$D$16+U95*Settings!$D$17)/(Settings!$D$15+Settings!$D$16+Settings!$D$17),2),""),"")</f>
        <v/>
      </c>
      <c r="AA95" s="34">
        <f>IF(COUNT(V95:Z95)=0,"",ROUND(AVERAGE(V95:Z95),2))</f>
        <v/>
      </c>
      <c r="AB95" s="35">
        <f>IF($A95="","",COUNT(V95:Z95))</f>
        <v/>
      </c>
      <c r="AC95" s="36" t="n"/>
      <c r="AD95" s="35">
        <f>IF(AA95="","",SUMPRODUCT(ISNUMBER($AA$6:$AA$305)*($AA$6:$AA$305&gt;AA95))+SUMPRODUCT(($AA$6:AA95=AA95)*1))</f>
        <v/>
      </c>
      <c r="AE95" s="35">
        <f>IF(AA95="","",SUMPRODUCT(($E$6:$E$305=E95)*ISNUMBER($AA$6:$AA$305)*($AA$6:$AA$305&gt;AA95))+SUMPRODUCT(($E$6:E95=E95)*($AA$6:AA95=AA95)))</f>
        <v/>
      </c>
    </row>
    <row r="96">
      <c r="A96" s="31">
        <f>IF(Submissions!AD92="","",91)</f>
        <v/>
      </c>
      <c r="B96" s="10">
        <f>IF($A96="","",IF(Settings!$B$4="Yes","Submission "&amp;$A96,Submissions!AD92))</f>
        <v/>
      </c>
      <c r="C96" s="31">
        <f>IF($A96="","",IF(Settings!$B$4="Yes","(hidden)",Submissions!AE92))</f>
        <v/>
      </c>
      <c r="D96" s="31">
        <f>IF($A96="","",Submissions!AF92)</f>
        <v/>
      </c>
      <c r="E96" s="31">
        <f>IF($A96="","",Submissions!AG92)</f>
        <v/>
      </c>
      <c r="F96" s="31">
        <f>IF($A96="","",Submissions!AH92)</f>
        <v/>
      </c>
      <c r="G96" s="37" t="n"/>
      <c r="H96" s="37" t="n"/>
      <c r="I96" s="37" t="n"/>
      <c r="J96" s="37" t="n"/>
      <c r="K96" s="37" t="n"/>
      <c r="L96" s="37" t="n"/>
      <c r="M96" s="37" t="n"/>
      <c r="N96" s="37" t="n"/>
      <c r="O96" s="37" t="n"/>
      <c r="P96" s="37" t="n"/>
      <c r="Q96" s="37" t="n"/>
      <c r="R96" s="37" t="n"/>
      <c r="S96" s="37" t="n"/>
      <c r="T96" s="37" t="n"/>
      <c r="U96" s="37" t="n"/>
      <c r="V96" s="33">
        <f>IF(COUNT(G96:I96)=3,IFERROR(ROUND((G96*Settings!$D$15+H96*Settings!$D$16+I96*Settings!$D$17)/(Settings!$D$15+Settings!$D$16+Settings!$D$17),2),""),"")</f>
        <v/>
      </c>
      <c r="W96" s="33">
        <f>IF(COUNT(J96:L96)=3,IFERROR(ROUND((J96*Settings!$D$15+K96*Settings!$D$16+L96*Settings!$D$17)/(Settings!$D$15+Settings!$D$16+Settings!$D$17),2),""),"")</f>
        <v/>
      </c>
      <c r="X96" s="33">
        <f>IF(COUNT(M96:O96)=3,IFERROR(ROUND((M96*Settings!$D$15+N96*Settings!$D$16+O96*Settings!$D$17)/(Settings!$D$15+Settings!$D$16+Settings!$D$17),2),""),"")</f>
        <v/>
      </c>
      <c r="Y96" s="33">
        <f>IF(COUNT(P96:R96)=3,IFERROR(ROUND((P96*Settings!$D$15+Q96*Settings!$D$16+R96*Settings!$D$17)/(Settings!$D$15+Settings!$D$16+Settings!$D$17),2),""),"")</f>
        <v/>
      </c>
      <c r="Z96" s="33">
        <f>IF(COUNT(S96:U96)=3,IFERROR(ROUND((S96*Settings!$D$15+T96*Settings!$D$16+U96*Settings!$D$17)/(Settings!$D$15+Settings!$D$16+Settings!$D$17),2),""),"")</f>
        <v/>
      </c>
      <c r="AA96" s="34">
        <f>IF(COUNT(V96:Z96)=0,"",ROUND(AVERAGE(V96:Z96),2))</f>
        <v/>
      </c>
      <c r="AB96" s="35">
        <f>IF($A96="","",COUNT(V96:Z96))</f>
        <v/>
      </c>
      <c r="AC96" s="36" t="n"/>
      <c r="AD96" s="35">
        <f>IF(AA96="","",SUMPRODUCT(ISNUMBER($AA$6:$AA$305)*($AA$6:$AA$305&gt;AA96))+SUMPRODUCT(($AA$6:AA96=AA96)*1))</f>
        <v/>
      </c>
      <c r="AE96" s="35">
        <f>IF(AA96="","",SUMPRODUCT(($E$6:$E$305=E96)*ISNUMBER($AA$6:$AA$305)*($AA$6:$AA$305&gt;AA96))+SUMPRODUCT(($E$6:E96=E96)*($AA$6:AA96=AA96)))</f>
        <v/>
      </c>
    </row>
    <row r="97">
      <c r="A97" s="31">
        <f>IF(Submissions!AD93="","",92)</f>
        <v/>
      </c>
      <c r="B97" s="10">
        <f>IF($A97="","",IF(Settings!$B$4="Yes","Submission "&amp;$A97,Submissions!AD93))</f>
        <v/>
      </c>
      <c r="C97" s="31">
        <f>IF($A97="","",IF(Settings!$B$4="Yes","(hidden)",Submissions!AE93))</f>
        <v/>
      </c>
      <c r="D97" s="31">
        <f>IF($A97="","",Submissions!AF93)</f>
        <v/>
      </c>
      <c r="E97" s="31">
        <f>IF($A97="","",Submissions!AG93)</f>
        <v/>
      </c>
      <c r="F97" s="31">
        <f>IF($A97="","",Submissions!AH93)</f>
        <v/>
      </c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3">
        <f>IF(COUNT(G97:I97)=3,IFERROR(ROUND((G97*Settings!$D$15+H97*Settings!$D$16+I97*Settings!$D$17)/(Settings!$D$15+Settings!$D$16+Settings!$D$17),2),""),"")</f>
        <v/>
      </c>
      <c r="W97" s="33">
        <f>IF(COUNT(J97:L97)=3,IFERROR(ROUND((J97*Settings!$D$15+K97*Settings!$D$16+L97*Settings!$D$17)/(Settings!$D$15+Settings!$D$16+Settings!$D$17),2),""),"")</f>
        <v/>
      </c>
      <c r="X97" s="33">
        <f>IF(COUNT(M97:O97)=3,IFERROR(ROUND((M97*Settings!$D$15+N97*Settings!$D$16+O97*Settings!$D$17)/(Settings!$D$15+Settings!$D$16+Settings!$D$17),2),""),"")</f>
        <v/>
      </c>
      <c r="Y97" s="33">
        <f>IF(COUNT(P97:R97)=3,IFERROR(ROUND((P97*Settings!$D$15+Q97*Settings!$D$16+R97*Settings!$D$17)/(Settings!$D$15+Settings!$D$16+Settings!$D$17),2),""),"")</f>
        <v/>
      </c>
      <c r="Z97" s="33">
        <f>IF(COUNT(S97:U97)=3,IFERROR(ROUND((S97*Settings!$D$15+T97*Settings!$D$16+U97*Settings!$D$17)/(Settings!$D$15+Settings!$D$16+Settings!$D$17),2),""),"")</f>
        <v/>
      </c>
      <c r="AA97" s="34">
        <f>IF(COUNT(V97:Z97)=0,"",ROUND(AVERAGE(V97:Z97),2))</f>
        <v/>
      </c>
      <c r="AB97" s="35">
        <f>IF($A97="","",COUNT(V97:Z97))</f>
        <v/>
      </c>
      <c r="AC97" s="36" t="n"/>
      <c r="AD97" s="35">
        <f>IF(AA97="","",SUMPRODUCT(ISNUMBER($AA$6:$AA$305)*($AA$6:$AA$305&gt;AA97))+SUMPRODUCT(($AA$6:AA97=AA97)*1))</f>
        <v/>
      </c>
      <c r="AE97" s="35">
        <f>IF(AA97="","",SUMPRODUCT(($E$6:$E$305=E97)*ISNUMBER($AA$6:$AA$305)*($AA$6:$AA$305&gt;AA97))+SUMPRODUCT(($E$6:E97=E97)*($AA$6:AA97=AA97)))</f>
        <v/>
      </c>
    </row>
    <row r="98">
      <c r="A98" s="31">
        <f>IF(Submissions!AD94="","",93)</f>
        <v/>
      </c>
      <c r="B98" s="10">
        <f>IF($A98="","",IF(Settings!$B$4="Yes","Submission "&amp;$A98,Submissions!AD94))</f>
        <v/>
      </c>
      <c r="C98" s="31">
        <f>IF($A98="","",IF(Settings!$B$4="Yes","(hidden)",Submissions!AE94))</f>
        <v/>
      </c>
      <c r="D98" s="31">
        <f>IF($A98="","",Submissions!AF94)</f>
        <v/>
      </c>
      <c r="E98" s="31">
        <f>IF($A98="","",Submissions!AG94)</f>
        <v/>
      </c>
      <c r="F98" s="31">
        <f>IF($A98="","",Submissions!AH94)</f>
        <v/>
      </c>
      <c r="G98" s="37" t="n"/>
      <c r="H98" s="37" t="n"/>
      <c r="I98" s="37" t="n"/>
      <c r="J98" s="37" t="n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3">
        <f>IF(COUNT(G98:I98)=3,IFERROR(ROUND((G98*Settings!$D$15+H98*Settings!$D$16+I98*Settings!$D$17)/(Settings!$D$15+Settings!$D$16+Settings!$D$17),2),""),"")</f>
        <v/>
      </c>
      <c r="W98" s="33">
        <f>IF(COUNT(J98:L98)=3,IFERROR(ROUND((J98*Settings!$D$15+K98*Settings!$D$16+L98*Settings!$D$17)/(Settings!$D$15+Settings!$D$16+Settings!$D$17),2),""),"")</f>
        <v/>
      </c>
      <c r="X98" s="33">
        <f>IF(COUNT(M98:O98)=3,IFERROR(ROUND((M98*Settings!$D$15+N98*Settings!$D$16+O98*Settings!$D$17)/(Settings!$D$15+Settings!$D$16+Settings!$D$17),2),""),"")</f>
        <v/>
      </c>
      <c r="Y98" s="33">
        <f>IF(COUNT(P98:R98)=3,IFERROR(ROUND((P98*Settings!$D$15+Q98*Settings!$D$16+R98*Settings!$D$17)/(Settings!$D$15+Settings!$D$16+Settings!$D$17),2),""),"")</f>
        <v/>
      </c>
      <c r="Z98" s="33">
        <f>IF(COUNT(S98:U98)=3,IFERROR(ROUND((S98*Settings!$D$15+T98*Settings!$D$16+U98*Settings!$D$17)/(Settings!$D$15+Settings!$D$16+Settings!$D$17),2),""),"")</f>
        <v/>
      </c>
      <c r="AA98" s="34">
        <f>IF(COUNT(V98:Z98)=0,"",ROUND(AVERAGE(V98:Z98),2))</f>
        <v/>
      </c>
      <c r="AB98" s="35">
        <f>IF($A98="","",COUNT(V98:Z98))</f>
        <v/>
      </c>
      <c r="AC98" s="36" t="n"/>
      <c r="AD98" s="35">
        <f>IF(AA98="","",SUMPRODUCT(ISNUMBER($AA$6:$AA$305)*($AA$6:$AA$305&gt;AA98))+SUMPRODUCT(($AA$6:AA98=AA98)*1))</f>
        <v/>
      </c>
      <c r="AE98" s="35">
        <f>IF(AA98="","",SUMPRODUCT(($E$6:$E$305=E98)*ISNUMBER($AA$6:$AA$305)*($AA$6:$AA$305&gt;AA98))+SUMPRODUCT(($E$6:E98=E98)*($AA$6:AA98=AA98)))</f>
        <v/>
      </c>
    </row>
    <row r="99">
      <c r="A99" s="31">
        <f>IF(Submissions!AD95="","",94)</f>
        <v/>
      </c>
      <c r="B99" s="10">
        <f>IF($A99="","",IF(Settings!$B$4="Yes","Submission "&amp;$A99,Submissions!AD95))</f>
        <v/>
      </c>
      <c r="C99" s="31">
        <f>IF($A99="","",IF(Settings!$B$4="Yes","(hidden)",Submissions!AE95))</f>
        <v/>
      </c>
      <c r="D99" s="31">
        <f>IF($A99="","",Submissions!AF95)</f>
        <v/>
      </c>
      <c r="E99" s="31">
        <f>IF($A99="","",Submissions!AG95)</f>
        <v/>
      </c>
      <c r="F99" s="31">
        <f>IF($A99="","",Submissions!AH95)</f>
        <v/>
      </c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3">
        <f>IF(COUNT(G99:I99)=3,IFERROR(ROUND((G99*Settings!$D$15+H99*Settings!$D$16+I99*Settings!$D$17)/(Settings!$D$15+Settings!$D$16+Settings!$D$17),2),""),"")</f>
        <v/>
      </c>
      <c r="W99" s="33">
        <f>IF(COUNT(J99:L99)=3,IFERROR(ROUND((J99*Settings!$D$15+K99*Settings!$D$16+L99*Settings!$D$17)/(Settings!$D$15+Settings!$D$16+Settings!$D$17),2),""),"")</f>
        <v/>
      </c>
      <c r="X99" s="33">
        <f>IF(COUNT(M99:O99)=3,IFERROR(ROUND((M99*Settings!$D$15+N99*Settings!$D$16+O99*Settings!$D$17)/(Settings!$D$15+Settings!$D$16+Settings!$D$17),2),""),"")</f>
        <v/>
      </c>
      <c r="Y99" s="33">
        <f>IF(COUNT(P99:R99)=3,IFERROR(ROUND((P99*Settings!$D$15+Q99*Settings!$D$16+R99*Settings!$D$17)/(Settings!$D$15+Settings!$D$16+Settings!$D$17),2),""),"")</f>
        <v/>
      </c>
      <c r="Z99" s="33">
        <f>IF(COUNT(S99:U99)=3,IFERROR(ROUND((S99*Settings!$D$15+T99*Settings!$D$16+U99*Settings!$D$17)/(Settings!$D$15+Settings!$D$16+Settings!$D$17),2),""),"")</f>
        <v/>
      </c>
      <c r="AA99" s="34">
        <f>IF(COUNT(V99:Z99)=0,"",ROUND(AVERAGE(V99:Z99),2))</f>
        <v/>
      </c>
      <c r="AB99" s="35">
        <f>IF($A99="","",COUNT(V99:Z99))</f>
        <v/>
      </c>
      <c r="AC99" s="36" t="n"/>
      <c r="AD99" s="35">
        <f>IF(AA99="","",SUMPRODUCT(ISNUMBER($AA$6:$AA$305)*($AA$6:$AA$305&gt;AA99))+SUMPRODUCT(($AA$6:AA99=AA99)*1))</f>
        <v/>
      </c>
      <c r="AE99" s="35">
        <f>IF(AA99="","",SUMPRODUCT(($E$6:$E$305=E99)*ISNUMBER($AA$6:$AA$305)*($AA$6:$AA$305&gt;AA99))+SUMPRODUCT(($E$6:E99=E99)*($AA$6:AA99=AA99)))</f>
        <v/>
      </c>
    </row>
    <row r="100">
      <c r="A100" s="31">
        <f>IF(Submissions!AD96="","",95)</f>
        <v/>
      </c>
      <c r="B100" s="10">
        <f>IF($A100="","",IF(Settings!$B$4="Yes","Submission "&amp;$A100,Submissions!AD96))</f>
        <v/>
      </c>
      <c r="C100" s="31">
        <f>IF($A100="","",IF(Settings!$B$4="Yes","(hidden)",Submissions!AE96))</f>
        <v/>
      </c>
      <c r="D100" s="31">
        <f>IF($A100="","",Submissions!AF96)</f>
        <v/>
      </c>
      <c r="E100" s="31">
        <f>IF($A100="","",Submissions!AG96)</f>
        <v/>
      </c>
      <c r="F100" s="31">
        <f>IF($A100="","",Submissions!AH96)</f>
        <v/>
      </c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3">
        <f>IF(COUNT(G100:I100)=3,IFERROR(ROUND((G100*Settings!$D$15+H100*Settings!$D$16+I100*Settings!$D$17)/(Settings!$D$15+Settings!$D$16+Settings!$D$17),2),""),"")</f>
        <v/>
      </c>
      <c r="W100" s="33">
        <f>IF(COUNT(J100:L100)=3,IFERROR(ROUND((J100*Settings!$D$15+K100*Settings!$D$16+L100*Settings!$D$17)/(Settings!$D$15+Settings!$D$16+Settings!$D$17),2),""),"")</f>
        <v/>
      </c>
      <c r="X100" s="33">
        <f>IF(COUNT(M100:O100)=3,IFERROR(ROUND((M100*Settings!$D$15+N100*Settings!$D$16+O100*Settings!$D$17)/(Settings!$D$15+Settings!$D$16+Settings!$D$17),2),""),"")</f>
        <v/>
      </c>
      <c r="Y100" s="33">
        <f>IF(COUNT(P100:R100)=3,IFERROR(ROUND((P100*Settings!$D$15+Q100*Settings!$D$16+R100*Settings!$D$17)/(Settings!$D$15+Settings!$D$16+Settings!$D$17),2),""),"")</f>
        <v/>
      </c>
      <c r="Z100" s="33">
        <f>IF(COUNT(S100:U100)=3,IFERROR(ROUND((S100*Settings!$D$15+T100*Settings!$D$16+U100*Settings!$D$17)/(Settings!$D$15+Settings!$D$16+Settings!$D$17),2),""),"")</f>
        <v/>
      </c>
      <c r="AA100" s="34">
        <f>IF(COUNT(V100:Z100)=0,"",ROUND(AVERAGE(V100:Z100),2))</f>
        <v/>
      </c>
      <c r="AB100" s="35">
        <f>IF($A100="","",COUNT(V100:Z100))</f>
        <v/>
      </c>
      <c r="AC100" s="36" t="n"/>
      <c r="AD100" s="35">
        <f>IF(AA100="","",SUMPRODUCT(ISNUMBER($AA$6:$AA$305)*($AA$6:$AA$305&gt;AA100))+SUMPRODUCT(($AA$6:AA100=AA100)*1))</f>
        <v/>
      </c>
      <c r="AE100" s="35">
        <f>IF(AA100="","",SUMPRODUCT(($E$6:$E$305=E100)*ISNUMBER($AA$6:$AA$305)*($AA$6:$AA$305&gt;AA100))+SUMPRODUCT(($E$6:E100=E100)*($AA$6:AA100=AA100)))</f>
        <v/>
      </c>
    </row>
    <row r="101">
      <c r="A101" s="31">
        <f>IF(Submissions!AD97="","",96)</f>
        <v/>
      </c>
      <c r="B101" s="10">
        <f>IF($A101="","",IF(Settings!$B$4="Yes","Submission "&amp;$A101,Submissions!AD97))</f>
        <v/>
      </c>
      <c r="C101" s="31">
        <f>IF($A101="","",IF(Settings!$B$4="Yes","(hidden)",Submissions!AE97))</f>
        <v/>
      </c>
      <c r="D101" s="31">
        <f>IF($A101="","",Submissions!AF97)</f>
        <v/>
      </c>
      <c r="E101" s="31">
        <f>IF($A101="","",Submissions!AG97)</f>
        <v/>
      </c>
      <c r="F101" s="31">
        <f>IF($A101="","",Submissions!AH97)</f>
        <v/>
      </c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3">
        <f>IF(COUNT(G101:I101)=3,IFERROR(ROUND((G101*Settings!$D$15+H101*Settings!$D$16+I101*Settings!$D$17)/(Settings!$D$15+Settings!$D$16+Settings!$D$17),2),""),"")</f>
        <v/>
      </c>
      <c r="W101" s="33">
        <f>IF(COUNT(J101:L101)=3,IFERROR(ROUND((J101*Settings!$D$15+K101*Settings!$D$16+L101*Settings!$D$17)/(Settings!$D$15+Settings!$D$16+Settings!$D$17),2),""),"")</f>
        <v/>
      </c>
      <c r="X101" s="33">
        <f>IF(COUNT(M101:O101)=3,IFERROR(ROUND((M101*Settings!$D$15+N101*Settings!$D$16+O101*Settings!$D$17)/(Settings!$D$15+Settings!$D$16+Settings!$D$17),2),""),"")</f>
        <v/>
      </c>
      <c r="Y101" s="33">
        <f>IF(COUNT(P101:R101)=3,IFERROR(ROUND((P101*Settings!$D$15+Q101*Settings!$D$16+R101*Settings!$D$17)/(Settings!$D$15+Settings!$D$16+Settings!$D$17),2),""),"")</f>
        <v/>
      </c>
      <c r="Z101" s="33">
        <f>IF(COUNT(S101:U101)=3,IFERROR(ROUND((S101*Settings!$D$15+T101*Settings!$D$16+U101*Settings!$D$17)/(Settings!$D$15+Settings!$D$16+Settings!$D$17),2),""),"")</f>
        <v/>
      </c>
      <c r="AA101" s="34">
        <f>IF(COUNT(V101:Z101)=0,"",ROUND(AVERAGE(V101:Z101),2))</f>
        <v/>
      </c>
      <c r="AB101" s="35">
        <f>IF($A101="","",COUNT(V101:Z101))</f>
        <v/>
      </c>
      <c r="AC101" s="36" t="n"/>
      <c r="AD101" s="35">
        <f>IF(AA101="","",SUMPRODUCT(ISNUMBER($AA$6:$AA$305)*($AA$6:$AA$305&gt;AA101))+SUMPRODUCT(($AA$6:AA101=AA101)*1))</f>
        <v/>
      </c>
      <c r="AE101" s="35">
        <f>IF(AA101="","",SUMPRODUCT(($E$6:$E$305=E101)*ISNUMBER($AA$6:$AA$305)*($AA$6:$AA$305&gt;AA101))+SUMPRODUCT(($E$6:E101=E101)*($AA$6:AA101=AA101)))</f>
        <v/>
      </c>
    </row>
    <row r="102">
      <c r="A102" s="31">
        <f>IF(Submissions!AD98="","",97)</f>
        <v/>
      </c>
      <c r="B102" s="10">
        <f>IF($A102="","",IF(Settings!$B$4="Yes","Submission "&amp;$A102,Submissions!AD98))</f>
        <v/>
      </c>
      <c r="C102" s="31">
        <f>IF($A102="","",IF(Settings!$B$4="Yes","(hidden)",Submissions!AE98))</f>
        <v/>
      </c>
      <c r="D102" s="31">
        <f>IF($A102="","",Submissions!AF98)</f>
        <v/>
      </c>
      <c r="E102" s="31">
        <f>IF($A102="","",Submissions!AG98)</f>
        <v/>
      </c>
      <c r="F102" s="31">
        <f>IF($A102="","",Submissions!AH98)</f>
        <v/>
      </c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3">
        <f>IF(COUNT(G102:I102)=3,IFERROR(ROUND((G102*Settings!$D$15+H102*Settings!$D$16+I102*Settings!$D$17)/(Settings!$D$15+Settings!$D$16+Settings!$D$17),2),""),"")</f>
        <v/>
      </c>
      <c r="W102" s="33">
        <f>IF(COUNT(J102:L102)=3,IFERROR(ROUND((J102*Settings!$D$15+K102*Settings!$D$16+L102*Settings!$D$17)/(Settings!$D$15+Settings!$D$16+Settings!$D$17),2),""),"")</f>
        <v/>
      </c>
      <c r="X102" s="33">
        <f>IF(COUNT(M102:O102)=3,IFERROR(ROUND((M102*Settings!$D$15+N102*Settings!$D$16+O102*Settings!$D$17)/(Settings!$D$15+Settings!$D$16+Settings!$D$17),2),""),"")</f>
        <v/>
      </c>
      <c r="Y102" s="33">
        <f>IF(COUNT(P102:R102)=3,IFERROR(ROUND((P102*Settings!$D$15+Q102*Settings!$D$16+R102*Settings!$D$17)/(Settings!$D$15+Settings!$D$16+Settings!$D$17),2),""),"")</f>
        <v/>
      </c>
      <c r="Z102" s="33">
        <f>IF(COUNT(S102:U102)=3,IFERROR(ROUND((S102*Settings!$D$15+T102*Settings!$D$16+U102*Settings!$D$17)/(Settings!$D$15+Settings!$D$16+Settings!$D$17),2),""),"")</f>
        <v/>
      </c>
      <c r="AA102" s="34">
        <f>IF(COUNT(V102:Z102)=0,"",ROUND(AVERAGE(V102:Z102),2))</f>
        <v/>
      </c>
      <c r="AB102" s="35">
        <f>IF($A102="","",COUNT(V102:Z102))</f>
        <v/>
      </c>
      <c r="AC102" s="36" t="n"/>
      <c r="AD102" s="35">
        <f>IF(AA102="","",SUMPRODUCT(ISNUMBER($AA$6:$AA$305)*($AA$6:$AA$305&gt;AA102))+SUMPRODUCT(($AA$6:AA102=AA102)*1))</f>
        <v/>
      </c>
      <c r="AE102" s="35">
        <f>IF(AA102="","",SUMPRODUCT(($E$6:$E$305=E102)*ISNUMBER($AA$6:$AA$305)*($AA$6:$AA$305&gt;AA102))+SUMPRODUCT(($E$6:E102=E102)*($AA$6:AA102=AA102)))</f>
        <v/>
      </c>
    </row>
    <row r="103">
      <c r="A103" s="31">
        <f>IF(Submissions!AD99="","",98)</f>
        <v/>
      </c>
      <c r="B103" s="10">
        <f>IF($A103="","",IF(Settings!$B$4="Yes","Submission "&amp;$A103,Submissions!AD99))</f>
        <v/>
      </c>
      <c r="C103" s="31">
        <f>IF($A103="","",IF(Settings!$B$4="Yes","(hidden)",Submissions!AE99))</f>
        <v/>
      </c>
      <c r="D103" s="31">
        <f>IF($A103="","",Submissions!AF99)</f>
        <v/>
      </c>
      <c r="E103" s="31">
        <f>IF($A103="","",Submissions!AG99)</f>
        <v/>
      </c>
      <c r="F103" s="31">
        <f>IF($A103="","",Submissions!AH99)</f>
        <v/>
      </c>
      <c r="G103" s="37" t="n"/>
      <c r="H103" s="37" t="n"/>
      <c r="I103" s="37" t="n"/>
      <c r="J103" s="37" t="n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3">
        <f>IF(COUNT(G103:I103)=3,IFERROR(ROUND((G103*Settings!$D$15+H103*Settings!$D$16+I103*Settings!$D$17)/(Settings!$D$15+Settings!$D$16+Settings!$D$17),2),""),"")</f>
        <v/>
      </c>
      <c r="W103" s="33">
        <f>IF(COUNT(J103:L103)=3,IFERROR(ROUND((J103*Settings!$D$15+K103*Settings!$D$16+L103*Settings!$D$17)/(Settings!$D$15+Settings!$D$16+Settings!$D$17),2),""),"")</f>
        <v/>
      </c>
      <c r="X103" s="33">
        <f>IF(COUNT(M103:O103)=3,IFERROR(ROUND((M103*Settings!$D$15+N103*Settings!$D$16+O103*Settings!$D$17)/(Settings!$D$15+Settings!$D$16+Settings!$D$17),2),""),"")</f>
        <v/>
      </c>
      <c r="Y103" s="33">
        <f>IF(COUNT(P103:R103)=3,IFERROR(ROUND((P103*Settings!$D$15+Q103*Settings!$D$16+R103*Settings!$D$17)/(Settings!$D$15+Settings!$D$16+Settings!$D$17),2),""),"")</f>
        <v/>
      </c>
      <c r="Z103" s="33">
        <f>IF(COUNT(S103:U103)=3,IFERROR(ROUND((S103*Settings!$D$15+T103*Settings!$D$16+U103*Settings!$D$17)/(Settings!$D$15+Settings!$D$16+Settings!$D$17),2),""),"")</f>
        <v/>
      </c>
      <c r="AA103" s="34">
        <f>IF(COUNT(V103:Z103)=0,"",ROUND(AVERAGE(V103:Z103),2))</f>
        <v/>
      </c>
      <c r="AB103" s="35">
        <f>IF($A103="","",COUNT(V103:Z103))</f>
        <v/>
      </c>
      <c r="AC103" s="36" t="n"/>
      <c r="AD103" s="35">
        <f>IF(AA103="","",SUMPRODUCT(ISNUMBER($AA$6:$AA$305)*($AA$6:$AA$305&gt;AA103))+SUMPRODUCT(($AA$6:AA103=AA103)*1))</f>
        <v/>
      </c>
      <c r="AE103" s="35">
        <f>IF(AA103="","",SUMPRODUCT(($E$6:$E$305=E103)*ISNUMBER($AA$6:$AA$305)*($AA$6:$AA$305&gt;AA103))+SUMPRODUCT(($E$6:E103=E103)*($AA$6:AA103=AA103)))</f>
        <v/>
      </c>
    </row>
    <row r="104">
      <c r="A104" s="31">
        <f>IF(Submissions!AD100="","",99)</f>
        <v/>
      </c>
      <c r="B104" s="10">
        <f>IF($A104="","",IF(Settings!$B$4="Yes","Submission "&amp;$A104,Submissions!AD100))</f>
        <v/>
      </c>
      <c r="C104" s="31">
        <f>IF($A104="","",IF(Settings!$B$4="Yes","(hidden)",Submissions!AE100))</f>
        <v/>
      </c>
      <c r="D104" s="31">
        <f>IF($A104="","",Submissions!AF100)</f>
        <v/>
      </c>
      <c r="E104" s="31">
        <f>IF($A104="","",Submissions!AG100)</f>
        <v/>
      </c>
      <c r="F104" s="31">
        <f>IF($A104="","",Submissions!AH100)</f>
        <v/>
      </c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3">
        <f>IF(COUNT(G104:I104)=3,IFERROR(ROUND((G104*Settings!$D$15+H104*Settings!$D$16+I104*Settings!$D$17)/(Settings!$D$15+Settings!$D$16+Settings!$D$17),2),""),"")</f>
        <v/>
      </c>
      <c r="W104" s="33">
        <f>IF(COUNT(J104:L104)=3,IFERROR(ROUND((J104*Settings!$D$15+K104*Settings!$D$16+L104*Settings!$D$17)/(Settings!$D$15+Settings!$D$16+Settings!$D$17),2),""),"")</f>
        <v/>
      </c>
      <c r="X104" s="33">
        <f>IF(COUNT(M104:O104)=3,IFERROR(ROUND((M104*Settings!$D$15+N104*Settings!$D$16+O104*Settings!$D$17)/(Settings!$D$15+Settings!$D$16+Settings!$D$17),2),""),"")</f>
        <v/>
      </c>
      <c r="Y104" s="33">
        <f>IF(COUNT(P104:R104)=3,IFERROR(ROUND((P104*Settings!$D$15+Q104*Settings!$D$16+R104*Settings!$D$17)/(Settings!$D$15+Settings!$D$16+Settings!$D$17),2),""),"")</f>
        <v/>
      </c>
      <c r="Z104" s="33">
        <f>IF(COUNT(S104:U104)=3,IFERROR(ROUND((S104*Settings!$D$15+T104*Settings!$D$16+U104*Settings!$D$17)/(Settings!$D$15+Settings!$D$16+Settings!$D$17),2),""),"")</f>
        <v/>
      </c>
      <c r="AA104" s="34">
        <f>IF(COUNT(V104:Z104)=0,"",ROUND(AVERAGE(V104:Z104),2))</f>
        <v/>
      </c>
      <c r="AB104" s="35">
        <f>IF($A104="","",COUNT(V104:Z104))</f>
        <v/>
      </c>
      <c r="AC104" s="36" t="n"/>
      <c r="AD104" s="35">
        <f>IF(AA104="","",SUMPRODUCT(ISNUMBER($AA$6:$AA$305)*($AA$6:$AA$305&gt;AA104))+SUMPRODUCT(($AA$6:AA104=AA104)*1))</f>
        <v/>
      </c>
      <c r="AE104" s="35">
        <f>IF(AA104="","",SUMPRODUCT(($E$6:$E$305=E104)*ISNUMBER($AA$6:$AA$305)*($AA$6:$AA$305&gt;AA104))+SUMPRODUCT(($E$6:E104=E104)*($AA$6:AA104=AA104)))</f>
        <v/>
      </c>
    </row>
    <row r="105">
      <c r="A105" s="31">
        <f>IF(Submissions!AD101="","",100)</f>
        <v/>
      </c>
      <c r="B105" s="10">
        <f>IF($A105="","",IF(Settings!$B$4="Yes","Submission "&amp;$A105,Submissions!AD101))</f>
        <v/>
      </c>
      <c r="C105" s="31">
        <f>IF($A105="","",IF(Settings!$B$4="Yes","(hidden)",Submissions!AE101))</f>
        <v/>
      </c>
      <c r="D105" s="31">
        <f>IF($A105="","",Submissions!AF101)</f>
        <v/>
      </c>
      <c r="E105" s="31">
        <f>IF($A105="","",Submissions!AG101)</f>
        <v/>
      </c>
      <c r="F105" s="31">
        <f>IF($A105="","",Submissions!AH101)</f>
        <v/>
      </c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3">
        <f>IF(COUNT(G105:I105)=3,IFERROR(ROUND((G105*Settings!$D$15+H105*Settings!$D$16+I105*Settings!$D$17)/(Settings!$D$15+Settings!$D$16+Settings!$D$17),2),""),"")</f>
        <v/>
      </c>
      <c r="W105" s="33">
        <f>IF(COUNT(J105:L105)=3,IFERROR(ROUND((J105*Settings!$D$15+K105*Settings!$D$16+L105*Settings!$D$17)/(Settings!$D$15+Settings!$D$16+Settings!$D$17),2),""),"")</f>
        <v/>
      </c>
      <c r="X105" s="33">
        <f>IF(COUNT(M105:O105)=3,IFERROR(ROUND((M105*Settings!$D$15+N105*Settings!$D$16+O105*Settings!$D$17)/(Settings!$D$15+Settings!$D$16+Settings!$D$17),2),""),"")</f>
        <v/>
      </c>
      <c r="Y105" s="33">
        <f>IF(COUNT(P105:R105)=3,IFERROR(ROUND((P105*Settings!$D$15+Q105*Settings!$D$16+R105*Settings!$D$17)/(Settings!$D$15+Settings!$D$16+Settings!$D$17),2),""),"")</f>
        <v/>
      </c>
      <c r="Z105" s="33">
        <f>IF(COUNT(S105:U105)=3,IFERROR(ROUND((S105*Settings!$D$15+T105*Settings!$D$16+U105*Settings!$D$17)/(Settings!$D$15+Settings!$D$16+Settings!$D$17),2),""),"")</f>
        <v/>
      </c>
      <c r="AA105" s="34">
        <f>IF(COUNT(V105:Z105)=0,"",ROUND(AVERAGE(V105:Z105),2))</f>
        <v/>
      </c>
      <c r="AB105" s="35">
        <f>IF($A105="","",COUNT(V105:Z105))</f>
        <v/>
      </c>
      <c r="AC105" s="36" t="n"/>
      <c r="AD105" s="35">
        <f>IF(AA105="","",SUMPRODUCT(ISNUMBER($AA$6:$AA$305)*($AA$6:$AA$305&gt;AA105))+SUMPRODUCT(($AA$6:AA105=AA105)*1))</f>
        <v/>
      </c>
      <c r="AE105" s="35">
        <f>IF(AA105="","",SUMPRODUCT(($E$6:$E$305=E105)*ISNUMBER($AA$6:$AA$305)*($AA$6:$AA$305&gt;AA105))+SUMPRODUCT(($E$6:E105=E105)*($AA$6:AA105=AA105)))</f>
        <v/>
      </c>
    </row>
    <row r="106">
      <c r="A106" s="31">
        <f>IF(Submissions!AD102="","",101)</f>
        <v/>
      </c>
      <c r="B106" s="10">
        <f>IF($A106="","",IF(Settings!$B$4="Yes","Submission "&amp;$A106,Submissions!AD102))</f>
        <v/>
      </c>
      <c r="C106" s="31">
        <f>IF($A106="","",IF(Settings!$B$4="Yes","(hidden)",Submissions!AE102))</f>
        <v/>
      </c>
      <c r="D106" s="31">
        <f>IF($A106="","",Submissions!AF102)</f>
        <v/>
      </c>
      <c r="E106" s="31">
        <f>IF($A106="","",Submissions!AG102)</f>
        <v/>
      </c>
      <c r="F106" s="31">
        <f>IF($A106="","",Submissions!AH102)</f>
        <v/>
      </c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3">
        <f>IF(COUNT(G106:I106)=3,IFERROR(ROUND((G106*Settings!$D$15+H106*Settings!$D$16+I106*Settings!$D$17)/(Settings!$D$15+Settings!$D$16+Settings!$D$17),2),""),"")</f>
        <v/>
      </c>
      <c r="W106" s="33">
        <f>IF(COUNT(J106:L106)=3,IFERROR(ROUND((J106*Settings!$D$15+K106*Settings!$D$16+L106*Settings!$D$17)/(Settings!$D$15+Settings!$D$16+Settings!$D$17),2),""),"")</f>
        <v/>
      </c>
      <c r="X106" s="33">
        <f>IF(COUNT(M106:O106)=3,IFERROR(ROUND((M106*Settings!$D$15+N106*Settings!$D$16+O106*Settings!$D$17)/(Settings!$D$15+Settings!$D$16+Settings!$D$17),2),""),"")</f>
        <v/>
      </c>
      <c r="Y106" s="33">
        <f>IF(COUNT(P106:R106)=3,IFERROR(ROUND((P106*Settings!$D$15+Q106*Settings!$D$16+R106*Settings!$D$17)/(Settings!$D$15+Settings!$D$16+Settings!$D$17),2),""),"")</f>
        <v/>
      </c>
      <c r="Z106" s="33">
        <f>IF(COUNT(S106:U106)=3,IFERROR(ROUND((S106*Settings!$D$15+T106*Settings!$D$16+U106*Settings!$D$17)/(Settings!$D$15+Settings!$D$16+Settings!$D$17),2),""),"")</f>
        <v/>
      </c>
      <c r="AA106" s="34">
        <f>IF(COUNT(V106:Z106)=0,"",ROUND(AVERAGE(V106:Z106),2))</f>
        <v/>
      </c>
      <c r="AB106" s="35">
        <f>IF($A106="","",COUNT(V106:Z106))</f>
        <v/>
      </c>
      <c r="AC106" s="36" t="n"/>
      <c r="AD106" s="35">
        <f>IF(AA106="","",SUMPRODUCT(ISNUMBER($AA$6:$AA$305)*($AA$6:$AA$305&gt;AA106))+SUMPRODUCT(($AA$6:AA106=AA106)*1))</f>
        <v/>
      </c>
      <c r="AE106" s="35">
        <f>IF(AA106="","",SUMPRODUCT(($E$6:$E$305=E106)*ISNUMBER($AA$6:$AA$305)*($AA$6:$AA$305&gt;AA106))+SUMPRODUCT(($E$6:E106=E106)*($AA$6:AA106=AA106)))</f>
        <v/>
      </c>
    </row>
    <row r="107">
      <c r="A107" s="31">
        <f>IF(Submissions!AD103="","",102)</f>
        <v/>
      </c>
      <c r="B107" s="10">
        <f>IF($A107="","",IF(Settings!$B$4="Yes","Submission "&amp;$A107,Submissions!AD103))</f>
        <v/>
      </c>
      <c r="C107" s="31">
        <f>IF($A107="","",IF(Settings!$B$4="Yes","(hidden)",Submissions!AE103))</f>
        <v/>
      </c>
      <c r="D107" s="31">
        <f>IF($A107="","",Submissions!AF103)</f>
        <v/>
      </c>
      <c r="E107" s="31">
        <f>IF($A107="","",Submissions!AG103)</f>
        <v/>
      </c>
      <c r="F107" s="31">
        <f>IF($A107="","",Submissions!AH103)</f>
        <v/>
      </c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3">
        <f>IF(COUNT(G107:I107)=3,IFERROR(ROUND((G107*Settings!$D$15+H107*Settings!$D$16+I107*Settings!$D$17)/(Settings!$D$15+Settings!$D$16+Settings!$D$17),2),""),"")</f>
        <v/>
      </c>
      <c r="W107" s="33">
        <f>IF(COUNT(J107:L107)=3,IFERROR(ROUND((J107*Settings!$D$15+K107*Settings!$D$16+L107*Settings!$D$17)/(Settings!$D$15+Settings!$D$16+Settings!$D$17),2),""),"")</f>
        <v/>
      </c>
      <c r="X107" s="33">
        <f>IF(COUNT(M107:O107)=3,IFERROR(ROUND((M107*Settings!$D$15+N107*Settings!$D$16+O107*Settings!$D$17)/(Settings!$D$15+Settings!$D$16+Settings!$D$17),2),""),"")</f>
        <v/>
      </c>
      <c r="Y107" s="33">
        <f>IF(COUNT(P107:R107)=3,IFERROR(ROUND((P107*Settings!$D$15+Q107*Settings!$D$16+R107*Settings!$D$17)/(Settings!$D$15+Settings!$D$16+Settings!$D$17),2),""),"")</f>
        <v/>
      </c>
      <c r="Z107" s="33">
        <f>IF(COUNT(S107:U107)=3,IFERROR(ROUND((S107*Settings!$D$15+T107*Settings!$D$16+U107*Settings!$D$17)/(Settings!$D$15+Settings!$D$16+Settings!$D$17),2),""),"")</f>
        <v/>
      </c>
      <c r="AA107" s="34">
        <f>IF(COUNT(V107:Z107)=0,"",ROUND(AVERAGE(V107:Z107),2))</f>
        <v/>
      </c>
      <c r="AB107" s="35">
        <f>IF($A107="","",COUNT(V107:Z107))</f>
        <v/>
      </c>
      <c r="AC107" s="36" t="n"/>
      <c r="AD107" s="35">
        <f>IF(AA107="","",SUMPRODUCT(ISNUMBER($AA$6:$AA$305)*($AA$6:$AA$305&gt;AA107))+SUMPRODUCT(($AA$6:AA107=AA107)*1))</f>
        <v/>
      </c>
      <c r="AE107" s="35">
        <f>IF(AA107="","",SUMPRODUCT(($E$6:$E$305=E107)*ISNUMBER($AA$6:$AA$305)*($AA$6:$AA$305&gt;AA107))+SUMPRODUCT(($E$6:E107=E107)*($AA$6:AA107=AA107)))</f>
        <v/>
      </c>
    </row>
    <row r="108">
      <c r="A108" s="31">
        <f>IF(Submissions!AD104="","",103)</f>
        <v/>
      </c>
      <c r="B108" s="10">
        <f>IF($A108="","",IF(Settings!$B$4="Yes","Submission "&amp;$A108,Submissions!AD104))</f>
        <v/>
      </c>
      <c r="C108" s="31">
        <f>IF($A108="","",IF(Settings!$B$4="Yes","(hidden)",Submissions!AE104))</f>
        <v/>
      </c>
      <c r="D108" s="31">
        <f>IF($A108="","",Submissions!AF104)</f>
        <v/>
      </c>
      <c r="E108" s="31">
        <f>IF($A108="","",Submissions!AG104)</f>
        <v/>
      </c>
      <c r="F108" s="31">
        <f>IF($A108="","",Submissions!AH104)</f>
        <v/>
      </c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3">
        <f>IF(COUNT(G108:I108)=3,IFERROR(ROUND((G108*Settings!$D$15+H108*Settings!$D$16+I108*Settings!$D$17)/(Settings!$D$15+Settings!$D$16+Settings!$D$17),2),""),"")</f>
        <v/>
      </c>
      <c r="W108" s="33">
        <f>IF(COUNT(J108:L108)=3,IFERROR(ROUND((J108*Settings!$D$15+K108*Settings!$D$16+L108*Settings!$D$17)/(Settings!$D$15+Settings!$D$16+Settings!$D$17),2),""),"")</f>
        <v/>
      </c>
      <c r="X108" s="33">
        <f>IF(COUNT(M108:O108)=3,IFERROR(ROUND((M108*Settings!$D$15+N108*Settings!$D$16+O108*Settings!$D$17)/(Settings!$D$15+Settings!$D$16+Settings!$D$17),2),""),"")</f>
        <v/>
      </c>
      <c r="Y108" s="33">
        <f>IF(COUNT(P108:R108)=3,IFERROR(ROUND((P108*Settings!$D$15+Q108*Settings!$D$16+R108*Settings!$D$17)/(Settings!$D$15+Settings!$D$16+Settings!$D$17),2),""),"")</f>
        <v/>
      </c>
      <c r="Z108" s="33">
        <f>IF(COUNT(S108:U108)=3,IFERROR(ROUND((S108*Settings!$D$15+T108*Settings!$D$16+U108*Settings!$D$17)/(Settings!$D$15+Settings!$D$16+Settings!$D$17),2),""),"")</f>
        <v/>
      </c>
      <c r="AA108" s="34">
        <f>IF(COUNT(V108:Z108)=0,"",ROUND(AVERAGE(V108:Z108),2))</f>
        <v/>
      </c>
      <c r="AB108" s="35">
        <f>IF($A108="","",COUNT(V108:Z108))</f>
        <v/>
      </c>
      <c r="AC108" s="36" t="n"/>
      <c r="AD108" s="35">
        <f>IF(AA108="","",SUMPRODUCT(ISNUMBER($AA$6:$AA$305)*($AA$6:$AA$305&gt;AA108))+SUMPRODUCT(($AA$6:AA108=AA108)*1))</f>
        <v/>
      </c>
      <c r="AE108" s="35">
        <f>IF(AA108="","",SUMPRODUCT(($E$6:$E$305=E108)*ISNUMBER($AA$6:$AA$305)*($AA$6:$AA$305&gt;AA108))+SUMPRODUCT(($E$6:E108=E108)*($AA$6:AA108=AA108)))</f>
        <v/>
      </c>
    </row>
    <row r="109">
      <c r="A109" s="31">
        <f>IF(Submissions!AD105="","",104)</f>
        <v/>
      </c>
      <c r="B109" s="10">
        <f>IF($A109="","",IF(Settings!$B$4="Yes","Submission "&amp;$A109,Submissions!AD105))</f>
        <v/>
      </c>
      <c r="C109" s="31">
        <f>IF($A109="","",IF(Settings!$B$4="Yes","(hidden)",Submissions!AE105))</f>
        <v/>
      </c>
      <c r="D109" s="31">
        <f>IF($A109="","",Submissions!AF105)</f>
        <v/>
      </c>
      <c r="E109" s="31">
        <f>IF($A109="","",Submissions!AG105)</f>
        <v/>
      </c>
      <c r="F109" s="31">
        <f>IF($A109="","",Submissions!AH105)</f>
        <v/>
      </c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3">
        <f>IF(COUNT(G109:I109)=3,IFERROR(ROUND((G109*Settings!$D$15+H109*Settings!$D$16+I109*Settings!$D$17)/(Settings!$D$15+Settings!$D$16+Settings!$D$17),2),""),"")</f>
        <v/>
      </c>
      <c r="W109" s="33">
        <f>IF(COUNT(J109:L109)=3,IFERROR(ROUND((J109*Settings!$D$15+K109*Settings!$D$16+L109*Settings!$D$17)/(Settings!$D$15+Settings!$D$16+Settings!$D$17),2),""),"")</f>
        <v/>
      </c>
      <c r="X109" s="33">
        <f>IF(COUNT(M109:O109)=3,IFERROR(ROUND((M109*Settings!$D$15+N109*Settings!$D$16+O109*Settings!$D$17)/(Settings!$D$15+Settings!$D$16+Settings!$D$17),2),""),"")</f>
        <v/>
      </c>
      <c r="Y109" s="33">
        <f>IF(COUNT(P109:R109)=3,IFERROR(ROUND((P109*Settings!$D$15+Q109*Settings!$D$16+R109*Settings!$D$17)/(Settings!$D$15+Settings!$D$16+Settings!$D$17),2),""),"")</f>
        <v/>
      </c>
      <c r="Z109" s="33">
        <f>IF(COUNT(S109:U109)=3,IFERROR(ROUND((S109*Settings!$D$15+T109*Settings!$D$16+U109*Settings!$D$17)/(Settings!$D$15+Settings!$D$16+Settings!$D$17),2),""),"")</f>
        <v/>
      </c>
      <c r="AA109" s="34">
        <f>IF(COUNT(V109:Z109)=0,"",ROUND(AVERAGE(V109:Z109),2))</f>
        <v/>
      </c>
      <c r="AB109" s="35">
        <f>IF($A109="","",COUNT(V109:Z109))</f>
        <v/>
      </c>
      <c r="AC109" s="36" t="n"/>
      <c r="AD109" s="35">
        <f>IF(AA109="","",SUMPRODUCT(ISNUMBER($AA$6:$AA$305)*($AA$6:$AA$305&gt;AA109))+SUMPRODUCT(($AA$6:AA109=AA109)*1))</f>
        <v/>
      </c>
      <c r="AE109" s="35">
        <f>IF(AA109="","",SUMPRODUCT(($E$6:$E$305=E109)*ISNUMBER($AA$6:$AA$305)*($AA$6:$AA$305&gt;AA109))+SUMPRODUCT(($E$6:E109=E109)*($AA$6:AA109=AA109)))</f>
        <v/>
      </c>
    </row>
    <row r="110">
      <c r="A110" s="31">
        <f>IF(Submissions!AD106="","",105)</f>
        <v/>
      </c>
      <c r="B110" s="10">
        <f>IF($A110="","",IF(Settings!$B$4="Yes","Submission "&amp;$A110,Submissions!AD106))</f>
        <v/>
      </c>
      <c r="C110" s="31">
        <f>IF($A110="","",IF(Settings!$B$4="Yes","(hidden)",Submissions!AE106))</f>
        <v/>
      </c>
      <c r="D110" s="31">
        <f>IF($A110="","",Submissions!AF106)</f>
        <v/>
      </c>
      <c r="E110" s="31">
        <f>IF($A110="","",Submissions!AG106)</f>
        <v/>
      </c>
      <c r="F110" s="31">
        <f>IF($A110="","",Submissions!AH106)</f>
        <v/>
      </c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3">
        <f>IF(COUNT(G110:I110)=3,IFERROR(ROUND((G110*Settings!$D$15+H110*Settings!$D$16+I110*Settings!$D$17)/(Settings!$D$15+Settings!$D$16+Settings!$D$17),2),""),"")</f>
        <v/>
      </c>
      <c r="W110" s="33">
        <f>IF(COUNT(J110:L110)=3,IFERROR(ROUND((J110*Settings!$D$15+K110*Settings!$D$16+L110*Settings!$D$17)/(Settings!$D$15+Settings!$D$16+Settings!$D$17),2),""),"")</f>
        <v/>
      </c>
      <c r="X110" s="33">
        <f>IF(COUNT(M110:O110)=3,IFERROR(ROUND((M110*Settings!$D$15+N110*Settings!$D$16+O110*Settings!$D$17)/(Settings!$D$15+Settings!$D$16+Settings!$D$17),2),""),"")</f>
        <v/>
      </c>
      <c r="Y110" s="33">
        <f>IF(COUNT(P110:R110)=3,IFERROR(ROUND((P110*Settings!$D$15+Q110*Settings!$D$16+R110*Settings!$D$17)/(Settings!$D$15+Settings!$D$16+Settings!$D$17),2),""),"")</f>
        <v/>
      </c>
      <c r="Z110" s="33">
        <f>IF(COUNT(S110:U110)=3,IFERROR(ROUND((S110*Settings!$D$15+T110*Settings!$D$16+U110*Settings!$D$17)/(Settings!$D$15+Settings!$D$16+Settings!$D$17),2),""),"")</f>
        <v/>
      </c>
      <c r="AA110" s="34">
        <f>IF(COUNT(V110:Z110)=0,"",ROUND(AVERAGE(V110:Z110),2))</f>
        <v/>
      </c>
      <c r="AB110" s="35">
        <f>IF($A110="","",COUNT(V110:Z110))</f>
        <v/>
      </c>
      <c r="AC110" s="36" t="n"/>
      <c r="AD110" s="35">
        <f>IF(AA110="","",SUMPRODUCT(ISNUMBER($AA$6:$AA$305)*($AA$6:$AA$305&gt;AA110))+SUMPRODUCT(($AA$6:AA110=AA110)*1))</f>
        <v/>
      </c>
      <c r="AE110" s="35">
        <f>IF(AA110="","",SUMPRODUCT(($E$6:$E$305=E110)*ISNUMBER($AA$6:$AA$305)*($AA$6:$AA$305&gt;AA110))+SUMPRODUCT(($E$6:E110=E110)*($AA$6:AA110=AA110)))</f>
        <v/>
      </c>
    </row>
    <row r="111">
      <c r="A111" s="31">
        <f>IF(Submissions!AD107="","",106)</f>
        <v/>
      </c>
      <c r="B111" s="10">
        <f>IF($A111="","",IF(Settings!$B$4="Yes","Submission "&amp;$A111,Submissions!AD107))</f>
        <v/>
      </c>
      <c r="C111" s="31">
        <f>IF($A111="","",IF(Settings!$B$4="Yes","(hidden)",Submissions!AE107))</f>
        <v/>
      </c>
      <c r="D111" s="31">
        <f>IF($A111="","",Submissions!AF107)</f>
        <v/>
      </c>
      <c r="E111" s="31">
        <f>IF($A111="","",Submissions!AG107)</f>
        <v/>
      </c>
      <c r="F111" s="31">
        <f>IF($A111="","",Submissions!AH107)</f>
        <v/>
      </c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3">
        <f>IF(COUNT(G111:I111)=3,IFERROR(ROUND((G111*Settings!$D$15+H111*Settings!$D$16+I111*Settings!$D$17)/(Settings!$D$15+Settings!$D$16+Settings!$D$17),2),""),"")</f>
        <v/>
      </c>
      <c r="W111" s="33">
        <f>IF(COUNT(J111:L111)=3,IFERROR(ROUND((J111*Settings!$D$15+K111*Settings!$D$16+L111*Settings!$D$17)/(Settings!$D$15+Settings!$D$16+Settings!$D$17),2),""),"")</f>
        <v/>
      </c>
      <c r="X111" s="33">
        <f>IF(COUNT(M111:O111)=3,IFERROR(ROUND((M111*Settings!$D$15+N111*Settings!$D$16+O111*Settings!$D$17)/(Settings!$D$15+Settings!$D$16+Settings!$D$17),2),""),"")</f>
        <v/>
      </c>
      <c r="Y111" s="33">
        <f>IF(COUNT(P111:R111)=3,IFERROR(ROUND((P111*Settings!$D$15+Q111*Settings!$D$16+R111*Settings!$D$17)/(Settings!$D$15+Settings!$D$16+Settings!$D$17),2),""),"")</f>
        <v/>
      </c>
      <c r="Z111" s="33">
        <f>IF(COUNT(S111:U111)=3,IFERROR(ROUND((S111*Settings!$D$15+T111*Settings!$D$16+U111*Settings!$D$17)/(Settings!$D$15+Settings!$D$16+Settings!$D$17),2),""),"")</f>
        <v/>
      </c>
      <c r="AA111" s="34">
        <f>IF(COUNT(V111:Z111)=0,"",ROUND(AVERAGE(V111:Z111),2))</f>
        <v/>
      </c>
      <c r="AB111" s="35">
        <f>IF($A111="","",COUNT(V111:Z111))</f>
        <v/>
      </c>
      <c r="AC111" s="36" t="n"/>
      <c r="AD111" s="35">
        <f>IF(AA111="","",SUMPRODUCT(ISNUMBER($AA$6:$AA$305)*($AA$6:$AA$305&gt;AA111))+SUMPRODUCT(($AA$6:AA111=AA111)*1))</f>
        <v/>
      </c>
      <c r="AE111" s="35">
        <f>IF(AA111="","",SUMPRODUCT(($E$6:$E$305=E111)*ISNUMBER($AA$6:$AA$305)*($AA$6:$AA$305&gt;AA111))+SUMPRODUCT(($E$6:E111=E111)*($AA$6:AA111=AA111)))</f>
        <v/>
      </c>
    </row>
    <row r="112">
      <c r="A112" s="31">
        <f>IF(Submissions!AD108="","",107)</f>
        <v/>
      </c>
      <c r="B112" s="10">
        <f>IF($A112="","",IF(Settings!$B$4="Yes","Submission "&amp;$A112,Submissions!AD108))</f>
        <v/>
      </c>
      <c r="C112" s="31">
        <f>IF($A112="","",IF(Settings!$B$4="Yes","(hidden)",Submissions!AE108))</f>
        <v/>
      </c>
      <c r="D112" s="31">
        <f>IF($A112="","",Submissions!AF108)</f>
        <v/>
      </c>
      <c r="E112" s="31">
        <f>IF($A112="","",Submissions!AG108)</f>
        <v/>
      </c>
      <c r="F112" s="31">
        <f>IF($A112="","",Submissions!AH108)</f>
        <v/>
      </c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3">
        <f>IF(COUNT(G112:I112)=3,IFERROR(ROUND((G112*Settings!$D$15+H112*Settings!$D$16+I112*Settings!$D$17)/(Settings!$D$15+Settings!$D$16+Settings!$D$17),2),""),"")</f>
        <v/>
      </c>
      <c r="W112" s="33">
        <f>IF(COUNT(J112:L112)=3,IFERROR(ROUND((J112*Settings!$D$15+K112*Settings!$D$16+L112*Settings!$D$17)/(Settings!$D$15+Settings!$D$16+Settings!$D$17),2),""),"")</f>
        <v/>
      </c>
      <c r="X112" s="33">
        <f>IF(COUNT(M112:O112)=3,IFERROR(ROUND((M112*Settings!$D$15+N112*Settings!$D$16+O112*Settings!$D$17)/(Settings!$D$15+Settings!$D$16+Settings!$D$17),2),""),"")</f>
        <v/>
      </c>
      <c r="Y112" s="33">
        <f>IF(COUNT(P112:R112)=3,IFERROR(ROUND((P112*Settings!$D$15+Q112*Settings!$D$16+R112*Settings!$D$17)/(Settings!$D$15+Settings!$D$16+Settings!$D$17),2),""),"")</f>
        <v/>
      </c>
      <c r="Z112" s="33">
        <f>IF(COUNT(S112:U112)=3,IFERROR(ROUND((S112*Settings!$D$15+T112*Settings!$D$16+U112*Settings!$D$17)/(Settings!$D$15+Settings!$D$16+Settings!$D$17),2),""),"")</f>
        <v/>
      </c>
      <c r="AA112" s="34">
        <f>IF(COUNT(V112:Z112)=0,"",ROUND(AVERAGE(V112:Z112),2))</f>
        <v/>
      </c>
      <c r="AB112" s="35">
        <f>IF($A112="","",COUNT(V112:Z112))</f>
        <v/>
      </c>
      <c r="AC112" s="36" t="n"/>
      <c r="AD112" s="35">
        <f>IF(AA112="","",SUMPRODUCT(ISNUMBER($AA$6:$AA$305)*($AA$6:$AA$305&gt;AA112))+SUMPRODUCT(($AA$6:AA112=AA112)*1))</f>
        <v/>
      </c>
      <c r="AE112" s="35">
        <f>IF(AA112="","",SUMPRODUCT(($E$6:$E$305=E112)*ISNUMBER($AA$6:$AA$305)*($AA$6:$AA$305&gt;AA112))+SUMPRODUCT(($E$6:E112=E112)*($AA$6:AA112=AA112)))</f>
        <v/>
      </c>
    </row>
    <row r="113">
      <c r="A113" s="31">
        <f>IF(Submissions!AD109="","",108)</f>
        <v/>
      </c>
      <c r="B113" s="10">
        <f>IF($A113="","",IF(Settings!$B$4="Yes","Submission "&amp;$A113,Submissions!AD109))</f>
        <v/>
      </c>
      <c r="C113" s="31">
        <f>IF($A113="","",IF(Settings!$B$4="Yes","(hidden)",Submissions!AE109))</f>
        <v/>
      </c>
      <c r="D113" s="31">
        <f>IF($A113="","",Submissions!AF109)</f>
        <v/>
      </c>
      <c r="E113" s="31">
        <f>IF($A113="","",Submissions!AG109)</f>
        <v/>
      </c>
      <c r="F113" s="31">
        <f>IF($A113="","",Submissions!AH109)</f>
        <v/>
      </c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3">
        <f>IF(COUNT(G113:I113)=3,IFERROR(ROUND((G113*Settings!$D$15+H113*Settings!$D$16+I113*Settings!$D$17)/(Settings!$D$15+Settings!$D$16+Settings!$D$17),2),""),"")</f>
        <v/>
      </c>
      <c r="W113" s="33">
        <f>IF(COUNT(J113:L113)=3,IFERROR(ROUND((J113*Settings!$D$15+K113*Settings!$D$16+L113*Settings!$D$17)/(Settings!$D$15+Settings!$D$16+Settings!$D$17),2),""),"")</f>
        <v/>
      </c>
      <c r="X113" s="33">
        <f>IF(COUNT(M113:O113)=3,IFERROR(ROUND((M113*Settings!$D$15+N113*Settings!$D$16+O113*Settings!$D$17)/(Settings!$D$15+Settings!$D$16+Settings!$D$17),2),""),"")</f>
        <v/>
      </c>
      <c r="Y113" s="33">
        <f>IF(COUNT(P113:R113)=3,IFERROR(ROUND((P113*Settings!$D$15+Q113*Settings!$D$16+R113*Settings!$D$17)/(Settings!$D$15+Settings!$D$16+Settings!$D$17),2),""),"")</f>
        <v/>
      </c>
      <c r="Z113" s="33">
        <f>IF(COUNT(S113:U113)=3,IFERROR(ROUND((S113*Settings!$D$15+T113*Settings!$D$16+U113*Settings!$D$17)/(Settings!$D$15+Settings!$D$16+Settings!$D$17),2),""),"")</f>
        <v/>
      </c>
      <c r="AA113" s="34">
        <f>IF(COUNT(V113:Z113)=0,"",ROUND(AVERAGE(V113:Z113),2))</f>
        <v/>
      </c>
      <c r="AB113" s="35">
        <f>IF($A113="","",COUNT(V113:Z113))</f>
        <v/>
      </c>
      <c r="AC113" s="36" t="n"/>
      <c r="AD113" s="35">
        <f>IF(AA113="","",SUMPRODUCT(ISNUMBER($AA$6:$AA$305)*($AA$6:$AA$305&gt;AA113))+SUMPRODUCT(($AA$6:AA113=AA113)*1))</f>
        <v/>
      </c>
      <c r="AE113" s="35">
        <f>IF(AA113="","",SUMPRODUCT(($E$6:$E$305=E113)*ISNUMBER($AA$6:$AA$305)*($AA$6:$AA$305&gt;AA113))+SUMPRODUCT(($E$6:E113=E113)*($AA$6:AA113=AA113)))</f>
        <v/>
      </c>
    </row>
    <row r="114">
      <c r="A114" s="31">
        <f>IF(Submissions!AD110="","",109)</f>
        <v/>
      </c>
      <c r="B114" s="10">
        <f>IF($A114="","",IF(Settings!$B$4="Yes","Submission "&amp;$A114,Submissions!AD110))</f>
        <v/>
      </c>
      <c r="C114" s="31">
        <f>IF($A114="","",IF(Settings!$B$4="Yes","(hidden)",Submissions!AE110))</f>
        <v/>
      </c>
      <c r="D114" s="31">
        <f>IF($A114="","",Submissions!AF110)</f>
        <v/>
      </c>
      <c r="E114" s="31">
        <f>IF($A114="","",Submissions!AG110)</f>
        <v/>
      </c>
      <c r="F114" s="31">
        <f>IF($A114="","",Submissions!AH110)</f>
        <v/>
      </c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3">
        <f>IF(COUNT(G114:I114)=3,IFERROR(ROUND((G114*Settings!$D$15+H114*Settings!$D$16+I114*Settings!$D$17)/(Settings!$D$15+Settings!$D$16+Settings!$D$17),2),""),"")</f>
        <v/>
      </c>
      <c r="W114" s="33">
        <f>IF(COUNT(J114:L114)=3,IFERROR(ROUND((J114*Settings!$D$15+K114*Settings!$D$16+L114*Settings!$D$17)/(Settings!$D$15+Settings!$D$16+Settings!$D$17),2),""),"")</f>
        <v/>
      </c>
      <c r="X114" s="33">
        <f>IF(COUNT(M114:O114)=3,IFERROR(ROUND((M114*Settings!$D$15+N114*Settings!$D$16+O114*Settings!$D$17)/(Settings!$D$15+Settings!$D$16+Settings!$D$17),2),""),"")</f>
        <v/>
      </c>
      <c r="Y114" s="33">
        <f>IF(COUNT(P114:R114)=3,IFERROR(ROUND((P114*Settings!$D$15+Q114*Settings!$D$16+R114*Settings!$D$17)/(Settings!$D$15+Settings!$D$16+Settings!$D$17),2),""),"")</f>
        <v/>
      </c>
      <c r="Z114" s="33">
        <f>IF(COUNT(S114:U114)=3,IFERROR(ROUND((S114*Settings!$D$15+T114*Settings!$D$16+U114*Settings!$D$17)/(Settings!$D$15+Settings!$D$16+Settings!$D$17),2),""),"")</f>
        <v/>
      </c>
      <c r="AA114" s="34">
        <f>IF(COUNT(V114:Z114)=0,"",ROUND(AVERAGE(V114:Z114),2))</f>
        <v/>
      </c>
      <c r="AB114" s="35">
        <f>IF($A114="","",COUNT(V114:Z114))</f>
        <v/>
      </c>
      <c r="AC114" s="36" t="n"/>
      <c r="AD114" s="35">
        <f>IF(AA114="","",SUMPRODUCT(ISNUMBER($AA$6:$AA$305)*($AA$6:$AA$305&gt;AA114))+SUMPRODUCT(($AA$6:AA114=AA114)*1))</f>
        <v/>
      </c>
      <c r="AE114" s="35">
        <f>IF(AA114="","",SUMPRODUCT(($E$6:$E$305=E114)*ISNUMBER($AA$6:$AA$305)*($AA$6:$AA$305&gt;AA114))+SUMPRODUCT(($E$6:E114=E114)*($AA$6:AA114=AA114)))</f>
        <v/>
      </c>
    </row>
    <row r="115">
      <c r="A115" s="31">
        <f>IF(Submissions!AD111="","",110)</f>
        <v/>
      </c>
      <c r="B115" s="10">
        <f>IF($A115="","",IF(Settings!$B$4="Yes","Submission "&amp;$A115,Submissions!AD111))</f>
        <v/>
      </c>
      <c r="C115" s="31">
        <f>IF($A115="","",IF(Settings!$B$4="Yes","(hidden)",Submissions!AE111))</f>
        <v/>
      </c>
      <c r="D115" s="31">
        <f>IF($A115="","",Submissions!AF111)</f>
        <v/>
      </c>
      <c r="E115" s="31">
        <f>IF($A115="","",Submissions!AG111)</f>
        <v/>
      </c>
      <c r="F115" s="31">
        <f>IF($A115="","",Submissions!AH111)</f>
        <v/>
      </c>
      <c r="G115" s="37" t="n"/>
      <c r="H115" s="37" t="n"/>
      <c r="I115" s="37" t="n"/>
      <c r="J115" s="37" t="n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3">
        <f>IF(COUNT(G115:I115)=3,IFERROR(ROUND((G115*Settings!$D$15+H115*Settings!$D$16+I115*Settings!$D$17)/(Settings!$D$15+Settings!$D$16+Settings!$D$17),2),""),"")</f>
        <v/>
      </c>
      <c r="W115" s="33">
        <f>IF(COUNT(J115:L115)=3,IFERROR(ROUND((J115*Settings!$D$15+K115*Settings!$D$16+L115*Settings!$D$17)/(Settings!$D$15+Settings!$D$16+Settings!$D$17),2),""),"")</f>
        <v/>
      </c>
      <c r="X115" s="33">
        <f>IF(COUNT(M115:O115)=3,IFERROR(ROUND((M115*Settings!$D$15+N115*Settings!$D$16+O115*Settings!$D$17)/(Settings!$D$15+Settings!$D$16+Settings!$D$17),2),""),"")</f>
        <v/>
      </c>
      <c r="Y115" s="33">
        <f>IF(COUNT(P115:R115)=3,IFERROR(ROUND((P115*Settings!$D$15+Q115*Settings!$D$16+R115*Settings!$D$17)/(Settings!$D$15+Settings!$D$16+Settings!$D$17),2),""),"")</f>
        <v/>
      </c>
      <c r="Z115" s="33">
        <f>IF(COUNT(S115:U115)=3,IFERROR(ROUND((S115*Settings!$D$15+T115*Settings!$D$16+U115*Settings!$D$17)/(Settings!$D$15+Settings!$D$16+Settings!$D$17),2),""),"")</f>
        <v/>
      </c>
      <c r="AA115" s="34">
        <f>IF(COUNT(V115:Z115)=0,"",ROUND(AVERAGE(V115:Z115),2))</f>
        <v/>
      </c>
      <c r="AB115" s="35">
        <f>IF($A115="","",COUNT(V115:Z115))</f>
        <v/>
      </c>
      <c r="AC115" s="36" t="n"/>
      <c r="AD115" s="35">
        <f>IF(AA115="","",SUMPRODUCT(ISNUMBER($AA$6:$AA$305)*($AA$6:$AA$305&gt;AA115))+SUMPRODUCT(($AA$6:AA115=AA115)*1))</f>
        <v/>
      </c>
      <c r="AE115" s="35">
        <f>IF(AA115="","",SUMPRODUCT(($E$6:$E$305=E115)*ISNUMBER($AA$6:$AA$305)*($AA$6:$AA$305&gt;AA115))+SUMPRODUCT(($E$6:E115=E115)*($AA$6:AA115=AA115)))</f>
        <v/>
      </c>
    </row>
    <row r="116">
      <c r="A116" s="31">
        <f>IF(Submissions!AD112="","",111)</f>
        <v/>
      </c>
      <c r="B116" s="10">
        <f>IF($A116="","",IF(Settings!$B$4="Yes","Submission "&amp;$A116,Submissions!AD112))</f>
        <v/>
      </c>
      <c r="C116" s="31">
        <f>IF($A116="","",IF(Settings!$B$4="Yes","(hidden)",Submissions!AE112))</f>
        <v/>
      </c>
      <c r="D116" s="31">
        <f>IF($A116="","",Submissions!AF112)</f>
        <v/>
      </c>
      <c r="E116" s="31">
        <f>IF($A116="","",Submissions!AG112)</f>
        <v/>
      </c>
      <c r="F116" s="31">
        <f>IF($A116="","",Submissions!AH112)</f>
        <v/>
      </c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3">
        <f>IF(COUNT(G116:I116)=3,IFERROR(ROUND((G116*Settings!$D$15+H116*Settings!$D$16+I116*Settings!$D$17)/(Settings!$D$15+Settings!$D$16+Settings!$D$17),2),""),"")</f>
        <v/>
      </c>
      <c r="W116" s="33">
        <f>IF(COUNT(J116:L116)=3,IFERROR(ROUND((J116*Settings!$D$15+K116*Settings!$D$16+L116*Settings!$D$17)/(Settings!$D$15+Settings!$D$16+Settings!$D$17),2),""),"")</f>
        <v/>
      </c>
      <c r="X116" s="33">
        <f>IF(COUNT(M116:O116)=3,IFERROR(ROUND((M116*Settings!$D$15+N116*Settings!$D$16+O116*Settings!$D$17)/(Settings!$D$15+Settings!$D$16+Settings!$D$17),2),""),"")</f>
        <v/>
      </c>
      <c r="Y116" s="33">
        <f>IF(COUNT(P116:R116)=3,IFERROR(ROUND((P116*Settings!$D$15+Q116*Settings!$D$16+R116*Settings!$D$17)/(Settings!$D$15+Settings!$D$16+Settings!$D$17),2),""),"")</f>
        <v/>
      </c>
      <c r="Z116" s="33">
        <f>IF(COUNT(S116:U116)=3,IFERROR(ROUND((S116*Settings!$D$15+T116*Settings!$D$16+U116*Settings!$D$17)/(Settings!$D$15+Settings!$D$16+Settings!$D$17),2),""),"")</f>
        <v/>
      </c>
      <c r="AA116" s="34">
        <f>IF(COUNT(V116:Z116)=0,"",ROUND(AVERAGE(V116:Z116),2))</f>
        <v/>
      </c>
      <c r="AB116" s="35">
        <f>IF($A116="","",COUNT(V116:Z116))</f>
        <v/>
      </c>
      <c r="AC116" s="36" t="n"/>
      <c r="AD116" s="35">
        <f>IF(AA116="","",SUMPRODUCT(ISNUMBER($AA$6:$AA$305)*($AA$6:$AA$305&gt;AA116))+SUMPRODUCT(($AA$6:AA116=AA116)*1))</f>
        <v/>
      </c>
      <c r="AE116" s="35">
        <f>IF(AA116="","",SUMPRODUCT(($E$6:$E$305=E116)*ISNUMBER($AA$6:$AA$305)*($AA$6:$AA$305&gt;AA116))+SUMPRODUCT(($E$6:E116=E116)*($AA$6:AA116=AA116)))</f>
        <v/>
      </c>
    </row>
    <row r="117">
      <c r="A117" s="31">
        <f>IF(Submissions!AD113="","",112)</f>
        <v/>
      </c>
      <c r="B117" s="10">
        <f>IF($A117="","",IF(Settings!$B$4="Yes","Submission "&amp;$A117,Submissions!AD113))</f>
        <v/>
      </c>
      <c r="C117" s="31">
        <f>IF($A117="","",IF(Settings!$B$4="Yes","(hidden)",Submissions!AE113))</f>
        <v/>
      </c>
      <c r="D117" s="31">
        <f>IF($A117="","",Submissions!AF113)</f>
        <v/>
      </c>
      <c r="E117" s="31">
        <f>IF($A117="","",Submissions!AG113)</f>
        <v/>
      </c>
      <c r="F117" s="31">
        <f>IF($A117="","",Submissions!AH113)</f>
        <v/>
      </c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3">
        <f>IF(COUNT(G117:I117)=3,IFERROR(ROUND((G117*Settings!$D$15+H117*Settings!$D$16+I117*Settings!$D$17)/(Settings!$D$15+Settings!$D$16+Settings!$D$17),2),""),"")</f>
        <v/>
      </c>
      <c r="W117" s="33">
        <f>IF(COUNT(J117:L117)=3,IFERROR(ROUND((J117*Settings!$D$15+K117*Settings!$D$16+L117*Settings!$D$17)/(Settings!$D$15+Settings!$D$16+Settings!$D$17),2),""),"")</f>
        <v/>
      </c>
      <c r="X117" s="33">
        <f>IF(COUNT(M117:O117)=3,IFERROR(ROUND((M117*Settings!$D$15+N117*Settings!$D$16+O117*Settings!$D$17)/(Settings!$D$15+Settings!$D$16+Settings!$D$17),2),""),"")</f>
        <v/>
      </c>
      <c r="Y117" s="33">
        <f>IF(COUNT(P117:R117)=3,IFERROR(ROUND((P117*Settings!$D$15+Q117*Settings!$D$16+R117*Settings!$D$17)/(Settings!$D$15+Settings!$D$16+Settings!$D$17),2),""),"")</f>
        <v/>
      </c>
      <c r="Z117" s="33">
        <f>IF(COUNT(S117:U117)=3,IFERROR(ROUND((S117*Settings!$D$15+T117*Settings!$D$16+U117*Settings!$D$17)/(Settings!$D$15+Settings!$D$16+Settings!$D$17),2),""),"")</f>
        <v/>
      </c>
      <c r="AA117" s="34">
        <f>IF(COUNT(V117:Z117)=0,"",ROUND(AVERAGE(V117:Z117),2))</f>
        <v/>
      </c>
      <c r="AB117" s="35">
        <f>IF($A117="","",COUNT(V117:Z117))</f>
        <v/>
      </c>
      <c r="AC117" s="36" t="n"/>
      <c r="AD117" s="35">
        <f>IF(AA117="","",SUMPRODUCT(ISNUMBER($AA$6:$AA$305)*($AA$6:$AA$305&gt;AA117))+SUMPRODUCT(($AA$6:AA117=AA117)*1))</f>
        <v/>
      </c>
      <c r="AE117" s="35">
        <f>IF(AA117="","",SUMPRODUCT(($E$6:$E$305=E117)*ISNUMBER($AA$6:$AA$305)*($AA$6:$AA$305&gt;AA117))+SUMPRODUCT(($E$6:E117=E117)*($AA$6:AA117=AA117)))</f>
        <v/>
      </c>
    </row>
    <row r="118">
      <c r="A118" s="31">
        <f>IF(Submissions!AD114="","",113)</f>
        <v/>
      </c>
      <c r="B118" s="10">
        <f>IF($A118="","",IF(Settings!$B$4="Yes","Submission "&amp;$A118,Submissions!AD114))</f>
        <v/>
      </c>
      <c r="C118" s="31">
        <f>IF($A118="","",IF(Settings!$B$4="Yes","(hidden)",Submissions!AE114))</f>
        <v/>
      </c>
      <c r="D118" s="31">
        <f>IF($A118="","",Submissions!AF114)</f>
        <v/>
      </c>
      <c r="E118" s="31">
        <f>IF($A118="","",Submissions!AG114)</f>
        <v/>
      </c>
      <c r="F118" s="31">
        <f>IF($A118="","",Submissions!AH114)</f>
        <v/>
      </c>
      <c r="G118" s="37" t="n"/>
      <c r="H118" s="37" t="n"/>
      <c r="I118" s="37" t="n"/>
      <c r="J118" s="37" t="n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3">
        <f>IF(COUNT(G118:I118)=3,IFERROR(ROUND((G118*Settings!$D$15+H118*Settings!$D$16+I118*Settings!$D$17)/(Settings!$D$15+Settings!$D$16+Settings!$D$17),2),""),"")</f>
        <v/>
      </c>
      <c r="W118" s="33">
        <f>IF(COUNT(J118:L118)=3,IFERROR(ROUND((J118*Settings!$D$15+K118*Settings!$D$16+L118*Settings!$D$17)/(Settings!$D$15+Settings!$D$16+Settings!$D$17),2),""),"")</f>
        <v/>
      </c>
      <c r="X118" s="33">
        <f>IF(COUNT(M118:O118)=3,IFERROR(ROUND((M118*Settings!$D$15+N118*Settings!$D$16+O118*Settings!$D$17)/(Settings!$D$15+Settings!$D$16+Settings!$D$17),2),""),"")</f>
        <v/>
      </c>
      <c r="Y118" s="33">
        <f>IF(COUNT(P118:R118)=3,IFERROR(ROUND((P118*Settings!$D$15+Q118*Settings!$D$16+R118*Settings!$D$17)/(Settings!$D$15+Settings!$D$16+Settings!$D$17),2),""),"")</f>
        <v/>
      </c>
      <c r="Z118" s="33">
        <f>IF(COUNT(S118:U118)=3,IFERROR(ROUND((S118*Settings!$D$15+T118*Settings!$D$16+U118*Settings!$D$17)/(Settings!$D$15+Settings!$D$16+Settings!$D$17),2),""),"")</f>
        <v/>
      </c>
      <c r="AA118" s="34">
        <f>IF(COUNT(V118:Z118)=0,"",ROUND(AVERAGE(V118:Z118),2))</f>
        <v/>
      </c>
      <c r="AB118" s="35">
        <f>IF($A118="","",COUNT(V118:Z118))</f>
        <v/>
      </c>
      <c r="AC118" s="36" t="n"/>
      <c r="AD118" s="35">
        <f>IF(AA118="","",SUMPRODUCT(ISNUMBER($AA$6:$AA$305)*($AA$6:$AA$305&gt;AA118))+SUMPRODUCT(($AA$6:AA118=AA118)*1))</f>
        <v/>
      </c>
      <c r="AE118" s="35">
        <f>IF(AA118="","",SUMPRODUCT(($E$6:$E$305=E118)*ISNUMBER($AA$6:$AA$305)*($AA$6:$AA$305&gt;AA118))+SUMPRODUCT(($E$6:E118=E118)*($AA$6:AA118=AA118)))</f>
        <v/>
      </c>
    </row>
    <row r="119">
      <c r="A119" s="31">
        <f>IF(Submissions!AD115="","",114)</f>
        <v/>
      </c>
      <c r="B119" s="10">
        <f>IF($A119="","",IF(Settings!$B$4="Yes","Submission "&amp;$A119,Submissions!AD115))</f>
        <v/>
      </c>
      <c r="C119" s="31">
        <f>IF($A119="","",IF(Settings!$B$4="Yes","(hidden)",Submissions!AE115))</f>
        <v/>
      </c>
      <c r="D119" s="31">
        <f>IF($A119="","",Submissions!AF115)</f>
        <v/>
      </c>
      <c r="E119" s="31">
        <f>IF($A119="","",Submissions!AG115)</f>
        <v/>
      </c>
      <c r="F119" s="31">
        <f>IF($A119="","",Submissions!AH115)</f>
        <v/>
      </c>
      <c r="G119" s="37" t="n"/>
      <c r="H119" s="37" t="n"/>
      <c r="I119" s="37" t="n"/>
      <c r="J119" s="37" t="n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3">
        <f>IF(COUNT(G119:I119)=3,IFERROR(ROUND((G119*Settings!$D$15+H119*Settings!$D$16+I119*Settings!$D$17)/(Settings!$D$15+Settings!$D$16+Settings!$D$17),2),""),"")</f>
        <v/>
      </c>
      <c r="W119" s="33">
        <f>IF(COUNT(J119:L119)=3,IFERROR(ROUND((J119*Settings!$D$15+K119*Settings!$D$16+L119*Settings!$D$17)/(Settings!$D$15+Settings!$D$16+Settings!$D$17),2),""),"")</f>
        <v/>
      </c>
      <c r="X119" s="33">
        <f>IF(COUNT(M119:O119)=3,IFERROR(ROUND((M119*Settings!$D$15+N119*Settings!$D$16+O119*Settings!$D$17)/(Settings!$D$15+Settings!$D$16+Settings!$D$17),2),""),"")</f>
        <v/>
      </c>
      <c r="Y119" s="33">
        <f>IF(COUNT(P119:R119)=3,IFERROR(ROUND((P119*Settings!$D$15+Q119*Settings!$D$16+R119*Settings!$D$17)/(Settings!$D$15+Settings!$D$16+Settings!$D$17),2),""),"")</f>
        <v/>
      </c>
      <c r="Z119" s="33">
        <f>IF(COUNT(S119:U119)=3,IFERROR(ROUND((S119*Settings!$D$15+T119*Settings!$D$16+U119*Settings!$D$17)/(Settings!$D$15+Settings!$D$16+Settings!$D$17),2),""),"")</f>
        <v/>
      </c>
      <c r="AA119" s="34">
        <f>IF(COUNT(V119:Z119)=0,"",ROUND(AVERAGE(V119:Z119),2))</f>
        <v/>
      </c>
      <c r="AB119" s="35">
        <f>IF($A119="","",COUNT(V119:Z119))</f>
        <v/>
      </c>
      <c r="AC119" s="36" t="n"/>
      <c r="AD119" s="35">
        <f>IF(AA119="","",SUMPRODUCT(ISNUMBER($AA$6:$AA$305)*($AA$6:$AA$305&gt;AA119))+SUMPRODUCT(($AA$6:AA119=AA119)*1))</f>
        <v/>
      </c>
      <c r="AE119" s="35">
        <f>IF(AA119="","",SUMPRODUCT(($E$6:$E$305=E119)*ISNUMBER($AA$6:$AA$305)*($AA$6:$AA$305&gt;AA119))+SUMPRODUCT(($E$6:E119=E119)*($AA$6:AA119=AA119)))</f>
        <v/>
      </c>
    </row>
    <row r="120">
      <c r="A120" s="31">
        <f>IF(Submissions!AD116="","",115)</f>
        <v/>
      </c>
      <c r="B120" s="10">
        <f>IF($A120="","",IF(Settings!$B$4="Yes","Submission "&amp;$A120,Submissions!AD116))</f>
        <v/>
      </c>
      <c r="C120" s="31">
        <f>IF($A120="","",IF(Settings!$B$4="Yes","(hidden)",Submissions!AE116))</f>
        <v/>
      </c>
      <c r="D120" s="31">
        <f>IF($A120="","",Submissions!AF116)</f>
        <v/>
      </c>
      <c r="E120" s="31">
        <f>IF($A120="","",Submissions!AG116)</f>
        <v/>
      </c>
      <c r="F120" s="31">
        <f>IF($A120="","",Submissions!AH116)</f>
        <v/>
      </c>
      <c r="G120" s="37" t="n"/>
      <c r="H120" s="37" t="n"/>
      <c r="I120" s="37" t="n"/>
      <c r="J120" s="37" t="n"/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3">
        <f>IF(COUNT(G120:I120)=3,IFERROR(ROUND((G120*Settings!$D$15+H120*Settings!$D$16+I120*Settings!$D$17)/(Settings!$D$15+Settings!$D$16+Settings!$D$17),2),""),"")</f>
        <v/>
      </c>
      <c r="W120" s="33">
        <f>IF(COUNT(J120:L120)=3,IFERROR(ROUND((J120*Settings!$D$15+K120*Settings!$D$16+L120*Settings!$D$17)/(Settings!$D$15+Settings!$D$16+Settings!$D$17),2),""),"")</f>
        <v/>
      </c>
      <c r="X120" s="33">
        <f>IF(COUNT(M120:O120)=3,IFERROR(ROUND((M120*Settings!$D$15+N120*Settings!$D$16+O120*Settings!$D$17)/(Settings!$D$15+Settings!$D$16+Settings!$D$17),2),""),"")</f>
        <v/>
      </c>
      <c r="Y120" s="33">
        <f>IF(COUNT(P120:R120)=3,IFERROR(ROUND((P120*Settings!$D$15+Q120*Settings!$D$16+R120*Settings!$D$17)/(Settings!$D$15+Settings!$D$16+Settings!$D$17),2),""),"")</f>
        <v/>
      </c>
      <c r="Z120" s="33">
        <f>IF(COUNT(S120:U120)=3,IFERROR(ROUND((S120*Settings!$D$15+T120*Settings!$D$16+U120*Settings!$D$17)/(Settings!$D$15+Settings!$D$16+Settings!$D$17),2),""),"")</f>
        <v/>
      </c>
      <c r="AA120" s="34">
        <f>IF(COUNT(V120:Z120)=0,"",ROUND(AVERAGE(V120:Z120),2))</f>
        <v/>
      </c>
      <c r="AB120" s="35">
        <f>IF($A120="","",COUNT(V120:Z120))</f>
        <v/>
      </c>
      <c r="AC120" s="36" t="n"/>
      <c r="AD120" s="35">
        <f>IF(AA120="","",SUMPRODUCT(ISNUMBER($AA$6:$AA$305)*($AA$6:$AA$305&gt;AA120))+SUMPRODUCT(($AA$6:AA120=AA120)*1))</f>
        <v/>
      </c>
      <c r="AE120" s="35">
        <f>IF(AA120="","",SUMPRODUCT(($E$6:$E$305=E120)*ISNUMBER($AA$6:$AA$305)*($AA$6:$AA$305&gt;AA120))+SUMPRODUCT(($E$6:E120=E120)*($AA$6:AA120=AA120)))</f>
        <v/>
      </c>
    </row>
    <row r="121">
      <c r="A121" s="31">
        <f>IF(Submissions!AD117="","",116)</f>
        <v/>
      </c>
      <c r="B121" s="10">
        <f>IF($A121="","",IF(Settings!$B$4="Yes","Submission "&amp;$A121,Submissions!AD117))</f>
        <v/>
      </c>
      <c r="C121" s="31">
        <f>IF($A121="","",IF(Settings!$B$4="Yes","(hidden)",Submissions!AE117))</f>
        <v/>
      </c>
      <c r="D121" s="31">
        <f>IF($A121="","",Submissions!AF117)</f>
        <v/>
      </c>
      <c r="E121" s="31">
        <f>IF($A121="","",Submissions!AG117)</f>
        <v/>
      </c>
      <c r="F121" s="31">
        <f>IF($A121="","",Submissions!AH117)</f>
        <v/>
      </c>
      <c r="G121" s="37" t="n"/>
      <c r="H121" s="37" t="n"/>
      <c r="I121" s="37" t="n"/>
      <c r="J121" s="37" t="n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3">
        <f>IF(COUNT(G121:I121)=3,IFERROR(ROUND((G121*Settings!$D$15+H121*Settings!$D$16+I121*Settings!$D$17)/(Settings!$D$15+Settings!$D$16+Settings!$D$17),2),""),"")</f>
        <v/>
      </c>
      <c r="W121" s="33">
        <f>IF(COUNT(J121:L121)=3,IFERROR(ROUND((J121*Settings!$D$15+K121*Settings!$D$16+L121*Settings!$D$17)/(Settings!$D$15+Settings!$D$16+Settings!$D$17),2),""),"")</f>
        <v/>
      </c>
      <c r="X121" s="33">
        <f>IF(COUNT(M121:O121)=3,IFERROR(ROUND((M121*Settings!$D$15+N121*Settings!$D$16+O121*Settings!$D$17)/(Settings!$D$15+Settings!$D$16+Settings!$D$17),2),""),"")</f>
        <v/>
      </c>
      <c r="Y121" s="33">
        <f>IF(COUNT(P121:R121)=3,IFERROR(ROUND((P121*Settings!$D$15+Q121*Settings!$D$16+R121*Settings!$D$17)/(Settings!$D$15+Settings!$D$16+Settings!$D$17),2),""),"")</f>
        <v/>
      </c>
      <c r="Z121" s="33">
        <f>IF(COUNT(S121:U121)=3,IFERROR(ROUND((S121*Settings!$D$15+T121*Settings!$D$16+U121*Settings!$D$17)/(Settings!$D$15+Settings!$D$16+Settings!$D$17),2),""),"")</f>
        <v/>
      </c>
      <c r="AA121" s="34">
        <f>IF(COUNT(V121:Z121)=0,"",ROUND(AVERAGE(V121:Z121),2))</f>
        <v/>
      </c>
      <c r="AB121" s="35">
        <f>IF($A121="","",COUNT(V121:Z121))</f>
        <v/>
      </c>
      <c r="AC121" s="36" t="n"/>
      <c r="AD121" s="35">
        <f>IF(AA121="","",SUMPRODUCT(ISNUMBER($AA$6:$AA$305)*($AA$6:$AA$305&gt;AA121))+SUMPRODUCT(($AA$6:AA121=AA121)*1))</f>
        <v/>
      </c>
      <c r="AE121" s="35">
        <f>IF(AA121="","",SUMPRODUCT(($E$6:$E$305=E121)*ISNUMBER($AA$6:$AA$305)*($AA$6:$AA$305&gt;AA121))+SUMPRODUCT(($E$6:E121=E121)*($AA$6:AA121=AA121)))</f>
        <v/>
      </c>
    </row>
    <row r="122">
      <c r="A122" s="31">
        <f>IF(Submissions!AD118="","",117)</f>
        <v/>
      </c>
      <c r="B122" s="10">
        <f>IF($A122="","",IF(Settings!$B$4="Yes","Submission "&amp;$A122,Submissions!AD118))</f>
        <v/>
      </c>
      <c r="C122" s="31">
        <f>IF($A122="","",IF(Settings!$B$4="Yes","(hidden)",Submissions!AE118))</f>
        <v/>
      </c>
      <c r="D122" s="31">
        <f>IF($A122="","",Submissions!AF118)</f>
        <v/>
      </c>
      <c r="E122" s="31">
        <f>IF($A122="","",Submissions!AG118)</f>
        <v/>
      </c>
      <c r="F122" s="31">
        <f>IF($A122="","",Submissions!AH118)</f>
        <v/>
      </c>
      <c r="G122" s="37" t="n"/>
      <c r="H122" s="37" t="n"/>
      <c r="I122" s="37" t="n"/>
      <c r="J122" s="37" t="n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3">
        <f>IF(COUNT(G122:I122)=3,IFERROR(ROUND((G122*Settings!$D$15+H122*Settings!$D$16+I122*Settings!$D$17)/(Settings!$D$15+Settings!$D$16+Settings!$D$17),2),""),"")</f>
        <v/>
      </c>
      <c r="W122" s="33">
        <f>IF(COUNT(J122:L122)=3,IFERROR(ROUND((J122*Settings!$D$15+K122*Settings!$D$16+L122*Settings!$D$17)/(Settings!$D$15+Settings!$D$16+Settings!$D$17),2),""),"")</f>
        <v/>
      </c>
      <c r="X122" s="33">
        <f>IF(COUNT(M122:O122)=3,IFERROR(ROUND((M122*Settings!$D$15+N122*Settings!$D$16+O122*Settings!$D$17)/(Settings!$D$15+Settings!$D$16+Settings!$D$17),2),""),"")</f>
        <v/>
      </c>
      <c r="Y122" s="33">
        <f>IF(COUNT(P122:R122)=3,IFERROR(ROUND((P122*Settings!$D$15+Q122*Settings!$D$16+R122*Settings!$D$17)/(Settings!$D$15+Settings!$D$16+Settings!$D$17),2),""),"")</f>
        <v/>
      </c>
      <c r="Z122" s="33">
        <f>IF(COUNT(S122:U122)=3,IFERROR(ROUND((S122*Settings!$D$15+T122*Settings!$D$16+U122*Settings!$D$17)/(Settings!$D$15+Settings!$D$16+Settings!$D$17),2),""),"")</f>
        <v/>
      </c>
      <c r="AA122" s="34">
        <f>IF(COUNT(V122:Z122)=0,"",ROUND(AVERAGE(V122:Z122),2))</f>
        <v/>
      </c>
      <c r="AB122" s="35">
        <f>IF($A122="","",COUNT(V122:Z122))</f>
        <v/>
      </c>
      <c r="AC122" s="36" t="n"/>
      <c r="AD122" s="35">
        <f>IF(AA122="","",SUMPRODUCT(ISNUMBER($AA$6:$AA$305)*($AA$6:$AA$305&gt;AA122))+SUMPRODUCT(($AA$6:AA122=AA122)*1))</f>
        <v/>
      </c>
      <c r="AE122" s="35">
        <f>IF(AA122="","",SUMPRODUCT(($E$6:$E$305=E122)*ISNUMBER($AA$6:$AA$305)*($AA$6:$AA$305&gt;AA122))+SUMPRODUCT(($E$6:E122=E122)*($AA$6:AA122=AA122)))</f>
        <v/>
      </c>
    </row>
    <row r="123">
      <c r="A123" s="31">
        <f>IF(Submissions!AD119="","",118)</f>
        <v/>
      </c>
      <c r="B123" s="10">
        <f>IF($A123="","",IF(Settings!$B$4="Yes","Submission "&amp;$A123,Submissions!AD119))</f>
        <v/>
      </c>
      <c r="C123" s="31">
        <f>IF($A123="","",IF(Settings!$B$4="Yes","(hidden)",Submissions!AE119))</f>
        <v/>
      </c>
      <c r="D123" s="31">
        <f>IF($A123="","",Submissions!AF119)</f>
        <v/>
      </c>
      <c r="E123" s="31">
        <f>IF($A123="","",Submissions!AG119)</f>
        <v/>
      </c>
      <c r="F123" s="31">
        <f>IF($A123="","",Submissions!AH119)</f>
        <v/>
      </c>
      <c r="G123" s="37" t="n"/>
      <c r="H123" s="37" t="n"/>
      <c r="I123" s="37" t="n"/>
      <c r="J123" s="37" t="n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3">
        <f>IF(COUNT(G123:I123)=3,IFERROR(ROUND((G123*Settings!$D$15+H123*Settings!$D$16+I123*Settings!$D$17)/(Settings!$D$15+Settings!$D$16+Settings!$D$17),2),""),"")</f>
        <v/>
      </c>
      <c r="W123" s="33">
        <f>IF(COUNT(J123:L123)=3,IFERROR(ROUND((J123*Settings!$D$15+K123*Settings!$D$16+L123*Settings!$D$17)/(Settings!$D$15+Settings!$D$16+Settings!$D$17),2),""),"")</f>
        <v/>
      </c>
      <c r="X123" s="33">
        <f>IF(COUNT(M123:O123)=3,IFERROR(ROUND((M123*Settings!$D$15+N123*Settings!$D$16+O123*Settings!$D$17)/(Settings!$D$15+Settings!$D$16+Settings!$D$17),2),""),"")</f>
        <v/>
      </c>
      <c r="Y123" s="33">
        <f>IF(COUNT(P123:R123)=3,IFERROR(ROUND((P123*Settings!$D$15+Q123*Settings!$D$16+R123*Settings!$D$17)/(Settings!$D$15+Settings!$D$16+Settings!$D$17),2),""),"")</f>
        <v/>
      </c>
      <c r="Z123" s="33">
        <f>IF(COUNT(S123:U123)=3,IFERROR(ROUND((S123*Settings!$D$15+T123*Settings!$D$16+U123*Settings!$D$17)/(Settings!$D$15+Settings!$D$16+Settings!$D$17),2),""),"")</f>
        <v/>
      </c>
      <c r="AA123" s="34">
        <f>IF(COUNT(V123:Z123)=0,"",ROUND(AVERAGE(V123:Z123),2))</f>
        <v/>
      </c>
      <c r="AB123" s="35">
        <f>IF($A123="","",COUNT(V123:Z123))</f>
        <v/>
      </c>
      <c r="AC123" s="36" t="n"/>
      <c r="AD123" s="35">
        <f>IF(AA123="","",SUMPRODUCT(ISNUMBER($AA$6:$AA$305)*($AA$6:$AA$305&gt;AA123))+SUMPRODUCT(($AA$6:AA123=AA123)*1))</f>
        <v/>
      </c>
      <c r="AE123" s="35">
        <f>IF(AA123="","",SUMPRODUCT(($E$6:$E$305=E123)*ISNUMBER($AA$6:$AA$305)*($AA$6:$AA$305&gt;AA123))+SUMPRODUCT(($E$6:E123=E123)*($AA$6:AA123=AA123)))</f>
        <v/>
      </c>
    </row>
    <row r="124">
      <c r="A124" s="31">
        <f>IF(Submissions!AD120="","",119)</f>
        <v/>
      </c>
      <c r="B124" s="10">
        <f>IF($A124="","",IF(Settings!$B$4="Yes","Submission "&amp;$A124,Submissions!AD120))</f>
        <v/>
      </c>
      <c r="C124" s="31">
        <f>IF($A124="","",IF(Settings!$B$4="Yes","(hidden)",Submissions!AE120))</f>
        <v/>
      </c>
      <c r="D124" s="31">
        <f>IF($A124="","",Submissions!AF120)</f>
        <v/>
      </c>
      <c r="E124" s="31">
        <f>IF($A124="","",Submissions!AG120)</f>
        <v/>
      </c>
      <c r="F124" s="31">
        <f>IF($A124="","",Submissions!AH120)</f>
        <v/>
      </c>
      <c r="G124" s="37" t="n"/>
      <c r="H124" s="37" t="n"/>
      <c r="I124" s="37" t="n"/>
      <c r="J124" s="37" t="n"/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3">
        <f>IF(COUNT(G124:I124)=3,IFERROR(ROUND((G124*Settings!$D$15+H124*Settings!$D$16+I124*Settings!$D$17)/(Settings!$D$15+Settings!$D$16+Settings!$D$17),2),""),"")</f>
        <v/>
      </c>
      <c r="W124" s="33">
        <f>IF(COUNT(J124:L124)=3,IFERROR(ROUND((J124*Settings!$D$15+K124*Settings!$D$16+L124*Settings!$D$17)/(Settings!$D$15+Settings!$D$16+Settings!$D$17),2),""),"")</f>
        <v/>
      </c>
      <c r="X124" s="33">
        <f>IF(COUNT(M124:O124)=3,IFERROR(ROUND((M124*Settings!$D$15+N124*Settings!$D$16+O124*Settings!$D$17)/(Settings!$D$15+Settings!$D$16+Settings!$D$17),2),""),"")</f>
        <v/>
      </c>
      <c r="Y124" s="33">
        <f>IF(COUNT(P124:R124)=3,IFERROR(ROUND((P124*Settings!$D$15+Q124*Settings!$D$16+R124*Settings!$D$17)/(Settings!$D$15+Settings!$D$16+Settings!$D$17),2),""),"")</f>
        <v/>
      </c>
      <c r="Z124" s="33">
        <f>IF(COUNT(S124:U124)=3,IFERROR(ROUND((S124*Settings!$D$15+T124*Settings!$D$16+U124*Settings!$D$17)/(Settings!$D$15+Settings!$D$16+Settings!$D$17),2),""),"")</f>
        <v/>
      </c>
      <c r="AA124" s="34">
        <f>IF(COUNT(V124:Z124)=0,"",ROUND(AVERAGE(V124:Z124),2))</f>
        <v/>
      </c>
      <c r="AB124" s="35">
        <f>IF($A124="","",COUNT(V124:Z124))</f>
        <v/>
      </c>
      <c r="AC124" s="36" t="n"/>
      <c r="AD124" s="35">
        <f>IF(AA124="","",SUMPRODUCT(ISNUMBER($AA$6:$AA$305)*($AA$6:$AA$305&gt;AA124))+SUMPRODUCT(($AA$6:AA124=AA124)*1))</f>
        <v/>
      </c>
      <c r="AE124" s="35">
        <f>IF(AA124="","",SUMPRODUCT(($E$6:$E$305=E124)*ISNUMBER($AA$6:$AA$305)*($AA$6:$AA$305&gt;AA124))+SUMPRODUCT(($E$6:E124=E124)*($AA$6:AA124=AA124)))</f>
        <v/>
      </c>
    </row>
    <row r="125">
      <c r="A125" s="31">
        <f>IF(Submissions!AD121="","",120)</f>
        <v/>
      </c>
      <c r="B125" s="10">
        <f>IF($A125="","",IF(Settings!$B$4="Yes","Submission "&amp;$A125,Submissions!AD121))</f>
        <v/>
      </c>
      <c r="C125" s="31">
        <f>IF($A125="","",IF(Settings!$B$4="Yes","(hidden)",Submissions!AE121))</f>
        <v/>
      </c>
      <c r="D125" s="31">
        <f>IF($A125="","",Submissions!AF121)</f>
        <v/>
      </c>
      <c r="E125" s="31">
        <f>IF($A125="","",Submissions!AG121)</f>
        <v/>
      </c>
      <c r="F125" s="31">
        <f>IF($A125="","",Submissions!AH121)</f>
        <v/>
      </c>
      <c r="G125" s="37" t="n"/>
      <c r="H125" s="37" t="n"/>
      <c r="I125" s="37" t="n"/>
      <c r="J125" s="37" t="n"/>
      <c r="K125" s="37" t="n"/>
      <c r="L125" s="37" t="n"/>
      <c r="M125" s="37" t="n"/>
      <c r="N125" s="37" t="n"/>
      <c r="O125" s="37" t="n"/>
      <c r="P125" s="37" t="n"/>
      <c r="Q125" s="37" t="n"/>
      <c r="R125" s="37" t="n"/>
      <c r="S125" s="37" t="n"/>
      <c r="T125" s="37" t="n"/>
      <c r="U125" s="37" t="n"/>
      <c r="V125" s="33">
        <f>IF(COUNT(G125:I125)=3,IFERROR(ROUND((G125*Settings!$D$15+H125*Settings!$D$16+I125*Settings!$D$17)/(Settings!$D$15+Settings!$D$16+Settings!$D$17),2),""),"")</f>
        <v/>
      </c>
      <c r="W125" s="33">
        <f>IF(COUNT(J125:L125)=3,IFERROR(ROUND((J125*Settings!$D$15+K125*Settings!$D$16+L125*Settings!$D$17)/(Settings!$D$15+Settings!$D$16+Settings!$D$17),2),""),"")</f>
        <v/>
      </c>
      <c r="X125" s="33">
        <f>IF(COUNT(M125:O125)=3,IFERROR(ROUND((M125*Settings!$D$15+N125*Settings!$D$16+O125*Settings!$D$17)/(Settings!$D$15+Settings!$D$16+Settings!$D$17),2),""),"")</f>
        <v/>
      </c>
      <c r="Y125" s="33">
        <f>IF(COUNT(P125:R125)=3,IFERROR(ROUND((P125*Settings!$D$15+Q125*Settings!$D$16+R125*Settings!$D$17)/(Settings!$D$15+Settings!$D$16+Settings!$D$17),2),""),"")</f>
        <v/>
      </c>
      <c r="Z125" s="33">
        <f>IF(COUNT(S125:U125)=3,IFERROR(ROUND((S125*Settings!$D$15+T125*Settings!$D$16+U125*Settings!$D$17)/(Settings!$D$15+Settings!$D$16+Settings!$D$17),2),""),"")</f>
        <v/>
      </c>
      <c r="AA125" s="34">
        <f>IF(COUNT(V125:Z125)=0,"",ROUND(AVERAGE(V125:Z125),2))</f>
        <v/>
      </c>
      <c r="AB125" s="35">
        <f>IF($A125="","",COUNT(V125:Z125))</f>
        <v/>
      </c>
      <c r="AC125" s="36" t="n"/>
      <c r="AD125" s="35">
        <f>IF(AA125="","",SUMPRODUCT(ISNUMBER($AA$6:$AA$305)*($AA$6:$AA$305&gt;AA125))+SUMPRODUCT(($AA$6:AA125=AA125)*1))</f>
        <v/>
      </c>
      <c r="AE125" s="35">
        <f>IF(AA125="","",SUMPRODUCT(($E$6:$E$305=E125)*ISNUMBER($AA$6:$AA$305)*($AA$6:$AA$305&gt;AA125))+SUMPRODUCT(($E$6:E125=E125)*($AA$6:AA125=AA125)))</f>
        <v/>
      </c>
    </row>
    <row r="126">
      <c r="A126" s="31">
        <f>IF(Submissions!AD122="","",121)</f>
        <v/>
      </c>
      <c r="B126" s="10">
        <f>IF($A126="","",IF(Settings!$B$4="Yes","Submission "&amp;$A126,Submissions!AD122))</f>
        <v/>
      </c>
      <c r="C126" s="31">
        <f>IF($A126="","",IF(Settings!$B$4="Yes","(hidden)",Submissions!AE122))</f>
        <v/>
      </c>
      <c r="D126" s="31">
        <f>IF($A126="","",Submissions!AF122)</f>
        <v/>
      </c>
      <c r="E126" s="31">
        <f>IF($A126="","",Submissions!AG122)</f>
        <v/>
      </c>
      <c r="F126" s="31">
        <f>IF($A126="","",Submissions!AH122)</f>
        <v/>
      </c>
      <c r="G126" s="37" t="n"/>
      <c r="H126" s="37" t="n"/>
      <c r="I126" s="37" t="n"/>
      <c r="J126" s="37" t="n"/>
      <c r="K126" s="37" t="n"/>
      <c r="L126" s="37" t="n"/>
      <c r="M126" s="37" t="n"/>
      <c r="N126" s="37" t="n"/>
      <c r="O126" s="37" t="n"/>
      <c r="P126" s="37" t="n"/>
      <c r="Q126" s="37" t="n"/>
      <c r="R126" s="37" t="n"/>
      <c r="S126" s="37" t="n"/>
      <c r="T126" s="37" t="n"/>
      <c r="U126" s="37" t="n"/>
      <c r="V126" s="33">
        <f>IF(COUNT(G126:I126)=3,IFERROR(ROUND((G126*Settings!$D$15+H126*Settings!$D$16+I126*Settings!$D$17)/(Settings!$D$15+Settings!$D$16+Settings!$D$17),2),""),"")</f>
        <v/>
      </c>
      <c r="W126" s="33">
        <f>IF(COUNT(J126:L126)=3,IFERROR(ROUND((J126*Settings!$D$15+K126*Settings!$D$16+L126*Settings!$D$17)/(Settings!$D$15+Settings!$D$16+Settings!$D$17),2),""),"")</f>
        <v/>
      </c>
      <c r="X126" s="33">
        <f>IF(COUNT(M126:O126)=3,IFERROR(ROUND((M126*Settings!$D$15+N126*Settings!$D$16+O126*Settings!$D$17)/(Settings!$D$15+Settings!$D$16+Settings!$D$17),2),""),"")</f>
        <v/>
      </c>
      <c r="Y126" s="33">
        <f>IF(COUNT(P126:R126)=3,IFERROR(ROUND((P126*Settings!$D$15+Q126*Settings!$D$16+R126*Settings!$D$17)/(Settings!$D$15+Settings!$D$16+Settings!$D$17),2),""),"")</f>
        <v/>
      </c>
      <c r="Z126" s="33">
        <f>IF(COUNT(S126:U126)=3,IFERROR(ROUND((S126*Settings!$D$15+T126*Settings!$D$16+U126*Settings!$D$17)/(Settings!$D$15+Settings!$D$16+Settings!$D$17),2),""),"")</f>
        <v/>
      </c>
      <c r="AA126" s="34">
        <f>IF(COUNT(V126:Z126)=0,"",ROUND(AVERAGE(V126:Z126),2))</f>
        <v/>
      </c>
      <c r="AB126" s="35">
        <f>IF($A126="","",COUNT(V126:Z126))</f>
        <v/>
      </c>
      <c r="AC126" s="36" t="n"/>
      <c r="AD126" s="35">
        <f>IF(AA126="","",SUMPRODUCT(ISNUMBER($AA$6:$AA$305)*($AA$6:$AA$305&gt;AA126))+SUMPRODUCT(($AA$6:AA126=AA126)*1))</f>
        <v/>
      </c>
      <c r="AE126" s="35">
        <f>IF(AA126="","",SUMPRODUCT(($E$6:$E$305=E126)*ISNUMBER($AA$6:$AA$305)*($AA$6:$AA$305&gt;AA126))+SUMPRODUCT(($E$6:E126=E126)*($AA$6:AA126=AA126)))</f>
        <v/>
      </c>
    </row>
    <row r="127">
      <c r="A127" s="31">
        <f>IF(Submissions!AD123="","",122)</f>
        <v/>
      </c>
      <c r="B127" s="10">
        <f>IF($A127="","",IF(Settings!$B$4="Yes","Submission "&amp;$A127,Submissions!AD123))</f>
        <v/>
      </c>
      <c r="C127" s="31">
        <f>IF($A127="","",IF(Settings!$B$4="Yes","(hidden)",Submissions!AE123))</f>
        <v/>
      </c>
      <c r="D127" s="31">
        <f>IF($A127="","",Submissions!AF123)</f>
        <v/>
      </c>
      <c r="E127" s="31">
        <f>IF($A127="","",Submissions!AG123)</f>
        <v/>
      </c>
      <c r="F127" s="31">
        <f>IF($A127="","",Submissions!AH123)</f>
        <v/>
      </c>
      <c r="G127" s="37" t="n"/>
      <c r="H127" s="37" t="n"/>
      <c r="I127" s="37" t="n"/>
      <c r="J127" s="37" t="n"/>
      <c r="K127" s="37" t="n"/>
      <c r="L127" s="37" t="n"/>
      <c r="M127" s="37" t="n"/>
      <c r="N127" s="37" t="n"/>
      <c r="O127" s="37" t="n"/>
      <c r="P127" s="37" t="n"/>
      <c r="Q127" s="37" t="n"/>
      <c r="R127" s="37" t="n"/>
      <c r="S127" s="37" t="n"/>
      <c r="T127" s="37" t="n"/>
      <c r="U127" s="37" t="n"/>
      <c r="V127" s="33">
        <f>IF(COUNT(G127:I127)=3,IFERROR(ROUND((G127*Settings!$D$15+H127*Settings!$D$16+I127*Settings!$D$17)/(Settings!$D$15+Settings!$D$16+Settings!$D$17),2),""),"")</f>
        <v/>
      </c>
      <c r="W127" s="33">
        <f>IF(COUNT(J127:L127)=3,IFERROR(ROUND((J127*Settings!$D$15+K127*Settings!$D$16+L127*Settings!$D$17)/(Settings!$D$15+Settings!$D$16+Settings!$D$17),2),""),"")</f>
        <v/>
      </c>
      <c r="X127" s="33">
        <f>IF(COUNT(M127:O127)=3,IFERROR(ROUND((M127*Settings!$D$15+N127*Settings!$D$16+O127*Settings!$D$17)/(Settings!$D$15+Settings!$D$16+Settings!$D$17),2),""),"")</f>
        <v/>
      </c>
      <c r="Y127" s="33">
        <f>IF(COUNT(P127:R127)=3,IFERROR(ROUND((P127*Settings!$D$15+Q127*Settings!$D$16+R127*Settings!$D$17)/(Settings!$D$15+Settings!$D$16+Settings!$D$17),2),""),"")</f>
        <v/>
      </c>
      <c r="Z127" s="33">
        <f>IF(COUNT(S127:U127)=3,IFERROR(ROUND((S127*Settings!$D$15+T127*Settings!$D$16+U127*Settings!$D$17)/(Settings!$D$15+Settings!$D$16+Settings!$D$17),2),""),"")</f>
        <v/>
      </c>
      <c r="AA127" s="34">
        <f>IF(COUNT(V127:Z127)=0,"",ROUND(AVERAGE(V127:Z127),2))</f>
        <v/>
      </c>
      <c r="AB127" s="35">
        <f>IF($A127="","",COUNT(V127:Z127))</f>
        <v/>
      </c>
      <c r="AC127" s="36" t="n"/>
      <c r="AD127" s="35">
        <f>IF(AA127="","",SUMPRODUCT(ISNUMBER($AA$6:$AA$305)*($AA$6:$AA$305&gt;AA127))+SUMPRODUCT(($AA$6:AA127=AA127)*1))</f>
        <v/>
      </c>
      <c r="AE127" s="35">
        <f>IF(AA127="","",SUMPRODUCT(($E$6:$E$305=E127)*ISNUMBER($AA$6:$AA$305)*($AA$6:$AA$305&gt;AA127))+SUMPRODUCT(($E$6:E127=E127)*($AA$6:AA127=AA127)))</f>
        <v/>
      </c>
    </row>
    <row r="128">
      <c r="A128" s="31">
        <f>IF(Submissions!AD124="","",123)</f>
        <v/>
      </c>
      <c r="B128" s="10">
        <f>IF($A128="","",IF(Settings!$B$4="Yes","Submission "&amp;$A128,Submissions!AD124))</f>
        <v/>
      </c>
      <c r="C128" s="31">
        <f>IF($A128="","",IF(Settings!$B$4="Yes","(hidden)",Submissions!AE124))</f>
        <v/>
      </c>
      <c r="D128" s="31">
        <f>IF($A128="","",Submissions!AF124)</f>
        <v/>
      </c>
      <c r="E128" s="31">
        <f>IF($A128="","",Submissions!AG124)</f>
        <v/>
      </c>
      <c r="F128" s="31">
        <f>IF($A128="","",Submissions!AH124)</f>
        <v/>
      </c>
      <c r="G128" s="37" t="n"/>
      <c r="H128" s="37" t="n"/>
      <c r="I128" s="37" t="n"/>
      <c r="J128" s="37" t="n"/>
      <c r="K128" s="37" t="n"/>
      <c r="L128" s="37" t="n"/>
      <c r="M128" s="37" t="n"/>
      <c r="N128" s="37" t="n"/>
      <c r="O128" s="37" t="n"/>
      <c r="P128" s="37" t="n"/>
      <c r="Q128" s="37" t="n"/>
      <c r="R128" s="37" t="n"/>
      <c r="S128" s="37" t="n"/>
      <c r="T128" s="37" t="n"/>
      <c r="U128" s="37" t="n"/>
      <c r="V128" s="33">
        <f>IF(COUNT(G128:I128)=3,IFERROR(ROUND((G128*Settings!$D$15+H128*Settings!$D$16+I128*Settings!$D$17)/(Settings!$D$15+Settings!$D$16+Settings!$D$17),2),""),"")</f>
        <v/>
      </c>
      <c r="W128" s="33">
        <f>IF(COUNT(J128:L128)=3,IFERROR(ROUND((J128*Settings!$D$15+K128*Settings!$D$16+L128*Settings!$D$17)/(Settings!$D$15+Settings!$D$16+Settings!$D$17),2),""),"")</f>
        <v/>
      </c>
      <c r="X128" s="33">
        <f>IF(COUNT(M128:O128)=3,IFERROR(ROUND((M128*Settings!$D$15+N128*Settings!$D$16+O128*Settings!$D$17)/(Settings!$D$15+Settings!$D$16+Settings!$D$17),2),""),"")</f>
        <v/>
      </c>
      <c r="Y128" s="33">
        <f>IF(COUNT(P128:R128)=3,IFERROR(ROUND((P128*Settings!$D$15+Q128*Settings!$D$16+R128*Settings!$D$17)/(Settings!$D$15+Settings!$D$16+Settings!$D$17),2),""),"")</f>
        <v/>
      </c>
      <c r="Z128" s="33">
        <f>IF(COUNT(S128:U128)=3,IFERROR(ROUND((S128*Settings!$D$15+T128*Settings!$D$16+U128*Settings!$D$17)/(Settings!$D$15+Settings!$D$16+Settings!$D$17),2),""),"")</f>
        <v/>
      </c>
      <c r="AA128" s="34">
        <f>IF(COUNT(V128:Z128)=0,"",ROUND(AVERAGE(V128:Z128),2))</f>
        <v/>
      </c>
      <c r="AB128" s="35">
        <f>IF($A128="","",COUNT(V128:Z128))</f>
        <v/>
      </c>
      <c r="AC128" s="36" t="n"/>
      <c r="AD128" s="35">
        <f>IF(AA128="","",SUMPRODUCT(ISNUMBER($AA$6:$AA$305)*($AA$6:$AA$305&gt;AA128))+SUMPRODUCT(($AA$6:AA128=AA128)*1))</f>
        <v/>
      </c>
      <c r="AE128" s="35">
        <f>IF(AA128="","",SUMPRODUCT(($E$6:$E$305=E128)*ISNUMBER($AA$6:$AA$305)*($AA$6:$AA$305&gt;AA128))+SUMPRODUCT(($E$6:E128=E128)*($AA$6:AA128=AA128)))</f>
        <v/>
      </c>
    </row>
    <row r="129">
      <c r="A129" s="31">
        <f>IF(Submissions!AD125="","",124)</f>
        <v/>
      </c>
      <c r="B129" s="10">
        <f>IF($A129="","",IF(Settings!$B$4="Yes","Submission "&amp;$A129,Submissions!AD125))</f>
        <v/>
      </c>
      <c r="C129" s="31">
        <f>IF($A129="","",IF(Settings!$B$4="Yes","(hidden)",Submissions!AE125))</f>
        <v/>
      </c>
      <c r="D129" s="31">
        <f>IF($A129="","",Submissions!AF125)</f>
        <v/>
      </c>
      <c r="E129" s="31">
        <f>IF($A129="","",Submissions!AG125)</f>
        <v/>
      </c>
      <c r="F129" s="31">
        <f>IF($A129="","",Submissions!AH125)</f>
        <v/>
      </c>
      <c r="G129" s="37" t="n"/>
      <c r="H129" s="37" t="n"/>
      <c r="I129" s="37" t="n"/>
      <c r="J129" s="37" t="n"/>
      <c r="K129" s="37" t="n"/>
      <c r="L129" s="37" t="n"/>
      <c r="M129" s="37" t="n"/>
      <c r="N129" s="37" t="n"/>
      <c r="O129" s="37" t="n"/>
      <c r="P129" s="37" t="n"/>
      <c r="Q129" s="37" t="n"/>
      <c r="R129" s="37" t="n"/>
      <c r="S129" s="37" t="n"/>
      <c r="T129" s="37" t="n"/>
      <c r="U129" s="37" t="n"/>
      <c r="V129" s="33">
        <f>IF(COUNT(G129:I129)=3,IFERROR(ROUND((G129*Settings!$D$15+H129*Settings!$D$16+I129*Settings!$D$17)/(Settings!$D$15+Settings!$D$16+Settings!$D$17),2),""),"")</f>
        <v/>
      </c>
      <c r="W129" s="33">
        <f>IF(COUNT(J129:L129)=3,IFERROR(ROUND((J129*Settings!$D$15+K129*Settings!$D$16+L129*Settings!$D$17)/(Settings!$D$15+Settings!$D$16+Settings!$D$17),2),""),"")</f>
        <v/>
      </c>
      <c r="X129" s="33">
        <f>IF(COUNT(M129:O129)=3,IFERROR(ROUND((M129*Settings!$D$15+N129*Settings!$D$16+O129*Settings!$D$17)/(Settings!$D$15+Settings!$D$16+Settings!$D$17),2),""),"")</f>
        <v/>
      </c>
      <c r="Y129" s="33">
        <f>IF(COUNT(P129:R129)=3,IFERROR(ROUND((P129*Settings!$D$15+Q129*Settings!$D$16+R129*Settings!$D$17)/(Settings!$D$15+Settings!$D$16+Settings!$D$17),2),""),"")</f>
        <v/>
      </c>
      <c r="Z129" s="33">
        <f>IF(COUNT(S129:U129)=3,IFERROR(ROUND((S129*Settings!$D$15+T129*Settings!$D$16+U129*Settings!$D$17)/(Settings!$D$15+Settings!$D$16+Settings!$D$17),2),""),"")</f>
        <v/>
      </c>
      <c r="AA129" s="34">
        <f>IF(COUNT(V129:Z129)=0,"",ROUND(AVERAGE(V129:Z129),2))</f>
        <v/>
      </c>
      <c r="AB129" s="35">
        <f>IF($A129="","",COUNT(V129:Z129))</f>
        <v/>
      </c>
      <c r="AC129" s="36" t="n"/>
      <c r="AD129" s="35">
        <f>IF(AA129="","",SUMPRODUCT(ISNUMBER($AA$6:$AA$305)*($AA$6:$AA$305&gt;AA129))+SUMPRODUCT(($AA$6:AA129=AA129)*1))</f>
        <v/>
      </c>
      <c r="AE129" s="35">
        <f>IF(AA129="","",SUMPRODUCT(($E$6:$E$305=E129)*ISNUMBER($AA$6:$AA$305)*($AA$6:$AA$305&gt;AA129))+SUMPRODUCT(($E$6:E129=E129)*($AA$6:AA129=AA129)))</f>
        <v/>
      </c>
    </row>
    <row r="130">
      <c r="A130" s="31">
        <f>IF(Submissions!AD126="","",125)</f>
        <v/>
      </c>
      <c r="B130" s="10">
        <f>IF($A130="","",IF(Settings!$B$4="Yes","Submission "&amp;$A130,Submissions!AD126))</f>
        <v/>
      </c>
      <c r="C130" s="31">
        <f>IF($A130="","",IF(Settings!$B$4="Yes","(hidden)",Submissions!AE126))</f>
        <v/>
      </c>
      <c r="D130" s="31">
        <f>IF($A130="","",Submissions!AF126)</f>
        <v/>
      </c>
      <c r="E130" s="31">
        <f>IF($A130="","",Submissions!AG126)</f>
        <v/>
      </c>
      <c r="F130" s="31">
        <f>IF($A130="","",Submissions!AH126)</f>
        <v/>
      </c>
      <c r="G130" s="37" t="n"/>
      <c r="H130" s="37" t="n"/>
      <c r="I130" s="37" t="n"/>
      <c r="J130" s="37" t="n"/>
      <c r="K130" s="37" t="n"/>
      <c r="L130" s="37" t="n"/>
      <c r="M130" s="37" t="n"/>
      <c r="N130" s="37" t="n"/>
      <c r="O130" s="37" t="n"/>
      <c r="P130" s="37" t="n"/>
      <c r="Q130" s="37" t="n"/>
      <c r="R130" s="37" t="n"/>
      <c r="S130" s="37" t="n"/>
      <c r="T130" s="37" t="n"/>
      <c r="U130" s="37" t="n"/>
      <c r="V130" s="33">
        <f>IF(COUNT(G130:I130)=3,IFERROR(ROUND((G130*Settings!$D$15+H130*Settings!$D$16+I130*Settings!$D$17)/(Settings!$D$15+Settings!$D$16+Settings!$D$17),2),""),"")</f>
        <v/>
      </c>
      <c r="W130" s="33">
        <f>IF(COUNT(J130:L130)=3,IFERROR(ROUND((J130*Settings!$D$15+K130*Settings!$D$16+L130*Settings!$D$17)/(Settings!$D$15+Settings!$D$16+Settings!$D$17),2),""),"")</f>
        <v/>
      </c>
      <c r="X130" s="33">
        <f>IF(COUNT(M130:O130)=3,IFERROR(ROUND((M130*Settings!$D$15+N130*Settings!$D$16+O130*Settings!$D$17)/(Settings!$D$15+Settings!$D$16+Settings!$D$17),2),""),"")</f>
        <v/>
      </c>
      <c r="Y130" s="33">
        <f>IF(COUNT(P130:R130)=3,IFERROR(ROUND((P130*Settings!$D$15+Q130*Settings!$D$16+R130*Settings!$D$17)/(Settings!$D$15+Settings!$D$16+Settings!$D$17),2),""),"")</f>
        <v/>
      </c>
      <c r="Z130" s="33">
        <f>IF(COUNT(S130:U130)=3,IFERROR(ROUND((S130*Settings!$D$15+T130*Settings!$D$16+U130*Settings!$D$17)/(Settings!$D$15+Settings!$D$16+Settings!$D$17),2),""),"")</f>
        <v/>
      </c>
      <c r="AA130" s="34">
        <f>IF(COUNT(V130:Z130)=0,"",ROUND(AVERAGE(V130:Z130),2))</f>
        <v/>
      </c>
      <c r="AB130" s="35">
        <f>IF($A130="","",COUNT(V130:Z130))</f>
        <v/>
      </c>
      <c r="AC130" s="36" t="n"/>
      <c r="AD130" s="35">
        <f>IF(AA130="","",SUMPRODUCT(ISNUMBER($AA$6:$AA$305)*($AA$6:$AA$305&gt;AA130))+SUMPRODUCT(($AA$6:AA130=AA130)*1))</f>
        <v/>
      </c>
      <c r="AE130" s="35">
        <f>IF(AA130="","",SUMPRODUCT(($E$6:$E$305=E130)*ISNUMBER($AA$6:$AA$305)*($AA$6:$AA$305&gt;AA130))+SUMPRODUCT(($E$6:E130=E130)*($AA$6:AA130=AA130)))</f>
        <v/>
      </c>
    </row>
    <row r="131">
      <c r="A131" s="31">
        <f>IF(Submissions!AD127="","",126)</f>
        <v/>
      </c>
      <c r="B131" s="10">
        <f>IF($A131="","",IF(Settings!$B$4="Yes","Submission "&amp;$A131,Submissions!AD127))</f>
        <v/>
      </c>
      <c r="C131" s="31">
        <f>IF($A131="","",IF(Settings!$B$4="Yes","(hidden)",Submissions!AE127))</f>
        <v/>
      </c>
      <c r="D131" s="31">
        <f>IF($A131="","",Submissions!AF127)</f>
        <v/>
      </c>
      <c r="E131" s="31">
        <f>IF($A131="","",Submissions!AG127)</f>
        <v/>
      </c>
      <c r="F131" s="31">
        <f>IF($A131="","",Submissions!AH127)</f>
        <v/>
      </c>
      <c r="G131" s="37" t="n"/>
      <c r="H131" s="37" t="n"/>
      <c r="I131" s="37" t="n"/>
      <c r="J131" s="37" t="n"/>
      <c r="K131" s="37" t="n"/>
      <c r="L131" s="37" t="n"/>
      <c r="M131" s="37" t="n"/>
      <c r="N131" s="37" t="n"/>
      <c r="O131" s="37" t="n"/>
      <c r="P131" s="37" t="n"/>
      <c r="Q131" s="37" t="n"/>
      <c r="R131" s="37" t="n"/>
      <c r="S131" s="37" t="n"/>
      <c r="T131" s="37" t="n"/>
      <c r="U131" s="37" t="n"/>
      <c r="V131" s="33">
        <f>IF(COUNT(G131:I131)=3,IFERROR(ROUND((G131*Settings!$D$15+H131*Settings!$D$16+I131*Settings!$D$17)/(Settings!$D$15+Settings!$D$16+Settings!$D$17),2),""),"")</f>
        <v/>
      </c>
      <c r="W131" s="33">
        <f>IF(COUNT(J131:L131)=3,IFERROR(ROUND((J131*Settings!$D$15+K131*Settings!$D$16+L131*Settings!$D$17)/(Settings!$D$15+Settings!$D$16+Settings!$D$17),2),""),"")</f>
        <v/>
      </c>
      <c r="X131" s="33">
        <f>IF(COUNT(M131:O131)=3,IFERROR(ROUND((M131*Settings!$D$15+N131*Settings!$D$16+O131*Settings!$D$17)/(Settings!$D$15+Settings!$D$16+Settings!$D$17),2),""),"")</f>
        <v/>
      </c>
      <c r="Y131" s="33">
        <f>IF(COUNT(P131:R131)=3,IFERROR(ROUND((P131*Settings!$D$15+Q131*Settings!$D$16+R131*Settings!$D$17)/(Settings!$D$15+Settings!$D$16+Settings!$D$17),2),""),"")</f>
        <v/>
      </c>
      <c r="Z131" s="33">
        <f>IF(COUNT(S131:U131)=3,IFERROR(ROUND((S131*Settings!$D$15+T131*Settings!$D$16+U131*Settings!$D$17)/(Settings!$D$15+Settings!$D$16+Settings!$D$17),2),""),"")</f>
        <v/>
      </c>
      <c r="AA131" s="34">
        <f>IF(COUNT(V131:Z131)=0,"",ROUND(AVERAGE(V131:Z131),2))</f>
        <v/>
      </c>
      <c r="AB131" s="35">
        <f>IF($A131="","",COUNT(V131:Z131))</f>
        <v/>
      </c>
      <c r="AC131" s="36" t="n"/>
      <c r="AD131" s="35">
        <f>IF(AA131="","",SUMPRODUCT(ISNUMBER($AA$6:$AA$305)*($AA$6:$AA$305&gt;AA131))+SUMPRODUCT(($AA$6:AA131=AA131)*1))</f>
        <v/>
      </c>
      <c r="AE131" s="35">
        <f>IF(AA131="","",SUMPRODUCT(($E$6:$E$305=E131)*ISNUMBER($AA$6:$AA$305)*($AA$6:$AA$305&gt;AA131))+SUMPRODUCT(($E$6:E131=E131)*($AA$6:AA131=AA131)))</f>
        <v/>
      </c>
    </row>
    <row r="132">
      <c r="A132" s="31">
        <f>IF(Submissions!AD128="","",127)</f>
        <v/>
      </c>
      <c r="B132" s="10">
        <f>IF($A132="","",IF(Settings!$B$4="Yes","Submission "&amp;$A132,Submissions!AD128))</f>
        <v/>
      </c>
      <c r="C132" s="31">
        <f>IF($A132="","",IF(Settings!$B$4="Yes","(hidden)",Submissions!AE128))</f>
        <v/>
      </c>
      <c r="D132" s="31">
        <f>IF($A132="","",Submissions!AF128)</f>
        <v/>
      </c>
      <c r="E132" s="31">
        <f>IF($A132="","",Submissions!AG128)</f>
        <v/>
      </c>
      <c r="F132" s="31">
        <f>IF($A132="","",Submissions!AH128)</f>
        <v/>
      </c>
      <c r="G132" s="37" t="n"/>
      <c r="H132" s="37" t="n"/>
      <c r="I132" s="37" t="n"/>
      <c r="J132" s="37" t="n"/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3">
        <f>IF(COUNT(G132:I132)=3,IFERROR(ROUND((G132*Settings!$D$15+H132*Settings!$D$16+I132*Settings!$D$17)/(Settings!$D$15+Settings!$D$16+Settings!$D$17),2),""),"")</f>
        <v/>
      </c>
      <c r="W132" s="33">
        <f>IF(COUNT(J132:L132)=3,IFERROR(ROUND((J132*Settings!$D$15+K132*Settings!$D$16+L132*Settings!$D$17)/(Settings!$D$15+Settings!$D$16+Settings!$D$17),2),""),"")</f>
        <v/>
      </c>
      <c r="X132" s="33">
        <f>IF(COUNT(M132:O132)=3,IFERROR(ROUND((M132*Settings!$D$15+N132*Settings!$D$16+O132*Settings!$D$17)/(Settings!$D$15+Settings!$D$16+Settings!$D$17),2),""),"")</f>
        <v/>
      </c>
      <c r="Y132" s="33">
        <f>IF(COUNT(P132:R132)=3,IFERROR(ROUND((P132*Settings!$D$15+Q132*Settings!$D$16+R132*Settings!$D$17)/(Settings!$D$15+Settings!$D$16+Settings!$D$17),2),""),"")</f>
        <v/>
      </c>
      <c r="Z132" s="33">
        <f>IF(COUNT(S132:U132)=3,IFERROR(ROUND((S132*Settings!$D$15+T132*Settings!$D$16+U132*Settings!$D$17)/(Settings!$D$15+Settings!$D$16+Settings!$D$17),2),""),"")</f>
        <v/>
      </c>
      <c r="AA132" s="34">
        <f>IF(COUNT(V132:Z132)=0,"",ROUND(AVERAGE(V132:Z132),2))</f>
        <v/>
      </c>
      <c r="AB132" s="35">
        <f>IF($A132="","",COUNT(V132:Z132))</f>
        <v/>
      </c>
      <c r="AC132" s="36" t="n"/>
      <c r="AD132" s="35">
        <f>IF(AA132="","",SUMPRODUCT(ISNUMBER($AA$6:$AA$305)*($AA$6:$AA$305&gt;AA132))+SUMPRODUCT(($AA$6:AA132=AA132)*1))</f>
        <v/>
      </c>
      <c r="AE132" s="35">
        <f>IF(AA132="","",SUMPRODUCT(($E$6:$E$305=E132)*ISNUMBER($AA$6:$AA$305)*($AA$6:$AA$305&gt;AA132))+SUMPRODUCT(($E$6:E132=E132)*($AA$6:AA132=AA132)))</f>
        <v/>
      </c>
    </row>
    <row r="133">
      <c r="A133" s="31">
        <f>IF(Submissions!AD129="","",128)</f>
        <v/>
      </c>
      <c r="B133" s="10">
        <f>IF($A133="","",IF(Settings!$B$4="Yes","Submission "&amp;$A133,Submissions!AD129))</f>
        <v/>
      </c>
      <c r="C133" s="31">
        <f>IF($A133="","",IF(Settings!$B$4="Yes","(hidden)",Submissions!AE129))</f>
        <v/>
      </c>
      <c r="D133" s="31">
        <f>IF($A133="","",Submissions!AF129)</f>
        <v/>
      </c>
      <c r="E133" s="31">
        <f>IF($A133="","",Submissions!AG129)</f>
        <v/>
      </c>
      <c r="F133" s="31">
        <f>IF($A133="","",Submissions!AH129)</f>
        <v/>
      </c>
      <c r="G133" s="37" t="n"/>
      <c r="H133" s="37" t="n"/>
      <c r="I133" s="37" t="n"/>
      <c r="J133" s="37" t="n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3">
        <f>IF(COUNT(G133:I133)=3,IFERROR(ROUND((G133*Settings!$D$15+H133*Settings!$D$16+I133*Settings!$D$17)/(Settings!$D$15+Settings!$D$16+Settings!$D$17),2),""),"")</f>
        <v/>
      </c>
      <c r="W133" s="33">
        <f>IF(COUNT(J133:L133)=3,IFERROR(ROUND((J133*Settings!$D$15+K133*Settings!$D$16+L133*Settings!$D$17)/(Settings!$D$15+Settings!$D$16+Settings!$D$17),2),""),"")</f>
        <v/>
      </c>
      <c r="X133" s="33">
        <f>IF(COUNT(M133:O133)=3,IFERROR(ROUND((M133*Settings!$D$15+N133*Settings!$D$16+O133*Settings!$D$17)/(Settings!$D$15+Settings!$D$16+Settings!$D$17),2),""),"")</f>
        <v/>
      </c>
      <c r="Y133" s="33">
        <f>IF(COUNT(P133:R133)=3,IFERROR(ROUND((P133*Settings!$D$15+Q133*Settings!$D$16+R133*Settings!$D$17)/(Settings!$D$15+Settings!$D$16+Settings!$D$17),2),""),"")</f>
        <v/>
      </c>
      <c r="Z133" s="33">
        <f>IF(COUNT(S133:U133)=3,IFERROR(ROUND((S133*Settings!$D$15+T133*Settings!$D$16+U133*Settings!$D$17)/(Settings!$D$15+Settings!$D$16+Settings!$D$17),2),""),"")</f>
        <v/>
      </c>
      <c r="AA133" s="34">
        <f>IF(COUNT(V133:Z133)=0,"",ROUND(AVERAGE(V133:Z133),2))</f>
        <v/>
      </c>
      <c r="AB133" s="35">
        <f>IF($A133="","",COUNT(V133:Z133))</f>
        <v/>
      </c>
      <c r="AC133" s="36" t="n"/>
      <c r="AD133" s="35">
        <f>IF(AA133="","",SUMPRODUCT(ISNUMBER($AA$6:$AA$305)*($AA$6:$AA$305&gt;AA133))+SUMPRODUCT(($AA$6:AA133=AA133)*1))</f>
        <v/>
      </c>
      <c r="AE133" s="35">
        <f>IF(AA133="","",SUMPRODUCT(($E$6:$E$305=E133)*ISNUMBER($AA$6:$AA$305)*($AA$6:$AA$305&gt;AA133))+SUMPRODUCT(($E$6:E133=E133)*($AA$6:AA133=AA133)))</f>
        <v/>
      </c>
    </row>
    <row r="134">
      <c r="A134" s="31">
        <f>IF(Submissions!AD130="","",129)</f>
        <v/>
      </c>
      <c r="B134" s="10">
        <f>IF($A134="","",IF(Settings!$B$4="Yes","Submission "&amp;$A134,Submissions!AD130))</f>
        <v/>
      </c>
      <c r="C134" s="31">
        <f>IF($A134="","",IF(Settings!$B$4="Yes","(hidden)",Submissions!AE130))</f>
        <v/>
      </c>
      <c r="D134" s="31">
        <f>IF($A134="","",Submissions!AF130)</f>
        <v/>
      </c>
      <c r="E134" s="31">
        <f>IF($A134="","",Submissions!AG130)</f>
        <v/>
      </c>
      <c r="F134" s="31">
        <f>IF($A134="","",Submissions!AH130)</f>
        <v/>
      </c>
      <c r="G134" s="37" t="n"/>
      <c r="H134" s="37" t="n"/>
      <c r="I134" s="37" t="n"/>
      <c r="J134" s="37" t="n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3">
        <f>IF(COUNT(G134:I134)=3,IFERROR(ROUND((G134*Settings!$D$15+H134*Settings!$D$16+I134*Settings!$D$17)/(Settings!$D$15+Settings!$D$16+Settings!$D$17),2),""),"")</f>
        <v/>
      </c>
      <c r="W134" s="33">
        <f>IF(COUNT(J134:L134)=3,IFERROR(ROUND((J134*Settings!$D$15+K134*Settings!$D$16+L134*Settings!$D$17)/(Settings!$D$15+Settings!$D$16+Settings!$D$17),2),""),"")</f>
        <v/>
      </c>
      <c r="X134" s="33">
        <f>IF(COUNT(M134:O134)=3,IFERROR(ROUND((M134*Settings!$D$15+N134*Settings!$D$16+O134*Settings!$D$17)/(Settings!$D$15+Settings!$D$16+Settings!$D$17),2),""),"")</f>
        <v/>
      </c>
      <c r="Y134" s="33">
        <f>IF(COUNT(P134:R134)=3,IFERROR(ROUND((P134*Settings!$D$15+Q134*Settings!$D$16+R134*Settings!$D$17)/(Settings!$D$15+Settings!$D$16+Settings!$D$17),2),""),"")</f>
        <v/>
      </c>
      <c r="Z134" s="33">
        <f>IF(COUNT(S134:U134)=3,IFERROR(ROUND((S134*Settings!$D$15+T134*Settings!$D$16+U134*Settings!$D$17)/(Settings!$D$15+Settings!$D$16+Settings!$D$17),2),""),"")</f>
        <v/>
      </c>
      <c r="AA134" s="34">
        <f>IF(COUNT(V134:Z134)=0,"",ROUND(AVERAGE(V134:Z134),2))</f>
        <v/>
      </c>
      <c r="AB134" s="35">
        <f>IF($A134="","",COUNT(V134:Z134))</f>
        <v/>
      </c>
      <c r="AC134" s="36" t="n"/>
      <c r="AD134" s="35">
        <f>IF(AA134="","",SUMPRODUCT(ISNUMBER($AA$6:$AA$305)*($AA$6:$AA$305&gt;AA134))+SUMPRODUCT(($AA$6:AA134=AA134)*1))</f>
        <v/>
      </c>
      <c r="AE134" s="35">
        <f>IF(AA134="","",SUMPRODUCT(($E$6:$E$305=E134)*ISNUMBER($AA$6:$AA$305)*($AA$6:$AA$305&gt;AA134))+SUMPRODUCT(($E$6:E134=E134)*($AA$6:AA134=AA134)))</f>
        <v/>
      </c>
    </row>
    <row r="135">
      <c r="A135" s="31">
        <f>IF(Submissions!AD131="","",130)</f>
        <v/>
      </c>
      <c r="B135" s="10">
        <f>IF($A135="","",IF(Settings!$B$4="Yes","Submission "&amp;$A135,Submissions!AD131))</f>
        <v/>
      </c>
      <c r="C135" s="31">
        <f>IF($A135="","",IF(Settings!$B$4="Yes","(hidden)",Submissions!AE131))</f>
        <v/>
      </c>
      <c r="D135" s="31">
        <f>IF($A135="","",Submissions!AF131)</f>
        <v/>
      </c>
      <c r="E135" s="31">
        <f>IF($A135="","",Submissions!AG131)</f>
        <v/>
      </c>
      <c r="F135" s="31">
        <f>IF($A135="","",Submissions!AH131)</f>
        <v/>
      </c>
      <c r="G135" s="37" t="n"/>
      <c r="H135" s="37" t="n"/>
      <c r="I135" s="37" t="n"/>
      <c r="J135" s="37" t="n"/>
      <c r="K135" s="37" t="n"/>
      <c r="L135" s="37" t="n"/>
      <c r="M135" s="37" t="n"/>
      <c r="N135" s="37" t="n"/>
      <c r="O135" s="37" t="n"/>
      <c r="P135" s="37" t="n"/>
      <c r="Q135" s="37" t="n"/>
      <c r="R135" s="37" t="n"/>
      <c r="S135" s="37" t="n"/>
      <c r="T135" s="37" t="n"/>
      <c r="U135" s="37" t="n"/>
      <c r="V135" s="33">
        <f>IF(COUNT(G135:I135)=3,IFERROR(ROUND((G135*Settings!$D$15+H135*Settings!$D$16+I135*Settings!$D$17)/(Settings!$D$15+Settings!$D$16+Settings!$D$17),2),""),"")</f>
        <v/>
      </c>
      <c r="W135" s="33">
        <f>IF(COUNT(J135:L135)=3,IFERROR(ROUND((J135*Settings!$D$15+K135*Settings!$D$16+L135*Settings!$D$17)/(Settings!$D$15+Settings!$D$16+Settings!$D$17),2),""),"")</f>
        <v/>
      </c>
      <c r="X135" s="33">
        <f>IF(COUNT(M135:O135)=3,IFERROR(ROUND((M135*Settings!$D$15+N135*Settings!$D$16+O135*Settings!$D$17)/(Settings!$D$15+Settings!$D$16+Settings!$D$17),2),""),"")</f>
        <v/>
      </c>
      <c r="Y135" s="33">
        <f>IF(COUNT(P135:R135)=3,IFERROR(ROUND((P135*Settings!$D$15+Q135*Settings!$D$16+R135*Settings!$D$17)/(Settings!$D$15+Settings!$D$16+Settings!$D$17),2),""),"")</f>
        <v/>
      </c>
      <c r="Z135" s="33">
        <f>IF(COUNT(S135:U135)=3,IFERROR(ROUND((S135*Settings!$D$15+T135*Settings!$D$16+U135*Settings!$D$17)/(Settings!$D$15+Settings!$D$16+Settings!$D$17),2),""),"")</f>
        <v/>
      </c>
      <c r="AA135" s="34">
        <f>IF(COUNT(V135:Z135)=0,"",ROUND(AVERAGE(V135:Z135),2))</f>
        <v/>
      </c>
      <c r="AB135" s="35">
        <f>IF($A135="","",COUNT(V135:Z135))</f>
        <v/>
      </c>
      <c r="AC135" s="36" t="n"/>
      <c r="AD135" s="35">
        <f>IF(AA135="","",SUMPRODUCT(ISNUMBER($AA$6:$AA$305)*($AA$6:$AA$305&gt;AA135))+SUMPRODUCT(($AA$6:AA135=AA135)*1))</f>
        <v/>
      </c>
      <c r="AE135" s="35">
        <f>IF(AA135="","",SUMPRODUCT(($E$6:$E$305=E135)*ISNUMBER($AA$6:$AA$305)*($AA$6:$AA$305&gt;AA135))+SUMPRODUCT(($E$6:E135=E135)*($AA$6:AA135=AA135)))</f>
        <v/>
      </c>
    </row>
    <row r="136">
      <c r="A136" s="31">
        <f>IF(Submissions!AD132="","",131)</f>
        <v/>
      </c>
      <c r="B136" s="10">
        <f>IF($A136="","",IF(Settings!$B$4="Yes","Submission "&amp;$A136,Submissions!AD132))</f>
        <v/>
      </c>
      <c r="C136" s="31">
        <f>IF($A136="","",IF(Settings!$B$4="Yes","(hidden)",Submissions!AE132))</f>
        <v/>
      </c>
      <c r="D136" s="31">
        <f>IF($A136="","",Submissions!AF132)</f>
        <v/>
      </c>
      <c r="E136" s="31">
        <f>IF($A136="","",Submissions!AG132)</f>
        <v/>
      </c>
      <c r="F136" s="31">
        <f>IF($A136="","",Submissions!AH132)</f>
        <v/>
      </c>
      <c r="G136" s="37" t="n"/>
      <c r="H136" s="37" t="n"/>
      <c r="I136" s="37" t="n"/>
      <c r="J136" s="37" t="n"/>
      <c r="K136" s="37" t="n"/>
      <c r="L136" s="37" t="n"/>
      <c r="M136" s="37" t="n"/>
      <c r="N136" s="37" t="n"/>
      <c r="O136" s="37" t="n"/>
      <c r="P136" s="37" t="n"/>
      <c r="Q136" s="37" t="n"/>
      <c r="R136" s="37" t="n"/>
      <c r="S136" s="37" t="n"/>
      <c r="T136" s="37" t="n"/>
      <c r="U136" s="37" t="n"/>
      <c r="V136" s="33">
        <f>IF(COUNT(G136:I136)=3,IFERROR(ROUND((G136*Settings!$D$15+H136*Settings!$D$16+I136*Settings!$D$17)/(Settings!$D$15+Settings!$D$16+Settings!$D$17),2),""),"")</f>
        <v/>
      </c>
      <c r="W136" s="33">
        <f>IF(COUNT(J136:L136)=3,IFERROR(ROUND((J136*Settings!$D$15+K136*Settings!$D$16+L136*Settings!$D$17)/(Settings!$D$15+Settings!$D$16+Settings!$D$17),2),""),"")</f>
        <v/>
      </c>
      <c r="X136" s="33">
        <f>IF(COUNT(M136:O136)=3,IFERROR(ROUND((M136*Settings!$D$15+N136*Settings!$D$16+O136*Settings!$D$17)/(Settings!$D$15+Settings!$D$16+Settings!$D$17),2),""),"")</f>
        <v/>
      </c>
      <c r="Y136" s="33">
        <f>IF(COUNT(P136:R136)=3,IFERROR(ROUND((P136*Settings!$D$15+Q136*Settings!$D$16+R136*Settings!$D$17)/(Settings!$D$15+Settings!$D$16+Settings!$D$17),2),""),"")</f>
        <v/>
      </c>
      <c r="Z136" s="33">
        <f>IF(COUNT(S136:U136)=3,IFERROR(ROUND((S136*Settings!$D$15+T136*Settings!$D$16+U136*Settings!$D$17)/(Settings!$D$15+Settings!$D$16+Settings!$D$17),2),""),"")</f>
        <v/>
      </c>
      <c r="AA136" s="34">
        <f>IF(COUNT(V136:Z136)=0,"",ROUND(AVERAGE(V136:Z136),2))</f>
        <v/>
      </c>
      <c r="AB136" s="35">
        <f>IF($A136="","",COUNT(V136:Z136))</f>
        <v/>
      </c>
      <c r="AC136" s="36" t="n"/>
      <c r="AD136" s="35">
        <f>IF(AA136="","",SUMPRODUCT(ISNUMBER($AA$6:$AA$305)*($AA$6:$AA$305&gt;AA136))+SUMPRODUCT(($AA$6:AA136=AA136)*1))</f>
        <v/>
      </c>
      <c r="AE136" s="35">
        <f>IF(AA136="","",SUMPRODUCT(($E$6:$E$305=E136)*ISNUMBER($AA$6:$AA$305)*($AA$6:$AA$305&gt;AA136))+SUMPRODUCT(($E$6:E136=E136)*($AA$6:AA136=AA136)))</f>
        <v/>
      </c>
    </row>
    <row r="137">
      <c r="A137" s="31">
        <f>IF(Submissions!AD133="","",132)</f>
        <v/>
      </c>
      <c r="B137" s="10">
        <f>IF($A137="","",IF(Settings!$B$4="Yes","Submission "&amp;$A137,Submissions!AD133))</f>
        <v/>
      </c>
      <c r="C137" s="31">
        <f>IF($A137="","",IF(Settings!$B$4="Yes","(hidden)",Submissions!AE133))</f>
        <v/>
      </c>
      <c r="D137" s="31">
        <f>IF($A137="","",Submissions!AF133)</f>
        <v/>
      </c>
      <c r="E137" s="31">
        <f>IF($A137="","",Submissions!AG133)</f>
        <v/>
      </c>
      <c r="F137" s="31">
        <f>IF($A137="","",Submissions!AH133)</f>
        <v/>
      </c>
      <c r="G137" s="37" t="n"/>
      <c r="H137" s="37" t="n"/>
      <c r="I137" s="37" t="n"/>
      <c r="J137" s="37" t="n"/>
      <c r="K137" s="37" t="n"/>
      <c r="L137" s="37" t="n"/>
      <c r="M137" s="37" t="n"/>
      <c r="N137" s="37" t="n"/>
      <c r="O137" s="37" t="n"/>
      <c r="P137" s="37" t="n"/>
      <c r="Q137" s="37" t="n"/>
      <c r="R137" s="37" t="n"/>
      <c r="S137" s="37" t="n"/>
      <c r="T137" s="37" t="n"/>
      <c r="U137" s="37" t="n"/>
      <c r="V137" s="33">
        <f>IF(COUNT(G137:I137)=3,IFERROR(ROUND((G137*Settings!$D$15+H137*Settings!$D$16+I137*Settings!$D$17)/(Settings!$D$15+Settings!$D$16+Settings!$D$17),2),""),"")</f>
        <v/>
      </c>
      <c r="W137" s="33">
        <f>IF(COUNT(J137:L137)=3,IFERROR(ROUND((J137*Settings!$D$15+K137*Settings!$D$16+L137*Settings!$D$17)/(Settings!$D$15+Settings!$D$16+Settings!$D$17),2),""),"")</f>
        <v/>
      </c>
      <c r="X137" s="33">
        <f>IF(COUNT(M137:O137)=3,IFERROR(ROUND((M137*Settings!$D$15+N137*Settings!$D$16+O137*Settings!$D$17)/(Settings!$D$15+Settings!$D$16+Settings!$D$17),2),""),"")</f>
        <v/>
      </c>
      <c r="Y137" s="33">
        <f>IF(COUNT(P137:R137)=3,IFERROR(ROUND((P137*Settings!$D$15+Q137*Settings!$D$16+R137*Settings!$D$17)/(Settings!$D$15+Settings!$D$16+Settings!$D$17),2),""),"")</f>
        <v/>
      </c>
      <c r="Z137" s="33">
        <f>IF(COUNT(S137:U137)=3,IFERROR(ROUND((S137*Settings!$D$15+T137*Settings!$D$16+U137*Settings!$D$17)/(Settings!$D$15+Settings!$D$16+Settings!$D$17),2),""),"")</f>
        <v/>
      </c>
      <c r="AA137" s="34">
        <f>IF(COUNT(V137:Z137)=0,"",ROUND(AVERAGE(V137:Z137),2))</f>
        <v/>
      </c>
      <c r="AB137" s="35">
        <f>IF($A137="","",COUNT(V137:Z137))</f>
        <v/>
      </c>
      <c r="AC137" s="36" t="n"/>
      <c r="AD137" s="35">
        <f>IF(AA137="","",SUMPRODUCT(ISNUMBER($AA$6:$AA$305)*($AA$6:$AA$305&gt;AA137))+SUMPRODUCT(($AA$6:AA137=AA137)*1))</f>
        <v/>
      </c>
      <c r="AE137" s="35">
        <f>IF(AA137="","",SUMPRODUCT(($E$6:$E$305=E137)*ISNUMBER($AA$6:$AA$305)*($AA$6:$AA$305&gt;AA137))+SUMPRODUCT(($E$6:E137=E137)*($AA$6:AA137=AA137)))</f>
        <v/>
      </c>
    </row>
    <row r="138">
      <c r="A138" s="31">
        <f>IF(Submissions!AD134="","",133)</f>
        <v/>
      </c>
      <c r="B138" s="10">
        <f>IF($A138="","",IF(Settings!$B$4="Yes","Submission "&amp;$A138,Submissions!AD134))</f>
        <v/>
      </c>
      <c r="C138" s="31">
        <f>IF($A138="","",IF(Settings!$B$4="Yes","(hidden)",Submissions!AE134))</f>
        <v/>
      </c>
      <c r="D138" s="31">
        <f>IF($A138="","",Submissions!AF134)</f>
        <v/>
      </c>
      <c r="E138" s="31">
        <f>IF($A138="","",Submissions!AG134)</f>
        <v/>
      </c>
      <c r="F138" s="31">
        <f>IF($A138="","",Submissions!AH134)</f>
        <v/>
      </c>
      <c r="G138" s="37" t="n"/>
      <c r="H138" s="37" t="n"/>
      <c r="I138" s="37" t="n"/>
      <c r="J138" s="37" t="n"/>
      <c r="K138" s="37" t="n"/>
      <c r="L138" s="37" t="n"/>
      <c r="M138" s="37" t="n"/>
      <c r="N138" s="37" t="n"/>
      <c r="O138" s="37" t="n"/>
      <c r="P138" s="37" t="n"/>
      <c r="Q138" s="37" t="n"/>
      <c r="R138" s="37" t="n"/>
      <c r="S138" s="37" t="n"/>
      <c r="T138" s="37" t="n"/>
      <c r="U138" s="37" t="n"/>
      <c r="V138" s="33">
        <f>IF(COUNT(G138:I138)=3,IFERROR(ROUND((G138*Settings!$D$15+H138*Settings!$D$16+I138*Settings!$D$17)/(Settings!$D$15+Settings!$D$16+Settings!$D$17),2),""),"")</f>
        <v/>
      </c>
      <c r="W138" s="33">
        <f>IF(COUNT(J138:L138)=3,IFERROR(ROUND((J138*Settings!$D$15+K138*Settings!$D$16+L138*Settings!$D$17)/(Settings!$D$15+Settings!$D$16+Settings!$D$17),2),""),"")</f>
        <v/>
      </c>
      <c r="X138" s="33">
        <f>IF(COUNT(M138:O138)=3,IFERROR(ROUND((M138*Settings!$D$15+N138*Settings!$D$16+O138*Settings!$D$17)/(Settings!$D$15+Settings!$D$16+Settings!$D$17),2),""),"")</f>
        <v/>
      </c>
      <c r="Y138" s="33">
        <f>IF(COUNT(P138:R138)=3,IFERROR(ROUND((P138*Settings!$D$15+Q138*Settings!$D$16+R138*Settings!$D$17)/(Settings!$D$15+Settings!$D$16+Settings!$D$17),2),""),"")</f>
        <v/>
      </c>
      <c r="Z138" s="33">
        <f>IF(COUNT(S138:U138)=3,IFERROR(ROUND((S138*Settings!$D$15+T138*Settings!$D$16+U138*Settings!$D$17)/(Settings!$D$15+Settings!$D$16+Settings!$D$17),2),""),"")</f>
        <v/>
      </c>
      <c r="AA138" s="34">
        <f>IF(COUNT(V138:Z138)=0,"",ROUND(AVERAGE(V138:Z138),2))</f>
        <v/>
      </c>
      <c r="AB138" s="35">
        <f>IF($A138="","",COUNT(V138:Z138))</f>
        <v/>
      </c>
      <c r="AC138" s="36" t="n"/>
      <c r="AD138" s="35">
        <f>IF(AA138="","",SUMPRODUCT(ISNUMBER($AA$6:$AA$305)*($AA$6:$AA$305&gt;AA138))+SUMPRODUCT(($AA$6:AA138=AA138)*1))</f>
        <v/>
      </c>
      <c r="AE138" s="35">
        <f>IF(AA138="","",SUMPRODUCT(($E$6:$E$305=E138)*ISNUMBER($AA$6:$AA$305)*($AA$6:$AA$305&gt;AA138))+SUMPRODUCT(($E$6:E138=E138)*($AA$6:AA138=AA138)))</f>
        <v/>
      </c>
    </row>
    <row r="139">
      <c r="A139" s="31">
        <f>IF(Submissions!AD135="","",134)</f>
        <v/>
      </c>
      <c r="B139" s="10">
        <f>IF($A139="","",IF(Settings!$B$4="Yes","Submission "&amp;$A139,Submissions!AD135))</f>
        <v/>
      </c>
      <c r="C139" s="31">
        <f>IF($A139="","",IF(Settings!$B$4="Yes","(hidden)",Submissions!AE135))</f>
        <v/>
      </c>
      <c r="D139" s="31">
        <f>IF($A139="","",Submissions!AF135)</f>
        <v/>
      </c>
      <c r="E139" s="31">
        <f>IF($A139="","",Submissions!AG135)</f>
        <v/>
      </c>
      <c r="F139" s="31">
        <f>IF($A139="","",Submissions!AH135)</f>
        <v/>
      </c>
      <c r="G139" s="37" t="n"/>
      <c r="H139" s="37" t="n"/>
      <c r="I139" s="37" t="n"/>
      <c r="J139" s="37" t="n"/>
      <c r="K139" s="37" t="n"/>
      <c r="L139" s="37" t="n"/>
      <c r="M139" s="37" t="n"/>
      <c r="N139" s="37" t="n"/>
      <c r="O139" s="37" t="n"/>
      <c r="P139" s="37" t="n"/>
      <c r="Q139" s="37" t="n"/>
      <c r="R139" s="37" t="n"/>
      <c r="S139" s="37" t="n"/>
      <c r="T139" s="37" t="n"/>
      <c r="U139" s="37" t="n"/>
      <c r="V139" s="33">
        <f>IF(COUNT(G139:I139)=3,IFERROR(ROUND((G139*Settings!$D$15+H139*Settings!$D$16+I139*Settings!$D$17)/(Settings!$D$15+Settings!$D$16+Settings!$D$17),2),""),"")</f>
        <v/>
      </c>
      <c r="W139" s="33">
        <f>IF(COUNT(J139:L139)=3,IFERROR(ROUND((J139*Settings!$D$15+K139*Settings!$D$16+L139*Settings!$D$17)/(Settings!$D$15+Settings!$D$16+Settings!$D$17),2),""),"")</f>
        <v/>
      </c>
      <c r="X139" s="33">
        <f>IF(COUNT(M139:O139)=3,IFERROR(ROUND((M139*Settings!$D$15+N139*Settings!$D$16+O139*Settings!$D$17)/(Settings!$D$15+Settings!$D$16+Settings!$D$17),2),""),"")</f>
        <v/>
      </c>
      <c r="Y139" s="33">
        <f>IF(COUNT(P139:R139)=3,IFERROR(ROUND((P139*Settings!$D$15+Q139*Settings!$D$16+R139*Settings!$D$17)/(Settings!$D$15+Settings!$D$16+Settings!$D$17),2),""),"")</f>
        <v/>
      </c>
      <c r="Z139" s="33">
        <f>IF(COUNT(S139:U139)=3,IFERROR(ROUND((S139*Settings!$D$15+T139*Settings!$D$16+U139*Settings!$D$17)/(Settings!$D$15+Settings!$D$16+Settings!$D$17),2),""),"")</f>
        <v/>
      </c>
      <c r="AA139" s="34">
        <f>IF(COUNT(V139:Z139)=0,"",ROUND(AVERAGE(V139:Z139),2))</f>
        <v/>
      </c>
      <c r="AB139" s="35">
        <f>IF($A139="","",COUNT(V139:Z139))</f>
        <v/>
      </c>
      <c r="AC139" s="36" t="n"/>
      <c r="AD139" s="35">
        <f>IF(AA139="","",SUMPRODUCT(ISNUMBER($AA$6:$AA$305)*($AA$6:$AA$305&gt;AA139))+SUMPRODUCT(($AA$6:AA139=AA139)*1))</f>
        <v/>
      </c>
      <c r="AE139" s="35">
        <f>IF(AA139="","",SUMPRODUCT(($E$6:$E$305=E139)*ISNUMBER($AA$6:$AA$305)*($AA$6:$AA$305&gt;AA139))+SUMPRODUCT(($E$6:E139=E139)*($AA$6:AA139=AA139)))</f>
        <v/>
      </c>
    </row>
    <row r="140">
      <c r="A140" s="31">
        <f>IF(Submissions!AD136="","",135)</f>
        <v/>
      </c>
      <c r="B140" s="10">
        <f>IF($A140="","",IF(Settings!$B$4="Yes","Submission "&amp;$A140,Submissions!AD136))</f>
        <v/>
      </c>
      <c r="C140" s="31">
        <f>IF($A140="","",IF(Settings!$B$4="Yes","(hidden)",Submissions!AE136))</f>
        <v/>
      </c>
      <c r="D140" s="31">
        <f>IF($A140="","",Submissions!AF136)</f>
        <v/>
      </c>
      <c r="E140" s="31">
        <f>IF($A140="","",Submissions!AG136)</f>
        <v/>
      </c>
      <c r="F140" s="31">
        <f>IF($A140="","",Submissions!AH136)</f>
        <v/>
      </c>
      <c r="G140" s="37" t="n"/>
      <c r="H140" s="37" t="n"/>
      <c r="I140" s="37" t="n"/>
      <c r="J140" s="37" t="n"/>
      <c r="K140" s="37" t="n"/>
      <c r="L140" s="37" t="n"/>
      <c r="M140" s="37" t="n"/>
      <c r="N140" s="37" t="n"/>
      <c r="O140" s="37" t="n"/>
      <c r="P140" s="37" t="n"/>
      <c r="Q140" s="37" t="n"/>
      <c r="R140" s="37" t="n"/>
      <c r="S140" s="37" t="n"/>
      <c r="T140" s="37" t="n"/>
      <c r="U140" s="37" t="n"/>
      <c r="V140" s="33">
        <f>IF(COUNT(G140:I140)=3,IFERROR(ROUND((G140*Settings!$D$15+H140*Settings!$D$16+I140*Settings!$D$17)/(Settings!$D$15+Settings!$D$16+Settings!$D$17),2),""),"")</f>
        <v/>
      </c>
      <c r="W140" s="33">
        <f>IF(COUNT(J140:L140)=3,IFERROR(ROUND((J140*Settings!$D$15+K140*Settings!$D$16+L140*Settings!$D$17)/(Settings!$D$15+Settings!$D$16+Settings!$D$17),2),""),"")</f>
        <v/>
      </c>
      <c r="X140" s="33">
        <f>IF(COUNT(M140:O140)=3,IFERROR(ROUND((M140*Settings!$D$15+N140*Settings!$D$16+O140*Settings!$D$17)/(Settings!$D$15+Settings!$D$16+Settings!$D$17),2),""),"")</f>
        <v/>
      </c>
      <c r="Y140" s="33">
        <f>IF(COUNT(P140:R140)=3,IFERROR(ROUND((P140*Settings!$D$15+Q140*Settings!$D$16+R140*Settings!$D$17)/(Settings!$D$15+Settings!$D$16+Settings!$D$17),2),""),"")</f>
        <v/>
      </c>
      <c r="Z140" s="33">
        <f>IF(COUNT(S140:U140)=3,IFERROR(ROUND((S140*Settings!$D$15+T140*Settings!$D$16+U140*Settings!$D$17)/(Settings!$D$15+Settings!$D$16+Settings!$D$17),2),""),"")</f>
        <v/>
      </c>
      <c r="AA140" s="34">
        <f>IF(COUNT(V140:Z140)=0,"",ROUND(AVERAGE(V140:Z140),2))</f>
        <v/>
      </c>
      <c r="AB140" s="35">
        <f>IF($A140="","",COUNT(V140:Z140))</f>
        <v/>
      </c>
      <c r="AC140" s="36" t="n"/>
      <c r="AD140" s="35">
        <f>IF(AA140="","",SUMPRODUCT(ISNUMBER($AA$6:$AA$305)*($AA$6:$AA$305&gt;AA140))+SUMPRODUCT(($AA$6:AA140=AA140)*1))</f>
        <v/>
      </c>
      <c r="AE140" s="35">
        <f>IF(AA140="","",SUMPRODUCT(($E$6:$E$305=E140)*ISNUMBER($AA$6:$AA$305)*($AA$6:$AA$305&gt;AA140))+SUMPRODUCT(($E$6:E140=E140)*($AA$6:AA140=AA140)))</f>
        <v/>
      </c>
    </row>
    <row r="141">
      <c r="A141" s="31">
        <f>IF(Submissions!AD137="","",136)</f>
        <v/>
      </c>
      <c r="B141" s="10">
        <f>IF($A141="","",IF(Settings!$B$4="Yes","Submission "&amp;$A141,Submissions!AD137))</f>
        <v/>
      </c>
      <c r="C141" s="31">
        <f>IF($A141="","",IF(Settings!$B$4="Yes","(hidden)",Submissions!AE137))</f>
        <v/>
      </c>
      <c r="D141" s="31">
        <f>IF($A141="","",Submissions!AF137)</f>
        <v/>
      </c>
      <c r="E141" s="31">
        <f>IF($A141="","",Submissions!AG137)</f>
        <v/>
      </c>
      <c r="F141" s="31">
        <f>IF($A141="","",Submissions!AH137)</f>
        <v/>
      </c>
      <c r="G141" s="37" t="n"/>
      <c r="H141" s="37" t="n"/>
      <c r="I141" s="37" t="n"/>
      <c r="J141" s="37" t="n"/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3">
        <f>IF(COUNT(G141:I141)=3,IFERROR(ROUND((G141*Settings!$D$15+H141*Settings!$D$16+I141*Settings!$D$17)/(Settings!$D$15+Settings!$D$16+Settings!$D$17),2),""),"")</f>
        <v/>
      </c>
      <c r="W141" s="33">
        <f>IF(COUNT(J141:L141)=3,IFERROR(ROUND((J141*Settings!$D$15+K141*Settings!$D$16+L141*Settings!$D$17)/(Settings!$D$15+Settings!$D$16+Settings!$D$17),2),""),"")</f>
        <v/>
      </c>
      <c r="X141" s="33">
        <f>IF(COUNT(M141:O141)=3,IFERROR(ROUND((M141*Settings!$D$15+N141*Settings!$D$16+O141*Settings!$D$17)/(Settings!$D$15+Settings!$D$16+Settings!$D$17),2),""),"")</f>
        <v/>
      </c>
      <c r="Y141" s="33">
        <f>IF(COUNT(P141:R141)=3,IFERROR(ROUND((P141*Settings!$D$15+Q141*Settings!$D$16+R141*Settings!$D$17)/(Settings!$D$15+Settings!$D$16+Settings!$D$17),2),""),"")</f>
        <v/>
      </c>
      <c r="Z141" s="33">
        <f>IF(COUNT(S141:U141)=3,IFERROR(ROUND((S141*Settings!$D$15+T141*Settings!$D$16+U141*Settings!$D$17)/(Settings!$D$15+Settings!$D$16+Settings!$D$17),2),""),"")</f>
        <v/>
      </c>
      <c r="AA141" s="34">
        <f>IF(COUNT(V141:Z141)=0,"",ROUND(AVERAGE(V141:Z141),2))</f>
        <v/>
      </c>
      <c r="AB141" s="35">
        <f>IF($A141="","",COUNT(V141:Z141))</f>
        <v/>
      </c>
      <c r="AC141" s="36" t="n"/>
      <c r="AD141" s="35">
        <f>IF(AA141="","",SUMPRODUCT(ISNUMBER($AA$6:$AA$305)*($AA$6:$AA$305&gt;AA141))+SUMPRODUCT(($AA$6:AA141=AA141)*1))</f>
        <v/>
      </c>
      <c r="AE141" s="35">
        <f>IF(AA141="","",SUMPRODUCT(($E$6:$E$305=E141)*ISNUMBER($AA$6:$AA$305)*($AA$6:$AA$305&gt;AA141))+SUMPRODUCT(($E$6:E141=E141)*($AA$6:AA141=AA141)))</f>
        <v/>
      </c>
    </row>
    <row r="142">
      <c r="A142" s="31">
        <f>IF(Submissions!AD138="","",137)</f>
        <v/>
      </c>
      <c r="B142" s="10">
        <f>IF($A142="","",IF(Settings!$B$4="Yes","Submission "&amp;$A142,Submissions!AD138))</f>
        <v/>
      </c>
      <c r="C142" s="31">
        <f>IF($A142="","",IF(Settings!$B$4="Yes","(hidden)",Submissions!AE138))</f>
        <v/>
      </c>
      <c r="D142" s="31">
        <f>IF($A142="","",Submissions!AF138)</f>
        <v/>
      </c>
      <c r="E142" s="31">
        <f>IF($A142="","",Submissions!AG138)</f>
        <v/>
      </c>
      <c r="F142" s="31">
        <f>IF($A142="","",Submissions!AH138)</f>
        <v/>
      </c>
      <c r="G142" s="37" t="n"/>
      <c r="H142" s="37" t="n"/>
      <c r="I142" s="37" t="n"/>
      <c r="J142" s="37" t="n"/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3">
        <f>IF(COUNT(G142:I142)=3,IFERROR(ROUND((G142*Settings!$D$15+H142*Settings!$D$16+I142*Settings!$D$17)/(Settings!$D$15+Settings!$D$16+Settings!$D$17),2),""),"")</f>
        <v/>
      </c>
      <c r="W142" s="33">
        <f>IF(COUNT(J142:L142)=3,IFERROR(ROUND((J142*Settings!$D$15+K142*Settings!$D$16+L142*Settings!$D$17)/(Settings!$D$15+Settings!$D$16+Settings!$D$17),2),""),"")</f>
        <v/>
      </c>
      <c r="X142" s="33">
        <f>IF(COUNT(M142:O142)=3,IFERROR(ROUND((M142*Settings!$D$15+N142*Settings!$D$16+O142*Settings!$D$17)/(Settings!$D$15+Settings!$D$16+Settings!$D$17),2),""),"")</f>
        <v/>
      </c>
      <c r="Y142" s="33">
        <f>IF(COUNT(P142:R142)=3,IFERROR(ROUND((P142*Settings!$D$15+Q142*Settings!$D$16+R142*Settings!$D$17)/(Settings!$D$15+Settings!$D$16+Settings!$D$17),2),""),"")</f>
        <v/>
      </c>
      <c r="Z142" s="33">
        <f>IF(COUNT(S142:U142)=3,IFERROR(ROUND((S142*Settings!$D$15+T142*Settings!$D$16+U142*Settings!$D$17)/(Settings!$D$15+Settings!$D$16+Settings!$D$17),2),""),"")</f>
        <v/>
      </c>
      <c r="AA142" s="34">
        <f>IF(COUNT(V142:Z142)=0,"",ROUND(AVERAGE(V142:Z142),2))</f>
        <v/>
      </c>
      <c r="AB142" s="35">
        <f>IF($A142="","",COUNT(V142:Z142))</f>
        <v/>
      </c>
      <c r="AC142" s="36" t="n"/>
      <c r="AD142" s="35">
        <f>IF(AA142="","",SUMPRODUCT(ISNUMBER($AA$6:$AA$305)*($AA$6:$AA$305&gt;AA142))+SUMPRODUCT(($AA$6:AA142=AA142)*1))</f>
        <v/>
      </c>
      <c r="AE142" s="35">
        <f>IF(AA142="","",SUMPRODUCT(($E$6:$E$305=E142)*ISNUMBER($AA$6:$AA$305)*($AA$6:$AA$305&gt;AA142))+SUMPRODUCT(($E$6:E142=E142)*($AA$6:AA142=AA142)))</f>
        <v/>
      </c>
    </row>
    <row r="143">
      <c r="A143" s="31">
        <f>IF(Submissions!AD139="","",138)</f>
        <v/>
      </c>
      <c r="B143" s="10">
        <f>IF($A143="","",IF(Settings!$B$4="Yes","Submission "&amp;$A143,Submissions!AD139))</f>
        <v/>
      </c>
      <c r="C143" s="31">
        <f>IF($A143="","",IF(Settings!$B$4="Yes","(hidden)",Submissions!AE139))</f>
        <v/>
      </c>
      <c r="D143" s="31">
        <f>IF($A143="","",Submissions!AF139)</f>
        <v/>
      </c>
      <c r="E143" s="31">
        <f>IF($A143="","",Submissions!AG139)</f>
        <v/>
      </c>
      <c r="F143" s="31">
        <f>IF($A143="","",Submissions!AH139)</f>
        <v/>
      </c>
      <c r="G143" s="37" t="n"/>
      <c r="H143" s="37" t="n"/>
      <c r="I143" s="37" t="n"/>
      <c r="J143" s="37" t="n"/>
      <c r="K143" s="37" t="n"/>
      <c r="L143" s="37" t="n"/>
      <c r="M143" s="37" t="n"/>
      <c r="N143" s="37" t="n"/>
      <c r="O143" s="37" t="n"/>
      <c r="P143" s="37" t="n"/>
      <c r="Q143" s="37" t="n"/>
      <c r="R143" s="37" t="n"/>
      <c r="S143" s="37" t="n"/>
      <c r="T143" s="37" t="n"/>
      <c r="U143" s="37" t="n"/>
      <c r="V143" s="33">
        <f>IF(COUNT(G143:I143)=3,IFERROR(ROUND((G143*Settings!$D$15+H143*Settings!$D$16+I143*Settings!$D$17)/(Settings!$D$15+Settings!$D$16+Settings!$D$17),2),""),"")</f>
        <v/>
      </c>
      <c r="W143" s="33">
        <f>IF(COUNT(J143:L143)=3,IFERROR(ROUND((J143*Settings!$D$15+K143*Settings!$D$16+L143*Settings!$D$17)/(Settings!$D$15+Settings!$D$16+Settings!$D$17),2),""),"")</f>
        <v/>
      </c>
      <c r="X143" s="33">
        <f>IF(COUNT(M143:O143)=3,IFERROR(ROUND((M143*Settings!$D$15+N143*Settings!$D$16+O143*Settings!$D$17)/(Settings!$D$15+Settings!$D$16+Settings!$D$17),2),""),"")</f>
        <v/>
      </c>
      <c r="Y143" s="33">
        <f>IF(COUNT(P143:R143)=3,IFERROR(ROUND((P143*Settings!$D$15+Q143*Settings!$D$16+R143*Settings!$D$17)/(Settings!$D$15+Settings!$D$16+Settings!$D$17),2),""),"")</f>
        <v/>
      </c>
      <c r="Z143" s="33">
        <f>IF(COUNT(S143:U143)=3,IFERROR(ROUND((S143*Settings!$D$15+T143*Settings!$D$16+U143*Settings!$D$17)/(Settings!$D$15+Settings!$D$16+Settings!$D$17),2),""),"")</f>
        <v/>
      </c>
      <c r="AA143" s="34">
        <f>IF(COUNT(V143:Z143)=0,"",ROUND(AVERAGE(V143:Z143),2))</f>
        <v/>
      </c>
      <c r="AB143" s="35">
        <f>IF($A143="","",COUNT(V143:Z143))</f>
        <v/>
      </c>
      <c r="AC143" s="36" t="n"/>
      <c r="AD143" s="35">
        <f>IF(AA143="","",SUMPRODUCT(ISNUMBER($AA$6:$AA$305)*($AA$6:$AA$305&gt;AA143))+SUMPRODUCT(($AA$6:AA143=AA143)*1))</f>
        <v/>
      </c>
      <c r="AE143" s="35">
        <f>IF(AA143="","",SUMPRODUCT(($E$6:$E$305=E143)*ISNUMBER($AA$6:$AA$305)*($AA$6:$AA$305&gt;AA143))+SUMPRODUCT(($E$6:E143=E143)*($AA$6:AA143=AA143)))</f>
        <v/>
      </c>
    </row>
    <row r="144">
      <c r="A144" s="31">
        <f>IF(Submissions!AD140="","",139)</f>
        <v/>
      </c>
      <c r="B144" s="10">
        <f>IF($A144="","",IF(Settings!$B$4="Yes","Submission "&amp;$A144,Submissions!AD140))</f>
        <v/>
      </c>
      <c r="C144" s="31">
        <f>IF($A144="","",IF(Settings!$B$4="Yes","(hidden)",Submissions!AE140))</f>
        <v/>
      </c>
      <c r="D144" s="31">
        <f>IF($A144="","",Submissions!AF140)</f>
        <v/>
      </c>
      <c r="E144" s="31">
        <f>IF($A144="","",Submissions!AG140)</f>
        <v/>
      </c>
      <c r="F144" s="31">
        <f>IF($A144="","",Submissions!AH140)</f>
        <v/>
      </c>
      <c r="G144" s="37" t="n"/>
      <c r="H144" s="37" t="n"/>
      <c r="I144" s="37" t="n"/>
      <c r="J144" s="37" t="n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3">
        <f>IF(COUNT(G144:I144)=3,IFERROR(ROUND((G144*Settings!$D$15+H144*Settings!$D$16+I144*Settings!$D$17)/(Settings!$D$15+Settings!$D$16+Settings!$D$17),2),""),"")</f>
        <v/>
      </c>
      <c r="W144" s="33">
        <f>IF(COUNT(J144:L144)=3,IFERROR(ROUND((J144*Settings!$D$15+K144*Settings!$D$16+L144*Settings!$D$17)/(Settings!$D$15+Settings!$D$16+Settings!$D$17),2),""),"")</f>
        <v/>
      </c>
      <c r="X144" s="33">
        <f>IF(COUNT(M144:O144)=3,IFERROR(ROUND((M144*Settings!$D$15+N144*Settings!$D$16+O144*Settings!$D$17)/(Settings!$D$15+Settings!$D$16+Settings!$D$17),2),""),"")</f>
        <v/>
      </c>
      <c r="Y144" s="33">
        <f>IF(COUNT(P144:R144)=3,IFERROR(ROUND((P144*Settings!$D$15+Q144*Settings!$D$16+R144*Settings!$D$17)/(Settings!$D$15+Settings!$D$16+Settings!$D$17),2),""),"")</f>
        <v/>
      </c>
      <c r="Z144" s="33">
        <f>IF(COUNT(S144:U144)=3,IFERROR(ROUND((S144*Settings!$D$15+T144*Settings!$D$16+U144*Settings!$D$17)/(Settings!$D$15+Settings!$D$16+Settings!$D$17),2),""),"")</f>
        <v/>
      </c>
      <c r="AA144" s="34">
        <f>IF(COUNT(V144:Z144)=0,"",ROUND(AVERAGE(V144:Z144),2))</f>
        <v/>
      </c>
      <c r="AB144" s="35">
        <f>IF($A144="","",COUNT(V144:Z144))</f>
        <v/>
      </c>
      <c r="AC144" s="36" t="n"/>
      <c r="AD144" s="35">
        <f>IF(AA144="","",SUMPRODUCT(ISNUMBER($AA$6:$AA$305)*($AA$6:$AA$305&gt;AA144))+SUMPRODUCT(($AA$6:AA144=AA144)*1))</f>
        <v/>
      </c>
      <c r="AE144" s="35">
        <f>IF(AA144="","",SUMPRODUCT(($E$6:$E$305=E144)*ISNUMBER($AA$6:$AA$305)*($AA$6:$AA$305&gt;AA144))+SUMPRODUCT(($E$6:E144=E144)*($AA$6:AA144=AA144)))</f>
        <v/>
      </c>
    </row>
    <row r="145">
      <c r="A145" s="31">
        <f>IF(Submissions!AD141="","",140)</f>
        <v/>
      </c>
      <c r="B145" s="10">
        <f>IF($A145="","",IF(Settings!$B$4="Yes","Submission "&amp;$A145,Submissions!AD141))</f>
        <v/>
      </c>
      <c r="C145" s="31">
        <f>IF($A145="","",IF(Settings!$B$4="Yes","(hidden)",Submissions!AE141))</f>
        <v/>
      </c>
      <c r="D145" s="31">
        <f>IF($A145="","",Submissions!AF141)</f>
        <v/>
      </c>
      <c r="E145" s="31">
        <f>IF($A145="","",Submissions!AG141)</f>
        <v/>
      </c>
      <c r="F145" s="31">
        <f>IF($A145="","",Submissions!AH141)</f>
        <v/>
      </c>
      <c r="G145" s="37" t="n"/>
      <c r="H145" s="37" t="n"/>
      <c r="I145" s="37" t="n"/>
      <c r="J145" s="37" t="n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3">
        <f>IF(COUNT(G145:I145)=3,IFERROR(ROUND((G145*Settings!$D$15+H145*Settings!$D$16+I145*Settings!$D$17)/(Settings!$D$15+Settings!$D$16+Settings!$D$17),2),""),"")</f>
        <v/>
      </c>
      <c r="W145" s="33">
        <f>IF(COUNT(J145:L145)=3,IFERROR(ROUND((J145*Settings!$D$15+K145*Settings!$D$16+L145*Settings!$D$17)/(Settings!$D$15+Settings!$D$16+Settings!$D$17),2),""),"")</f>
        <v/>
      </c>
      <c r="X145" s="33">
        <f>IF(COUNT(M145:O145)=3,IFERROR(ROUND((M145*Settings!$D$15+N145*Settings!$D$16+O145*Settings!$D$17)/(Settings!$D$15+Settings!$D$16+Settings!$D$17),2),""),"")</f>
        <v/>
      </c>
      <c r="Y145" s="33">
        <f>IF(COUNT(P145:R145)=3,IFERROR(ROUND((P145*Settings!$D$15+Q145*Settings!$D$16+R145*Settings!$D$17)/(Settings!$D$15+Settings!$D$16+Settings!$D$17),2),""),"")</f>
        <v/>
      </c>
      <c r="Z145" s="33">
        <f>IF(COUNT(S145:U145)=3,IFERROR(ROUND((S145*Settings!$D$15+T145*Settings!$D$16+U145*Settings!$D$17)/(Settings!$D$15+Settings!$D$16+Settings!$D$17),2),""),"")</f>
        <v/>
      </c>
      <c r="AA145" s="34">
        <f>IF(COUNT(V145:Z145)=0,"",ROUND(AVERAGE(V145:Z145),2))</f>
        <v/>
      </c>
      <c r="AB145" s="35">
        <f>IF($A145="","",COUNT(V145:Z145))</f>
        <v/>
      </c>
      <c r="AC145" s="36" t="n"/>
      <c r="AD145" s="35">
        <f>IF(AA145="","",SUMPRODUCT(ISNUMBER($AA$6:$AA$305)*($AA$6:$AA$305&gt;AA145))+SUMPRODUCT(($AA$6:AA145=AA145)*1))</f>
        <v/>
      </c>
      <c r="AE145" s="35">
        <f>IF(AA145="","",SUMPRODUCT(($E$6:$E$305=E145)*ISNUMBER($AA$6:$AA$305)*($AA$6:$AA$305&gt;AA145))+SUMPRODUCT(($E$6:E145=E145)*($AA$6:AA145=AA145)))</f>
        <v/>
      </c>
    </row>
    <row r="146">
      <c r="A146" s="31">
        <f>IF(Submissions!AD142="","",141)</f>
        <v/>
      </c>
      <c r="B146" s="10">
        <f>IF($A146="","",IF(Settings!$B$4="Yes","Submission "&amp;$A146,Submissions!AD142))</f>
        <v/>
      </c>
      <c r="C146" s="31">
        <f>IF($A146="","",IF(Settings!$B$4="Yes","(hidden)",Submissions!AE142))</f>
        <v/>
      </c>
      <c r="D146" s="31">
        <f>IF($A146="","",Submissions!AF142)</f>
        <v/>
      </c>
      <c r="E146" s="31">
        <f>IF($A146="","",Submissions!AG142)</f>
        <v/>
      </c>
      <c r="F146" s="31">
        <f>IF($A146="","",Submissions!AH142)</f>
        <v/>
      </c>
      <c r="G146" s="37" t="n"/>
      <c r="H146" s="37" t="n"/>
      <c r="I146" s="37" t="n"/>
      <c r="J146" s="37" t="n"/>
      <c r="K146" s="37" t="n"/>
      <c r="L146" s="37" t="n"/>
      <c r="M146" s="37" t="n"/>
      <c r="N146" s="37" t="n"/>
      <c r="O146" s="37" t="n"/>
      <c r="P146" s="37" t="n"/>
      <c r="Q146" s="37" t="n"/>
      <c r="R146" s="37" t="n"/>
      <c r="S146" s="37" t="n"/>
      <c r="T146" s="37" t="n"/>
      <c r="U146" s="37" t="n"/>
      <c r="V146" s="33">
        <f>IF(COUNT(G146:I146)=3,IFERROR(ROUND((G146*Settings!$D$15+H146*Settings!$D$16+I146*Settings!$D$17)/(Settings!$D$15+Settings!$D$16+Settings!$D$17),2),""),"")</f>
        <v/>
      </c>
      <c r="W146" s="33">
        <f>IF(COUNT(J146:L146)=3,IFERROR(ROUND((J146*Settings!$D$15+K146*Settings!$D$16+L146*Settings!$D$17)/(Settings!$D$15+Settings!$D$16+Settings!$D$17),2),""),"")</f>
        <v/>
      </c>
      <c r="X146" s="33">
        <f>IF(COUNT(M146:O146)=3,IFERROR(ROUND((M146*Settings!$D$15+N146*Settings!$D$16+O146*Settings!$D$17)/(Settings!$D$15+Settings!$D$16+Settings!$D$17),2),""),"")</f>
        <v/>
      </c>
      <c r="Y146" s="33">
        <f>IF(COUNT(P146:R146)=3,IFERROR(ROUND((P146*Settings!$D$15+Q146*Settings!$D$16+R146*Settings!$D$17)/(Settings!$D$15+Settings!$D$16+Settings!$D$17),2),""),"")</f>
        <v/>
      </c>
      <c r="Z146" s="33">
        <f>IF(COUNT(S146:U146)=3,IFERROR(ROUND((S146*Settings!$D$15+T146*Settings!$D$16+U146*Settings!$D$17)/(Settings!$D$15+Settings!$D$16+Settings!$D$17),2),""),"")</f>
        <v/>
      </c>
      <c r="AA146" s="34">
        <f>IF(COUNT(V146:Z146)=0,"",ROUND(AVERAGE(V146:Z146),2))</f>
        <v/>
      </c>
      <c r="AB146" s="35">
        <f>IF($A146="","",COUNT(V146:Z146))</f>
        <v/>
      </c>
      <c r="AC146" s="36" t="n"/>
      <c r="AD146" s="35">
        <f>IF(AA146="","",SUMPRODUCT(ISNUMBER($AA$6:$AA$305)*($AA$6:$AA$305&gt;AA146))+SUMPRODUCT(($AA$6:AA146=AA146)*1))</f>
        <v/>
      </c>
      <c r="AE146" s="35">
        <f>IF(AA146="","",SUMPRODUCT(($E$6:$E$305=E146)*ISNUMBER($AA$6:$AA$305)*($AA$6:$AA$305&gt;AA146))+SUMPRODUCT(($E$6:E146=E146)*($AA$6:AA146=AA146)))</f>
        <v/>
      </c>
    </row>
    <row r="147">
      <c r="A147" s="31">
        <f>IF(Submissions!AD143="","",142)</f>
        <v/>
      </c>
      <c r="B147" s="10">
        <f>IF($A147="","",IF(Settings!$B$4="Yes","Submission "&amp;$A147,Submissions!AD143))</f>
        <v/>
      </c>
      <c r="C147" s="31">
        <f>IF($A147="","",IF(Settings!$B$4="Yes","(hidden)",Submissions!AE143))</f>
        <v/>
      </c>
      <c r="D147" s="31">
        <f>IF($A147="","",Submissions!AF143)</f>
        <v/>
      </c>
      <c r="E147" s="31">
        <f>IF($A147="","",Submissions!AG143)</f>
        <v/>
      </c>
      <c r="F147" s="31">
        <f>IF($A147="","",Submissions!AH143)</f>
        <v/>
      </c>
      <c r="G147" s="37" t="n"/>
      <c r="H147" s="37" t="n"/>
      <c r="I147" s="37" t="n"/>
      <c r="J147" s="37" t="n"/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3">
        <f>IF(COUNT(G147:I147)=3,IFERROR(ROUND((G147*Settings!$D$15+H147*Settings!$D$16+I147*Settings!$D$17)/(Settings!$D$15+Settings!$D$16+Settings!$D$17),2),""),"")</f>
        <v/>
      </c>
      <c r="W147" s="33">
        <f>IF(COUNT(J147:L147)=3,IFERROR(ROUND((J147*Settings!$D$15+K147*Settings!$D$16+L147*Settings!$D$17)/(Settings!$D$15+Settings!$D$16+Settings!$D$17),2),""),"")</f>
        <v/>
      </c>
      <c r="X147" s="33">
        <f>IF(COUNT(M147:O147)=3,IFERROR(ROUND((M147*Settings!$D$15+N147*Settings!$D$16+O147*Settings!$D$17)/(Settings!$D$15+Settings!$D$16+Settings!$D$17),2),""),"")</f>
        <v/>
      </c>
      <c r="Y147" s="33">
        <f>IF(COUNT(P147:R147)=3,IFERROR(ROUND((P147*Settings!$D$15+Q147*Settings!$D$16+R147*Settings!$D$17)/(Settings!$D$15+Settings!$D$16+Settings!$D$17),2),""),"")</f>
        <v/>
      </c>
      <c r="Z147" s="33">
        <f>IF(COUNT(S147:U147)=3,IFERROR(ROUND((S147*Settings!$D$15+T147*Settings!$D$16+U147*Settings!$D$17)/(Settings!$D$15+Settings!$D$16+Settings!$D$17),2),""),"")</f>
        <v/>
      </c>
      <c r="AA147" s="34">
        <f>IF(COUNT(V147:Z147)=0,"",ROUND(AVERAGE(V147:Z147),2))</f>
        <v/>
      </c>
      <c r="AB147" s="35">
        <f>IF($A147="","",COUNT(V147:Z147))</f>
        <v/>
      </c>
      <c r="AC147" s="36" t="n"/>
      <c r="AD147" s="35">
        <f>IF(AA147="","",SUMPRODUCT(ISNUMBER($AA$6:$AA$305)*($AA$6:$AA$305&gt;AA147))+SUMPRODUCT(($AA$6:AA147=AA147)*1))</f>
        <v/>
      </c>
      <c r="AE147" s="35">
        <f>IF(AA147="","",SUMPRODUCT(($E$6:$E$305=E147)*ISNUMBER($AA$6:$AA$305)*($AA$6:$AA$305&gt;AA147))+SUMPRODUCT(($E$6:E147=E147)*($AA$6:AA147=AA147)))</f>
        <v/>
      </c>
    </row>
    <row r="148">
      <c r="A148" s="31">
        <f>IF(Submissions!AD144="","",143)</f>
        <v/>
      </c>
      <c r="B148" s="10">
        <f>IF($A148="","",IF(Settings!$B$4="Yes","Submission "&amp;$A148,Submissions!AD144))</f>
        <v/>
      </c>
      <c r="C148" s="31">
        <f>IF($A148="","",IF(Settings!$B$4="Yes","(hidden)",Submissions!AE144))</f>
        <v/>
      </c>
      <c r="D148" s="31">
        <f>IF($A148="","",Submissions!AF144)</f>
        <v/>
      </c>
      <c r="E148" s="31">
        <f>IF($A148="","",Submissions!AG144)</f>
        <v/>
      </c>
      <c r="F148" s="31">
        <f>IF($A148="","",Submissions!AH144)</f>
        <v/>
      </c>
      <c r="G148" s="37" t="n"/>
      <c r="H148" s="37" t="n"/>
      <c r="I148" s="37" t="n"/>
      <c r="J148" s="37" t="n"/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3">
        <f>IF(COUNT(G148:I148)=3,IFERROR(ROUND((G148*Settings!$D$15+H148*Settings!$D$16+I148*Settings!$D$17)/(Settings!$D$15+Settings!$D$16+Settings!$D$17),2),""),"")</f>
        <v/>
      </c>
      <c r="W148" s="33">
        <f>IF(COUNT(J148:L148)=3,IFERROR(ROUND((J148*Settings!$D$15+K148*Settings!$D$16+L148*Settings!$D$17)/(Settings!$D$15+Settings!$D$16+Settings!$D$17),2),""),"")</f>
        <v/>
      </c>
      <c r="X148" s="33">
        <f>IF(COUNT(M148:O148)=3,IFERROR(ROUND((M148*Settings!$D$15+N148*Settings!$D$16+O148*Settings!$D$17)/(Settings!$D$15+Settings!$D$16+Settings!$D$17),2),""),"")</f>
        <v/>
      </c>
      <c r="Y148" s="33">
        <f>IF(COUNT(P148:R148)=3,IFERROR(ROUND((P148*Settings!$D$15+Q148*Settings!$D$16+R148*Settings!$D$17)/(Settings!$D$15+Settings!$D$16+Settings!$D$17),2),""),"")</f>
        <v/>
      </c>
      <c r="Z148" s="33">
        <f>IF(COUNT(S148:U148)=3,IFERROR(ROUND((S148*Settings!$D$15+T148*Settings!$D$16+U148*Settings!$D$17)/(Settings!$D$15+Settings!$D$16+Settings!$D$17),2),""),"")</f>
        <v/>
      </c>
      <c r="AA148" s="34">
        <f>IF(COUNT(V148:Z148)=0,"",ROUND(AVERAGE(V148:Z148),2))</f>
        <v/>
      </c>
      <c r="AB148" s="35">
        <f>IF($A148="","",COUNT(V148:Z148))</f>
        <v/>
      </c>
      <c r="AC148" s="36" t="n"/>
      <c r="AD148" s="35">
        <f>IF(AA148="","",SUMPRODUCT(ISNUMBER($AA$6:$AA$305)*($AA$6:$AA$305&gt;AA148))+SUMPRODUCT(($AA$6:AA148=AA148)*1))</f>
        <v/>
      </c>
      <c r="AE148" s="35">
        <f>IF(AA148="","",SUMPRODUCT(($E$6:$E$305=E148)*ISNUMBER($AA$6:$AA$305)*($AA$6:$AA$305&gt;AA148))+SUMPRODUCT(($E$6:E148=E148)*($AA$6:AA148=AA148)))</f>
        <v/>
      </c>
    </row>
    <row r="149">
      <c r="A149" s="31">
        <f>IF(Submissions!AD145="","",144)</f>
        <v/>
      </c>
      <c r="B149" s="10">
        <f>IF($A149="","",IF(Settings!$B$4="Yes","Submission "&amp;$A149,Submissions!AD145))</f>
        <v/>
      </c>
      <c r="C149" s="31">
        <f>IF($A149="","",IF(Settings!$B$4="Yes","(hidden)",Submissions!AE145))</f>
        <v/>
      </c>
      <c r="D149" s="31">
        <f>IF($A149="","",Submissions!AF145)</f>
        <v/>
      </c>
      <c r="E149" s="31">
        <f>IF($A149="","",Submissions!AG145)</f>
        <v/>
      </c>
      <c r="F149" s="31">
        <f>IF($A149="","",Submissions!AH145)</f>
        <v/>
      </c>
      <c r="G149" s="37" t="n"/>
      <c r="H149" s="37" t="n"/>
      <c r="I149" s="37" t="n"/>
      <c r="J149" s="37" t="n"/>
      <c r="K149" s="37" t="n"/>
      <c r="L149" s="37" t="n"/>
      <c r="M149" s="37" t="n"/>
      <c r="N149" s="37" t="n"/>
      <c r="O149" s="37" t="n"/>
      <c r="P149" s="37" t="n"/>
      <c r="Q149" s="37" t="n"/>
      <c r="R149" s="37" t="n"/>
      <c r="S149" s="37" t="n"/>
      <c r="T149" s="37" t="n"/>
      <c r="U149" s="37" t="n"/>
      <c r="V149" s="33">
        <f>IF(COUNT(G149:I149)=3,IFERROR(ROUND((G149*Settings!$D$15+H149*Settings!$D$16+I149*Settings!$D$17)/(Settings!$D$15+Settings!$D$16+Settings!$D$17),2),""),"")</f>
        <v/>
      </c>
      <c r="W149" s="33">
        <f>IF(COUNT(J149:L149)=3,IFERROR(ROUND((J149*Settings!$D$15+K149*Settings!$D$16+L149*Settings!$D$17)/(Settings!$D$15+Settings!$D$16+Settings!$D$17),2),""),"")</f>
        <v/>
      </c>
      <c r="X149" s="33">
        <f>IF(COUNT(M149:O149)=3,IFERROR(ROUND((M149*Settings!$D$15+N149*Settings!$D$16+O149*Settings!$D$17)/(Settings!$D$15+Settings!$D$16+Settings!$D$17),2),""),"")</f>
        <v/>
      </c>
      <c r="Y149" s="33">
        <f>IF(COUNT(P149:R149)=3,IFERROR(ROUND((P149*Settings!$D$15+Q149*Settings!$D$16+R149*Settings!$D$17)/(Settings!$D$15+Settings!$D$16+Settings!$D$17),2),""),"")</f>
        <v/>
      </c>
      <c r="Z149" s="33">
        <f>IF(COUNT(S149:U149)=3,IFERROR(ROUND((S149*Settings!$D$15+T149*Settings!$D$16+U149*Settings!$D$17)/(Settings!$D$15+Settings!$D$16+Settings!$D$17),2),""),"")</f>
        <v/>
      </c>
      <c r="AA149" s="34">
        <f>IF(COUNT(V149:Z149)=0,"",ROUND(AVERAGE(V149:Z149),2))</f>
        <v/>
      </c>
      <c r="AB149" s="35">
        <f>IF($A149="","",COUNT(V149:Z149))</f>
        <v/>
      </c>
      <c r="AC149" s="36" t="n"/>
      <c r="AD149" s="35">
        <f>IF(AA149="","",SUMPRODUCT(ISNUMBER($AA$6:$AA$305)*($AA$6:$AA$305&gt;AA149))+SUMPRODUCT(($AA$6:AA149=AA149)*1))</f>
        <v/>
      </c>
      <c r="AE149" s="35">
        <f>IF(AA149="","",SUMPRODUCT(($E$6:$E$305=E149)*ISNUMBER($AA$6:$AA$305)*($AA$6:$AA$305&gt;AA149))+SUMPRODUCT(($E$6:E149=E149)*($AA$6:AA149=AA149)))</f>
        <v/>
      </c>
    </row>
    <row r="150">
      <c r="A150" s="31">
        <f>IF(Submissions!AD146="","",145)</f>
        <v/>
      </c>
      <c r="B150" s="10">
        <f>IF($A150="","",IF(Settings!$B$4="Yes","Submission "&amp;$A150,Submissions!AD146))</f>
        <v/>
      </c>
      <c r="C150" s="31">
        <f>IF($A150="","",IF(Settings!$B$4="Yes","(hidden)",Submissions!AE146))</f>
        <v/>
      </c>
      <c r="D150" s="31">
        <f>IF($A150="","",Submissions!AF146)</f>
        <v/>
      </c>
      <c r="E150" s="31">
        <f>IF($A150="","",Submissions!AG146)</f>
        <v/>
      </c>
      <c r="F150" s="31">
        <f>IF($A150="","",Submissions!AH146)</f>
        <v/>
      </c>
      <c r="G150" s="37" t="n"/>
      <c r="H150" s="37" t="n"/>
      <c r="I150" s="37" t="n"/>
      <c r="J150" s="37" t="n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3">
        <f>IF(COUNT(G150:I150)=3,IFERROR(ROUND((G150*Settings!$D$15+H150*Settings!$D$16+I150*Settings!$D$17)/(Settings!$D$15+Settings!$D$16+Settings!$D$17),2),""),"")</f>
        <v/>
      </c>
      <c r="W150" s="33">
        <f>IF(COUNT(J150:L150)=3,IFERROR(ROUND((J150*Settings!$D$15+K150*Settings!$D$16+L150*Settings!$D$17)/(Settings!$D$15+Settings!$D$16+Settings!$D$17),2),""),"")</f>
        <v/>
      </c>
      <c r="X150" s="33">
        <f>IF(COUNT(M150:O150)=3,IFERROR(ROUND((M150*Settings!$D$15+N150*Settings!$D$16+O150*Settings!$D$17)/(Settings!$D$15+Settings!$D$16+Settings!$D$17),2),""),"")</f>
        <v/>
      </c>
      <c r="Y150" s="33">
        <f>IF(COUNT(P150:R150)=3,IFERROR(ROUND((P150*Settings!$D$15+Q150*Settings!$D$16+R150*Settings!$D$17)/(Settings!$D$15+Settings!$D$16+Settings!$D$17),2),""),"")</f>
        <v/>
      </c>
      <c r="Z150" s="33">
        <f>IF(COUNT(S150:U150)=3,IFERROR(ROUND((S150*Settings!$D$15+T150*Settings!$D$16+U150*Settings!$D$17)/(Settings!$D$15+Settings!$D$16+Settings!$D$17),2),""),"")</f>
        <v/>
      </c>
      <c r="AA150" s="34">
        <f>IF(COUNT(V150:Z150)=0,"",ROUND(AVERAGE(V150:Z150),2))</f>
        <v/>
      </c>
      <c r="AB150" s="35">
        <f>IF($A150="","",COUNT(V150:Z150))</f>
        <v/>
      </c>
      <c r="AC150" s="36" t="n"/>
      <c r="AD150" s="35">
        <f>IF(AA150="","",SUMPRODUCT(ISNUMBER($AA$6:$AA$305)*($AA$6:$AA$305&gt;AA150))+SUMPRODUCT(($AA$6:AA150=AA150)*1))</f>
        <v/>
      </c>
      <c r="AE150" s="35">
        <f>IF(AA150="","",SUMPRODUCT(($E$6:$E$305=E150)*ISNUMBER($AA$6:$AA$305)*($AA$6:$AA$305&gt;AA150))+SUMPRODUCT(($E$6:E150=E150)*($AA$6:AA150=AA150)))</f>
        <v/>
      </c>
    </row>
    <row r="151">
      <c r="A151" s="31">
        <f>IF(Submissions!AD147="","",146)</f>
        <v/>
      </c>
      <c r="B151" s="10">
        <f>IF($A151="","",IF(Settings!$B$4="Yes","Submission "&amp;$A151,Submissions!AD147))</f>
        <v/>
      </c>
      <c r="C151" s="31">
        <f>IF($A151="","",IF(Settings!$B$4="Yes","(hidden)",Submissions!AE147))</f>
        <v/>
      </c>
      <c r="D151" s="31">
        <f>IF($A151="","",Submissions!AF147)</f>
        <v/>
      </c>
      <c r="E151" s="31">
        <f>IF($A151="","",Submissions!AG147)</f>
        <v/>
      </c>
      <c r="F151" s="31">
        <f>IF($A151="","",Submissions!AH147)</f>
        <v/>
      </c>
      <c r="G151" s="37" t="n"/>
      <c r="H151" s="37" t="n"/>
      <c r="I151" s="37" t="n"/>
      <c r="J151" s="37" t="n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3">
        <f>IF(COUNT(G151:I151)=3,IFERROR(ROUND((G151*Settings!$D$15+H151*Settings!$D$16+I151*Settings!$D$17)/(Settings!$D$15+Settings!$D$16+Settings!$D$17),2),""),"")</f>
        <v/>
      </c>
      <c r="W151" s="33">
        <f>IF(COUNT(J151:L151)=3,IFERROR(ROUND((J151*Settings!$D$15+K151*Settings!$D$16+L151*Settings!$D$17)/(Settings!$D$15+Settings!$D$16+Settings!$D$17),2),""),"")</f>
        <v/>
      </c>
      <c r="X151" s="33">
        <f>IF(COUNT(M151:O151)=3,IFERROR(ROUND((M151*Settings!$D$15+N151*Settings!$D$16+O151*Settings!$D$17)/(Settings!$D$15+Settings!$D$16+Settings!$D$17),2),""),"")</f>
        <v/>
      </c>
      <c r="Y151" s="33">
        <f>IF(COUNT(P151:R151)=3,IFERROR(ROUND((P151*Settings!$D$15+Q151*Settings!$D$16+R151*Settings!$D$17)/(Settings!$D$15+Settings!$D$16+Settings!$D$17),2),""),"")</f>
        <v/>
      </c>
      <c r="Z151" s="33">
        <f>IF(COUNT(S151:U151)=3,IFERROR(ROUND((S151*Settings!$D$15+T151*Settings!$D$16+U151*Settings!$D$17)/(Settings!$D$15+Settings!$D$16+Settings!$D$17),2),""),"")</f>
        <v/>
      </c>
      <c r="AA151" s="34">
        <f>IF(COUNT(V151:Z151)=0,"",ROUND(AVERAGE(V151:Z151),2))</f>
        <v/>
      </c>
      <c r="AB151" s="35">
        <f>IF($A151="","",COUNT(V151:Z151))</f>
        <v/>
      </c>
      <c r="AC151" s="36" t="n"/>
      <c r="AD151" s="35">
        <f>IF(AA151="","",SUMPRODUCT(ISNUMBER($AA$6:$AA$305)*($AA$6:$AA$305&gt;AA151))+SUMPRODUCT(($AA$6:AA151=AA151)*1))</f>
        <v/>
      </c>
      <c r="AE151" s="35">
        <f>IF(AA151="","",SUMPRODUCT(($E$6:$E$305=E151)*ISNUMBER($AA$6:$AA$305)*($AA$6:$AA$305&gt;AA151))+SUMPRODUCT(($E$6:E151=E151)*($AA$6:AA151=AA151)))</f>
        <v/>
      </c>
    </row>
    <row r="152">
      <c r="A152" s="31">
        <f>IF(Submissions!AD148="","",147)</f>
        <v/>
      </c>
      <c r="B152" s="10">
        <f>IF($A152="","",IF(Settings!$B$4="Yes","Submission "&amp;$A152,Submissions!AD148))</f>
        <v/>
      </c>
      <c r="C152" s="31">
        <f>IF($A152="","",IF(Settings!$B$4="Yes","(hidden)",Submissions!AE148))</f>
        <v/>
      </c>
      <c r="D152" s="31">
        <f>IF($A152="","",Submissions!AF148)</f>
        <v/>
      </c>
      <c r="E152" s="31">
        <f>IF($A152="","",Submissions!AG148)</f>
        <v/>
      </c>
      <c r="F152" s="31">
        <f>IF($A152="","",Submissions!AH148)</f>
        <v/>
      </c>
      <c r="G152" s="37" t="n"/>
      <c r="H152" s="37" t="n"/>
      <c r="I152" s="37" t="n"/>
      <c r="J152" s="37" t="n"/>
      <c r="K152" s="37" t="n"/>
      <c r="L152" s="37" t="n"/>
      <c r="M152" s="37" t="n"/>
      <c r="N152" s="37" t="n"/>
      <c r="O152" s="37" t="n"/>
      <c r="P152" s="37" t="n"/>
      <c r="Q152" s="37" t="n"/>
      <c r="R152" s="37" t="n"/>
      <c r="S152" s="37" t="n"/>
      <c r="T152" s="37" t="n"/>
      <c r="U152" s="37" t="n"/>
      <c r="V152" s="33">
        <f>IF(COUNT(G152:I152)=3,IFERROR(ROUND((G152*Settings!$D$15+H152*Settings!$D$16+I152*Settings!$D$17)/(Settings!$D$15+Settings!$D$16+Settings!$D$17),2),""),"")</f>
        <v/>
      </c>
      <c r="W152" s="33">
        <f>IF(COUNT(J152:L152)=3,IFERROR(ROUND((J152*Settings!$D$15+K152*Settings!$D$16+L152*Settings!$D$17)/(Settings!$D$15+Settings!$D$16+Settings!$D$17),2),""),"")</f>
        <v/>
      </c>
      <c r="X152" s="33">
        <f>IF(COUNT(M152:O152)=3,IFERROR(ROUND((M152*Settings!$D$15+N152*Settings!$D$16+O152*Settings!$D$17)/(Settings!$D$15+Settings!$D$16+Settings!$D$17),2),""),"")</f>
        <v/>
      </c>
      <c r="Y152" s="33">
        <f>IF(COUNT(P152:R152)=3,IFERROR(ROUND((P152*Settings!$D$15+Q152*Settings!$D$16+R152*Settings!$D$17)/(Settings!$D$15+Settings!$D$16+Settings!$D$17),2),""),"")</f>
        <v/>
      </c>
      <c r="Z152" s="33">
        <f>IF(COUNT(S152:U152)=3,IFERROR(ROUND((S152*Settings!$D$15+T152*Settings!$D$16+U152*Settings!$D$17)/(Settings!$D$15+Settings!$D$16+Settings!$D$17),2),""),"")</f>
        <v/>
      </c>
      <c r="AA152" s="34">
        <f>IF(COUNT(V152:Z152)=0,"",ROUND(AVERAGE(V152:Z152),2))</f>
        <v/>
      </c>
      <c r="AB152" s="35">
        <f>IF($A152="","",COUNT(V152:Z152))</f>
        <v/>
      </c>
      <c r="AC152" s="36" t="n"/>
      <c r="AD152" s="35">
        <f>IF(AA152="","",SUMPRODUCT(ISNUMBER($AA$6:$AA$305)*($AA$6:$AA$305&gt;AA152))+SUMPRODUCT(($AA$6:AA152=AA152)*1))</f>
        <v/>
      </c>
      <c r="AE152" s="35">
        <f>IF(AA152="","",SUMPRODUCT(($E$6:$E$305=E152)*ISNUMBER($AA$6:$AA$305)*($AA$6:$AA$305&gt;AA152))+SUMPRODUCT(($E$6:E152=E152)*($AA$6:AA152=AA152)))</f>
        <v/>
      </c>
    </row>
    <row r="153">
      <c r="A153" s="31">
        <f>IF(Submissions!AD149="","",148)</f>
        <v/>
      </c>
      <c r="B153" s="10">
        <f>IF($A153="","",IF(Settings!$B$4="Yes","Submission "&amp;$A153,Submissions!AD149))</f>
        <v/>
      </c>
      <c r="C153" s="31">
        <f>IF($A153="","",IF(Settings!$B$4="Yes","(hidden)",Submissions!AE149))</f>
        <v/>
      </c>
      <c r="D153" s="31">
        <f>IF($A153="","",Submissions!AF149)</f>
        <v/>
      </c>
      <c r="E153" s="31">
        <f>IF($A153="","",Submissions!AG149)</f>
        <v/>
      </c>
      <c r="F153" s="31">
        <f>IF($A153="","",Submissions!AH149)</f>
        <v/>
      </c>
      <c r="G153" s="37" t="n"/>
      <c r="H153" s="37" t="n"/>
      <c r="I153" s="37" t="n"/>
      <c r="J153" s="37" t="n"/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3">
        <f>IF(COUNT(G153:I153)=3,IFERROR(ROUND((G153*Settings!$D$15+H153*Settings!$D$16+I153*Settings!$D$17)/(Settings!$D$15+Settings!$D$16+Settings!$D$17),2),""),"")</f>
        <v/>
      </c>
      <c r="W153" s="33">
        <f>IF(COUNT(J153:L153)=3,IFERROR(ROUND((J153*Settings!$D$15+K153*Settings!$D$16+L153*Settings!$D$17)/(Settings!$D$15+Settings!$D$16+Settings!$D$17),2),""),"")</f>
        <v/>
      </c>
      <c r="X153" s="33">
        <f>IF(COUNT(M153:O153)=3,IFERROR(ROUND((M153*Settings!$D$15+N153*Settings!$D$16+O153*Settings!$D$17)/(Settings!$D$15+Settings!$D$16+Settings!$D$17),2),""),"")</f>
        <v/>
      </c>
      <c r="Y153" s="33">
        <f>IF(COUNT(P153:R153)=3,IFERROR(ROUND((P153*Settings!$D$15+Q153*Settings!$D$16+R153*Settings!$D$17)/(Settings!$D$15+Settings!$D$16+Settings!$D$17),2),""),"")</f>
        <v/>
      </c>
      <c r="Z153" s="33">
        <f>IF(COUNT(S153:U153)=3,IFERROR(ROUND((S153*Settings!$D$15+T153*Settings!$D$16+U153*Settings!$D$17)/(Settings!$D$15+Settings!$D$16+Settings!$D$17),2),""),"")</f>
        <v/>
      </c>
      <c r="AA153" s="34">
        <f>IF(COUNT(V153:Z153)=0,"",ROUND(AVERAGE(V153:Z153),2))</f>
        <v/>
      </c>
      <c r="AB153" s="35">
        <f>IF($A153="","",COUNT(V153:Z153))</f>
        <v/>
      </c>
      <c r="AC153" s="36" t="n"/>
      <c r="AD153" s="35">
        <f>IF(AA153="","",SUMPRODUCT(ISNUMBER($AA$6:$AA$305)*($AA$6:$AA$305&gt;AA153))+SUMPRODUCT(($AA$6:AA153=AA153)*1))</f>
        <v/>
      </c>
      <c r="AE153" s="35">
        <f>IF(AA153="","",SUMPRODUCT(($E$6:$E$305=E153)*ISNUMBER($AA$6:$AA$305)*($AA$6:$AA$305&gt;AA153))+SUMPRODUCT(($E$6:E153=E153)*($AA$6:AA153=AA153)))</f>
        <v/>
      </c>
    </row>
    <row r="154">
      <c r="A154" s="31">
        <f>IF(Submissions!AD150="","",149)</f>
        <v/>
      </c>
      <c r="B154" s="10">
        <f>IF($A154="","",IF(Settings!$B$4="Yes","Submission "&amp;$A154,Submissions!AD150))</f>
        <v/>
      </c>
      <c r="C154" s="31">
        <f>IF($A154="","",IF(Settings!$B$4="Yes","(hidden)",Submissions!AE150))</f>
        <v/>
      </c>
      <c r="D154" s="31">
        <f>IF($A154="","",Submissions!AF150)</f>
        <v/>
      </c>
      <c r="E154" s="31">
        <f>IF($A154="","",Submissions!AG150)</f>
        <v/>
      </c>
      <c r="F154" s="31">
        <f>IF($A154="","",Submissions!AH150)</f>
        <v/>
      </c>
      <c r="G154" s="37" t="n"/>
      <c r="H154" s="37" t="n"/>
      <c r="I154" s="37" t="n"/>
      <c r="J154" s="37" t="n"/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3">
        <f>IF(COUNT(G154:I154)=3,IFERROR(ROUND((G154*Settings!$D$15+H154*Settings!$D$16+I154*Settings!$D$17)/(Settings!$D$15+Settings!$D$16+Settings!$D$17),2),""),"")</f>
        <v/>
      </c>
      <c r="W154" s="33">
        <f>IF(COUNT(J154:L154)=3,IFERROR(ROUND((J154*Settings!$D$15+K154*Settings!$D$16+L154*Settings!$D$17)/(Settings!$D$15+Settings!$D$16+Settings!$D$17),2),""),"")</f>
        <v/>
      </c>
      <c r="X154" s="33">
        <f>IF(COUNT(M154:O154)=3,IFERROR(ROUND((M154*Settings!$D$15+N154*Settings!$D$16+O154*Settings!$D$17)/(Settings!$D$15+Settings!$D$16+Settings!$D$17),2),""),"")</f>
        <v/>
      </c>
      <c r="Y154" s="33">
        <f>IF(COUNT(P154:R154)=3,IFERROR(ROUND((P154*Settings!$D$15+Q154*Settings!$D$16+R154*Settings!$D$17)/(Settings!$D$15+Settings!$D$16+Settings!$D$17),2),""),"")</f>
        <v/>
      </c>
      <c r="Z154" s="33">
        <f>IF(COUNT(S154:U154)=3,IFERROR(ROUND((S154*Settings!$D$15+T154*Settings!$D$16+U154*Settings!$D$17)/(Settings!$D$15+Settings!$D$16+Settings!$D$17),2),""),"")</f>
        <v/>
      </c>
      <c r="AA154" s="34">
        <f>IF(COUNT(V154:Z154)=0,"",ROUND(AVERAGE(V154:Z154),2))</f>
        <v/>
      </c>
      <c r="AB154" s="35">
        <f>IF($A154="","",COUNT(V154:Z154))</f>
        <v/>
      </c>
      <c r="AC154" s="36" t="n"/>
      <c r="AD154" s="35">
        <f>IF(AA154="","",SUMPRODUCT(ISNUMBER($AA$6:$AA$305)*($AA$6:$AA$305&gt;AA154))+SUMPRODUCT(($AA$6:AA154=AA154)*1))</f>
        <v/>
      </c>
      <c r="AE154" s="35">
        <f>IF(AA154="","",SUMPRODUCT(($E$6:$E$305=E154)*ISNUMBER($AA$6:$AA$305)*($AA$6:$AA$305&gt;AA154))+SUMPRODUCT(($E$6:E154=E154)*($AA$6:AA154=AA154)))</f>
        <v/>
      </c>
    </row>
    <row r="155">
      <c r="A155" s="31">
        <f>IF(Submissions!AD151="","",150)</f>
        <v/>
      </c>
      <c r="B155" s="10">
        <f>IF($A155="","",IF(Settings!$B$4="Yes","Submission "&amp;$A155,Submissions!AD151))</f>
        <v/>
      </c>
      <c r="C155" s="31">
        <f>IF($A155="","",IF(Settings!$B$4="Yes","(hidden)",Submissions!AE151))</f>
        <v/>
      </c>
      <c r="D155" s="31">
        <f>IF($A155="","",Submissions!AF151)</f>
        <v/>
      </c>
      <c r="E155" s="31">
        <f>IF($A155="","",Submissions!AG151)</f>
        <v/>
      </c>
      <c r="F155" s="31">
        <f>IF($A155="","",Submissions!AH151)</f>
        <v/>
      </c>
      <c r="G155" s="37" t="n"/>
      <c r="H155" s="37" t="n"/>
      <c r="I155" s="37" t="n"/>
      <c r="J155" s="37" t="n"/>
      <c r="K155" s="37" t="n"/>
      <c r="L155" s="37" t="n"/>
      <c r="M155" s="37" t="n"/>
      <c r="N155" s="37" t="n"/>
      <c r="O155" s="37" t="n"/>
      <c r="P155" s="37" t="n"/>
      <c r="Q155" s="37" t="n"/>
      <c r="R155" s="37" t="n"/>
      <c r="S155" s="37" t="n"/>
      <c r="T155" s="37" t="n"/>
      <c r="U155" s="37" t="n"/>
      <c r="V155" s="33">
        <f>IF(COUNT(G155:I155)=3,IFERROR(ROUND((G155*Settings!$D$15+H155*Settings!$D$16+I155*Settings!$D$17)/(Settings!$D$15+Settings!$D$16+Settings!$D$17),2),""),"")</f>
        <v/>
      </c>
      <c r="W155" s="33">
        <f>IF(COUNT(J155:L155)=3,IFERROR(ROUND((J155*Settings!$D$15+K155*Settings!$D$16+L155*Settings!$D$17)/(Settings!$D$15+Settings!$D$16+Settings!$D$17),2),""),"")</f>
        <v/>
      </c>
      <c r="X155" s="33">
        <f>IF(COUNT(M155:O155)=3,IFERROR(ROUND((M155*Settings!$D$15+N155*Settings!$D$16+O155*Settings!$D$17)/(Settings!$D$15+Settings!$D$16+Settings!$D$17),2),""),"")</f>
        <v/>
      </c>
      <c r="Y155" s="33">
        <f>IF(COUNT(P155:R155)=3,IFERROR(ROUND((P155*Settings!$D$15+Q155*Settings!$D$16+R155*Settings!$D$17)/(Settings!$D$15+Settings!$D$16+Settings!$D$17),2),""),"")</f>
        <v/>
      </c>
      <c r="Z155" s="33">
        <f>IF(COUNT(S155:U155)=3,IFERROR(ROUND((S155*Settings!$D$15+T155*Settings!$D$16+U155*Settings!$D$17)/(Settings!$D$15+Settings!$D$16+Settings!$D$17),2),""),"")</f>
        <v/>
      </c>
      <c r="AA155" s="34">
        <f>IF(COUNT(V155:Z155)=0,"",ROUND(AVERAGE(V155:Z155),2))</f>
        <v/>
      </c>
      <c r="AB155" s="35">
        <f>IF($A155="","",COUNT(V155:Z155))</f>
        <v/>
      </c>
      <c r="AC155" s="36" t="n"/>
      <c r="AD155" s="35">
        <f>IF(AA155="","",SUMPRODUCT(ISNUMBER($AA$6:$AA$305)*($AA$6:$AA$305&gt;AA155))+SUMPRODUCT(($AA$6:AA155=AA155)*1))</f>
        <v/>
      </c>
      <c r="AE155" s="35">
        <f>IF(AA155="","",SUMPRODUCT(($E$6:$E$305=E155)*ISNUMBER($AA$6:$AA$305)*($AA$6:$AA$305&gt;AA155))+SUMPRODUCT(($E$6:E155=E155)*($AA$6:AA155=AA155)))</f>
        <v/>
      </c>
    </row>
    <row r="156">
      <c r="A156" s="31">
        <f>IF(Submissions!AD152="","",151)</f>
        <v/>
      </c>
      <c r="B156" s="10">
        <f>IF($A156="","",IF(Settings!$B$4="Yes","Submission "&amp;$A156,Submissions!AD152))</f>
        <v/>
      </c>
      <c r="C156" s="31">
        <f>IF($A156="","",IF(Settings!$B$4="Yes","(hidden)",Submissions!AE152))</f>
        <v/>
      </c>
      <c r="D156" s="31">
        <f>IF($A156="","",Submissions!AF152)</f>
        <v/>
      </c>
      <c r="E156" s="31">
        <f>IF($A156="","",Submissions!AG152)</f>
        <v/>
      </c>
      <c r="F156" s="31">
        <f>IF($A156="","",Submissions!AH152)</f>
        <v/>
      </c>
      <c r="G156" s="37" t="n"/>
      <c r="H156" s="37" t="n"/>
      <c r="I156" s="37" t="n"/>
      <c r="J156" s="37" t="n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3">
        <f>IF(COUNT(G156:I156)=3,IFERROR(ROUND((G156*Settings!$D$15+H156*Settings!$D$16+I156*Settings!$D$17)/(Settings!$D$15+Settings!$D$16+Settings!$D$17),2),""),"")</f>
        <v/>
      </c>
      <c r="W156" s="33">
        <f>IF(COUNT(J156:L156)=3,IFERROR(ROUND((J156*Settings!$D$15+K156*Settings!$D$16+L156*Settings!$D$17)/(Settings!$D$15+Settings!$D$16+Settings!$D$17),2),""),"")</f>
        <v/>
      </c>
      <c r="X156" s="33">
        <f>IF(COUNT(M156:O156)=3,IFERROR(ROUND((M156*Settings!$D$15+N156*Settings!$D$16+O156*Settings!$D$17)/(Settings!$D$15+Settings!$D$16+Settings!$D$17),2),""),"")</f>
        <v/>
      </c>
      <c r="Y156" s="33">
        <f>IF(COUNT(P156:R156)=3,IFERROR(ROUND((P156*Settings!$D$15+Q156*Settings!$D$16+R156*Settings!$D$17)/(Settings!$D$15+Settings!$D$16+Settings!$D$17),2),""),"")</f>
        <v/>
      </c>
      <c r="Z156" s="33">
        <f>IF(COUNT(S156:U156)=3,IFERROR(ROUND((S156*Settings!$D$15+T156*Settings!$D$16+U156*Settings!$D$17)/(Settings!$D$15+Settings!$D$16+Settings!$D$17),2),""),"")</f>
        <v/>
      </c>
      <c r="AA156" s="34">
        <f>IF(COUNT(V156:Z156)=0,"",ROUND(AVERAGE(V156:Z156),2))</f>
        <v/>
      </c>
      <c r="AB156" s="35">
        <f>IF($A156="","",COUNT(V156:Z156))</f>
        <v/>
      </c>
      <c r="AC156" s="36" t="n"/>
      <c r="AD156" s="35">
        <f>IF(AA156="","",SUMPRODUCT(ISNUMBER($AA$6:$AA$305)*($AA$6:$AA$305&gt;AA156))+SUMPRODUCT(($AA$6:AA156=AA156)*1))</f>
        <v/>
      </c>
      <c r="AE156" s="35">
        <f>IF(AA156="","",SUMPRODUCT(($E$6:$E$305=E156)*ISNUMBER($AA$6:$AA$305)*($AA$6:$AA$305&gt;AA156))+SUMPRODUCT(($E$6:E156=E156)*($AA$6:AA156=AA156)))</f>
        <v/>
      </c>
    </row>
    <row r="157">
      <c r="A157" s="31">
        <f>IF(Submissions!AD153="","",152)</f>
        <v/>
      </c>
      <c r="B157" s="10">
        <f>IF($A157="","",IF(Settings!$B$4="Yes","Submission "&amp;$A157,Submissions!AD153))</f>
        <v/>
      </c>
      <c r="C157" s="31">
        <f>IF($A157="","",IF(Settings!$B$4="Yes","(hidden)",Submissions!AE153))</f>
        <v/>
      </c>
      <c r="D157" s="31">
        <f>IF($A157="","",Submissions!AF153)</f>
        <v/>
      </c>
      <c r="E157" s="31">
        <f>IF($A157="","",Submissions!AG153)</f>
        <v/>
      </c>
      <c r="F157" s="31">
        <f>IF($A157="","",Submissions!AH153)</f>
        <v/>
      </c>
      <c r="G157" s="37" t="n"/>
      <c r="H157" s="37" t="n"/>
      <c r="I157" s="37" t="n"/>
      <c r="J157" s="37" t="n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3">
        <f>IF(COUNT(G157:I157)=3,IFERROR(ROUND((G157*Settings!$D$15+H157*Settings!$D$16+I157*Settings!$D$17)/(Settings!$D$15+Settings!$D$16+Settings!$D$17),2),""),"")</f>
        <v/>
      </c>
      <c r="W157" s="33">
        <f>IF(COUNT(J157:L157)=3,IFERROR(ROUND((J157*Settings!$D$15+K157*Settings!$D$16+L157*Settings!$D$17)/(Settings!$D$15+Settings!$D$16+Settings!$D$17),2),""),"")</f>
        <v/>
      </c>
      <c r="X157" s="33">
        <f>IF(COUNT(M157:O157)=3,IFERROR(ROUND((M157*Settings!$D$15+N157*Settings!$D$16+O157*Settings!$D$17)/(Settings!$D$15+Settings!$D$16+Settings!$D$17),2),""),"")</f>
        <v/>
      </c>
      <c r="Y157" s="33">
        <f>IF(COUNT(P157:R157)=3,IFERROR(ROUND((P157*Settings!$D$15+Q157*Settings!$D$16+R157*Settings!$D$17)/(Settings!$D$15+Settings!$D$16+Settings!$D$17),2),""),"")</f>
        <v/>
      </c>
      <c r="Z157" s="33">
        <f>IF(COUNT(S157:U157)=3,IFERROR(ROUND((S157*Settings!$D$15+T157*Settings!$D$16+U157*Settings!$D$17)/(Settings!$D$15+Settings!$D$16+Settings!$D$17),2),""),"")</f>
        <v/>
      </c>
      <c r="AA157" s="34">
        <f>IF(COUNT(V157:Z157)=0,"",ROUND(AVERAGE(V157:Z157),2))</f>
        <v/>
      </c>
      <c r="AB157" s="35">
        <f>IF($A157="","",COUNT(V157:Z157))</f>
        <v/>
      </c>
      <c r="AC157" s="36" t="n"/>
      <c r="AD157" s="35">
        <f>IF(AA157="","",SUMPRODUCT(ISNUMBER($AA$6:$AA$305)*($AA$6:$AA$305&gt;AA157))+SUMPRODUCT(($AA$6:AA157=AA157)*1))</f>
        <v/>
      </c>
      <c r="AE157" s="35">
        <f>IF(AA157="","",SUMPRODUCT(($E$6:$E$305=E157)*ISNUMBER($AA$6:$AA$305)*($AA$6:$AA$305&gt;AA157))+SUMPRODUCT(($E$6:E157=E157)*($AA$6:AA157=AA157)))</f>
        <v/>
      </c>
    </row>
    <row r="158">
      <c r="A158" s="31">
        <f>IF(Submissions!AD154="","",153)</f>
        <v/>
      </c>
      <c r="B158" s="10">
        <f>IF($A158="","",IF(Settings!$B$4="Yes","Submission "&amp;$A158,Submissions!AD154))</f>
        <v/>
      </c>
      <c r="C158" s="31">
        <f>IF($A158="","",IF(Settings!$B$4="Yes","(hidden)",Submissions!AE154))</f>
        <v/>
      </c>
      <c r="D158" s="31">
        <f>IF($A158="","",Submissions!AF154)</f>
        <v/>
      </c>
      <c r="E158" s="31">
        <f>IF($A158="","",Submissions!AG154)</f>
        <v/>
      </c>
      <c r="F158" s="31">
        <f>IF($A158="","",Submissions!AH154)</f>
        <v/>
      </c>
      <c r="G158" s="37" t="n"/>
      <c r="H158" s="37" t="n"/>
      <c r="I158" s="37" t="n"/>
      <c r="J158" s="37" t="n"/>
      <c r="K158" s="37" t="n"/>
      <c r="L158" s="37" t="n"/>
      <c r="M158" s="37" t="n"/>
      <c r="N158" s="37" t="n"/>
      <c r="O158" s="37" t="n"/>
      <c r="P158" s="37" t="n"/>
      <c r="Q158" s="37" t="n"/>
      <c r="R158" s="37" t="n"/>
      <c r="S158" s="37" t="n"/>
      <c r="T158" s="37" t="n"/>
      <c r="U158" s="37" t="n"/>
      <c r="V158" s="33">
        <f>IF(COUNT(G158:I158)=3,IFERROR(ROUND((G158*Settings!$D$15+H158*Settings!$D$16+I158*Settings!$D$17)/(Settings!$D$15+Settings!$D$16+Settings!$D$17),2),""),"")</f>
        <v/>
      </c>
      <c r="W158" s="33">
        <f>IF(COUNT(J158:L158)=3,IFERROR(ROUND((J158*Settings!$D$15+K158*Settings!$D$16+L158*Settings!$D$17)/(Settings!$D$15+Settings!$D$16+Settings!$D$17),2),""),"")</f>
        <v/>
      </c>
      <c r="X158" s="33">
        <f>IF(COUNT(M158:O158)=3,IFERROR(ROUND((M158*Settings!$D$15+N158*Settings!$D$16+O158*Settings!$D$17)/(Settings!$D$15+Settings!$D$16+Settings!$D$17),2),""),"")</f>
        <v/>
      </c>
      <c r="Y158" s="33">
        <f>IF(COUNT(P158:R158)=3,IFERROR(ROUND((P158*Settings!$D$15+Q158*Settings!$D$16+R158*Settings!$D$17)/(Settings!$D$15+Settings!$D$16+Settings!$D$17),2),""),"")</f>
        <v/>
      </c>
      <c r="Z158" s="33">
        <f>IF(COUNT(S158:U158)=3,IFERROR(ROUND((S158*Settings!$D$15+T158*Settings!$D$16+U158*Settings!$D$17)/(Settings!$D$15+Settings!$D$16+Settings!$D$17),2),""),"")</f>
        <v/>
      </c>
      <c r="AA158" s="34">
        <f>IF(COUNT(V158:Z158)=0,"",ROUND(AVERAGE(V158:Z158),2))</f>
        <v/>
      </c>
      <c r="AB158" s="35">
        <f>IF($A158="","",COUNT(V158:Z158))</f>
        <v/>
      </c>
      <c r="AC158" s="36" t="n"/>
      <c r="AD158" s="35">
        <f>IF(AA158="","",SUMPRODUCT(ISNUMBER($AA$6:$AA$305)*($AA$6:$AA$305&gt;AA158))+SUMPRODUCT(($AA$6:AA158=AA158)*1))</f>
        <v/>
      </c>
      <c r="AE158" s="35">
        <f>IF(AA158="","",SUMPRODUCT(($E$6:$E$305=E158)*ISNUMBER($AA$6:$AA$305)*($AA$6:$AA$305&gt;AA158))+SUMPRODUCT(($E$6:E158=E158)*($AA$6:AA158=AA158)))</f>
        <v/>
      </c>
    </row>
    <row r="159">
      <c r="A159" s="31">
        <f>IF(Submissions!AD155="","",154)</f>
        <v/>
      </c>
      <c r="B159" s="10">
        <f>IF($A159="","",IF(Settings!$B$4="Yes","Submission "&amp;$A159,Submissions!AD155))</f>
        <v/>
      </c>
      <c r="C159" s="31">
        <f>IF($A159="","",IF(Settings!$B$4="Yes","(hidden)",Submissions!AE155))</f>
        <v/>
      </c>
      <c r="D159" s="31">
        <f>IF($A159="","",Submissions!AF155)</f>
        <v/>
      </c>
      <c r="E159" s="31">
        <f>IF($A159="","",Submissions!AG155)</f>
        <v/>
      </c>
      <c r="F159" s="31">
        <f>IF($A159="","",Submissions!AH155)</f>
        <v/>
      </c>
      <c r="G159" s="37" t="n"/>
      <c r="H159" s="37" t="n"/>
      <c r="I159" s="37" t="n"/>
      <c r="J159" s="37" t="n"/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3">
        <f>IF(COUNT(G159:I159)=3,IFERROR(ROUND((G159*Settings!$D$15+H159*Settings!$D$16+I159*Settings!$D$17)/(Settings!$D$15+Settings!$D$16+Settings!$D$17),2),""),"")</f>
        <v/>
      </c>
      <c r="W159" s="33">
        <f>IF(COUNT(J159:L159)=3,IFERROR(ROUND((J159*Settings!$D$15+K159*Settings!$D$16+L159*Settings!$D$17)/(Settings!$D$15+Settings!$D$16+Settings!$D$17),2),""),"")</f>
        <v/>
      </c>
      <c r="X159" s="33">
        <f>IF(COUNT(M159:O159)=3,IFERROR(ROUND((M159*Settings!$D$15+N159*Settings!$D$16+O159*Settings!$D$17)/(Settings!$D$15+Settings!$D$16+Settings!$D$17),2),""),"")</f>
        <v/>
      </c>
      <c r="Y159" s="33">
        <f>IF(COUNT(P159:R159)=3,IFERROR(ROUND((P159*Settings!$D$15+Q159*Settings!$D$16+R159*Settings!$D$17)/(Settings!$D$15+Settings!$D$16+Settings!$D$17),2),""),"")</f>
        <v/>
      </c>
      <c r="Z159" s="33">
        <f>IF(COUNT(S159:U159)=3,IFERROR(ROUND((S159*Settings!$D$15+T159*Settings!$D$16+U159*Settings!$D$17)/(Settings!$D$15+Settings!$D$16+Settings!$D$17),2),""),"")</f>
        <v/>
      </c>
      <c r="AA159" s="34">
        <f>IF(COUNT(V159:Z159)=0,"",ROUND(AVERAGE(V159:Z159),2))</f>
        <v/>
      </c>
      <c r="AB159" s="35">
        <f>IF($A159="","",COUNT(V159:Z159))</f>
        <v/>
      </c>
      <c r="AC159" s="36" t="n"/>
      <c r="AD159" s="35">
        <f>IF(AA159="","",SUMPRODUCT(ISNUMBER($AA$6:$AA$305)*($AA$6:$AA$305&gt;AA159))+SUMPRODUCT(($AA$6:AA159=AA159)*1))</f>
        <v/>
      </c>
      <c r="AE159" s="35">
        <f>IF(AA159="","",SUMPRODUCT(($E$6:$E$305=E159)*ISNUMBER($AA$6:$AA$305)*($AA$6:$AA$305&gt;AA159))+SUMPRODUCT(($E$6:E159=E159)*($AA$6:AA159=AA159)))</f>
        <v/>
      </c>
    </row>
    <row r="160">
      <c r="A160" s="31">
        <f>IF(Submissions!AD156="","",155)</f>
        <v/>
      </c>
      <c r="B160" s="10">
        <f>IF($A160="","",IF(Settings!$B$4="Yes","Submission "&amp;$A160,Submissions!AD156))</f>
        <v/>
      </c>
      <c r="C160" s="31">
        <f>IF($A160="","",IF(Settings!$B$4="Yes","(hidden)",Submissions!AE156))</f>
        <v/>
      </c>
      <c r="D160" s="31">
        <f>IF($A160="","",Submissions!AF156)</f>
        <v/>
      </c>
      <c r="E160" s="31">
        <f>IF($A160="","",Submissions!AG156)</f>
        <v/>
      </c>
      <c r="F160" s="31">
        <f>IF($A160="","",Submissions!AH156)</f>
        <v/>
      </c>
      <c r="G160" s="37" t="n"/>
      <c r="H160" s="37" t="n"/>
      <c r="I160" s="37" t="n"/>
      <c r="J160" s="37" t="n"/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3">
        <f>IF(COUNT(G160:I160)=3,IFERROR(ROUND((G160*Settings!$D$15+H160*Settings!$D$16+I160*Settings!$D$17)/(Settings!$D$15+Settings!$D$16+Settings!$D$17),2),""),"")</f>
        <v/>
      </c>
      <c r="W160" s="33">
        <f>IF(COUNT(J160:L160)=3,IFERROR(ROUND((J160*Settings!$D$15+K160*Settings!$D$16+L160*Settings!$D$17)/(Settings!$D$15+Settings!$D$16+Settings!$D$17),2),""),"")</f>
        <v/>
      </c>
      <c r="X160" s="33">
        <f>IF(COUNT(M160:O160)=3,IFERROR(ROUND((M160*Settings!$D$15+N160*Settings!$D$16+O160*Settings!$D$17)/(Settings!$D$15+Settings!$D$16+Settings!$D$17),2),""),"")</f>
        <v/>
      </c>
      <c r="Y160" s="33">
        <f>IF(COUNT(P160:R160)=3,IFERROR(ROUND((P160*Settings!$D$15+Q160*Settings!$D$16+R160*Settings!$D$17)/(Settings!$D$15+Settings!$D$16+Settings!$D$17),2),""),"")</f>
        <v/>
      </c>
      <c r="Z160" s="33">
        <f>IF(COUNT(S160:U160)=3,IFERROR(ROUND((S160*Settings!$D$15+T160*Settings!$D$16+U160*Settings!$D$17)/(Settings!$D$15+Settings!$D$16+Settings!$D$17),2),""),"")</f>
        <v/>
      </c>
      <c r="AA160" s="34">
        <f>IF(COUNT(V160:Z160)=0,"",ROUND(AVERAGE(V160:Z160),2))</f>
        <v/>
      </c>
      <c r="AB160" s="35">
        <f>IF($A160="","",COUNT(V160:Z160))</f>
        <v/>
      </c>
      <c r="AC160" s="36" t="n"/>
      <c r="AD160" s="35">
        <f>IF(AA160="","",SUMPRODUCT(ISNUMBER($AA$6:$AA$305)*($AA$6:$AA$305&gt;AA160))+SUMPRODUCT(($AA$6:AA160=AA160)*1))</f>
        <v/>
      </c>
      <c r="AE160" s="35">
        <f>IF(AA160="","",SUMPRODUCT(($E$6:$E$305=E160)*ISNUMBER($AA$6:$AA$305)*($AA$6:$AA$305&gt;AA160))+SUMPRODUCT(($E$6:E160=E160)*($AA$6:AA160=AA160)))</f>
        <v/>
      </c>
    </row>
    <row r="161">
      <c r="A161" s="31">
        <f>IF(Submissions!AD157="","",156)</f>
        <v/>
      </c>
      <c r="B161" s="10">
        <f>IF($A161="","",IF(Settings!$B$4="Yes","Submission "&amp;$A161,Submissions!AD157))</f>
        <v/>
      </c>
      <c r="C161" s="31">
        <f>IF($A161="","",IF(Settings!$B$4="Yes","(hidden)",Submissions!AE157))</f>
        <v/>
      </c>
      <c r="D161" s="31">
        <f>IF($A161="","",Submissions!AF157)</f>
        <v/>
      </c>
      <c r="E161" s="31">
        <f>IF($A161="","",Submissions!AG157)</f>
        <v/>
      </c>
      <c r="F161" s="31">
        <f>IF($A161="","",Submissions!AH157)</f>
        <v/>
      </c>
      <c r="G161" s="37" t="n"/>
      <c r="H161" s="37" t="n"/>
      <c r="I161" s="37" t="n"/>
      <c r="J161" s="37" t="n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3">
        <f>IF(COUNT(G161:I161)=3,IFERROR(ROUND((G161*Settings!$D$15+H161*Settings!$D$16+I161*Settings!$D$17)/(Settings!$D$15+Settings!$D$16+Settings!$D$17),2),""),"")</f>
        <v/>
      </c>
      <c r="W161" s="33">
        <f>IF(COUNT(J161:L161)=3,IFERROR(ROUND((J161*Settings!$D$15+K161*Settings!$D$16+L161*Settings!$D$17)/(Settings!$D$15+Settings!$D$16+Settings!$D$17),2),""),"")</f>
        <v/>
      </c>
      <c r="X161" s="33">
        <f>IF(COUNT(M161:O161)=3,IFERROR(ROUND((M161*Settings!$D$15+N161*Settings!$D$16+O161*Settings!$D$17)/(Settings!$D$15+Settings!$D$16+Settings!$D$17),2),""),"")</f>
        <v/>
      </c>
      <c r="Y161" s="33">
        <f>IF(COUNT(P161:R161)=3,IFERROR(ROUND((P161*Settings!$D$15+Q161*Settings!$D$16+R161*Settings!$D$17)/(Settings!$D$15+Settings!$D$16+Settings!$D$17),2),""),"")</f>
        <v/>
      </c>
      <c r="Z161" s="33">
        <f>IF(COUNT(S161:U161)=3,IFERROR(ROUND((S161*Settings!$D$15+T161*Settings!$D$16+U161*Settings!$D$17)/(Settings!$D$15+Settings!$D$16+Settings!$D$17),2),""),"")</f>
        <v/>
      </c>
      <c r="AA161" s="34">
        <f>IF(COUNT(V161:Z161)=0,"",ROUND(AVERAGE(V161:Z161),2))</f>
        <v/>
      </c>
      <c r="AB161" s="35">
        <f>IF($A161="","",COUNT(V161:Z161))</f>
        <v/>
      </c>
      <c r="AC161" s="36" t="n"/>
      <c r="AD161" s="35">
        <f>IF(AA161="","",SUMPRODUCT(ISNUMBER($AA$6:$AA$305)*($AA$6:$AA$305&gt;AA161))+SUMPRODUCT(($AA$6:AA161=AA161)*1))</f>
        <v/>
      </c>
      <c r="AE161" s="35">
        <f>IF(AA161="","",SUMPRODUCT(($E$6:$E$305=E161)*ISNUMBER($AA$6:$AA$305)*($AA$6:$AA$305&gt;AA161))+SUMPRODUCT(($E$6:E161=E161)*($AA$6:AA161=AA161)))</f>
        <v/>
      </c>
    </row>
    <row r="162">
      <c r="A162" s="31">
        <f>IF(Submissions!AD158="","",157)</f>
        <v/>
      </c>
      <c r="B162" s="10">
        <f>IF($A162="","",IF(Settings!$B$4="Yes","Submission "&amp;$A162,Submissions!AD158))</f>
        <v/>
      </c>
      <c r="C162" s="31">
        <f>IF($A162="","",IF(Settings!$B$4="Yes","(hidden)",Submissions!AE158))</f>
        <v/>
      </c>
      <c r="D162" s="31">
        <f>IF($A162="","",Submissions!AF158)</f>
        <v/>
      </c>
      <c r="E162" s="31">
        <f>IF($A162="","",Submissions!AG158)</f>
        <v/>
      </c>
      <c r="F162" s="31">
        <f>IF($A162="","",Submissions!AH158)</f>
        <v/>
      </c>
      <c r="G162" s="37" t="n"/>
      <c r="H162" s="37" t="n"/>
      <c r="I162" s="37" t="n"/>
      <c r="J162" s="37" t="n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3">
        <f>IF(COUNT(G162:I162)=3,IFERROR(ROUND((G162*Settings!$D$15+H162*Settings!$D$16+I162*Settings!$D$17)/(Settings!$D$15+Settings!$D$16+Settings!$D$17),2),""),"")</f>
        <v/>
      </c>
      <c r="W162" s="33">
        <f>IF(COUNT(J162:L162)=3,IFERROR(ROUND((J162*Settings!$D$15+K162*Settings!$D$16+L162*Settings!$D$17)/(Settings!$D$15+Settings!$D$16+Settings!$D$17),2),""),"")</f>
        <v/>
      </c>
      <c r="X162" s="33">
        <f>IF(COUNT(M162:O162)=3,IFERROR(ROUND((M162*Settings!$D$15+N162*Settings!$D$16+O162*Settings!$D$17)/(Settings!$D$15+Settings!$D$16+Settings!$D$17),2),""),"")</f>
        <v/>
      </c>
      <c r="Y162" s="33">
        <f>IF(COUNT(P162:R162)=3,IFERROR(ROUND((P162*Settings!$D$15+Q162*Settings!$D$16+R162*Settings!$D$17)/(Settings!$D$15+Settings!$D$16+Settings!$D$17),2),""),"")</f>
        <v/>
      </c>
      <c r="Z162" s="33">
        <f>IF(COUNT(S162:U162)=3,IFERROR(ROUND((S162*Settings!$D$15+T162*Settings!$D$16+U162*Settings!$D$17)/(Settings!$D$15+Settings!$D$16+Settings!$D$17),2),""),"")</f>
        <v/>
      </c>
      <c r="AA162" s="34">
        <f>IF(COUNT(V162:Z162)=0,"",ROUND(AVERAGE(V162:Z162),2))</f>
        <v/>
      </c>
      <c r="AB162" s="35">
        <f>IF($A162="","",COUNT(V162:Z162))</f>
        <v/>
      </c>
      <c r="AC162" s="36" t="n"/>
      <c r="AD162" s="35">
        <f>IF(AA162="","",SUMPRODUCT(ISNUMBER($AA$6:$AA$305)*($AA$6:$AA$305&gt;AA162))+SUMPRODUCT(($AA$6:AA162=AA162)*1))</f>
        <v/>
      </c>
      <c r="AE162" s="35">
        <f>IF(AA162="","",SUMPRODUCT(($E$6:$E$305=E162)*ISNUMBER($AA$6:$AA$305)*($AA$6:$AA$305&gt;AA162))+SUMPRODUCT(($E$6:E162=E162)*($AA$6:AA162=AA162)))</f>
        <v/>
      </c>
    </row>
    <row r="163">
      <c r="A163" s="31">
        <f>IF(Submissions!AD159="","",158)</f>
        <v/>
      </c>
      <c r="B163" s="10">
        <f>IF($A163="","",IF(Settings!$B$4="Yes","Submission "&amp;$A163,Submissions!AD159))</f>
        <v/>
      </c>
      <c r="C163" s="31">
        <f>IF($A163="","",IF(Settings!$B$4="Yes","(hidden)",Submissions!AE159))</f>
        <v/>
      </c>
      <c r="D163" s="31">
        <f>IF($A163="","",Submissions!AF159)</f>
        <v/>
      </c>
      <c r="E163" s="31">
        <f>IF($A163="","",Submissions!AG159)</f>
        <v/>
      </c>
      <c r="F163" s="31">
        <f>IF($A163="","",Submissions!AH159)</f>
        <v/>
      </c>
      <c r="G163" s="37" t="n"/>
      <c r="H163" s="37" t="n"/>
      <c r="I163" s="37" t="n"/>
      <c r="J163" s="37" t="n"/>
      <c r="K163" s="37" t="n"/>
      <c r="L163" s="37" t="n"/>
      <c r="M163" s="37" t="n"/>
      <c r="N163" s="37" t="n"/>
      <c r="O163" s="37" t="n"/>
      <c r="P163" s="37" t="n"/>
      <c r="Q163" s="37" t="n"/>
      <c r="R163" s="37" t="n"/>
      <c r="S163" s="37" t="n"/>
      <c r="T163" s="37" t="n"/>
      <c r="U163" s="37" t="n"/>
      <c r="V163" s="33">
        <f>IF(COUNT(G163:I163)=3,IFERROR(ROUND((G163*Settings!$D$15+H163*Settings!$D$16+I163*Settings!$D$17)/(Settings!$D$15+Settings!$D$16+Settings!$D$17),2),""),"")</f>
        <v/>
      </c>
      <c r="W163" s="33">
        <f>IF(COUNT(J163:L163)=3,IFERROR(ROUND((J163*Settings!$D$15+K163*Settings!$D$16+L163*Settings!$D$17)/(Settings!$D$15+Settings!$D$16+Settings!$D$17),2),""),"")</f>
        <v/>
      </c>
      <c r="X163" s="33">
        <f>IF(COUNT(M163:O163)=3,IFERROR(ROUND((M163*Settings!$D$15+N163*Settings!$D$16+O163*Settings!$D$17)/(Settings!$D$15+Settings!$D$16+Settings!$D$17),2),""),"")</f>
        <v/>
      </c>
      <c r="Y163" s="33">
        <f>IF(COUNT(P163:R163)=3,IFERROR(ROUND((P163*Settings!$D$15+Q163*Settings!$D$16+R163*Settings!$D$17)/(Settings!$D$15+Settings!$D$16+Settings!$D$17),2),""),"")</f>
        <v/>
      </c>
      <c r="Z163" s="33">
        <f>IF(COUNT(S163:U163)=3,IFERROR(ROUND((S163*Settings!$D$15+T163*Settings!$D$16+U163*Settings!$D$17)/(Settings!$D$15+Settings!$D$16+Settings!$D$17),2),""),"")</f>
        <v/>
      </c>
      <c r="AA163" s="34">
        <f>IF(COUNT(V163:Z163)=0,"",ROUND(AVERAGE(V163:Z163),2))</f>
        <v/>
      </c>
      <c r="AB163" s="35">
        <f>IF($A163="","",COUNT(V163:Z163))</f>
        <v/>
      </c>
      <c r="AC163" s="36" t="n"/>
      <c r="AD163" s="35">
        <f>IF(AA163="","",SUMPRODUCT(ISNUMBER($AA$6:$AA$305)*($AA$6:$AA$305&gt;AA163))+SUMPRODUCT(($AA$6:AA163=AA163)*1))</f>
        <v/>
      </c>
      <c r="AE163" s="35">
        <f>IF(AA163="","",SUMPRODUCT(($E$6:$E$305=E163)*ISNUMBER($AA$6:$AA$305)*($AA$6:$AA$305&gt;AA163))+SUMPRODUCT(($E$6:E163=E163)*($AA$6:AA163=AA163)))</f>
        <v/>
      </c>
    </row>
    <row r="164">
      <c r="A164" s="31">
        <f>IF(Submissions!AD160="","",159)</f>
        <v/>
      </c>
      <c r="B164" s="10">
        <f>IF($A164="","",IF(Settings!$B$4="Yes","Submission "&amp;$A164,Submissions!AD160))</f>
        <v/>
      </c>
      <c r="C164" s="31">
        <f>IF($A164="","",IF(Settings!$B$4="Yes","(hidden)",Submissions!AE160))</f>
        <v/>
      </c>
      <c r="D164" s="31">
        <f>IF($A164="","",Submissions!AF160)</f>
        <v/>
      </c>
      <c r="E164" s="31">
        <f>IF($A164="","",Submissions!AG160)</f>
        <v/>
      </c>
      <c r="F164" s="31">
        <f>IF($A164="","",Submissions!AH160)</f>
        <v/>
      </c>
      <c r="G164" s="37" t="n"/>
      <c r="H164" s="37" t="n"/>
      <c r="I164" s="37" t="n"/>
      <c r="J164" s="37" t="n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3">
        <f>IF(COUNT(G164:I164)=3,IFERROR(ROUND((G164*Settings!$D$15+H164*Settings!$D$16+I164*Settings!$D$17)/(Settings!$D$15+Settings!$D$16+Settings!$D$17),2),""),"")</f>
        <v/>
      </c>
      <c r="W164" s="33">
        <f>IF(COUNT(J164:L164)=3,IFERROR(ROUND((J164*Settings!$D$15+K164*Settings!$D$16+L164*Settings!$D$17)/(Settings!$D$15+Settings!$D$16+Settings!$D$17),2),""),"")</f>
        <v/>
      </c>
      <c r="X164" s="33">
        <f>IF(COUNT(M164:O164)=3,IFERROR(ROUND((M164*Settings!$D$15+N164*Settings!$D$16+O164*Settings!$D$17)/(Settings!$D$15+Settings!$D$16+Settings!$D$17),2),""),"")</f>
        <v/>
      </c>
      <c r="Y164" s="33">
        <f>IF(COUNT(P164:R164)=3,IFERROR(ROUND((P164*Settings!$D$15+Q164*Settings!$D$16+R164*Settings!$D$17)/(Settings!$D$15+Settings!$D$16+Settings!$D$17),2),""),"")</f>
        <v/>
      </c>
      <c r="Z164" s="33">
        <f>IF(COUNT(S164:U164)=3,IFERROR(ROUND((S164*Settings!$D$15+T164*Settings!$D$16+U164*Settings!$D$17)/(Settings!$D$15+Settings!$D$16+Settings!$D$17),2),""),"")</f>
        <v/>
      </c>
      <c r="AA164" s="34">
        <f>IF(COUNT(V164:Z164)=0,"",ROUND(AVERAGE(V164:Z164),2))</f>
        <v/>
      </c>
      <c r="AB164" s="35">
        <f>IF($A164="","",COUNT(V164:Z164))</f>
        <v/>
      </c>
      <c r="AC164" s="36" t="n"/>
      <c r="AD164" s="35">
        <f>IF(AA164="","",SUMPRODUCT(ISNUMBER($AA$6:$AA$305)*($AA$6:$AA$305&gt;AA164))+SUMPRODUCT(($AA$6:AA164=AA164)*1))</f>
        <v/>
      </c>
      <c r="AE164" s="35">
        <f>IF(AA164="","",SUMPRODUCT(($E$6:$E$305=E164)*ISNUMBER($AA$6:$AA$305)*($AA$6:$AA$305&gt;AA164))+SUMPRODUCT(($E$6:E164=E164)*($AA$6:AA164=AA164)))</f>
        <v/>
      </c>
    </row>
    <row r="165">
      <c r="A165" s="31">
        <f>IF(Submissions!AD161="","",160)</f>
        <v/>
      </c>
      <c r="B165" s="10">
        <f>IF($A165="","",IF(Settings!$B$4="Yes","Submission "&amp;$A165,Submissions!AD161))</f>
        <v/>
      </c>
      <c r="C165" s="31">
        <f>IF($A165="","",IF(Settings!$B$4="Yes","(hidden)",Submissions!AE161))</f>
        <v/>
      </c>
      <c r="D165" s="31">
        <f>IF($A165="","",Submissions!AF161)</f>
        <v/>
      </c>
      <c r="E165" s="31">
        <f>IF($A165="","",Submissions!AG161)</f>
        <v/>
      </c>
      <c r="F165" s="31">
        <f>IF($A165="","",Submissions!AH161)</f>
        <v/>
      </c>
      <c r="G165" s="37" t="n"/>
      <c r="H165" s="37" t="n"/>
      <c r="I165" s="37" t="n"/>
      <c r="J165" s="37" t="n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3">
        <f>IF(COUNT(G165:I165)=3,IFERROR(ROUND((G165*Settings!$D$15+H165*Settings!$D$16+I165*Settings!$D$17)/(Settings!$D$15+Settings!$D$16+Settings!$D$17),2),""),"")</f>
        <v/>
      </c>
      <c r="W165" s="33">
        <f>IF(COUNT(J165:L165)=3,IFERROR(ROUND((J165*Settings!$D$15+K165*Settings!$D$16+L165*Settings!$D$17)/(Settings!$D$15+Settings!$D$16+Settings!$D$17),2),""),"")</f>
        <v/>
      </c>
      <c r="X165" s="33">
        <f>IF(COUNT(M165:O165)=3,IFERROR(ROUND((M165*Settings!$D$15+N165*Settings!$D$16+O165*Settings!$D$17)/(Settings!$D$15+Settings!$D$16+Settings!$D$17),2),""),"")</f>
        <v/>
      </c>
      <c r="Y165" s="33">
        <f>IF(COUNT(P165:R165)=3,IFERROR(ROUND((P165*Settings!$D$15+Q165*Settings!$D$16+R165*Settings!$D$17)/(Settings!$D$15+Settings!$D$16+Settings!$D$17),2),""),"")</f>
        <v/>
      </c>
      <c r="Z165" s="33">
        <f>IF(COUNT(S165:U165)=3,IFERROR(ROUND((S165*Settings!$D$15+T165*Settings!$D$16+U165*Settings!$D$17)/(Settings!$D$15+Settings!$D$16+Settings!$D$17),2),""),"")</f>
        <v/>
      </c>
      <c r="AA165" s="34">
        <f>IF(COUNT(V165:Z165)=0,"",ROUND(AVERAGE(V165:Z165),2))</f>
        <v/>
      </c>
      <c r="AB165" s="35">
        <f>IF($A165="","",COUNT(V165:Z165))</f>
        <v/>
      </c>
      <c r="AC165" s="36" t="n"/>
      <c r="AD165" s="35">
        <f>IF(AA165="","",SUMPRODUCT(ISNUMBER($AA$6:$AA$305)*($AA$6:$AA$305&gt;AA165))+SUMPRODUCT(($AA$6:AA165=AA165)*1))</f>
        <v/>
      </c>
      <c r="AE165" s="35">
        <f>IF(AA165="","",SUMPRODUCT(($E$6:$E$305=E165)*ISNUMBER($AA$6:$AA$305)*($AA$6:$AA$305&gt;AA165))+SUMPRODUCT(($E$6:E165=E165)*($AA$6:AA165=AA165)))</f>
        <v/>
      </c>
    </row>
    <row r="166">
      <c r="A166" s="31">
        <f>IF(Submissions!AD162="","",161)</f>
        <v/>
      </c>
      <c r="B166" s="10">
        <f>IF($A166="","",IF(Settings!$B$4="Yes","Submission "&amp;$A166,Submissions!AD162))</f>
        <v/>
      </c>
      <c r="C166" s="31">
        <f>IF($A166="","",IF(Settings!$B$4="Yes","(hidden)",Submissions!AE162))</f>
        <v/>
      </c>
      <c r="D166" s="31">
        <f>IF($A166="","",Submissions!AF162)</f>
        <v/>
      </c>
      <c r="E166" s="31">
        <f>IF($A166="","",Submissions!AG162)</f>
        <v/>
      </c>
      <c r="F166" s="31">
        <f>IF($A166="","",Submissions!AH162)</f>
        <v/>
      </c>
      <c r="G166" s="37" t="n"/>
      <c r="H166" s="37" t="n"/>
      <c r="I166" s="37" t="n"/>
      <c r="J166" s="37" t="n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3">
        <f>IF(COUNT(G166:I166)=3,IFERROR(ROUND((G166*Settings!$D$15+H166*Settings!$D$16+I166*Settings!$D$17)/(Settings!$D$15+Settings!$D$16+Settings!$D$17),2),""),"")</f>
        <v/>
      </c>
      <c r="W166" s="33">
        <f>IF(COUNT(J166:L166)=3,IFERROR(ROUND((J166*Settings!$D$15+K166*Settings!$D$16+L166*Settings!$D$17)/(Settings!$D$15+Settings!$D$16+Settings!$D$17),2),""),"")</f>
        <v/>
      </c>
      <c r="X166" s="33">
        <f>IF(COUNT(M166:O166)=3,IFERROR(ROUND((M166*Settings!$D$15+N166*Settings!$D$16+O166*Settings!$D$17)/(Settings!$D$15+Settings!$D$16+Settings!$D$17),2),""),"")</f>
        <v/>
      </c>
      <c r="Y166" s="33">
        <f>IF(COUNT(P166:R166)=3,IFERROR(ROUND((P166*Settings!$D$15+Q166*Settings!$D$16+R166*Settings!$D$17)/(Settings!$D$15+Settings!$D$16+Settings!$D$17),2),""),"")</f>
        <v/>
      </c>
      <c r="Z166" s="33">
        <f>IF(COUNT(S166:U166)=3,IFERROR(ROUND((S166*Settings!$D$15+T166*Settings!$D$16+U166*Settings!$D$17)/(Settings!$D$15+Settings!$D$16+Settings!$D$17),2),""),"")</f>
        <v/>
      </c>
      <c r="AA166" s="34">
        <f>IF(COUNT(V166:Z166)=0,"",ROUND(AVERAGE(V166:Z166),2))</f>
        <v/>
      </c>
      <c r="AB166" s="35">
        <f>IF($A166="","",COUNT(V166:Z166))</f>
        <v/>
      </c>
      <c r="AC166" s="36" t="n"/>
      <c r="AD166" s="35">
        <f>IF(AA166="","",SUMPRODUCT(ISNUMBER($AA$6:$AA$305)*($AA$6:$AA$305&gt;AA166))+SUMPRODUCT(($AA$6:AA166=AA166)*1))</f>
        <v/>
      </c>
      <c r="AE166" s="35">
        <f>IF(AA166="","",SUMPRODUCT(($E$6:$E$305=E166)*ISNUMBER($AA$6:$AA$305)*($AA$6:$AA$305&gt;AA166))+SUMPRODUCT(($E$6:E166=E166)*($AA$6:AA166=AA166)))</f>
        <v/>
      </c>
    </row>
    <row r="167">
      <c r="A167" s="31">
        <f>IF(Submissions!AD163="","",162)</f>
        <v/>
      </c>
      <c r="B167" s="10">
        <f>IF($A167="","",IF(Settings!$B$4="Yes","Submission "&amp;$A167,Submissions!AD163))</f>
        <v/>
      </c>
      <c r="C167" s="31">
        <f>IF($A167="","",IF(Settings!$B$4="Yes","(hidden)",Submissions!AE163))</f>
        <v/>
      </c>
      <c r="D167" s="31">
        <f>IF($A167="","",Submissions!AF163)</f>
        <v/>
      </c>
      <c r="E167" s="31">
        <f>IF($A167="","",Submissions!AG163)</f>
        <v/>
      </c>
      <c r="F167" s="31">
        <f>IF($A167="","",Submissions!AH163)</f>
        <v/>
      </c>
      <c r="G167" s="37" t="n"/>
      <c r="H167" s="37" t="n"/>
      <c r="I167" s="37" t="n"/>
      <c r="J167" s="37" t="n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3">
        <f>IF(COUNT(G167:I167)=3,IFERROR(ROUND((G167*Settings!$D$15+H167*Settings!$D$16+I167*Settings!$D$17)/(Settings!$D$15+Settings!$D$16+Settings!$D$17),2),""),"")</f>
        <v/>
      </c>
      <c r="W167" s="33">
        <f>IF(COUNT(J167:L167)=3,IFERROR(ROUND((J167*Settings!$D$15+K167*Settings!$D$16+L167*Settings!$D$17)/(Settings!$D$15+Settings!$D$16+Settings!$D$17),2),""),"")</f>
        <v/>
      </c>
      <c r="X167" s="33">
        <f>IF(COUNT(M167:O167)=3,IFERROR(ROUND((M167*Settings!$D$15+N167*Settings!$D$16+O167*Settings!$D$17)/(Settings!$D$15+Settings!$D$16+Settings!$D$17),2),""),"")</f>
        <v/>
      </c>
      <c r="Y167" s="33">
        <f>IF(COUNT(P167:R167)=3,IFERROR(ROUND((P167*Settings!$D$15+Q167*Settings!$D$16+R167*Settings!$D$17)/(Settings!$D$15+Settings!$D$16+Settings!$D$17),2),""),"")</f>
        <v/>
      </c>
      <c r="Z167" s="33">
        <f>IF(COUNT(S167:U167)=3,IFERROR(ROUND((S167*Settings!$D$15+T167*Settings!$D$16+U167*Settings!$D$17)/(Settings!$D$15+Settings!$D$16+Settings!$D$17),2),""),"")</f>
        <v/>
      </c>
      <c r="AA167" s="34">
        <f>IF(COUNT(V167:Z167)=0,"",ROUND(AVERAGE(V167:Z167),2))</f>
        <v/>
      </c>
      <c r="AB167" s="35">
        <f>IF($A167="","",COUNT(V167:Z167))</f>
        <v/>
      </c>
      <c r="AC167" s="36" t="n"/>
      <c r="AD167" s="35">
        <f>IF(AA167="","",SUMPRODUCT(ISNUMBER($AA$6:$AA$305)*($AA$6:$AA$305&gt;AA167))+SUMPRODUCT(($AA$6:AA167=AA167)*1))</f>
        <v/>
      </c>
      <c r="AE167" s="35">
        <f>IF(AA167="","",SUMPRODUCT(($E$6:$E$305=E167)*ISNUMBER($AA$6:$AA$305)*($AA$6:$AA$305&gt;AA167))+SUMPRODUCT(($E$6:E167=E167)*($AA$6:AA167=AA167)))</f>
        <v/>
      </c>
    </row>
    <row r="168">
      <c r="A168" s="31">
        <f>IF(Submissions!AD164="","",163)</f>
        <v/>
      </c>
      <c r="B168" s="10">
        <f>IF($A168="","",IF(Settings!$B$4="Yes","Submission "&amp;$A168,Submissions!AD164))</f>
        <v/>
      </c>
      <c r="C168" s="31">
        <f>IF($A168="","",IF(Settings!$B$4="Yes","(hidden)",Submissions!AE164))</f>
        <v/>
      </c>
      <c r="D168" s="31">
        <f>IF($A168="","",Submissions!AF164)</f>
        <v/>
      </c>
      <c r="E168" s="31">
        <f>IF($A168="","",Submissions!AG164)</f>
        <v/>
      </c>
      <c r="F168" s="31">
        <f>IF($A168="","",Submissions!AH164)</f>
        <v/>
      </c>
      <c r="G168" s="37" t="n"/>
      <c r="H168" s="37" t="n"/>
      <c r="I168" s="37" t="n"/>
      <c r="J168" s="37" t="n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3">
        <f>IF(COUNT(G168:I168)=3,IFERROR(ROUND((G168*Settings!$D$15+H168*Settings!$D$16+I168*Settings!$D$17)/(Settings!$D$15+Settings!$D$16+Settings!$D$17),2),""),"")</f>
        <v/>
      </c>
      <c r="W168" s="33">
        <f>IF(COUNT(J168:L168)=3,IFERROR(ROUND((J168*Settings!$D$15+K168*Settings!$D$16+L168*Settings!$D$17)/(Settings!$D$15+Settings!$D$16+Settings!$D$17),2),""),"")</f>
        <v/>
      </c>
      <c r="X168" s="33">
        <f>IF(COUNT(M168:O168)=3,IFERROR(ROUND((M168*Settings!$D$15+N168*Settings!$D$16+O168*Settings!$D$17)/(Settings!$D$15+Settings!$D$16+Settings!$D$17),2),""),"")</f>
        <v/>
      </c>
      <c r="Y168" s="33">
        <f>IF(COUNT(P168:R168)=3,IFERROR(ROUND((P168*Settings!$D$15+Q168*Settings!$D$16+R168*Settings!$D$17)/(Settings!$D$15+Settings!$D$16+Settings!$D$17),2),""),"")</f>
        <v/>
      </c>
      <c r="Z168" s="33">
        <f>IF(COUNT(S168:U168)=3,IFERROR(ROUND((S168*Settings!$D$15+T168*Settings!$D$16+U168*Settings!$D$17)/(Settings!$D$15+Settings!$D$16+Settings!$D$17),2),""),"")</f>
        <v/>
      </c>
      <c r="AA168" s="34">
        <f>IF(COUNT(V168:Z168)=0,"",ROUND(AVERAGE(V168:Z168),2))</f>
        <v/>
      </c>
      <c r="AB168" s="35">
        <f>IF($A168="","",COUNT(V168:Z168))</f>
        <v/>
      </c>
      <c r="AC168" s="36" t="n"/>
      <c r="AD168" s="35">
        <f>IF(AA168="","",SUMPRODUCT(ISNUMBER($AA$6:$AA$305)*($AA$6:$AA$305&gt;AA168))+SUMPRODUCT(($AA$6:AA168=AA168)*1))</f>
        <v/>
      </c>
      <c r="AE168" s="35">
        <f>IF(AA168="","",SUMPRODUCT(($E$6:$E$305=E168)*ISNUMBER($AA$6:$AA$305)*($AA$6:$AA$305&gt;AA168))+SUMPRODUCT(($E$6:E168=E168)*($AA$6:AA168=AA168)))</f>
        <v/>
      </c>
    </row>
    <row r="169">
      <c r="A169" s="31">
        <f>IF(Submissions!AD165="","",164)</f>
        <v/>
      </c>
      <c r="B169" s="10">
        <f>IF($A169="","",IF(Settings!$B$4="Yes","Submission "&amp;$A169,Submissions!AD165))</f>
        <v/>
      </c>
      <c r="C169" s="31">
        <f>IF($A169="","",IF(Settings!$B$4="Yes","(hidden)",Submissions!AE165))</f>
        <v/>
      </c>
      <c r="D169" s="31">
        <f>IF($A169="","",Submissions!AF165)</f>
        <v/>
      </c>
      <c r="E169" s="31">
        <f>IF($A169="","",Submissions!AG165)</f>
        <v/>
      </c>
      <c r="F169" s="31">
        <f>IF($A169="","",Submissions!AH165)</f>
        <v/>
      </c>
      <c r="G169" s="37" t="n"/>
      <c r="H169" s="37" t="n"/>
      <c r="I169" s="37" t="n"/>
      <c r="J169" s="37" t="n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3">
        <f>IF(COUNT(G169:I169)=3,IFERROR(ROUND((G169*Settings!$D$15+H169*Settings!$D$16+I169*Settings!$D$17)/(Settings!$D$15+Settings!$D$16+Settings!$D$17),2),""),"")</f>
        <v/>
      </c>
      <c r="W169" s="33">
        <f>IF(COUNT(J169:L169)=3,IFERROR(ROUND((J169*Settings!$D$15+K169*Settings!$D$16+L169*Settings!$D$17)/(Settings!$D$15+Settings!$D$16+Settings!$D$17),2),""),"")</f>
        <v/>
      </c>
      <c r="X169" s="33">
        <f>IF(COUNT(M169:O169)=3,IFERROR(ROUND((M169*Settings!$D$15+N169*Settings!$D$16+O169*Settings!$D$17)/(Settings!$D$15+Settings!$D$16+Settings!$D$17),2),""),"")</f>
        <v/>
      </c>
      <c r="Y169" s="33">
        <f>IF(COUNT(P169:R169)=3,IFERROR(ROUND((P169*Settings!$D$15+Q169*Settings!$D$16+R169*Settings!$D$17)/(Settings!$D$15+Settings!$D$16+Settings!$D$17),2),""),"")</f>
        <v/>
      </c>
      <c r="Z169" s="33">
        <f>IF(COUNT(S169:U169)=3,IFERROR(ROUND((S169*Settings!$D$15+T169*Settings!$D$16+U169*Settings!$D$17)/(Settings!$D$15+Settings!$D$16+Settings!$D$17),2),""),"")</f>
        <v/>
      </c>
      <c r="AA169" s="34">
        <f>IF(COUNT(V169:Z169)=0,"",ROUND(AVERAGE(V169:Z169),2))</f>
        <v/>
      </c>
      <c r="AB169" s="35">
        <f>IF($A169="","",COUNT(V169:Z169))</f>
        <v/>
      </c>
      <c r="AC169" s="36" t="n"/>
      <c r="AD169" s="35">
        <f>IF(AA169="","",SUMPRODUCT(ISNUMBER($AA$6:$AA$305)*($AA$6:$AA$305&gt;AA169))+SUMPRODUCT(($AA$6:AA169=AA169)*1))</f>
        <v/>
      </c>
      <c r="AE169" s="35">
        <f>IF(AA169="","",SUMPRODUCT(($E$6:$E$305=E169)*ISNUMBER($AA$6:$AA$305)*($AA$6:$AA$305&gt;AA169))+SUMPRODUCT(($E$6:E169=E169)*($AA$6:AA169=AA169)))</f>
        <v/>
      </c>
    </row>
    <row r="170">
      <c r="A170" s="31">
        <f>IF(Submissions!AD166="","",165)</f>
        <v/>
      </c>
      <c r="B170" s="10">
        <f>IF($A170="","",IF(Settings!$B$4="Yes","Submission "&amp;$A170,Submissions!AD166))</f>
        <v/>
      </c>
      <c r="C170" s="31">
        <f>IF($A170="","",IF(Settings!$B$4="Yes","(hidden)",Submissions!AE166))</f>
        <v/>
      </c>
      <c r="D170" s="31">
        <f>IF($A170="","",Submissions!AF166)</f>
        <v/>
      </c>
      <c r="E170" s="31">
        <f>IF($A170="","",Submissions!AG166)</f>
        <v/>
      </c>
      <c r="F170" s="31">
        <f>IF($A170="","",Submissions!AH166)</f>
        <v/>
      </c>
      <c r="G170" s="37" t="n"/>
      <c r="H170" s="37" t="n"/>
      <c r="I170" s="37" t="n"/>
      <c r="J170" s="37" t="n"/>
      <c r="K170" s="37" t="n"/>
      <c r="L170" s="37" t="n"/>
      <c r="M170" s="37" t="n"/>
      <c r="N170" s="37" t="n"/>
      <c r="O170" s="37" t="n"/>
      <c r="P170" s="37" t="n"/>
      <c r="Q170" s="37" t="n"/>
      <c r="R170" s="37" t="n"/>
      <c r="S170" s="37" t="n"/>
      <c r="T170" s="37" t="n"/>
      <c r="U170" s="37" t="n"/>
      <c r="V170" s="33">
        <f>IF(COUNT(G170:I170)=3,IFERROR(ROUND((G170*Settings!$D$15+H170*Settings!$D$16+I170*Settings!$D$17)/(Settings!$D$15+Settings!$D$16+Settings!$D$17),2),""),"")</f>
        <v/>
      </c>
      <c r="W170" s="33">
        <f>IF(COUNT(J170:L170)=3,IFERROR(ROUND((J170*Settings!$D$15+K170*Settings!$D$16+L170*Settings!$D$17)/(Settings!$D$15+Settings!$D$16+Settings!$D$17),2),""),"")</f>
        <v/>
      </c>
      <c r="X170" s="33">
        <f>IF(COUNT(M170:O170)=3,IFERROR(ROUND((M170*Settings!$D$15+N170*Settings!$D$16+O170*Settings!$D$17)/(Settings!$D$15+Settings!$D$16+Settings!$D$17),2),""),"")</f>
        <v/>
      </c>
      <c r="Y170" s="33">
        <f>IF(COUNT(P170:R170)=3,IFERROR(ROUND((P170*Settings!$D$15+Q170*Settings!$D$16+R170*Settings!$D$17)/(Settings!$D$15+Settings!$D$16+Settings!$D$17),2),""),"")</f>
        <v/>
      </c>
      <c r="Z170" s="33">
        <f>IF(COUNT(S170:U170)=3,IFERROR(ROUND((S170*Settings!$D$15+T170*Settings!$D$16+U170*Settings!$D$17)/(Settings!$D$15+Settings!$D$16+Settings!$D$17),2),""),"")</f>
        <v/>
      </c>
      <c r="AA170" s="34">
        <f>IF(COUNT(V170:Z170)=0,"",ROUND(AVERAGE(V170:Z170),2))</f>
        <v/>
      </c>
      <c r="AB170" s="35">
        <f>IF($A170="","",COUNT(V170:Z170))</f>
        <v/>
      </c>
      <c r="AC170" s="36" t="n"/>
      <c r="AD170" s="35">
        <f>IF(AA170="","",SUMPRODUCT(ISNUMBER($AA$6:$AA$305)*($AA$6:$AA$305&gt;AA170))+SUMPRODUCT(($AA$6:AA170=AA170)*1))</f>
        <v/>
      </c>
      <c r="AE170" s="35">
        <f>IF(AA170="","",SUMPRODUCT(($E$6:$E$305=E170)*ISNUMBER($AA$6:$AA$305)*($AA$6:$AA$305&gt;AA170))+SUMPRODUCT(($E$6:E170=E170)*($AA$6:AA170=AA170)))</f>
        <v/>
      </c>
    </row>
    <row r="171">
      <c r="A171" s="31">
        <f>IF(Submissions!AD167="","",166)</f>
        <v/>
      </c>
      <c r="B171" s="10">
        <f>IF($A171="","",IF(Settings!$B$4="Yes","Submission "&amp;$A171,Submissions!AD167))</f>
        <v/>
      </c>
      <c r="C171" s="31">
        <f>IF($A171="","",IF(Settings!$B$4="Yes","(hidden)",Submissions!AE167))</f>
        <v/>
      </c>
      <c r="D171" s="31">
        <f>IF($A171="","",Submissions!AF167)</f>
        <v/>
      </c>
      <c r="E171" s="31">
        <f>IF($A171="","",Submissions!AG167)</f>
        <v/>
      </c>
      <c r="F171" s="31">
        <f>IF($A171="","",Submissions!AH167)</f>
        <v/>
      </c>
      <c r="G171" s="37" t="n"/>
      <c r="H171" s="37" t="n"/>
      <c r="I171" s="37" t="n"/>
      <c r="J171" s="37" t="n"/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3">
        <f>IF(COUNT(G171:I171)=3,IFERROR(ROUND((G171*Settings!$D$15+H171*Settings!$D$16+I171*Settings!$D$17)/(Settings!$D$15+Settings!$D$16+Settings!$D$17),2),""),"")</f>
        <v/>
      </c>
      <c r="W171" s="33">
        <f>IF(COUNT(J171:L171)=3,IFERROR(ROUND((J171*Settings!$D$15+K171*Settings!$D$16+L171*Settings!$D$17)/(Settings!$D$15+Settings!$D$16+Settings!$D$17),2),""),"")</f>
        <v/>
      </c>
      <c r="X171" s="33">
        <f>IF(COUNT(M171:O171)=3,IFERROR(ROUND((M171*Settings!$D$15+N171*Settings!$D$16+O171*Settings!$D$17)/(Settings!$D$15+Settings!$D$16+Settings!$D$17),2),""),"")</f>
        <v/>
      </c>
      <c r="Y171" s="33">
        <f>IF(COUNT(P171:R171)=3,IFERROR(ROUND((P171*Settings!$D$15+Q171*Settings!$D$16+R171*Settings!$D$17)/(Settings!$D$15+Settings!$D$16+Settings!$D$17),2),""),"")</f>
        <v/>
      </c>
      <c r="Z171" s="33">
        <f>IF(COUNT(S171:U171)=3,IFERROR(ROUND((S171*Settings!$D$15+T171*Settings!$D$16+U171*Settings!$D$17)/(Settings!$D$15+Settings!$D$16+Settings!$D$17),2),""),"")</f>
        <v/>
      </c>
      <c r="AA171" s="34">
        <f>IF(COUNT(V171:Z171)=0,"",ROUND(AVERAGE(V171:Z171),2))</f>
        <v/>
      </c>
      <c r="AB171" s="35">
        <f>IF($A171="","",COUNT(V171:Z171))</f>
        <v/>
      </c>
      <c r="AC171" s="36" t="n"/>
      <c r="AD171" s="35">
        <f>IF(AA171="","",SUMPRODUCT(ISNUMBER($AA$6:$AA$305)*($AA$6:$AA$305&gt;AA171))+SUMPRODUCT(($AA$6:AA171=AA171)*1))</f>
        <v/>
      </c>
      <c r="AE171" s="35">
        <f>IF(AA171="","",SUMPRODUCT(($E$6:$E$305=E171)*ISNUMBER($AA$6:$AA$305)*($AA$6:$AA$305&gt;AA171))+SUMPRODUCT(($E$6:E171=E171)*($AA$6:AA171=AA171)))</f>
        <v/>
      </c>
    </row>
    <row r="172">
      <c r="A172" s="31">
        <f>IF(Submissions!AD168="","",167)</f>
        <v/>
      </c>
      <c r="B172" s="10">
        <f>IF($A172="","",IF(Settings!$B$4="Yes","Submission "&amp;$A172,Submissions!AD168))</f>
        <v/>
      </c>
      <c r="C172" s="31">
        <f>IF($A172="","",IF(Settings!$B$4="Yes","(hidden)",Submissions!AE168))</f>
        <v/>
      </c>
      <c r="D172" s="31">
        <f>IF($A172="","",Submissions!AF168)</f>
        <v/>
      </c>
      <c r="E172" s="31">
        <f>IF($A172="","",Submissions!AG168)</f>
        <v/>
      </c>
      <c r="F172" s="31">
        <f>IF($A172="","",Submissions!AH168)</f>
        <v/>
      </c>
      <c r="G172" s="37" t="n"/>
      <c r="H172" s="37" t="n"/>
      <c r="I172" s="37" t="n"/>
      <c r="J172" s="37" t="n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3">
        <f>IF(COUNT(G172:I172)=3,IFERROR(ROUND((G172*Settings!$D$15+H172*Settings!$D$16+I172*Settings!$D$17)/(Settings!$D$15+Settings!$D$16+Settings!$D$17),2),""),"")</f>
        <v/>
      </c>
      <c r="W172" s="33">
        <f>IF(COUNT(J172:L172)=3,IFERROR(ROUND((J172*Settings!$D$15+K172*Settings!$D$16+L172*Settings!$D$17)/(Settings!$D$15+Settings!$D$16+Settings!$D$17),2),""),"")</f>
        <v/>
      </c>
      <c r="X172" s="33">
        <f>IF(COUNT(M172:O172)=3,IFERROR(ROUND((M172*Settings!$D$15+N172*Settings!$D$16+O172*Settings!$D$17)/(Settings!$D$15+Settings!$D$16+Settings!$D$17),2),""),"")</f>
        <v/>
      </c>
      <c r="Y172" s="33">
        <f>IF(COUNT(P172:R172)=3,IFERROR(ROUND((P172*Settings!$D$15+Q172*Settings!$D$16+R172*Settings!$D$17)/(Settings!$D$15+Settings!$D$16+Settings!$D$17),2),""),"")</f>
        <v/>
      </c>
      <c r="Z172" s="33">
        <f>IF(COUNT(S172:U172)=3,IFERROR(ROUND((S172*Settings!$D$15+T172*Settings!$D$16+U172*Settings!$D$17)/(Settings!$D$15+Settings!$D$16+Settings!$D$17),2),""),"")</f>
        <v/>
      </c>
      <c r="AA172" s="34">
        <f>IF(COUNT(V172:Z172)=0,"",ROUND(AVERAGE(V172:Z172),2))</f>
        <v/>
      </c>
      <c r="AB172" s="35">
        <f>IF($A172="","",COUNT(V172:Z172))</f>
        <v/>
      </c>
      <c r="AC172" s="36" t="n"/>
      <c r="AD172" s="35">
        <f>IF(AA172="","",SUMPRODUCT(ISNUMBER($AA$6:$AA$305)*($AA$6:$AA$305&gt;AA172))+SUMPRODUCT(($AA$6:AA172=AA172)*1))</f>
        <v/>
      </c>
      <c r="AE172" s="35">
        <f>IF(AA172="","",SUMPRODUCT(($E$6:$E$305=E172)*ISNUMBER($AA$6:$AA$305)*($AA$6:$AA$305&gt;AA172))+SUMPRODUCT(($E$6:E172=E172)*($AA$6:AA172=AA172)))</f>
        <v/>
      </c>
    </row>
    <row r="173">
      <c r="A173" s="31">
        <f>IF(Submissions!AD169="","",168)</f>
        <v/>
      </c>
      <c r="B173" s="10">
        <f>IF($A173="","",IF(Settings!$B$4="Yes","Submission "&amp;$A173,Submissions!AD169))</f>
        <v/>
      </c>
      <c r="C173" s="31">
        <f>IF($A173="","",IF(Settings!$B$4="Yes","(hidden)",Submissions!AE169))</f>
        <v/>
      </c>
      <c r="D173" s="31">
        <f>IF($A173="","",Submissions!AF169)</f>
        <v/>
      </c>
      <c r="E173" s="31">
        <f>IF($A173="","",Submissions!AG169)</f>
        <v/>
      </c>
      <c r="F173" s="31">
        <f>IF($A173="","",Submissions!AH169)</f>
        <v/>
      </c>
      <c r="G173" s="37" t="n"/>
      <c r="H173" s="37" t="n"/>
      <c r="I173" s="37" t="n"/>
      <c r="J173" s="37" t="n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3">
        <f>IF(COUNT(G173:I173)=3,IFERROR(ROUND((G173*Settings!$D$15+H173*Settings!$D$16+I173*Settings!$D$17)/(Settings!$D$15+Settings!$D$16+Settings!$D$17),2),""),"")</f>
        <v/>
      </c>
      <c r="W173" s="33">
        <f>IF(COUNT(J173:L173)=3,IFERROR(ROUND((J173*Settings!$D$15+K173*Settings!$D$16+L173*Settings!$D$17)/(Settings!$D$15+Settings!$D$16+Settings!$D$17),2),""),"")</f>
        <v/>
      </c>
      <c r="X173" s="33">
        <f>IF(COUNT(M173:O173)=3,IFERROR(ROUND((M173*Settings!$D$15+N173*Settings!$D$16+O173*Settings!$D$17)/(Settings!$D$15+Settings!$D$16+Settings!$D$17),2),""),"")</f>
        <v/>
      </c>
      <c r="Y173" s="33">
        <f>IF(COUNT(P173:R173)=3,IFERROR(ROUND((P173*Settings!$D$15+Q173*Settings!$D$16+R173*Settings!$D$17)/(Settings!$D$15+Settings!$D$16+Settings!$D$17),2),""),"")</f>
        <v/>
      </c>
      <c r="Z173" s="33">
        <f>IF(COUNT(S173:U173)=3,IFERROR(ROUND((S173*Settings!$D$15+T173*Settings!$D$16+U173*Settings!$D$17)/(Settings!$D$15+Settings!$D$16+Settings!$D$17),2),""),"")</f>
        <v/>
      </c>
      <c r="AA173" s="34">
        <f>IF(COUNT(V173:Z173)=0,"",ROUND(AVERAGE(V173:Z173),2))</f>
        <v/>
      </c>
      <c r="AB173" s="35">
        <f>IF($A173="","",COUNT(V173:Z173))</f>
        <v/>
      </c>
      <c r="AC173" s="36" t="n"/>
      <c r="AD173" s="35">
        <f>IF(AA173="","",SUMPRODUCT(ISNUMBER($AA$6:$AA$305)*($AA$6:$AA$305&gt;AA173))+SUMPRODUCT(($AA$6:AA173=AA173)*1))</f>
        <v/>
      </c>
      <c r="AE173" s="35">
        <f>IF(AA173="","",SUMPRODUCT(($E$6:$E$305=E173)*ISNUMBER($AA$6:$AA$305)*($AA$6:$AA$305&gt;AA173))+SUMPRODUCT(($E$6:E173=E173)*($AA$6:AA173=AA173)))</f>
        <v/>
      </c>
    </row>
    <row r="174">
      <c r="A174" s="31">
        <f>IF(Submissions!AD170="","",169)</f>
        <v/>
      </c>
      <c r="B174" s="10">
        <f>IF($A174="","",IF(Settings!$B$4="Yes","Submission "&amp;$A174,Submissions!AD170))</f>
        <v/>
      </c>
      <c r="C174" s="31">
        <f>IF($A174="","",IF(Settings!$B$4="Yes","(hidden)",Submissions!AE170))</f>
        <v/>
      </c>
      <c r="D174" s="31">
        <f>IF($A174="","",Submissions!AF170)</f>
        <v/>
      </c>
      <c r="E174" s="31">
        <f>IF($A174="","",Submissions!AG170)</f>
        <v/>
      </c>
      <c r="F174" s="31">
        <f>IF($A174="","",Submissions!AH170)</f>
        <v/>
      </c>
      <c r="G174" s="37" t="n"/>
      <c r="H174" s="37" t="n"/>
      <c r="I174" s="37" t="n"/>
      <c r="J174" s="37" t="n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3">
        <f>IF(COUNT(G174:I174)=3,IFERROR(ROUND((G174*Settings!$D$15+H174*Settings!$D$16+I174*Settings!$D$17)/(Settings!$D$15+Settings!$D$16+Settings!$D$17),2),""),"")</f>
        <v/>
      </c>
      <c r="W174" s="33">
        <f>IF(COUNT(J174:L174)=3,IFERROR(ROUND((J174*Settings!$D$15+K174*Settings!$D$16+L174*Settings!$D$17)/(Settings!$D$15+Settings!$D$16+Settings!$D$17),2),""),"")</f>
        <v/>
      </c>
      <c r="X174" s="33">
        <f>IF(COUNT(M174:O174)=3,IFERROR(ROUND((M174*Settings!$D$15+N174*Settings!$D$16+O174*Settings!$D$17)/(Settings!$D$15+Settings!$D$16+Settings!$D$17),2),""),"")</f>
        <v/>
      </c>
      <c r="Y174" s="33">
        <f>IF(COUNT(P174:R174)=3,IFERROR(ROUND((P174*Settings!$D$15+Q174*Settings!$D$16+R174*Settings!$D$17)/(Settings!$D$15+Settings!$D$16+Settings!$D$17),2),""),"")</f>
        <v/>
      </c>
      <c r="Z174" s="33">
        <f>IF(COUNT(S174:U174)=3,IFERROR(ROUND((S174*Settings!$D$15+T174*Settings!$D$16+U174*Settings!$D$17)/(Settings!$D$15+Settings!$D$16+Settings!$D$17),2),""),"")</f>
        <v/>
      </c>
      <c r="AA174" s="34">
        <f>IF(COUNT(V174:Z174)=0,"",ROUND(AVERAGE(V174:Z174),2))</f>
        <v/>
      </c>
      <c r="AB174" s="35">
        <f>IF($A174="","",COUNT(V174:Z174))</f>
        <v/>
      </c>
      <c r="AC174" s="36" t="n"/>
      <c r="AD174" s="35">
        <f>IF(AA174="","",SUMPRODUCT(ISNUMBER($AA$6:$AA$305)*($AA$6:$AA$305&gt;AA174))+SUMPRODUCT(($AA$6:AA174=AA174)*1))</f>
        <v/>
      </c>
      <c r="AE174" s="35">
        <f>IF(AA174="","",SUMPRODUCT(($E$6:$E$305=E174)*ISNUMBER($AA$6:$AA$305)*($AA$6:$AA$305&gt;AA174))+SUMPRODUCT(($E$6:E174=E174)*($AA$6:AA174=AA174)))</f>
        <v/>
      </c>
    </row>
    <row r="175">
      <c r="A175" s="31">
        <f>IF(Submissions!AD171="","",170)</f>
        <v/>
      </c>
      <c r="B175" s="10">
        <f>IF($A175="","",IF(Settings!$B$4="Yes","Submission "&amp;$A175,Submissions!AD171))</f>
        <v/>
      </c>
      <c r="C175" s="31">
        <f>IF($A175="","",IF(Settings!$B$4="Yes","(hidden)",Submissions!AE171))</f>
        <v/>
      </c>
      <c r="D175" s="31">
        <f>IF($A175="","",Submissions!AF171)</f>
        <v/>
      </c>
      <c r="E175" s="31">
        <f>IF($A175="","",Submissions!AG171)</f>
        <v/>
      </c>
      <c r="F175" s="31">
        <f>IF($A175="","",Submissions!AH171)</f>
        <v/>
      </c>
      <c r="G175" s="37" t="n"/>
      <c r="H175" s="37" t="n"/>
      <c r="I175" s="37" t="n"/>
      <c r="J175" s="37" t="n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3">
        <f>IF(COUNT(G175:I175)=3,IFERROR(ROUND((G175*Settings!$D$15+H175*Settings!$D$16+I175*Settings!$D$17)/(Settings!$D$15+Settings!$D$16+Settings!$D$17),2),""),"")</f>
        <v/>
      </c>
      <c r="W175" s="33">
        <f>IF(COUNT(J175:L175)=3,IFERROR(ROUND((J175*Settings!$D$15+K175*Settings!$D$16+L175*Settings!$D$17)/(Settings!$D$15+Settings!$D$16+Settings!$D$17),2),""),"")</f>
        <v/>
      </c>
      <c r="X175" s="33">
        <f>IF(COUNT(M175:O175)=3,IFERROR(ROUND((M175*Settings!$D$15+N175*Settings!$D$16+O175*Settings!$D$17)/(Settings!$D$15+Settings!$D$16+Settings!$D$17),2),""),"")</f>
        <v/>
      </c>
      <c r="Y175" s="33">
        <f>IF(COUNT(P175:R175)=3,IFERROR(ROUND((P175*Settings!$D$15+Q175*Settings!$D$16+R175*Settings!$D$17)/(Settings!$D$15+Settings!$D$16+Settings!$D$17),2),""),"")</f>
        <v/>
      </c>
      <c r="Z175" s="33">
        <f>IF(COUNT(S175:U175)=3,IFERROR(ROUND((S175*Settings!$D$15+T175*Settings!$D$16+U175*Settings!$D$17)/(Settings!$D$15+Settings!$D$16+Settings!$D$17),2),""),"")</f>
        <v/>
      </c>
      <c r="AA175" s="34">
        <f>IF(COUNT(V175:Z175)=0,"",ROUND(AVERAGE(V175:Z175),2))</f>
        <v/>
      </c>
      <c r="AB175" s="35">
        <f>IF($A175="","",COUNT(V175:Z175))</f>
        <v/>
      </c>
      <c r="AC175" s="36" t="n"/>
      <c r="AD175" s="35">
        <f>IF(AA175="","",SUMPRODUCT(ISNUMBER($AA$6:$AA$305)*($AA$6:$AA$305&gt;AA175))+SUMPRODUCT(($AA$6:AA175=AA175)*1))</f>
        <v/>
      </c>
      <c r="AE175" s="35">
        <f>IF(AA175="","",SUMPRODUCT(($E$6:$E$305=E175)*ISNUMBER($AA$6:$AA$305)*($AA$6:$AA$305&gt;AA175))+SUMPRODUCT(($E$6:E175=E175)*($AA$6:AA175=AA175)))</f>
        <v/>
      </c>
    </row>
    <row r="176">
      <c r="A176" s="31">
        <f>IF(Submissions!AD172="","",171)</f>
        <v/>
      </c>
      <c r="B176" s="10">
        <f>IF($A176="","",IF(Settings!$B$4="Yes","Submission "&amp;$A176,Submissions!AD172))</f>
        <v/>
      </c>
      <c r="C176" s="31">
        <f>IF($A176="","",IF(Settings!$B$4="Yes","(hidden)",Submissions!AE172))</f>
        <v/>
      </c>
      <c r="D176" s="31">
        <f>IF($A176="","",Submissions!AF172)</f>
        <v/>
      </c>
      <c r="E176" s="31">
        <f>IF($A176="","",Submissions!AG172)</f>
        <v/>
      </c>
      <c r="F176" s="31">
        <f>IF($A176="","",Submissions!AH172)</f>
        <v/>
      </c>
      <c r="G176" s="37" t="n"/>
      <c r="H176" s="37" t="n"/>
      <c r="I176" s="37" t="n"/>
      <c r="J176" s="37" t="n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3">
        <f>IF(COUNT(G176:I176)=3,IFERROR(ROUND((G176*Settings!$D$15+H176*Settings!$D$16+I176*Settings!$D$17)/(Settings!$D$15+Settings!$D$16+Settings!$D$17),2),""),"")</f>
        <v/>
      </c>
      <c r="W176" s="33">
        <f>IF(COUNT(J176:L176)=3,IFERROR(ROUND((J176*Settings!$D$15+K176*Settings!$D$16+L176*Settings!$D$17)/(Settings!$D$15+Settings!$D$16+Settings!$D$17),2),""),"")</f>
        <v/>
      </c>
      <c r="X176" s="33">
        <f>IF(COUNT(M176:O176)=3,IFERROR(ROUND((M176*Settings!$D$15+N176*Settings!$D$16+O176*Settings!$D$17)/(Settings!$D$15+Settings!$D$16+Settings!$D$17),2),""),"")</f>
        <v/>
      </c>
      <c r="Y176" s="33">
        <f>IF(COUNT(P176:R176)=3,IFERROR(ROUND((P176*Settings!$D$15+Q176*Settings!$D$16+R176*Settings!$D$17)/(Settings!$D$15+Settings!$D$16+Settings!$D$17),2),""),"")</f>
        <v/>
      </c>
      <c r="Z176" s="33">
        <f>IF(COUNT(S176:U176)=3,IFERROR(ROUND((S176*Settings!$D$15+T176*Settings!$D$16+U176*Settings!$D$17)/(Settings!$D$15+Settings!$D$16+Settings!$D$17),2),""),"")</f>
        <v/>
      </c>
      <c r="AA176" s="34">
        <f>IF(COUNT(V176:Z176)=0,"",ROUND(AVERAGE(V176:Z176),2))</f>
        <v/>
      </c>
      <c r="AB176" s="35">
        <f>IF($A176="","",COUNT(V176:Z176))</f>
        <v/>
      </c>
      <c r="AC176" s="36" t="n"/>
      <c r="AD176" s="35">
        <f>IF(AA176="","",SUMPRODUCT(ISNUMBER($AA$6:$AA$305)*($AA$6:$AA$305&gt;AA176))+SUMPRODUCT(($AA$6:AA176=AA176)*1))</f>
        <v/>
      </c>
      <c r="AE176" s="35">
        <f>IF(AA176="","",SUMPRODUCT(($E$6:$E$305=E176)*ISNUMBER($AA$6:$AA$305)*($AA$6:$AA$305&gt;AA176))+SUMPRODUCT(($E$6:E176=E176)*($AA$6:AA176=AA176)))</f>
        <v/>
      </c>
    </row>
    <row r="177">
      <c r="A177" s="31">
        <f>IF(Submissions!AD173="","",172)</f>
        <v/>
      </c>
      <c r="B177" s="10">
        <f>IF($A177="","",IF(Settings!$B$4="Yes","Submission "&amp;$A177,Submissions!AD173))</f>
        <v/>
      </c>
      <c r="C177" s="31">
        <f>IF($A177="","",IF(Settings!$B$4="Yes","(hidden)",Submissions!AE173))</f>
        <v/>
      </c>
      <c r="D177" s="31">
        <f>IF($A177="","",Submissions!AF173)</f>
        <v/>
      </c>
      <c r="E177" s="31">
        <f>IF($A177="","",Submissions!AG173)</f>
        <v/>
      </c>
      <c r="F177" s="31">
        <f>IF($A177="","",Submissions!AH173)</f>
        <v/>
      </c>
      <c r="G177" s="37" t="n"/>
      <c r="H177" s="37" t="n"/>
      <c r="I177" s="37" t="n"/>
      <c r="J177" s="37" t="n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3">
        <f>IF(COUNT(G177:I177)=3,IFERROR(ROUND((G177*Settings!$D$15+H177*Settings!$D$16+I177*Settings!$D$17)/(Settings!$D$15+Settings!$D$16+Settings!$D$17),2),""),"")</f>
        <v/>
      </c>
      <c r="W177" s="33">
        <f>IF(COUNT(J177:L177)=3,IFERROR(ROUND((J177*Settings!$D$15+K177*Settings!$D$16+L177*Settings!$D$17)/(Settings!$D$15+Settings!$D$16+Settings!$D$17),2),""),"")</f>
        <v/>
      </c>
      <c r="X177" s="33">
        <f>IF(COUNT(M177:O177)=3,IFERROR(ROUND((M177*Settings!$D$15+N177*Settings!$D$16+O177*Settings!$D$17)/(Settings!$D$15+Settings!$D$16+Settings!$D$17),2),""),"")</f>
        <v/>
      </c>
      <c r="Y177" s="33">
        <f>IF(COUNT(P177:R177)=3,IFERROR(ROUND((P177*Settings!$D$15+Q177*Settings!$D$16+R177*Settings!$D$17)/(Settings!$D$15+Settings!$D$16+Settings!$D$17),2),""),"")</f>
        <v/>
      </c>
      <c r="Z177" s="33">
        <f>IF(COUNT(S177:U177)=3,IFERROR(ROUND((S177*Settings!$D$15+T177*Settings!$D$16+U177*Settings!$D$17)/(Settings!$D$15+Settings!$D$16+Settings!$D$17),2),""),"")</f>
        <v/>
      </c>
      <c r="AA177" s="34">
        <f>IF(COUNT(V177:Z177)=0,"",ROUND(AVERAGE(V177:Z177),2))</f>
        <v/>
      </c>
      <c r="AB177" s="35">
        <f>IF($A177="","",COUNT(V177:Z177))</f>
        <v/>
      </c>
      <c r="AC177" s="36" t="n"/>
      <c r="AD177" s="35">
        <f>IF(AA177="","",SUMPRODUCT(ISNUMBER($AA$6:$AA$305)*($AA$6:$AA$305&gt;AA177))+SUMPRODUCT(($AA$6:AA177=AA177)*1))</f>
        <v/>
      </c>
      <c r="AE177" s="35">
        <f>IF(AA177="","",SUMPRODUCT(($E$6:$E$305=E177)*ISNUMBER($AA$6:$AA$305)*($AA$6:$AA$305&gt;AA177))+SUMPRODUCT(($E$6:E177=E177)*($AA$6:AA177=AA177)))</f>
        <v/>
      </c>
    </row>
    <row r="178">
      <c r="A178" s="31">
        <f>IF(Submissions!AD174="","",173)</f>
        <v/>
      </c>
      <c r="B178" s="10">
        <f>IF($A178="","",IF(Settings!$B$4="Yes","Submission "&amp;$A178,Submissions!AD174))</f>
        <v/>
      </c>
      <c r="C178" s="31">
        <f>IF($A178="","",IF(Settings!$B$4="Yes","(hidden)",Submissions!AE174))</f>
        <v/>
      </c>
      <c r="D178" s="31">
        <f>IF($A178="","",Submissions!AF174)</f>
        <v/>
      </c>
      <c r="E178" s="31">
        <f>IF($A178="","",Submissions!AG174)</f>
        <v/>
      </c>
      <c r="F178" s="31">
        <f>IF($A178="","",Submissions!AH174)</f>
        <v/>
      </c>
      <c r="G178" s="37" t="n"/>
      <c r="H178" s="37" t="n"/>
      <c r="I178" s="37" t="n"/>
      <c r="J178" s="37" t="n"/>
      <c r="K178" s="37" t="n"/>
      <c r="L178" s="37" t="n"/>
      <c r="M178" s="37" t="n"/>
      <c r="N178" s="37" t="n"/>
      <c r="O178" s="37" t="n"/>
      <c r="P178" s="37" t="n"/>
      <c r="Q178" s="37" t="n"/>
      <c r="R178" s="37" t="n"/>
      <c r="S178" s="37" t="n"/>
      <c r="T178" s="37" t="n"/>
      <c r="U178" s="37" t="n"/>
      <c r="V178" s="33">
        <f>IF(COUNT(G178:I178)=3,IFERROR(ROUND((G178*Settings!$D$15+H178*Settings!$D$16+I178*Settings!$D$17)/(Settings!$D$15+Settings!$D$16+Settings!$D$17),2),""),"")</f>
        <v/>
      </c>
      <c r="W178" s="33">
        <f>IF(COUNT(J178:L178)=3,IFERROR(ROUND((J178*Settings!$D$15+K178*Settings!$D$16+L178*Settings!$D$17)/(Settings!$D$15+Settings!$D$16+Settings!$D$17),2),""),"")</f>
        <v/>
      </c>
      <c r="X178" s="33">
        <f>IF(COUNT(M178:O178)=3,IFERROR(ROUND((M178*Settings!$D$15+N178*Settings!$D$16+O178*Settings!$D$17)/(Settings!$D$15+Settings!$D$16+Settings!$D$17),2),""),"")</f>
        <v/>
      </c>
      <c r="Y178" s="33">
        <f>IF(COUNT(P178:R178)=3,IFERROR(ROUND((P178*Settings!$D$15+Q178*Settings!$D$16+R178*Settings!$D$17)/(Settings!$D$15+Settings!$D$16+Settings!$D$17),2),""),"")</f>
        <v/>
      </c>
      <c r="Z178" s="33">
        <f>IF(COUNT(S178:U178)=3,IFERROR(ROUND((S178*Settings!$D$15+T178*Settings!$D$16+U178*Settings!$D$17)/(Settings!$D$15+Settings!$D$16+Settings!$D$17),2),""),"")</f>
        <v/>
      </c>
      <c r="AA178" s="34">
        <f>IF(COUNT(V178:Z178)=0,"",ROUND(AVERAGE(V178:Z178),2))</f>
        <v/>
      </c>
      <c r="AB178" s="35">
        <f>IF($A178="","",COUNT(V178:Z178))</f>
        <v/>
      </c>
      <c r="AC178" s="36" t="n"/>
      <c r="AD178" s="35">
        <f>IF(AA178="","",SUMPRODUCT(ISNUMBER($AA$6:$AA$305)*($AA$6:$AA$305&gt;AA178))+SUMPRODUCT(($AA$6:AA178=AA178)*1))</f>
        <v/>
      </c>
      <c r="AE178" s="35">
        <f>IF(AA178="","",SUMPRODUCT(($E$6:$E$305=E178)*ISNUMBER($AA$6:$AA$305)*($AA$6:$AA$305&gt;AA178))+SUMPRODUCT(($E$6:E178=E178)*($AA$6:AA178=AA178)))</f>
        <v/>
      </c>
    </row>
    <row r="179">
      <c r="A179" s="31">
        <f>IF(Submissions!AD175="","",174)</f>
        <v/>
      </c>
      <c r="B179" s="10">
        <f>IF($A179="","",IF(Settings!$B$4="Yes","Submission "&amp;$A179,Submissions!AD175))</f>
        <v/>
      </c>
      <c r="C179" s="31">
        <f>IF($A179="","",IF(Settings!$B$4="Yes","(hidden)",Submissions!AE175))</f>
        <v/>
      </c>
      <c r="D179" s="31">
        <f>IF($A179="","",Submissions!AF175)</f>
        <v/>
      </c>
      <c r="E179" s="31">
        <f>IF($A179="","",Submissions!AG175)</f>
        <v/>
      </c>
      <c r="F179" s="31">
        <f>IF($A179="","",Submissions!AH175)</f>
        <v/>
      </c>
      <c r="G179" s="37" t="n"/>
      <c r="H179" s="37" t="n"/>
      <c r="I179" s="37" t="n"/>
      <c r="J179" s="37" t="n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3">
        <f>IF(COUNT(G179:I179)=3,IFERROR(ROUND((G179*Settings!$D$15+H179*Settings!$D$16+I179*Settings!$D$17)/(Settings!$D$15+Settings!$D$16+Settings!$D$17),2),""),"")</f>
        <v/>
      </c>
      <c r="W179" s="33">
        <f>IF(COUNT(J179:L179)=3,IFERROR(ROUND((J179*Settings!$D$15+K179*Settings!$D$16+L179*Settings!$D$17)/(Settings!$D$15+Settings!$D$16+Settings!$D$17),2),""),"")</f>
        <v/>
      </c>
      <c r="X179" s="33">
        <f>IF(COUNT(M179:O179)=3,IFERROR(ROUND((M179*Settings!$D$15+N179*Settings!$D$16+O179*Settings!$D$17)/(Settings!$D$15+Settings!$D$16+Settings!$D$17),2),""),"")</f>
        <v/>
      </c>
      <c r="Y179" s="33">
        <f>IF(COUNT(P179:R179)=3,IFERROR(ROUND((P179*Settings!$D$15+Q179*Settings!$D$16+R179*Settings!$D$17)/(Settings!$D$15+Settings!$D$16+Settings!$D$17),2),""),"")</f>
        <v/>
      </c>
      <c r="Z179" s="33">
        <f>IF(COUNT(S179:U179)=3,IFERROR(ROUND((S179*Settings!$D$15+T179*Settings!$D$16+U179*Settings!$D$17)/(Settings!$D$15+Settings!$D$16+Settings!$D$17),2),""),"")</f>
        <v/>
      </c>
      <c r="AA179" s="34">
        <f>IF(COUNT(V179:Z179)=0,"",ROUND(AVERAGE(V179:Z179),2))</f>
        <v/>
      </c>
      <c r="AB179" s="35">
        <f>IF($A179="","",COUNT(V179:Z179))</f>
        <v/>
      </c>
      <c r="AC179" s="36" t="n"/>
      <c r="AD179" s="35">
        <f>IF(AA179="","",SUMPRODUCT(ISNUMBER($AA$6:$AA$305)*($AA$6:$AA$305&gt;AA179))+SUMPRODUCT(($AA$6:AA179=AA179)*1))</f>
        <v/>
      </c>
      <c r="AE179" s="35">
        <f>IF(AA179="","",SUMPRODUCT(($E$6:$E$305=E179)*ISNUMBER($AA$6:$AA$305)*($AA$6:$AA$305&gt;AA179))+SUMPRODUCT(($E$6:E179=E179)*($AA$6:AA179=AA179)))</f>
        <v/>
      </c>
    </row>
    <row r="180">
      <c r="A180" s="31">
        <f>IF(Submissions!AD176="","",175)</f>
        <v/>
      </c>
      <c r="B180" s="10">
        <f>IF($A180="","",IF(Settings!$B$4="Yes","Submission "&amp;$A180,Submissions!AD176))</f>
        <v/>
      </c>
      <c r="C180" s="31">
        <f>IF($A180="","",IF(Settings!$B$4="Yes","(hidden)",Submissions!AE176))</f>
        <v/>
      </c>
      <c r="D180" s="31">
        <f>IF($A180="","",Submissions!AF176)</f>
        <v/>
      </c>
      <c r="E180" s="31">
        <f>IF($A180="","",Submissions!AG176)</f>
        <v/>
      </c>
      <c r="F180" s="31">
        <f>IF($A180="","",Submissions!AH176)</f>
        <v/>
      </c>
      <c r="G180" s="37" t="n"/>
      <c r="H180" s="37" t="n"/>
      <c r="I180" s="37" t="n"/>
      <c r="J180" s="37" t="n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3">
        <f>IF(COUNT(G180:I180)=3,IFERROR(ROUND((G180*Settings!$D$15+H180*Settings!$D$16+I180*Settings!$D$17)/(Settings!$D$15+Settings!$D$16+Settings!$D$17),2),""),"")</f>
        <v/>
      </c>
      <c r="W180" s="33">
        <f>IF(COUNT(J180:L180)=3,IFERROR(ROUND((J180*Settings!$D$15+K180*Settings!$D$16+L180*Settings!$D$17)/(Settings!$D$15+Settings!$D$16+Settings!$D$17),2),""),"")</f>
        <v/>
      </c>
      <c r="X180" s="33">
        <f>IF(COUNT(M180:O180)=3,IFERROR(ROUND((M180*Settings!$D$15+N180*Settings!$D$16+O180*Settings!$D$17)/(Settings!$D$15+Settings!$D$16+Settings!$D$17),2),""),"")</f>
        <v/>
      </c>
      <c r="Y180" s="33">
        <f>IF(COUNT(P180:R180)=3,IFERROR(ROUND((P180*Settings!$D$15+Q180*Settings!$D$16+R180*Settings!$D$17)/(Settings!$D$15+Settings!$D$16+Settings!$D$17),2),""),"")</f>
        <v/>
      </c>
      <c r="Z180" s="33">
        <f>IF(COUNT(S180:U180)=3,IFERROR(ROUND((S180*Settings!$D$15+T180*Settings!$D$16+U180*Settings!$D$17)/(Settings!$D$15+Settings!$D$16+Settings!$D$17),2),""),"")</f>
        <v/>
      </c>
      <c r="AA180" s="34">
        <f>IF(COUNT(V180:Z180)=0,"",ROUND(AVERAGE(V180:Z180),2))</f>
        <v/>
      </c>
      <c r="AB180" s="35">
        <f>IF($A180="","",COUNT(V180:Z180))</f>
        <v/>
      </c>
      <c r="AC180" s="36" t="n"/>
      <c r="AD180" s="35">
        <f>IF(AA180="","",SUMPRODUCT(ISNUMBER($AA$6:$AA$305)*($AA$6:$AA$305&gt;AA180))+SUMPRODUCT(($AA$6:AA180=AA180)*1))</f>
        <v/>
      </c>
      <c r="AE180" s="35">
        <f>IF(AA180="","",SUMPRODUCT(($E$6:$E$305=E180)*ISNUMBER($AA$6:$AA$305)*($AA$6:$AA$305&gt;AA180))+SUMPRODUCT(($E$6:E180=E180)*($AA$6:AA180=AA180)))</f>
        <v/>
      </c>
    </row>
    <row r="181">
      <c r="A181" s="31">
        <f>IF(Submissions!AD177="","",176)</f>
        <v/>
      </c>
      <c r="B181" s="10">
        <f>IF($A181="","",IF(Settings!$B$4="Yes","Submission "&amp;$A181,Submissions!AD177))</f>
        <v/>
      </c>
      <c r="C181" s="31">
        <f>IF($A181="","",IF(Settings!$B$4="Yes","(hidden)",Submissions!AE177))</f>
        <v/>
      </c>
      <c r="D181" s="31">
        <f>IF($A181="","",Submissions!AF177)</f>
        <v/>
      </c>
      <c r="E181" s="31">
        <f>IF($A181="","",Submissions!AG177)</f>
        <v/>
      </c>
      <c r="F181" s="31">
        <f>IF($A181="","",Submissions!AH177)</f>
        <v/>
      </c>
      <c r="G181" s="37" t="n"/>
      <c r="H181" s="37" t="n"/>
      <c r="I181" s="37" t="n"/>
      <c r="J181" s="37" t="n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3">
        <f>IF(COUNT(G181:I181)=3,IFERROR(ROUND((G181*Settings!$D$15+H181*Settings!$D$16+I181*Settings!$D$17)/(Settings!$D$15+Settings!$D$16+Settings!$D$17),2),""),"")</f>
        <v/>
      </c>
      <c r="W181" s="33">
        <f>IF(COUNT(J181:L181)=3,IFERROR(ROUND((J181*Settings!$D$15+K181*Settings!$D$16+L181*Settings!$D$17)/(Settings!$D$15+Settings!$D$16+Settings!$D$17),2),""),"")</f>
        <v/>
      </c>
      <c r="X181" s="33">
        <f>IF(COUNT(M181:O181)=3,IFERROR(ROUND((M181*Settings!$D$15+N181*Settings!$D$16+O181*Settings!$D$17)/(Settings!$D$15+Settings!$D$16+Settings!$D$17),2),""),"")</f>
        <v/>
      </c>
      <c r="Y181" s="33">
        <f>IF(COUNT(P181:R181)=3,IFERROR(ROUND((P181*Settings!$D$15+Q181*Settings!$D$16+R181*Settings!$D$17)/(Settings!$D$15+Settings!$D$16+Settings!$D$17),2),""),"")</f>
        <v/>
      </c>
      <c r="Z181" s="33">
        <f>IF(COUNT(S181:U181)=3,IFERROR(ROUND((S181*Settings!$D$15+T181*Settings!$D$16+U181*Settings!$D$17)/(Settings!$D$15+Settings!$D$16+Settings!$D$17),2),""),"")</f>
        <v/>
      </c>
      <c r="AA181" s="34">
        <f>IF(COUNT(V181:Z181)=0,"",ROUND(AVERAGE(V181:Z181),2))</f>
        <v/>
      </c>
      <c r="AB181" s="35">
        <f>IF($A181="","",COUNT(V181:Z181))</f>
        <v/>
      </c>
      <c r="AC181" s="36" t="n"/>
      <c r="AD181" s="35">
        <f>IF(AA181="","",SUMPRODUCT(ISNUMBER($AA$6:$AA$305)*($AA$6:$AA$305&gt;AA181))+SUMPRODUCT(($AA$6:AA181=AA181)*1))</f>
        <v/>
      </c>
      <c r="AE181" s="35">
        <f>IF(AA181="","",SUMPRODUCT(($E$6:$E$305=E181)*ISNUMBER($AA$6:$AA$305)*($AA$6:$AA$305&gt;AA181))+SUMPRODUCT(($E$6:E181=E181)*($AA$6:AA181=AA181)))</f>
        <v/>
      </c>
    </row>
    <row r="182">
      <c r="A182" s="31">
        <f>IF(Submissions!AD178="","",177)</f>
        <v/>
      </c>
      <c r="B182" s="10">
        <f>IF($A182="","",IF(Settings!$B$4="Yes","Submission "&amp;$A182,Submissions!AD178))</f>
        <v/>
      </c>
      <c r="C182" s="31">
        <f>IF($A182="","",IF(Settings!$B$4="Yes","(hidden)",Submissions!AE178))</f>
        <v/>
      </c>
      <c r="D182" s="31">
        <f>IF($A182="","",Submissions!AF178)</f>
        <v/>
      </c>
      <c r="E182" s="31">
        <f>IF($A182="","",Submissions!AG178)</f>
        <v/>
      </c>
      <c r="F182" s="31">
        <f>IF($A182="","",Submissions!AH178)</f>
        <v/>
      </c>
      <c r="G182" s="37" t="n"/>
      <c r="H182" s="37" t="n"/>
      <c r="I182" s="37" t="n"/>
      <c r="J182" s="37" t="n"/>
      <c r="K182" s="37" t="n"/>
      <c r="L182" s="37" t="n"/>
      <c r="M182" s="37" t="n"/>
      <c r="N182" s="37" t="n"/>
      <c r="O182" s="37" t="n"/>
      <c r="P182" s="37" t="n"/>
      <c r="Q182" s="37" t="n"/>
      <c r="R182" s="37" t="n"/>
      <c r="S182" s="37" t="n"/>
      <c r="T182" s="37" t="n"/>
      <c r="U182" s="37" t="n"/>
      <c r="V182" s="33">
        <f>IF(COUNT(G182:I182)=3,IFERROR(ROUND((G182*Settings!$D$15+H182*Settings!$D$16+I182*Settings!$D$17)/(Settings!$D$15+Settings!$D$16+Settings!$D$17),2),""),"")</f>
        <v/>
      </c>
      <c r="W182" s="33">
        <f>IF(COUNT(J182:L182)=3,IFERROR(ROUND((J182*Settings!$D$15+K182*Settings!$D$16+L182*Settings!$D$17)/(Settings!$D$15+Settings!$D$16+Settings!$D$17),2),""),"")</f>
        <v/>
      </c>
      <c r="X182" s="33">
        <f>IF(COUNT(M182:O182)=3,IFERROR(ROUND((M182*Settings!$D$15+N182*Settings!$D$16+O182*Settings!$D$17)/(Settings!$D$15+Settings!$D$16+Settings!$D$17),2),""),"")</f>
        <v/>
      </c>
      <c r="Y182" s="33">
        <f>IF(COUNT(P182:R182)=3,IFERROR(ROUND((P182*Settings!$D$15+Q182*Settings!$D$16+R182*Settings!$D$17)/(Settings!$D$15+Settings!$D$16+Settings!$D$17),2),""),"")</f>
        <v/>
      </c>
      <c r="Z182" s="33">
        <f>IF(COUNT(S182:U182)=3,IFERROR(ROUND((S182*Settings!$D$15+T182*Settings!$D$16+U182*Settings!$D$17)/(Settings!$D$15+Settings!$D$16+Settings!$D$17),2),""),"")</f>
        <v/>
      </c>
      <c r="AA182" s="34">
        <f>IF(COUNT(V182:Z182)=0,"",ROUND(AVERAGE(V182:Z182),2))</f>
        <v/>
      </c>
      <c r="AB182" s="35">
        <f>IF($A182="","",COUNT(V182:Z182))</f>
        <v/>
      </c>
      <c r="AC182" s="36" t="n"/>
      <c r="AD182" s="35">
        <f>IF(AA182="","",SUMPRODUCT(ISNUMBER($AA$6:$AA$305)*($AA$6:$AA$305&gt;AA182))+SUMPRODUCT(($AA$6:AA182=AA182)*1))</f>
        <v/>
      </c>
      <c r="AE182" s="35">
        <f>IF(AA182="","",SUMPRODUCT(($E$6:$E$305=E182)*ISNUMBER($AA$6:$AA$305)*($AA$6:$AA$305&gt;AA182))+SUMPRODUCT(($E$6:E182=E182)*($AA$6:AA182=AA182)))</f>
        <v/>
      </c>
    </row>
    <row r="183">
      <c r="A183" s="31">
        <f>IF(Submissions!AD179="","",178)</f>
        <v/>
      </c>
      <c r="B183" s="10">
        <f>IF($A183="","",IF(Settings!$B$4="Yes","Submission "&amp;$A183,Submissions!AD179))</f>
        <v/>
      </c>
      <c r="C183" s="31">
        <f>IF($A183="","",IF(Settings!$B$4="Yes","(hidden)",Submissions!AE179))</f>
        <v/>
      </c>
      <c r="D183" s="31">
        <f>IF($A183="","",Submissions!AF179)</f>
        <v/>
      </c>
      <c r="E183" s="31">
        <f>IF($A183="","",Submissions!AG179)</f>
        <v/>
      </c>
      <c r="F183" s="31">
        <f>IF($A183="","",Submissions!AH179)</f>
        <v/>
      </c>
      <c r="G183" s="37" t="n"/>
      <c r="H183" s="37" t="n"/>
      <c r="I183" s="37" t="n"/>
      <c r="J183" s="37" t="n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3">
        <f>IF(COUNT(G183:I183)=3,IFERROR(ROUND((G183*Settings!$D$15+H183*Settings!$D$16+I183*Settings!$D$17)/(Settings!$D$15+Settings!$D$16+Settings!$D$17),2),""),"")</f>
        <v/>
      </c>
      <c r="W183" s="33">
        <f>IF(COUNT(J183:L183)=3,IFERROR(ROUND((J183*Settings!$D$15+K183*Settings!$D$16+L183*Settings!$D$17)/(Settings!$D$15+Settings!$D$16+Settings!$D$17),2),""),"")</f>
        <v/>
      </c>
      <c r="X183" s="33">
        <f>IF(COUNT(M183:O183)=3,IFERROR(ROUND((M183*Settings!$D$15+N183*Settings!$D$16+O183*Settings!$D$17)/(Settings!$D$15+Settings!$D$16+Settings!$D$17),2),""),"")</f>
        <v/>
      </c>
      <c r="Y183" s="33">
        <f>IF(COUNT(P183:R183)=3,IFERROR(ROUND((P183*Settings!$D$15+Q183*Settings!$D$16+R183*Settings!$D$17)/(Settings!$D$15+Settings!$D$16+Settings!$D$17),2),""),"")</f>
        <v/>
      </c>
      <c r="Z183" s="33">
        <f>IF(COUNT(S183:U183)=3,IFERROR(ROUND((S183*Settings!$D$15+T183*Settings!$D$16+U183*Settings!$D$17)/(Settings!$D$15+Settings!$D$16+Settings!$D$17),2),""),"")</f>
        <v/>
      </c>
      <c r="AA183" s="34">
        <f>IF(COUNT(V183:Z183)=0,"",ROUND(AVERAGE(V183:Z183),2))</f>
        <v/>
      </c>
      <c r="AB183" s="35">
        <f>IF($A183="","",COUNT(V183:Z183))</f>
        <v/>
      </c>
      <c r="AC183" s="36" t="n"/>
      <c r="AD183" s="35">
        <f>IF(AA183="","",SUMPRODUCT(ISNUMBER($AA$6:$AA$305)*($AA$6:$AA$305&gt;AA183))+SUMPRODUCT(($AA$6:AA183=AA183)*1))</f>
        <v/>
      </c>
      <c r="AE183" s="35">
        <f>IF(AA183="","",SUMPRODUCT(($E$6:$E$305=E183)*ISNUMBER($AA$6:$AA$305)*($AA$6:$AA$305&gt;AA183))+SUMPRODUCT(($E$6:E183=E183)*($AA$6:AA183=AA183)))</f>
        <v/>
      </c>
    </row>
    <row r="184">
      <c r="A184" s="31">
        <f>IF(Submissions!AD180="","",179)</f>
        <v/>
      </c>
      <c r="B184" s="10">
        <f>IF($A184="","",IF(Settings!$B$4="Yes","Submission "&amp;$A184,Submissions!AD180))</f>
        <v/>
      </c>
      <c r="C184" s="31">
        <f>IF($A184="","",IF(Settings!$B$4="Yes","(hidden)",Submissions!AE180))</f>
        <v/>
      </c>
      <c r="D184" s="31">
        <f>IF($A184="","",Submissions!AF180)</f>
        <v/>
      </c>
      <c r="E184" s="31">
        <f>IF($A184="","",Submissions!AG180)</f>
        <v/>
      </c>
      <c r="F184" s="31">
        <f>IF($A184="","",Submissions!AH180)</f>
        <v/>
      </c>
      <c r="G184" s="37" t="n"/>
      <c r="H184" s="37" t="n"/>
      <c r="I184" s="37" t="n"/>
      <c r="J184" s="37" t="n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3">
        <f>IF(COUNT(G184:I184)=3,IFERROR(ROUND((G184*Settings!$D$15+H184*Settings!$D$16+I184*Settings!$D$17)/(Settings!$D$15+Settings!$D$16+Settings!$D$17),2),""),"")</f>
        <v/>
      </c>
      <c r="W184" s="33">
        <f>IF(COUNT(J184:L184)=3,IFERROR(ROUND((J184*Settings!$D$15+K184*Settings!$D$16+L184*Settings!$D$17)/(Settings!$D$15+Settings!$D$16+Settings!$D$17),2),""),"")</f>
        <v/>
      </c>
      <c r="X184" s="33">
        <f>IF(COUNT(M184:O184)=3,IFERROR(ROUND((M184*Settings!$D$15+N184*Settings!$D$16+O184*Settings!$D$17)/(Settings!$D$15+Settings!$D$16+Settings!$D$17),2),""),"")</f>
        <v/>
      </c>
      <c r="Y184" s="33">
        <f>IF(COUNT(P184:R184)=3,IFERROR(ROUND((P184*Settings!$D$15+Q184*Settings!$D$16+R184*Settings!$D$17)/(Settings!$D$15+Settings!$D$16+Settings!$D$17),2),""),"")</f>
        <v/>
      </c>
      <c r="Z184" s="33">
        <f>IF(COUNT(S184:U184)=3,IFERROR(ROUND((S184*Settings!$D$15+T184*Settings!$D$16+U184*Settings!$D$17)/(Settings!$D$15+Settings!$D$16+Settings!$D$17),2),""),"")</f>
        <v/>
      </c>
      <c r="AA184" s="34">
        <f>IF(COUNT(V184:Z184)=0,"",ROUND(AVERAGE(V184:Z184),2))</f>
        <v/>
      </c>
      <c r="AB184" s="35">
        <f>IF($A184="","",COUNT(V184:Z184))</f>
        <v/>
      </c>
      <c r="AC184" s="36" t="n"/>
      <c r="AD184" s="35">
        <f>IF(AA184="","",SUMPRODUCT(ISNUMBER($AA$6:$AA$305)*($AA$6:$AA$305&gt;AA184))+SUMPRODUCT(($AA$6:AA184=AA184)*1))</f>
        <v/>
      </c>
      <c r="AE184" s="35">
        <f>IF(AA184="","",SUMPRODUCT(($E$6:$E$305=E184)*ISNUMBER($AA$6:$AA$305)*($AA$6:$AA$305&gt;AA184))+SUMPRODUCT(($E$6:E184=E184)*($AA$6:AA184=AA184)))</f>
        <v/>
      </c>
    </row>
    <row r="185">
      <c r="A185" s="31">
        <f>IF(Submissions!AD181="","",180)</f>
        <v/>
      </c>
      <c r="B185" s="10">
        <f>IF($A185="","",IF(Settings!$B$4="Yes","Submission "&amp;$A185,Submissions!AD181))</f>
        <v/>
      </c>
      <c r="C185" s="31">
        <f>IF($A185="","",IF(Settings!$B$4="Yes","(hidden)",Submissions!AE181))</f>
        <v/>
      </c>
      <c r="D185" s="31">
        <f>IF($A185="","",Submissions!AF181)</f>
        <v/>
      </c>
      <c r="E185" s="31">
        <f>IF($A185="","",Submissions!AG181)</f>
        <v/>
      </c>
      <c r="F185" s="31">
        <f>IF($A185="","",Submissions!AH181)</f>
        <v/>
      </c>
      <c r="G185" s="37" t="n"/>
      <c r="H185" s="37" t="n"/>
      <c r="I185" s="37" t="n"/>
      <c r="J185" s="37" t="n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3">
        <f>IF(COUNT(G185:I185)=3,IFERROR(ROUND((G185*Settings!$D$15+H185*Settings!$D$16+I185*Settings!$D$17)/(Settings!$D$15+Settings!$D$16+Settings!$D$17),2),""),"")</f>
        <v/>
      </c>
      <c r="W185" s="33">
        <f>IF(COUNT(J185:L185)=3,IFERROR(ROUND((J185*Settings!$D$15+K185*Settings!$D$16+L185*Settings!$D$17)/(Settings!$D$15+Settings!$D$16+Settings!$D$17),2),""),"")</f>
        <v/>
      </c>
      <c r="X185" s="33">
        <f>IF(COUNT(M185:O185)=3,IFERROR(ROUND((M185*Settings!$D$15+N185*Settings!$D$16+O185*Settings!$D$17)/(Settings!$D$15+Settings!$D$16+Settings!$D$17),2),""),"")</f>
        <v/>
      </c>
      <c r="Y185" s="33">
        <f>IF(COUNT(P185:R185)=3,IFERROR(ROUND((P185*Settings!$D$15+Q185*Settings!$D$16+R185*Settings!$D$17)/(Settings!$D$15+Settings!$D$16+Settings!$D$17),2),""),"")</f>
        <v/>
      </c>
      <c r="Z185" s="33">
        <f>IF(COUNT(S185:U185)=3,IFERROR(ROUND((S185*Settings!$D$15+T185*Settings!$D$16+U185*Settings!$D$17)/(Settings!$D$15+Settings!$D$16+Settings!$D$17),2),""),"")</f>
        <v/>
      </c>
      <c r="AA185" s="34">
        <f>IF(COUNT(V185:Z185)=0,"",ROUND(AVERAGE(V185:Z185),2))</f>
        <v/>
      </c>
      <c r="AB185" s="35">
        <f>IF($A185="","",COUNT(V185:Z185))</f>
        <v/>
      </c>
      <c r="AC185" s="36" t="n"/>
      <c r="AD185" s="35">
        <f>IF(AA185="","",SUMPRODUCT(ISNUMBER($AA$6:$AA$305)*($AA$6:$AA$305&gt;AA185))+SUMPRODUCT(($AA$6:AA185=AA185)*1))</f>
        <v/>
      </c>
      <c r="AE185" s="35">
        <f>IF(AA185="","",SUMPRODUCT(($E$6:$E$305=E185)*ISNUMBER($AA$6:$AA$305)*($AA$6:$AA$305&gt;AA185))+SUMPRODUCT(($E$6:E185=E185)*($AA$6:AA185=AA185)))</f>
        <v/>
      </c>
    </row>
    <row r="186">
      <c r="A186" s="31">
        <f>IF(Submissions!AD182="","",181)</f>
        <v/>
      </c>
      <c r="B186" s="10">
        <f>IF($A186="","",IF(Settings!$B$4="Yes","Submission "&amp;$A186,Submissions!AD182))</f>
        <v/>
      </c>
      <c r="C186" s="31">
        <f>IF($A186="","",IF(Settings!$B$4="Yes","(hidden)",Submissions!AE182))</f>
        <v/>
      </c>
      <c r="D186" s="31">
        <f>IF($A186="","",Submissions!AF182)</f>
        <v/>
      </c>
      <c r="E186" s="31">
        <f>IF($A186="","",Submissions!AG182)</f>
        <v/>
      </c>
      <c r="F186" s="31">
        <f>IF($A186="","",Submissions!AH182)</f>
        <v/>
      </c>
      <c r="G186" s="37" t="n"/>
      <c r="H186" s="37" t="n"/>
      <c r="I186" s="37" t="n"/>
      <c r="J186" s="37" t="n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3">
        <f>IF(COUNT(G186:I186)=3,IFERROR(ROUND((G186*Settings!$D$15+H186*Settings!$D$16+I186*Settings!$D$17)/(Settings!$D$15+Settings!$D$16+Settings!$D$17),2),""),"")</f>
        <v/>
      </c>
      <c r="W186" s="33">
        <f>IF(COUNT(J186:L186)=3,IFERROR(ROUND((J186*Settings!$D$15+K186*Settings!$D$16+L186*Settings!$D$17)/(Settings!$D$15+Settings!$D$16+Settings!$D$17),2),""),"")</f>
        <v/>
      </c>
      <c r="X186" s="33">
        <f>IF(COUNT(M186:O186)=3,IFERROR(ROUND((M186*Settings!$D$15+N186*Settings!$D$16+O186*Settings!$D$17)/(Settings!$D$15+Settings!$D$16+Settings!$D$17),2),""),"")</f>
        <v/>
      </c>
      <c r="Y186" s="33">
        <f>IF(COUNT(P186:R186)=3,IFERROR(ROUND((P186*Settings!$D$15+Q186*Settings!$D$16+R186*Settings!$D$17)/(Settings!$D$15+Settings!$D$16+Settings!$D$17),2),""),"")</f>
        <v/>
      </c>
      <c r="Z186" s="33">
        <f>IF(COUNT(S186:U186)=3,IFERROR(ROUND((S186*Settings!$D$15+T186*Settings!$D$16+U186*Settings!$D$17)/(Settings!$D$15+Settings!$D$16+Settings!$D$17),2),""),"")</f>
        <v/>
      </c>
      <c r="AA186" s="34">
        <f>IF(COUNT(V186:Z186)=0,"",ROUND(AVERAGE(V186:Z186),2))</f>
        <v/>
      </c>
      <c r="AB186" s="35">
        <f>IF($A186="","",COUNT(V186:Z186))</f>
        <v/>
      </c>
      <c r="AC186" s="36" t="n"/>
      <c r="AD186" s="35">
        <f>IF(AA186="","",SUMPRODUCT(ISNUMBER($AA$6:$AA$305)*($AA$6:$AA$305&gt;AA186))+SUMPRODUCT(($AA$6:AA186=AA186)*1))</f>
        <v/>
      </c>
      <c r="AE186" s="35">
        <f>IF(AA186="","",SUMPRODUCT(($E$6:$E$305=E186)*ISNUMBER($AA$6:$AA$305)*($AA$6:$AA$305&gt;AA186))+SUMPRODUCT(($E$6:E186=E186)*($AA$6:AA186=AA186)))</f>
        <v/>
      </c>
    </row>
    <row r="187">
      <c r="A187" s="31">
        <f>IF(Submissions!AD183="","",182)</f>
        <v/>
      </c>
      <c r="B187" s="10">
        <f>IF($A187="","",IF(Settings!$B$4="Yes","Submission "&amp;$A187,Submissions!AD183))</f>
        <v/>
      </c>
      <c r="C187" s="31">
        <f>IF($A187="","",IF(Settings!$B$4="Yes","(hidden)",Submissions!AE183))</f>
        <v/>
      </c>
      <c r="D187" s="31">
        <f>IF($A187="","",Submissions!AF183)</f>
        <v/>
      </c>
      <c r="E187" s="31">
        <f>IF($A187="","",Submissions!AG183)</f>
        <v/>
      </c>
      <c r="F187" s="31">
        <f>IF($A187="","",Submissions!AH183)</f>
        <v/>
      </c>
      <c r="G187" s="37" t="n"/>
      <c r="H187" s="37" t="n"/>
      <c r="I187" s="37" t="n"/>
      <c r="J187" s="37" t="n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3">
        <f>IF(COUNT(G187:I187)=3,IFERROR(ROUND((G187*Settings!$D$15+H187*Settings!$D$16+I187*Settings!$D$17)/(Settings!$D$15+Settings!$D$16+Settings!$D$17),2),""),"")</f>
        <v/>
      </c>
      <c r="W187" s="33">
        <f>IF(COUNT(J187:L187)=3,IFERROR(ROUND((J187*Settings!$D$15+K187*Settings!$D$16+L187*Settings!$D$17)/(Settings!$D$15+Settings!$D$16+Settings!$D$17),2),""),"")</f>
        <v/>
      </c>
      <c r="X187" s="33">
        <f>IF(COUNT(M187:O187)=3,IFERROR(ROUND((M187*Settings!$D$15+N187*Settings!$D$16+O187*Settings!$D$17)/(Settings!$D$15+Settings!$D$16+Settings!$D$17),2),""),"")</f>
        <v/>
      </c>
      <c r="Y187" s="33">
        <f>IF(COUNT(P187:R187)=3,IFERROR(ROUND((P187*Settings!$D$15+Q187*Settings!$D$16+R187*Settings!$D$17)/(Settings!$D$15+Settings!$D$16+Settings!$D$17),2),""),"")</f>
        <v/>
      </c>
      <c r="Z187" s="33">
        <f>IF(COUNT(S187:U187)=3,IFERROR(ROUND((S187*Settings!$D$15+T187*Settings!$D$16+U187*Settings!$D$17)/(Settings!$D$15+Settings!$D$16+Settings!$D$17),2),""),"")</f>
        <v/>
      </c>
      <c r="AA187" s="34">
        <f>IF(COUNT(V187:Z187)=0,"",ROUND(AVERAGE(V187:Z187),2))</f>
        <v/>
      </c>
      <c r="AB187" s="35">
        <f>IF($A187="","",COUNT(V187:Z187))</f>
        <v/>
      </c>
      <c r="AC187" s="36" t="n"/>
      <c r="AD187" s="35">
        <f>IF(AA187="","",SUMPRODUCT(ISNUMBER($AA$6:$AA$305)*($AA$6:$AA$305&gt;AA187))+SUMPRODUCT(($AA$6:AA187=AA187)*1))</f>
        <v/>
      </c>
      <c r="AE187" s="35">
        <f>IF(AA187="","",SUMPRODUCT(($E$6:$E$305=E187)*ISNUMBER($AA$6:$AA$305)*($AA$6:$AA$305&gt;AA187))+SUMPRODUCT(($E$6:E187=E187)*($AA$6:AA187=AA187)))</f>
        <v/>
      </c>
    </row>
    <row r="188">
      <c r="A188" s="31">
        <f>IF(Submissions!AD184="","",183)</f>
        <v/>
      </c>
      <c r="B188" s="10">
        <f>IF($A188="","",IF(Settings!$B$4="Yes","Submission "&amp;$A188,Submissions!AD184))</f>
        <v/>
      </c>
      <c r="C188" s="31">
        <f>IF($A188="","",IF(Settings!$B$4="Yes","(hidden)",Submissions!AE184))</f>
        <v/>
      </c>
      <c r="D188" s="31">
        <f>IF($A188="","",Submissions!AF184)</f>
        <v/>
      </c>
      <c r="E188" s="31">
        <f>IF($A188="","",Submissions!AG184)</f>
        <v/>
      </c>
      <c r="F188" s="31">
        <f>IF($A188="","",Submissions!AH184)</f>
        <v/>
      </c>
      <c r="G188" s="37" t="n"/>
      <c r="H188" s="37" t="n"/>
      <c r="I188" s="37" t="n"/>
      <c r="J188" s="37" t="n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3">
        <f>IF(COUNT(G188:I188)=3,IFERROR(ROUND((G188*Settings!$D$15+H188*Settings!$D$16+I188*Settings!$D$17)/(Settings!$D$15+Settings!$D$16+Settings!$D$17),2),""),"")</f>
        <v/>
      </c>
      <c r="W188" s="33">
        <f>IF(COUNT(J188:L188)=3,IFERROR(ROUND((J188*Settings!$D$15+K188*Settings!$D$16+L188*Settings!$D$17)/(Settings!$D$15+Settings!$D$16+Settings!$D$17),2),""),"")</f>
        <v/>
      </c>
      <c r="X188" s="33">
        <f>IF(COUNT(M188:O188)=3,IFERROR(ROUND((M188*Settings!$D$15+N188*Settings!$D$16+O188*Settings!$D$17)/(Settings!$D$15+Settings!$D$16+Settings!$D$17),2),""),"")</f>
        <v/>
      </c>
      <c r="Y188" s="33">
        <f>IF(COUNT(P188:R188)=3,IFERROR(ROUND((P188*Settings!$D$15+Q188*Settings!$D$16+R188*Settings!$D$17)/(Settings!$D$15+Settings!$D$16+Settings!$D$17),2),""),"")</f>
        <v/>
      </c>
      <c r="Z188" s="33">
        <f>IF(COUNT(S188:U188)=3,IFERROR(ROUND((S188*Settings!$D$15+T188*Settings!$D$16+U188*Settings!$D$17)/(Settings!$D$15+Settings!$D$16+Settings!$D$17),2),""),"")</f>
        <v/>
      </c>
      <c r="AA188" s="34">
        <f>IF(COUNT(V188:Z188)=0,"",ROUND(AVERAGE(V188:Z188),2))</f>
        <v/>
      </c>
      <c r="AB188" s="35">
        <f>IF($A188="","",COUNT(V188:Z188))</f>
        <v/>
      </c>
      <c r="AC188" s="36" t="n"/>
      <c r="AD188" s="35">
        <f>IF(AA188="","",SUMPRODUCT(ISNUMBER($AA$6:$AA$305)*($AA$6:$AA$305&gt;AA188))+SUMPRODUCT(($AA$6:AA188=AA188)*1))</f>
        <v/>
      </c>
      <c r="AE188" s="35">
        <f>IF(AA188="","",SUMPRODUCT(($E$6:$E$305=E188)*ISNUMBER($AA$6:$AA$305)*($AA$6:$AA$305&gt;AA188))+SUMPRODUCT(($E$6:E188=E188)*($AA$6:AA188=AA188)))</f>
        <v/>
      </c>
    </row>
    <row r="189">
      <c r="A189" s="31">
        <f>IF(Submissions!AD185="","",184)</f>
        <v/>
      </c>
      <c r="B189" s="10">
        <f>IF($A189="","",IF(Settings!$B$4="Yes","Submission "&amp;$A189,Submissions!AD185))</f>
        <v/>
      </c>
      <c r="C189" s="31">
        <f>IF($A189="","",IF(Settings!$B$4="Yes","(hidden)",Submissions!AE185))</f>
        <v/>
      </c>
      <c r="D189" s="31">
        <f>IF($A189="","",Submissions!AF185)</f>
        <v/>
      </c>
      <c r="E189" s="31">
        <f>IF($A189="","",Submissions!AG185)</f>
        <v/>
      </c>
      <c r="F189" s="31">
        <f>IF($A189="","",Submissions!AH185)</f>
        <v/>
      </c>
      <c r="G189" s="37" t="n"/>
      <c r="H189" s="37" t="n"/>
      <c r="I189" s="37" t="n"/>
      <c r="J189" s="37" t="n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3">
        <f>IF(COUNT(G189:I189)=3,IFERROR(ROUND((G189*Settings!$D$15+H189*Settings!$D$16+I189*Settings!$D$17)/(Settings!$D$15+Settings!$D$16+Settings!$D$17),2),""),"")</f>
        <v/>
      </c>
      <c r="W189" s="33">
        <f>IF(COUNT(J189:L189)=3,IFERROR(ROUND((J189*Settings!$D$15+K189*Settings!$D$16+L189*Settings!$D$17)/(Settings!$D$15+Settings!$D$16+Settings!$D$17),2),""),"")</f>
        <v/>
      </c>
      <c r="X189" s="33">
        <f>IF(COUNT(M189:O189)=3,IFERROR(ROUND((M189*Settings!$D$15+N189*Settings!$D$16+O189*Settings!$D$17)/(Settings!$D$15+Settings!$D$16+Settings!$D$17),2),""),"")</f>
        <v/>
      </c>
      <c r="Y189" s="33">
        <f>IF(COUNT(P189:R189)=3,IFERROR(ROUND((P189*Settings!$D$15+Q189*Settings!$D$16+R189*Settings!$D$17)/(Settings!$D$15+Settings!$D$16+Settings!$D$17),2),""),"")</f>
        <v/>
      </c>
      <c r="Z189" s="33">
        <f>IF(COUNT(S189:U189)=3,IFERROR(ROUND((S189*Settings!$D$15+T189*Settings!$D$16+U189*Settings!$D$17)/(Settings!$D$15+Settings!$D$16+Settings!$D$17),2),""),"")</f>
        <v/>
      </c>
      <c r="AA189" s="34">
        <f>IF(COUNT(V189:Z189)=0,"",ROUND(AVERAGE(V189:Z189),2))</f>
        <v/>
      </c>
      <c r="AB189" s="35">
        <f>IF($A189="","",COUNT(V189:Z189))</f>
        <v/>
      </c>
      <c r="AC189" s="36" t="n"/>
      <c r="AD189" s="35">
        <f>IF(AA189="","",SUMPRODUCT(ISNUMBER($AA$6:$AA$305)*($AA$6:$AA$305&gt;AA189))+SUMPRODUCT(($AA$6:AA189=AA189)*1))</f>
        <v/>
      </c>
      <c r="AE189" s="35">
        <f>IF(AA189="","",SUMPRODUCT(($E$6:$E$305=E189)*ISNUMBER($AA$6:$AA$305)*($AA$6:$AA$305&gt;AA189))+SUMPRODUCT(($E$6:E189=E189)*($AA$6:AA189=AA189)))</f>
        <v/>
      </c>
    </row>
    <row r="190">
      <c r="A190" s="31">
        <f>IF(Submissions!AD186="","",185)</f>
        <v/>
      </c>
      <c r="B190" s="10">
        <f>IF($A190="","",IF(Settings!$B$4="Yes","Submission "&amp;$A190,Submissions!AD186))</f>
        <v/>
      </c>
      <c r="C190" s="31">
        <f>IF($A190="","",IF(Settings!$B$4="Yes","(hidden)",Submissions!AE186))</f>
        <v/>
      </c>
      <c r="D190" s="31">
        <f>IF($A190="","",Submissions!AF186)</f>
        <v/>
      </c>
      <c r="E190" s="31">
        <f>IF($A190="","",Submissions!AG186)</f>
        <v/>
      </c>
      <c r="F190" s="31">
        <f>IF($A190="","",Submissions!AH186)</f>
        <v/>
      </c>
      <c r="G190" s="37" t="n"/>
      <c r="H190" s="37" t="n"/>
      <c r="I190" s="37" t="n"/>
      <c r="J190" s="37" t="n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3">
        <f>IF(COUNT(G190:I190)=3,IFERROR(ROUND((G190*Settings!$D$15+H190*Settings!$D$16+I190*Settings!$D$17)/(Settings!$D$15+Settings!$D$16+Settings!$D$17),2),""),"")</f>
        <v/>
      </c>
      <c r="W190" s="33">
        <f>IF(COUNT(J190:L190)=3,IFERROR(ROUND((J190*Settings!$D$15+K190*Settings!$D$16+L190*Settings!$D$17)/(Settings!$D$15+Settings!$D$16+Settings!$D$17),2),""),"")</f>
        <v/>
      </c>
      <c r="X190" s="33">
        <f>IF(COUNT(M190:O190)=3,IFERROR(ROUND((M190*Settings!$D$15+N190*Settings!$D$16+O190*Settings!$D$17)/(Settings!$D$15+Settings!$D$16+Settings!$D$17),2),""),"")</f>
        <v/>
      </c>
      <c r="Y190" s="33">
        <f>IF(COUNT(P190:R190)=3,IFERROR(ROUND((P190*Settings!$D$15+Q190*Settings!$D$16+R190*Settings!$D$17)/(Settings!$D$15+Settings!$D$16+Settings!$D$17),2),""),"")</f>
        <v/>
      </c>
      <c r="Z190" s="33">
        <f>IF(COUNT(S190:U190)=3,IFERROR(ROUND((S190*Settings!$D$15+T190*Settings!$D$16+U190*Settings!$D$17)/(Settings!$D$15+Settings!$D$16+Settings!$D$17),2),""),"")</f>
        <v/>
      </c>
      <c r="AA190" s="34">
        <f>IF(COUNT(V190:Z190)=0,"",ROUND(AVERAGE(V190:Z190),2))</f>
        <v/>
      </c>
      <c r="AB190" s="35">
        <f>IF($A190="","",COUNT(V190:Z190))</f>
        <v/>
      </c>
      <c r="AC190" s="36" t="n"/>
      <c r="AD190" s="35">
        <f>IF(AA190="","",SUMPRODUCT(ISNUMBER($AA$6:$AA$305)*($AA$6:$AA$305&gt;AA190))+SUMPRODUCT(($AA$6:AA190=AA190)*1))</f>
        <v/>
      </c>
      <c r="AE190" s="35">
        <f>IF(AA190="","",SUMPRODUCT(($E$6:$E$305=E190)*ISNUMBER($AA$6:$AA$305)*($AA$6:$AA$305&gt;AA190))+SUMPRODUCT(($E$6:E190=E190)*($AA$6:AA190=AA190)))</f>
        <v/>
      </c>
    </row>
    <row r="191">
      <c r="A191" s="31">
        <f>IF(Submissions!AD187="","",186)</f>
        <v/>
      </c>
      <c r="B191" s="10">
        <f>IF($A191="","",IF(Settings!$B$4="Yes","Submission "&amp;$A191,Submissions!AD187))</f>
        <v/>
      </c>
      <c r="C191" s="31">
        <f>IF($A191="","",IF(Settings!$B$4="Yes","(hidden)",Submissions!AE187))</f>
        <v/>
      </c>
      <c r="D191" s="31">
        <f>IF($A191="","",Submissions!AF187)</f>
        <v/>
      </c>
      <c r="E191" s="31">
        <f>IF($A191="","",Submissions!AG187)</f>
        <v/>
      </c>
      <c r="F191" s="31">
        <f>IF($A191="","",Submissions!AH187)</f>
        <v/>
      </c>
      <c r="G191" s="37" t="n"/>
      <c r="H191" s="37" t="n"/>
      <c r="I191" s="37" t="n"/>
      <c r="J191" s="37" t="n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3">
        <f>IF(COUNT(G191:I191)=3,IFERROR(ROUND((G191*Settings!$D$15+H191*Settings!$D$16+I191*Settings!$D$17)/(Settings!$D$15+Settings!$D$16+Settings!$D$17),2),""),"")</f>
        <v/>
      </c>
      <c r="W191" s="33">
        <f>IF(COUNT(J191:L191)=3,IFERROR(ROUND((J191*Settings!$D$15+K191*Settings!$D$16+L191*Settings!$D$17)/(Settings!$D$15+Settings!$D$16+Settings!$D$17),2),""),"")</f>
        <v/>
      </c>
      <c r="X191" s="33">
        <f>IF(COUNT(M191:O191)=3,IFERROR(ROUND((M191*Settings!$D$15+N191*Settings!$D$16+O191*Settings!$D$17)/(Settings!$D$15+Settings!$D$16+Settings!$D$17),2),""),"")</f>
        <v/>
      </c>
      <c r="Y191" s="33">
        <f>IF(COUNT(P191:R191)=3,IFERROR(ROUND((P191*Settings!$D$15+Q191*Settings!$D$16+R191*Settings!$D$17)/(Settings!$D$15+Settings!$D$16+Settings!$D$17),2),""),"")</f>
        <v/>
      </c>
      <c r="Z191" s="33">
        <f>IF(COUNT(S191:U191)=3,IFERROR(ROUND((S191*Settings!$D$15+T191*Settings!$D$16+U191*Settings!$D$17)/(Settings!$D$15+Settings!$D$16+Settings!$D$17),2),""),"")</f>
        <v/>
      </c>
      <c r="AA191" s="34">
        <f>IF(COUNT(V191:Z191)=0,"",ROUND(AVERAGE(V191:Z191),2))</f>
        <v/>
      </c>
      <c r="AB191" s="35">
        <f>IF($A191="","",COUNT(V191:Z191))</f>
        <v/>
      </c>
      <c r="AC191" s="36" t="n"/>
      <c r="AD191" s="35">
        <f>IF(AA191="","",SUMPRODUCT(ISNUMBER($AA$6:$AA$305)*($AA$6:$AA$305&gt;AA191))+SUMPRODUCT(($AA$6:AA191=AA191)*1))</f>
        <v/>
      </c>
      <c r="AE191" s="35">
        <f>IF(AA191="","",SUMPRODUCT(($E$6:$E$305=E191)*ISNUMBER($AA$6:$AA$305)*($AA$6:$AA$305&gt;AA191))+SUMPRODUCT(($E$6:E191=E191)*($AA$6:AA191=AA191)))</f>
        <v/>
      </c>
    </row>
    <row r="192">
      <c r="A192" s="31">
        <f>IF(Submissions!AD188="","",187)</f>
        <v/>
      </c>
      <c r="B192" s="10">
        <f>IF($A192="","",IF(Settings!$B$4="Yes","Submission "&amp;$A192,Submissions!AD188))</f>
        <v/>
      </c>
      <c r="C192" s="31">
        <f>IF($A192="","",IF(Settings!$B$4="Yes","(hidden)",Submissions!AE188))</f>
        <v/>
      </c>
      <c r="D192" s="31">
        <f>IF($A192="","",Submissions!AF188)</f>
        <v/>
      </c>
      <c r="E192" s="31">
        <f>IF($A192="","",Submissions!AG188)</f>
        <v/>
      </c>
      <c r="F192" s="31">
        <f>IF($A192="","",Submissions!AH188)</f>
        <v/>
      </c>
      <c r="G192" s="37" t="n"/>
      <c r="H192" s="37" t="n"/>
      <c r="I192" s="37" t="n"/>
      <c r="J192" s="37" t="n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3">
        <f>IF(COUNT(G192:I192)=3,IFERROR(ROUND((G192*Settings!$D$15+H192*Settings!$D$16+I192*Settings!$D$17)/(Settings!$D$15+Settings!$D$16+Settings!$D$17),2),""),"")</f>
        <v/>
      </c>
      <c r="W192" s="33">
        <f>IF(COUNT(J192:L192)=3,IFERROR(ROUND((J192*Settings!$D$15+K192*Settings!$D$16+L192*Settings!$D$17)/(Settings!$D$15+Settings!$D$16+Settings!$D$17),2),""),"")</f>
        <v/>
      </c>
      <c r="X192" s="33">
        <f>IF(COUNT(M192:O192)=3,IFERROR(ROUND((M192*Settings!$D$15+N192*Settings!$D$16+O192*Settings!$D$17)/(Settings!$D$15+Settings!$D$16+Settings!$D$17),2),""),"")</f>
        <v/>
      </c>
      <c r="Y192" s="33">
        <f>IF(COUNT(P192:R192)=3,IFERROR(ROUND((P192*Settings!$D$15+Q192*Settings!$D$16+R192*Settings!$D$17)/(Settings!$D$15+Settings!$D$16+Settings!$D$17),2),""),"")</f>
        <v/>
      </c>
      <c r="Z192" s="33">
        <f>IF(COUNT(S192:U192)=3,IFERROR(ROUND((S192*Settings!$D$15+T192*Settings!$D$16+U192*Settings!$D$17)/(Settings!$D$15+Settings!$D$16+Settings!$D$17),2),""),"")</f>
        <v/>
      </c>
      <c r="AA192" s="34">
        <f>IF(COUNT(V192:Z192)=0,"",ROUND(AVERAGE(V192:Z192),2))</f>
        <v/>
      </c>
      <c r="AB192" s="35">
        <f>IF($A192="","",COUNT(V192:Z192))</f>
        <v/>
      </c>
      <c r="AC192" s="36" t="n"/>
      <c r="AD192" s="35">
        <f>IF(AA192="","",SUMPRODUCT(ISNUMBER($AA$6:$AA$305)*($AA$6:$AA$305&gt;AA192))+SUMPRODUCT(($AA$6:AA192=AA192)*1))</f>
        <v/>
      </c>
      <c r="AE192" s="35">
        <f>IF(AA192="","",SUMPRODUCT(($E$6:$E$305=E192)*ISNUMBER($AA$6:$AA$305)*($AA$6:$AA$305&gt;AA192))+SUMPRODUCT(($E$6:E192=E192)*($AA$6:AA192=AA192)))</f>
        <v/>
      </c>
    </row>
    <row r="193">
      <c r="A193" s="31">
        <f>IF(Submissions!AD189="","",188)</f>
        <v/>
      </c>
      <c r="B193" s="10">
        <f>IF($A193="","",IF(Settings!$B$4="Yes","Submission "&amp;$A193,Submissions!AD189))</f>
        <v/>
      </c>
      <c r="C193" s="31">
        <f>IF($A193="","",IF(Settings!$B$4="Yes","(hidden)",Submissions!AE189))</f>
        <v/>
      </c>
      <c r="D193" s="31">
        <f>IF($A193="","",Submissions!AF189)</f>
        <v/>
      </c>
      <c r="E193" s="31">
        <f>IF($A193="","",Submissions!AG189)</f>
        <v/>
      </c>
      <c r="F193" s="31">
        <f>IF($A193="","",Submissions!AH189)</f>
        <v/>
      </c>
      <c r="G193" s="37" t="n"/>
      <c r="H193" s="37" t="n"/>
      <c r="I193" s="37" t="n"/>
      <c r="J193" s="37" t="n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3">
        <f>IF(COUNT(G193:I193)=3,IFERROR(ROUND((G193*Settings!$D$15+H193*Settings!$D$16+I193*Settings!$D$17)/(Settings!$D$15+Settings!$D$16+Settings!$D$17),2),""),"")</f>
        <v/>
      </c>
      <c r="W193" s="33">
        <f>IF(COUNT(J193:L193)=3,IFERROR(ROUND((J193*Settings!$D$15+K193*Settings!$D$16+L193*Settings!$D$17)/(Settings!$D$15+Settings!$D$16+Settings!$D$17),2),""),"")</f>
        <v/>
      </c>
      <c r="X193" s="33">
        <f>IF(COUNT(M193:O193)=3,IFERROR(ROUND((M193*Settings!$D$15+N193*Settings!$D$16+O193*Settings!$D$17)/(Settings!$D$15+Settings!$D$16+Settings!$D$17),2),""),"")</f>
        <v/>
      </c>
      <c r="Y193" s="33">
        <f>IF(COUNT(P193:R193)=3,IFERROR(ROUND((P193*Settings!$D$15+Q193*Settings!$D$16+R193*Settings!$D$17)/(Settings!$D$15+Settings!$D$16+Settings!$D$17),2),""),"")</f>
        <v/>
      </c>
      <c r="Z193" s="33">
        <f>IF(COUNT(S193:U193)=3,IFERROR(ROUND((S193*Settings!$D$15+T193*Settings!$D$16+U193*Settings!$D$17)/(Settings!$D$15+Settings!$D$16+Settings!$D$17),2),""),"")</f>
        <v/>
      </c>
      <c r="AA193" s="34">
        <f>IF(COUNT(V193:Z193)=0,"",ROUND(AVERAGE(V193:Z193),2))</f>
        <v/>
      </c>
      <c r="AB193" s="35">
        <f>IF($A193="","",COUNT(V193:Z193))</f>
        <v/>
      </c>
      <c r="AC193" s="36" t="n"/>
      <c r="AD193" s="35">
        <f>IF(AA193="","",SUMPRODUCT(ISNUMBER($AA$6:$AA$305)*($AA$6:$AA$305&gt;AA193))+SUMPRODUCT(($AA$6:AA193=AA193)*1))</f>
        <v/>
      </c>
      <c r="AE193" s="35">
        <f>IF(AA193="","",SUMPRODUCT(($E$6:$E$305=E193)*ISNUMBER($AA$6:$AA$305)*($AA$6:$AA$305&gt;AA193))+SUMPRODUCT(($E$6:E193=E193)*($AA$6:AA193=AA193)))</f>
        <v/>
      </c>
    </row>
    <row r="194">
      <c r="A194" s="31">
        <f>IF(Submissions!AD190="","",189)</f>
        <v/>
      </c>
      <c r="B194" s="10">
        <f>IF($A194="","",IF(Settings!$B$4="Yes","Submission "&amp;$A194,Submissions!AD190))</f>
        <v/>
      </c>
      <c r="C194" s="31">
        <f>IF($A194="","",IF(Settings!$B$4="Yes","(hidden)",Submissions!AE190))</f>
        <v/>
      </c>
      <c r="D194" s="31">
        <f>IF($A194="","",Submissions!AF190)</f>
        <v/>
      </c>
      <c r="E194" s="31">
        <f>IF($A194="","",Submissions!AG190)</f>
        <v/>
      </c>
      <c r="F194" s="31">
        <f>IF($A194="","",Submissions!AH190)</f>
        <v/>
      </c>
      <c r="G194" s="37" t="n"/>
      <c r="H194" s="37" t="n"/>
      <c r="I194" s="37" t="n"/>
      <c r="J194" s="37" t="n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3">
        <f>IF(COUNT(G194:I194)=3,IFERROR(ROUND((G194*Settings!$D$15+H194*Settings!$D$16+I194*Settings!$D$17)/(Settings!$D$15+Settings!$D$16+Settings!$D$17),2),""),"")</f>
        <v/>
      </c>
      <c r="W194" s="33">
        <f>IF(COUNT(J194:L194)=3,IFERROR(ROUND((J194*Settings!$D$15+K194*Settings!$D$16+L194*Settings!$D$17)/(Settings!$D$15+Settings!$D$16+Settings!$D$17),2),""),"")</f>
        <v/>
      </c>
      <c r="X194" s="33">
        <f>IF(COUNT(M194:O194)=3,IFERROR(ROUND((M194*Settings!$D$15+N194*Settings!$D$16+O194*Settings!$D$17)/(Settings!$D$15+Settings!$D$16+Settings!$D$17),2),""),"")</f>
        <v/>
      </c>
      <c r="Y194" s="33">
        <f>IF(COUNT(P194:R194)=3,IFERROR(ROUND((P194*Settings!$D$15+Q194*Settings!$D$16+R194*Settings!$D$17)/(Settings!$D$15+Settings!$D$16+Settings!$D$17),2),""),"")</f>
        <v/>
      </c>
      <c r="Z194" s="33">
        <f>IF(COUNT(S194:U194)=3,IFERROR(ROUND((S194*Settings!$D$15+T194*Settings!$D$16+U194*Settings!$D$17)/(Settings!$D$15+Settings!$D$16+Settings!$D$17),2),""),"")</f>
        <v/>
      </c>
      <c r="AA194" s="34">
        <f>IF(COUNT(V194:Z194)=0,"",ROUND(AVERAGE(V194:Z194),2))</f>
        <v/>
      </c>
      <c r="AB194" s="35">
        <f>IF($A194="","",COUNT(V194:Z194))</f>
        <v/>
      </c>
      <c r="AC194" s="36" t="n"/>
      <c r="AD194" s="35">
        <f>IF(AA194="","",SUMPRODUCT(ISNUMBER($AA$6:$AA$305)*($AA$6:$AA$305&gt;AA194))+SUMPRODUCT(($AA$6:AA194=AA194)*1))</f>
        <v/>
      </c>
      <c r="AE194" s="35">
        <f>IF(AA194="","",SUMPRODUCT(($E$6:$E$305=E194)*ISNUMBER($AA$6:$AA$305)*($AA$6:$AA$305&gt;AA194))+SUMPRODUCT(($E$6:E194=E194)*($AA$6:AA194=AA194)))</f>
        <v/>
      </c>
    </row>
    <row r="195">
      <c r="A195" s="31">
        <f>IF(Submissions!AD191="","",190)</f>
        <v/>
      </c>
      <c r="B195" s="10">
        <f>IF($A195="","",IF(Settings!$B$4="Yes","Submission "&amp;$A195,Submissions!AD191))</f>
        <v/>
      </c>
      <c r="C195" s="31">
        <f>IF($A195="","",IF(Settings!$B$4="Yes","(hidden)",Submissions!AE191))</f>
        <v/>
      </c>
      <c r="D195" s="31">
        <f>IF($A195="","",Submissions!AF191)</f>
        <v/>
      </c>
      <c r="E195" s="31">
        <f>IF($A195="","",Submissions!AG191)</f>
        <v/>
      </c>
      <c r="F195" s="31">
        <f>IF($A195="","",Submissions!AH191)</f>
        <v/>
      </c>
      <c r="G195" s="37" t="n"/>
      <c r="H195" s="37" t="n"/>
      <c r="I195" s="37" t="n"/>
      <c r="J195" s="37" t="n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3">
        <f>IF(COUNT(G195:I195)=3,IFERROR(ROUND((G195*Settings!$D$15+H195*Settings!$D$16+I195*Settings!$D$17)/(Settings!$D$15+Settings!$D$16+Settings!$D$17),2),""),"")</f>
        <v/>
      </c>
      <c r="W195" s="33">
        <f>IF(COUNT(J195:L195)=3,IFERROR(ROUND((J195*Settings!$D$15+K195*Settings!$D$16+L195*Settings!$D$17)/(Settings!$D$15+Settings!$D$16+Settings!$D$17),2),""),"")</f>
        <v/>
      </c>
      <c r="X195" s="33">
        <f>IF(COUNT(M195:O195)=3,IFERROR(ROUND((M195*Settings!$D$15+N195*Settings!$D$16+O195*Settings!$D$17)/(Settings!$D$15+Settings!$D$16+Settings!$D$17),2),""),"")</f>
        <v/>
      </c>
      <c r="Y195" s="33">
        <f>IF(COUNT(P195:R195)=3,IFERROR(ROUND((P195*Settings!$D$15+Q195*Settings!$D$16+R195*Settings!$D$17)/(Settings!$D$15+Settings!$D$16+Settings!$D$17),2),""),"")</f>
        <v/>
      </c>
      <c r="Z195" s="33">
        <f>IF(COUNT(S195:U195)=3,IFERROR(ROUND((S195*Settings!$D$15+T195*Settings!$D$16+U195*Settings!$D$17)/(Settings!$D$15+Settings!$D$16+Settings!$D$17),2),""),"")</f>
        <v/>
      </c>
      <c r="AA195" s="34">
        <f>IF(COUNT(V195:Z195)=0,"",ROUND(AVERAGE(V195:Z195),2))</f>
        <v/>
      </c>
      <c r="AB195" s="35">
        <f>IF($A195="","",COUNT(V195:Z195))</f>
        <v/>
      </c>
      <c r="AC195" s="36" t="n"/>
      <c r="AD195" s="35">
        <f>IF(AA195="","",SUMPRODUCT(ISNUMBER($AA$6:$AA$305)*($AA$6:$AA$305&gt;AA195))+SUMPRODUCT(($AA$6:AA195=AA195)*1))</f>
        <v/>
      </c>
      <c r="AE195" s="35">
        <f>IF(AA195="","",SUMPRODUCT(($E$6:$E$305=E195)*ISNUMBER($AA$6:$AA$305)*($AA$6:$AA$305&gt;AA195))+SUMPRODUCT(($E$6:E195=E195)*($AA$6:AA195=AA195)))</f>
        <v/>
      </c>
    </row>
    <row r="196">
      <c r="A196" s="31">
        <f>IF(Submissions!AD192="","",191)</f>
        <v/>
      </c>
      <c r="B196" s="10">
        <f>IF($A196="","",IF(Settings!$B$4="Yes","Submission "&amp;$A196,Submissions!AD192))</f>
        <v/>
      </c>
      <c r="C196" s="31">
        <f>IF($A196="","",IF(Settings!$B$4="Yes","(hidden)",Submissions!AE192))</f>
        <v/>
      </c>
      <c r="D196" s="31">
        <f>IF($A196="","",Submissions!AF192)</f>
        <v/>
      </c>
      <c r="E196" s="31">
        <f>IF($A196="","",Submissions!AG192)</f>
        <v/>
      </c>
      <c r="F196" s="31">
        <f>IF($A196="","",Submissions!AH192)</f>
        <v/>
      </c>
      <c r="G196" s="37" t="n"/>
      <c r="H196" s="37" t="n"/>
      <c r="I196" s="37" t="n"/>
      <c r="J196" s="37" t="n"/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3">
        <f>IF(COUNT(G196:I196)=3,IFERROR(ROUND((G196*Settings!$D$15+H196*Settings!$D$16+I196*Settings!$D$17)/(Settings!$D$15+Settings!$D$16+Settings!$D$17),2),""),"")</f>
        <v/>
      </c>
      <c r="W196" s="33">
        <f>IF(COUNT(J196:L196)=3,IFERROR(ROUND((J196*Settings!$D$15+K196*Settings!$D$16+L196*Settings!$D$17)/(Settings!$D$15+Settings!$D$16+Settings!$D$17),2),""),"")</f>
        <v/>
      </c>
      <c r="X196" s="33">
        <f>IF(COUNT(M196:O196)=3,IFERROR(ROUND((M196*Settings!$D$15+N196*Settings!$D$16+O196*Settings!$D$17)/(Settings!$D$15+Settings!$D$16+Settings!$D$17),2),""),"")</f>
        <v/>
      </c>
      <c r="Y196" s="33">
        <f>IF(COUNT(P196:R196)=3,IFERROR(ROUND((P196*Settings!$D$15+Q196*Settings!$D$16+R196*Settings!$D$17)/(Settings!$D$15+Settings!$D$16+Settings!$D$17),2),""),"")</f>
        <v/>
      </c>
      <c r="Z196" s="33">
        <f>IF(COUNT(S196:U196)=3,IFERROR(ROUND((S196*Settings!$D$15+T196*Settings!$D$16+U196*Settings!$D$17)/(Settings!$D$15+Settings!$D$16+Settings!$D$17),2),""),"")</f>
        <v/>
      </c>
      <c r="AA196" s="34">
        <f>IF(COUNT(V196:Z196)=0,"",ROUND(AVERAGE(V196:Z196),2))</f>
        <v/>
      </c>
      <c r="AB196" s="35">
        <f>IF($A196="","",COUNT(V196:Z196))</f>
        <v/>
      </c>
      <c r="AC196" s="36" t="n"/>
      <c r="AD196" s="35">
        <f>IF(AA196="","",SUMPRODUCT(ISNUMBER($AA$6:$AA$305)*($AA$6:$AA$305&gt;AA196))+SUMPRODUCT(($AA$6:AA196=AA196)*1))</f>
        <v/>
      </c>
      <c r="AE196" s="35">
        <f>IF(AA196="","",SUMPRODUCT(($E$6:$E$305=E196)*ISNUMBER($AA$6:$AA$305)*($AA$6:$AA$305&gt;AA196))+SUMPRODUCT(($E$6:E196=E196)*($AA$6:AA196=AA196)))</f>
        <v/>
      </c>
    </row>
    <row r="197">
      <c r="A197" s="31">
        <f>IF(Submissions!AD193="","",192)</f>
        <v/>
      </c>
      <c r="B197" s="10">
        <f>IF($A197="","",IF(Settings!$B$4="Yes","Submission "&amp;$A197,Submissions!AD193))</f>
        <v/>
      </c>
      <c r="C197" s="31">
        <f>IF($A197="","",IF(Settings!$B$4="Yes","(hidden)",Submissions!AE193))</f>
        <v/>
      </c>
      <c r="D197" s="31">
        <f>IF($A197="","",Submissions!AF193)</f>
        <v/>
      </c>
      <c r="E197" s="31">
        <f>IF($A197="","",Submissions!AG193)</f>
        <v/>
      </c>
      <c r="F197" s="31">
        <f>IF($A197="","",Submissions!AH193)</f>
        <v/>
      </c>
      <c r="G197" s="37" t="n"/>
      <c r="H197" s="37" t="n"/>
      <c r="I197" s="37" t="n"/>
      <c r="J197" s="37" t="n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3">
        <f>IF(COUNT(G197:I197)=3,IFERROR(ROUND((G197*Settings!$D$15+H197*Settings!$D$16+I197*Settings!$D$17)/(Settings!$D$15+Settings!$D$16+Settings!$D$17),2),""),"")</f>
        <v/>
      </c>
      <c r="W197" s="33">
        <f>IF(COUNT(J197:L197)=3,IFERROR(ROUND((J197*Settings!$D$15+K197*Settings!$D$16+L197*Settings!$D$17)/(Settings!$D$15+Settings!$D$16+Settings!$D$17),2),""),"")</f>
        <v/>
      </c>
      <c r="X197" s="33">
        <f>IF(COUNT(M197:O197)=3,IFERROR(ROUND((M197*Settings!$D$15+N197*Settings!$D$16+O197*Settings!$D$17)/(Settings!$D$15+Settings!$D$16+Settings!$D$17),2),""),"")</f>
        <v/>
      </c>
      <c r="Y197" s="33">
        <f>IF(COUNT(P197:R197)=3,IFERROR(ROUND((P197*Settings!$D$15+Q197*Settings!$D$16+R197*Settings!$D$17)/(Settings!$D$15+Settings!$D$16+Settings!$D$17),2),""),"")</f>
        <v/>
      </c>
      <c r="Z197" s="33">
        <f>IF(COUNT(S197:U197)=3,IFERROR(ROUND((S197*Settings!$D$15+T197*Settings!$D$16+U197*Settings!$D$17)/(Settings!$D$15+Settings!$D$16+Settings!$D$17),2),""),"")</f>
        <v/>
      </c>
      <c r="AA197" s="34">
        <f>IF(COUNT(V197:Z197)=0,"",ROUND(AVERAGE(V197:Z197),2))</f>
        <v/>
      </c>
      <c r="AB197" s="35">
        <f>IF($A197="","",COUNT(V197:Z197))</f>
        <v/>
      </c>
      <c r="AC197" s="36" t="n"/>
      <c r="AD197" s="35">
        <f>IF(AA197="","",SUMPRODUCT(ISNUMBER($AA$6:$AA$305)*($AA$6:$AA$305&gt;AA197))+SUMPRODUCT(($AA$6:AA197=AA197)*1))</f>
        <v/>
      </c>
      <c r="AE197" s="35">
        <f>IF(AA197="","",SUMPRODUCT(($E$6:$E$305=E197)*ISNUMBER($AA$6:$AA$305)*($AA$6:$AA$305&gt;AA197))+SUMPRODUCT(($E$6:E197=E197)*($AA$6:AA197=AA197)))</f>
        <v/>
      </c>
    </row>
    <row r="198">
      <c r="A198" s="31">
        <f>IF(Submissions!AD194="","",193)</f>
        <v/>
      </c>
      <c r="B198" s="10">
        <f>IF($A198="","",IF(Settings!$B$4="Yes","Submission "&amp;$A198,Submissions!AD194))</f>
        <v/>
      </c>
      <c r="C198" s="31">
        <f>IF($A198="","",IF(Settings!$B$4="Yes","(hidden)",Submissions!AE194))</f>
        <v/>
      </c>
      <c r="D198" s="31">
        <f>IF($A198="","",Submissions!AF194)</f>
        <v/>
      </c>
      <c r="E198" s="31">
        <f>IF($A198="","",Submissions!AG194)</f>
        <v/>
      </c>
      <c r="F198" s="31">
        <f>IF($A198="","",Submissions!AH194)</f>
        <v/>
      </c>
      <c r="G198" s="37" t="n"/>
      <c r="H198" s="37" t="n"/>
      <c r="I198" s="37" t="n"/>
      <c r="J198" s="37" t="n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3">
        <f>IF(COUNT(G198:I198)=3,IFERROR(ROUND((G198*Settings!$D$15+H198*Settings!$D$16+I198*Settings!$D$17)/(Settings!$D$15+Settings!$D$16+Settings!$D$17),2),""),"")</f>
        <v/>
      </c>
      <c r="W198" s="33">
        <f>IF(COUNT(J198:L198)=3,IFERROR(ROUND((J198*Settings!$D$15+K198*Settings!$D$16+L198*Settings!$D$17)/(Settings!$D$15+Settings!$D$16+Settings!$D$17),2),""),"")</f>
        <v/>
      </c>
      <c r="X198" s="33">
        <f>IF(COUNT(M198:O198)=3,IFERROR(ROUND((M198*Settings!$D$15+N198*Settings!$D$16+O198*Settings!$D$17)/(Settings!$D$15+Settings!$D$16+Settings!$D$17),2),""),"")</f>
        <v/>
      </c>
      <c r="Y198" s="33">
        <f>IF(COUNT(P198:R198)=3,IFERROR(ROUND((P198*Settings!$D$15+Q198*Settings!$D$16+R198*Settings!$D$17)/(Settings!$D$15+Settings!$D$16+Settings!$D$17),2),""),"")</f>
        <v/>
      </c>
      <c r="Z198" s="33">
        <f>IF(COUNT(S198:U198)=3,IFERROR(ROUND((S198*Settings!$D$15+T198*Settings!$D$16+U198*Settings!$D$17)/(Settings!$D$15+Settings!$D$16+Settings!$D$17),2),""),"")</f>
        <v/>
      </c>
      <c r="AA198" s="34">
        <f>IF(COUNT(V198:Z198)=0,"",ROUND(AVERAGE(V198:Z198),2))</f>
        <v/>
      </c>
      <c r="AB198" s="35">
        <f>IF($A198="","",COUNT(V198:Z198))</f>
        <v/>
      </c>
      <c r="AC198" s="36" t="n"/>
      <c r="AD198" s="35">
        <f>IF(AA198="","",SUMPRODUCT(ISNUMBER($AA$6:$AA$305)*($AA$6:$AA$305&gt;AA198))+SUMPRODUCT(($AA$6:AA198=AA198)*1))</f>
        <v/>
      </c>
      <c r="AE198" s="35">
        <f>IF(AA198="","",SUMPRODUCT(($E$6:$E$305=E198)*ISNUMBER($AA$6:$AA$305)*($AA$6:$AA$305&gt;AA198))+SUMPRODUCT(($E$6:E198=E198)*($AA$6:AA198=AA198)))</f>
        <v/>
      </c>
    </row>
    <row r="199">
      <c r="A199" s="31">
        <f>IF(Submissions!AD195="","",194)</f>
        <v/>
      </c>
      <c r="B199" s="10">
        <f>IF($A199="","",IF(Settings!$B$4="Yes","Submission "&amp;$A199,Submissions!AD195))</f>
        <v/>
      </c>
      <c r="C199" s="31">
        <f>IF($A199="","",IF(Settings!$B$4="Yes","(hidden)",Submissions!AE195))</f>
        <v/>
      </c>
      <c r="D199" s="31">
        <f>IF($A199="","",Submissions!AF195)</f>
        <v/>
      </c>
      <c r="E199" s="31">
        <f>IF($A199="","",Submissions!AG195)</f>
        <v/>
      </c>
      <c r="F199" s="31">
        <f>IF($A199="","",Submissions!AH195)</f>
        <v/>
      </c>
      <c r="G199" s="37" t="n"/>
      <c r="H199" s="37" t="n"/>
      <c r="I199" s="37" t="n"/>
      <c r="J199" s="37" t="n"/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3">
        <f>IF(COUNT(G199:I199)=3,IFERROR(ROUND((G199*Settings!$D$15+H199*Settings!$D$16+I199*Settings!$D$17)/(Settings!$D$15+Settings!$D$16+Settings!$D$17),2),""),"")</f>
        <v/>
      </c>
      <c r="W199" s="33">
        <f>IF(COUNT(J199:L199)=3,IFERROR(ROUND((J199*Settings!$D$15+K199*Settings!$D$16+L199*Settings!$D$17)/(Settings!$D$15+Settings!$D$16+Settings!$D$17),2),""),"")</f>
        <v/>
      </c>
      <c r="X199" s="33">
        <f>IF(COUNT(M199:O199)=3,IFERROR(ROUND((M199*Settings!$D$15+N199*Settings!$D$16+O199*Settings!$D$17)/(Settings!$D$15+Settings!$D$16+Settings!$D$17),2),""),"")</f>
        <v/>
      </c>
      <c r="Y199" s="33">
        <f>IF(COUNT(P199:R199)=3,IFERROR(ROUND((P199*Settings!$D$15+Q199*Settings!$D$16+R199*Settings!$D$17)/(Settings!$D$15+Settings!$D$16+Settings!$D$17),2),""),"")</f>
        <v/>
      </c>
      <c r="Z199" s="33">
        <f>IF(COUNT(S199:U199)=3,IFERROR(ROUND((S199*Settings!$D$15+T199*Settings!$D$16+U199*Settings!$D$17)/(Settings!$D$15+Settings!$D$16+Settings!$D$17),2),""),"")</f>
        <v/>
      </c>
      <c r="AA199" s="34">
        <f>IF(COUNT(V199:Z199)=0,"",ROUND(AVERAGE(V199:Z199),2))</f>
        <v/>
      </c>
      <c r="AB199" s="35">
        <f>IF($A199="","",COUNT(V199:Z199))</f>
        <v/>
      </c>
      <c r="AC199" s="36" t="n"/>
      <c r="AD199" s="35">
        <f>IF(AA199="","",SUMPRODUCT(ISNUMBER($AA$6:$AA$305)*($AA$6:$AA$305&gt;AA199))+SUMPRODUCT(($AA$6:AA199=AA199)*1))</f>
        <v/>
      </c>
      <c r="AE199" s="35">
        <f>IF(AA199="","",SUMPRODUCT(($E$6:$E$305=E199)*ISNUMBER($AA$6:$AA$305)*($AA$6:$AA$305&gt;AA199))+SUMPRODUCT(($E$6:E199=E199)*($AA$6:AA199=AA199)))</f>
        <v/>
      </c>
    </row>
    <row r="200">
      <c r="A200" s="31">
        <f>IF(Submissions!AD196="","",195)</f>
        <v/>
      </c>
      <c r="B200" s="10">
        <f>IF($A200="","",IF(Settings!$B$4="Yes","Submission "&amp;$A200,Submissions!AD196))</f>
        <v/>
      </c>
      <c r="C200" s="31">
        <f>IF($A200="","",IF(Settings!$B$4="Yes","(hidden)",Submissions!AE196))</f>
        <v/>
      </c>
      <c r="D200" s="31">
        <f>IF($A200="","",Submissions!AF196)</f>
        <v/>
      </c>
      <c r="E200" s="31">
        <f>IF($A200="","",Submissions!AG196)</f>
        <v/>
      </c>
      <c r="F200" s="31">
        <f>IF($A200="","",Submissions!AH196)</f>
        <v/>
      </c>
      <c r="G200" s="37" t="n"/>
      <c r="H200" s="37" t="n"/>
      <c r="I200" s="37" t="n"/>
      <c r="J200" s="37" t="n"/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3">
        <f>IF(COUNT(G200:I200)=3,IFERROR(ROUND((G200*Settings!$D$15+H200*Settings!$D$16+I200*Settings!$D$17)/(Settings!$D$15+Settings!$D$16+Settings!$D$17),2),""),"")</f>
        <v/>
      </c>
      <c r="W200" s="33">
        <f>IF(COUNT(J200:L200)=3,IFERROR(ROUND((J200*Settings!$D$15+K200*Settings!$D$16+L200*Settings!$D$17)/(Settings!$D$15+Settings!$D$16+Settings!$D$17),2),""),"")</f>
        <v/>
      </c>
      <c r="X200" s="33">
        <f>IF(COUNT(M200:O200)=3,IFERROR(ROUND((M200*Settings!$D$15+N200*Settings!$D$16+O200*Settings!$D$17)/(Settings!$D$15+Settings!$D$16+Settings!$D$17),2),""),"")</f>
        <v/>
      </c>
      <c r="Y200" s="33">
        <f>IF(COUNT(P200:R200)=3,IFERROR(ROUND((P200*Settings!$D$15+Q200*Settings!$D$16+R200*Settings!$D$17)/(Settings!$D$15+Settings!$D$16+Settings!$D$17),2),""),"")</f>
        <v/>
      </c>
      <c r="Z200" s="33">
        <f>IF(COUNT(S200:U200)=3,IFERROR(ROUND((S200*Settings!$D$15+T200*Settings!$D$16+U200*Settings!$D$17)/(Settings!$D$15+Settings!$D$16+Settings!$D$17),2),""),"")</f>
        <v/>
      </c>
      <c r="AA200" s="34">
        <f>IF(COUNT(V200:Z200)=0,"",ROUND(AVERAGE(V200:Z200),2))</f>
        <v/>
      </c>
      <c r="AB200" s="35">
        <f>IF($A200="","",COUNT(V200:Z200))</f>
        <v/>
      </c>
      <c r="AC200" s="36" t="n"/>
      <c r="AD200" s="35">
        <f>IF(AA200="","",SUMPRODUCT(ISNUMBER($AA$6:$AA$305)*($AA$6:$AA$305&gt;AA200))+SUMPRODUCT(($AA$6:AA200=AA200)*1))</f>
        <v/>
      </c>
      <c r="AE200" s="35">
        <f>IF(AA200="","",SUMPRODUCT(($E$6:$E$305=E200)*ISNUMBER($AA$6:$AA$305)*($AA$6:$AA$305&gt;AA200))+SUMPRODUCT(($E$6:E200=E200)*($AA$6:AA200=AA200)))</f>
        <v/>
      </c>
    </row>
    <row r="201">
      <c r="A201" s="31">
        <f>IF(Submissions!AD197="","",196)</f>
        <v/>
      </c>
      <c r="B201" s="10">
        <f>IF($A201="","",IF(Settings!$B$4="Yes","Submission "&amp;$A201,Submissions!AD197))</f>
        <v/>
      </c>
      <c r="C201" s="31">
        <f>IF($A201="","",IF(Settings!$B$4="Yes","(hidden)",Submissions!AE197))</f>
        <v/>
      </c>
      <c r="D201" s="31">
        <f>IF($A201="","",Submissions!AF197)</f>
        <v/>
      </c>
      <c r="E201" s="31">
        <f>IF($A201="","",Submissions!AG197)</f>
        <v/>
      </c>
      <c r="F201" s="31">
        <f>IF($A201="","",Submissions!AH197)</f>
        <v/>
      </c>
      <c r="G201" s="37" t="n"/>
      <c r="H201" s="37" t="n"/>
      <c r="I201" s="37" t="n"/>
      <c r="J201" s="37" t="n"/>
      <c r="K201" s="37" t="n"/>
      <c r="L201" s="37" t="n"/>
      <c r="M201" s="37" t="n"/>
      <c r="N201" s="37" t="n"/>
      <c r="O201" s="37" t="n"/>
      <c r="P201" s="37" t="n"/>
      <c r="Q201" s="37" t="n"/>
      <c r="R201" s="37" t="n"/>
      <c r="S201" s="37" t="n"/>
      <c r="T201" s="37" t="n"/>
      <c r="U201" s="37" t="n"/>
      <c r="V201" s="33">
        <f>IF(COUNT(G201:I201)=3,IFERROR(ROUND((G201*Settings!$D$15+H201*Settings!$D$16+I201*Settings!$D$17)/(Settings!$D$15+Settings!$D$16+Settings!$D$17),2),""),"")</f>
        <v/>
      </c>
      <c r="W201" s="33">
        <f>IF(COUNT(J201:L201)=3,IFERROR(ROUND((J201*Settings!$D$15+K201*Settings!$D$16+L201*Settings!$D$17)/(Settings!$D$15+Settings!$D$16+Settings!$D$17),2),""),"")</f>
        <v/>
      </c>
      <c r="X201" s="33">
        <f>IF(COUNT(M201:O201)=3,IFERROR(ROUND((M201*Settings!$D$15+N201*Settings!$D$16+O201*Settings!$D$17)/(Settings!$D$15+Settings!$D$16+Settings!$D$17),2),""),"")</f>
        <v/>
      </c>
      <c r="Y201" s="33">
        <f>IF(COUNT(P201:R201)=3,IFERROR(ROUND((P201*Settings!$D$15+Q201*Settings!$D$16+R201*Settings!$D$17)/(Settings!$D$15+Settings!$D$16+Settings!$D$17),2),""),"")</f>
        <v/>
      </c>
      <c r="Z201" s="33">
        <f>IF(COUNT(S201:U201)=3,IFERROR(ROUND((S201*Settings!$D$15+T201*Settings!$D$16+U201*Settings!$D$17)/(Settings!$D$15+Settings!$D$16+Settings!$D$17),2),""),"")</f>
        <v/>
      </c>
      <c r="AA201" s="34">
        <f>IF(COUNT(V201:Z201)=0,"",ROUND(AVERAGE(V201:Z201),2))</f>
        <v/>
      </c>
      <c r="AB201" s="35">
        <f>IF($A201="","",COUNT(V201:Z201))</f>
        <v/>
      </c>
      <c r="AC201" s="36" t="n"/>
      <c r="AD201" s="35">
        <f>IF(AA201="","",SUMPRODUCT(ISNUMBER($AA$6:$AA$305)*($AA$6:$AA$305&gt;AA201))+SUMPRODUCT(($AA$6:AA201=AA201)*1))</f>
        <v/>
      </c>
      <c r="AE201" s="35">
        <f>IF(AA201="","",SUMPRODUCT(($E$6:$E$305=E201)*ISNUMBER($AA$6:$AA$305)*($AA$6:$AA$305&gt;AA201))+SUMPRODUCT(($E$6:E201=E201)*($AA$6:AA201=AA201)))</f>
        <v/>
      </c>
    </row>
    <row r="202">
      <c r="A202" s="31">
        <f>IF(Submissions!AD198="","",197)</f>
        <v/>
      </c>
      <c r="B202" s="10">
        <f>IF($A202="","",IF(Settings!$B$4="Yes","Submission "&amp;$A202,Submissions!AD198))</f>
        <v/>
      </c>
      <c r="C202" s="31">
        <f>IF($A202="","",IF(Settings!$B$4="Yes","(hidden)",Submissions!AE198))</f>
        <v/>
      </c>
      <c r="D202" s="31">
        <f>IF($A202="","",Submissions!AF198)</f>
        <v/>
      </c>
      <c r="E202" s="31">
        <f>IF($A202="","",Submissions!AG198)</f>
        <v/>
      </c>
      <c r="F202" s="31">
        <f>IF($A202="","",Submissions!AH198)</f>
        <v/>
      </c>
      <c r="G202" s="37" t="n"/>
      <c r="H202" s="37" t="n"/>
      <c r="I202" s="37" t="n"/>
      <c r="J202" s="37" t="n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3">
        <f>IF(COUNT(G202:I202)=3,IFERROR(ROUND((G202*Settings!$D$15+H202*Settings!$D$16+I202*Settings!$D$17)/(Settings!$D$15+Settings!$D$16+Settings!$D$17),2),""),"")</f>
        <v/>
      </c>
      <c r="W202" s="33">
        <f>IF(COUNT(J202:L202)=3,IFERROR(ROUND((J202*Settings!$D$15+K202*Settings!$D$16+L202*Settings!$D$17)/(Settings!$D$15+Settings!$D$16+Settings!$D$17),2),""),"")</f>
        <v/>
      </c>
      <c r="X202" s="33">
        <f>IF(COUNT(M202:O202)=3,IFERROR(ROUND((M202*Settings!$D$15+N202*Settings!$D$16+O202*Settings!$D$17)/(Settings!$D$15+Settings!$D$16+Settings!$D$17),2),""),"")</f>
        <v/>
      </c>
      <c r="Y202" s="33">
        <f>IF(COUNT(P202:R202)=3,IFERROR(ROUND((P202*Settings!$D$15+Q202*Settings!$D$16+R202*Settings!$D$17)/(Settings!$D$15+Settings!$D$16+Settings!$D$17),2),""),"")</f>
        <v/>
      </c>
      <c r="Z202" s="33">
        <f>IF(COUNT(S202:U202)=3,IFERROR(ROUND((S202*Settings!$D$15+T202*Settings!$D$16+U202*Settings!$D$17)/(Settings!$D$15+Settings!$D$16+Settings!$D$17),2),""),"")</f>
        <v/>
      </c>
      <c r="AA202" s="34">
        <f>IF(COUNT(V202:Z202)=0,"",ROUND(AVERAGE(V202:Z202),2))</f>
        <v/>
      </c>
      <c r="AB202" s="35">
        <f>IF($A202="","",COUNT(V202:Z202))</f>
        <v/>
      </c>
      <c r="AC202" s="36" t="n"/>
      <c r="AD202" s="35">
        <f>IF(AA202="","",SUMPRODUCT(ISNUMBER($AA$6:$AA$305)*($AA$6:$AA$305&gt;AA202))+SUMPRODUCT(($AA$6:AA202=AA202)*1))</f>
        <v/>
      </c>
      <c r="AE202" s="35">
        <f>IF(AA202="","",SUMPRODUCT(($E$6:$E$305=E202)*ISNUMBER($AA$6:$AA$305)*($AA$6:$AA$305&gt;AA202))+SUMPRODUCT(($E$6:E202=E202)*($AA$6:AA202=AA202)))</f>
        <v/>
      </c>
    </row>
    <row r="203">
      <c r="A203" s="31">
        <f>IF(Submissions!AD199="","",198)</f>
        <v/>
      </c>
      <c r="B203" s="10">
        <f>IF($A203="","",IF(Settings!$B$4="Yes","Submission "&amp;$A203,Submissions!AD199))</f>
        <v/>
      </c>
      <c r="C203" s="31">
        <f>IF($A203="","",IF(Settings!$B$4="Yes","(hidden)",Submissions!AE199))</f>
        <v/>
      </c>
      <c r="D203" s="31">
        <f>IF($A203="","",Submissions!AF199)</f>
        <v/>
      </c>
      <c r="E203" s="31">
        <f>IF($A203="","",Submissions!AG199)</f>
        <v/>
      </c>
      <c r="F203" s="31">
        <f>IF($A203="","",Submissions!AH199)</f>
        <v/>
      </c>
      <c r="G203" s="37" t="n"/>
      <c r="H203" s="37" t="n"/>
      <c r="I203" s="37" t="n"/>
      <c r="J203" s="37" t="n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3">
        <f>IF(COUNT(G203:I203)=3,IFERROR(ROUND((G203*Settings!$D$15+H203*Settings!$D$16+I203*Settings!$D$17)/(Settings!$D$15+Settings!$D$16+Settings!$D$17),2),""),"")</f>
        <v/>
      </c>
      <c r="W203" s="33">
        <f>IF(COUNT(J203:L203)=3,IFERROR(ROUND((J203*Settings!$D$15+K203*Settings!$D$16+L203*Settings!$D$17)/(Settings!$D$15+Settings!$D$16+Settings!$D$17),2),""),"")</f>
        <v/>
      </c>
      <c r="X203" s="33">
        <f>IF(COUNT(M203:O203)=3,IFERROR(ROUND((M203*Settings!$D$15+N203*Settings!$D$16+O203*Settings!$D$17)/(Settings!$D$15+Settings!$D$16+Settings!$D$17),2),""),"")</f>
        <v/>
      </c>
      <c r="Y203" s="33">
        <f>IF(COUNT(P203:R203)=3,IFERROR(ROUND((P203*Settings!$D$15+Q203*Settings!$D$16+R203*Settings!$D$17)/(Settings!$D$15+Settings!$D$16+Settings!$D$17),2),""),"")</f>
        <v/>
      </c>
      <c r="Z203" s="33">
        <f>IF(COUNT(S203:U203)=3,IFERROR(ROUND((S203*Settings!$D$15+T203*Settings!$D$16+U203*Settings!$D$17)/(Settings!$D$15+Settings!$D$16+Settings!$D$17),2),""),"")</f>
        <v/>
      </c>
      <c r="AA203" s="34">
        <f>IF(COUNT(V203:Z203)=0,"",ROUND(AVERAGE(V203:Z203),2))</f>
        <v/>
      </c>
      <c r="AB203" s="35">
        <f>IF($A203="","",COUNT(V203:Z203))</f>
        <v/>
      </c>
      <c r="AC203" s="36" t="n"/>
      <c r="AD203" s="35">
        <f>IF(AA203="","",SUMPRODUCT(ISNUMBER($AA$6:$AA$305)*($AA$6:$AA$305&gt;AA203))+SUMPRODUCT(($AA$6:AA203=AA203)*1))</f>
        <v/>
      </c>
      <c r="AE203" s="35">
        <f>IF(AA203="","",SUMPRODUCT(($E$6:$E$305=E203)*ISNUMBER($AA$6:$AA$305)*($AA$6:$AA$305&gt;AA203))+SUMPRODUCT(($E$6:E203=E203)*($AA$6:AA203=AA203)))</f>
        <v/>
      </c>
    </row>
    <row r="204">
      <c r="A204" s="31">
        <f>IF(Submissions!AD200="","",199)</f>
        <v/>
      </c>
      <c r="B204" s="10">
        <f>IF($A204="","",IF(Settings!$B$4="Yes","Submission "&amp;$A204,Submissions!AD200))</f>
        <v/>
      </c>
      <c r="C204" s="31">
        <f>IF($A204="","",IF(Settings!$B$4="Yes","(hidden)",Submissions!AE200))</f>
        <v/>
      </c>
      <c r="D204" s="31">
        <f>IF($A204="","",Submissions!AF200)</f>
        <v/>
      </c>
      <c r="E204" s="31">
        <f>IF($A204="","",Submissions!AG200)</f>
        <v/>
      </c>
      <c r="F204" s="31">
        <f>IF($A204="","",Submissions!AH200)</f>
        <v/>
      </c>
      <c r="G204" s="37" t="n"/>
      <c r="H204" s="37" t="n"/>
      <c r="I204" s="37" t="n"/>
      <c r="J204" s="37" t="n"/>
      <c r="K204" s="37" t="n"/>
      <c r="L204" s="37" t="n"/>
      <c r="M204" s="37" t="n"/>
      <c r="N204" s="37" t="n"/>
      <c r="O204" s="37" t="n"/>
      <c r="P204" s="37" t="n"/>
      <c r="Q204" s="37" t="n"/>
      <c r="R204" s="37" t="n"/>
      <c r="S204" s="37" t="n"/>
      <c r="T204" s="37" t="n"/>
      <c r="U204" s="37" t="n"/>
      <c r="V204" s="33">
        <f>IF(COUNT(G204:I204)=3,IFERROR(ROUND((G204*Settings!$D$15+H204*Settings!$D$16+I204*Settings!$D$17)/(Settings!$D$15+Settings!$D$16+Settings!$D$17),2),""),"")</f>
        <v/>
      </c>
      <c r="W204" s="33">
        <f>IF(COUNT(J204:L204)=3,IFERROR(ROUND((J204*Settings!$D$15+K204*Settings!$D$16+L204*Settings!$D$17)/(Settings!$D$15+Settings!$D$16+Settings!$D$17),2),""),"")</f>
        <v/>
      </c>
      <c r="X204" s="33">
        <f>IF(COUNT(M204:O204)=3,IFERROR(ROUND((M204*Settings!$D$15+N204*Settings!$D$16+O204*Settings!$D$17)/(Settings!$D$15+Settings!$D$16+Settings!$D$17),2),""),"")</f>
        <v/>
      </c>
      <c r="Y204" s="33">
        <f>IF(COUNT(P204:R204)=3,IFERROR(ROUND((P204*Settings!$D$15+Q204*Settings!$D$16+R204*Settings!$D$17)/(Settings!$D$15+Settings!$D$16+Settings!$D$17),2),""),"")</f>
        <v/>
      </c>
      <c r="Z204" s="33">
        <f>IF(COUNT(S204:U204)=3,IFERROR(ROUND((S204*Settings!$D$15+T204*Settings!$D$16+U204*Settings!$D$17)/(Settings!$D$15+Settings!$D$16+Settings!$D$17),2),""),"")</f>
        <v/>
      </c>
      <c r="AA204" s="34">
        <f>IF(COUNT(V204:Z204)=0,"",ROUND(AVERAGE(V204:Z204),2))</f>
        <v/>
      </c>
      <c r="AB204" s="35">
        <f>IF($A204="","",COUNT(V204:Z204))</f>
        <v/>
      </c>
      <c r="AC204" s="36" t="n"/>
      <c r="AD204" s="35">
        <f>IF(AA204="","",SUMPRODUCT(ISNUMBER($AA$6:$AA$305)*($AA$6:$AA$305&gt;AA204))+SUMPRODUCT(($AA$6:AA204=AA204)*1))</f>
        <v/>
      </c>
      <c r="AE204" s="35">
        <f>IF(AA204="","",SUMPRODUCT(($E$6:$E$305=E204)*ISNUMBER($AA$6:$AA$305)*($AA$6:$AA$305&gt;AA204))+SUMPRODUCT(($E$6:E204=E204)*($AA$6:AA204=AA204)))</f>
        <v/>
      </c>
    </row>
    <row r="205">
      <c r="A205" s="31">
        <f>IF(Submissions!AD201="","",200)</f>
        <v/>
      </c>
      <c r="B205" s="10">
        <f>IF($A205="","",IF(Settings!$B$4="Yes","Submission "&amp;$A205,Submissions!AD201))</f>
        <v/>
      </c>
      <c r="C205" s="31">
        <f>IF($A205="","",IF(Settings!$B$4="Yes","(hidden)",Submissions!AE201))</f>
        <v/>
      </c>
      <c r="D205" s="31">
        <f>IF($A205="","",Submissions!AF201)</f>
        <v/>
      </c>
      <c r="E205" s="31">
        <f>IF($A205="","",Submissions!AG201)</f>
        <v/>
      </c>
      <c r="F205" s="31">
        <f>IF($A205="","",Submissions!AH201)</f>
        <v/>
      </c>
      <c r="G205" s="37" t="n"/>
      <c r="H205" s="37" t="n"/>
      <c r="I205" s="37" t="n"/>
      <c r="J205" s="37" t="n"/>
      <c r="K205" s="37" t="n"/>
      <c r="L205" s="37" t="n"/>
      <c r="M205" s="37" t="n"/>
      <c r="N205" s="37" t="n"/>
      <c r="O205" s="37" t="n"/>
      <c r="P205" s="37" t="n"/>
      <c r="Q205" s="37" t="n"/>
      <c r="R205" s="37" t="n"/>
      <c r="S205" s="37" t="n"/>
      <c r="T205" s="37" t="n"/>
      <c r="U205" s="37" t="n"/>
      <c r="V205" s="33">
        <f>IF(COUNT(G205:I205)=3,IFERROR(ROUND((G205*Settings!$D$15+H205*Settings!$D$16+I205*Settings!$D$17)/(Settings!$D$15+Settings!$D$16+Settings!$D$17),2),""),"")</f>
        <v/>
      </c>
      <c r="W205" s="33">
        <f>IF(COUNT(J205:L205)=3,IFERROR(ROUND((J205*Settings!$D$15+K205*Settings!$D$16+L205*Settings!$D$17)/(Settings!$D$15+Settings!$D$16+Settings!$D$17),2),""),"")</f>
        <v/>
      </c>
      <c r="X205" s="33">
        <f>IF(COUNT(M205:O205)=3,IFERROR(ROUND((M205*Settings!$D$15+N205*Settings!$D$16+O205*Settings!$D$17)/(Settings!$D$15+Settings!$D$16+Settings!$D$17),2),""),"")</f>
        <v/>
      </c>
      <c r="Y205" s="33">
        <f>IF(COUNT(P205:R205)=3,IFERROR(ROUND((P205*Settings!$D$15+Q205*Settings!$D$16+R205*Settings!$D$17)/(Settings!$D$15+Settings!$D$16+Settings!$D$17),2),""),"")</f>
        <v/>
      </c>
      <c r="Z205" s="33">
        <f>IF(COUNT(S205:U205)=3,IFERROR(ROUND((S205*Settings!$D$15+T205*Settings!$D$16+U205*Settings!$D$17)/(Settings!$D$15+Settings!$D$16+Settings!$D$17),2),""),"")</f>
        <v/>
      </c>
      <c r="AA205" s="34">
        <f>IF(COUNT(V205:Z205)=0,"",ROUND(AVERAGE(V205:Z205),2))</f>
        <v/>
      </c>
      <c r="AB205" s="35">
        <f>IF($A205="","",COUNT(V205:Z205))</f>
        <v/>
      </c>
      <c r="AC205" s="36" t="n"/>
      <c r="AD205" s="35">
        <f>IF(AA205="","",SUMPRODUCT(ISNUMBER($AA$6:$AA$305)*($AA$6:$AA$305&gt;AA205))+SUMPRODUCT(($AA$6:AA205=AA205)*1))</f>
        <v/>
      </c>
      <c r="AE205" s="35">
        <f>IF(AA205="","",SUMPRODUCT(($E$6:$E$305=E205)*ISNUMBER($AA$6:$AA$305)*($AA$6:$AA$305&gt;AA205))+SUMPRODUCT(($E$6:E205=E205)*($AA$6:AA205=AA205)))</f>
        <v/>
      </c>
    </row>
    <row r="206">
      <c r="A206" s="31">
        <f>IF(Submissions!AD202="","",201)</f>
        <v/>
      </c>
      <c r="B206" s="10">
        <f>IF($A206="","",IF(Settings!$B$4="Yes","Submission "&amp;$A206,Submissions!AD202))</f>
        <v/>
      </c>
      <c r="C206" s="31">
        <f>IF($A206="","",IF(Settings!$B$4="Yes","(hidden)",Submissions!AE202))</f>
        <v/>
      </c>
      <c r="D206" s="31">
        <f>IF($A206="","",Submissions!AF202)</f>
        <v/>
      </c>
      <c r="E206" s="31">
        <f>IF($A206="","",Submissions!AG202)</f>
        <v/>
      </c>
      <c r="F206" s="31">
        <f>IF($A206="","",Submissions!AH202)</f>
        <v/>
      </c>
      <c r="G206" s="37" t="n"/>
      <c r="H206" s="37" t="n"/>
      <c r="I206" s="37" t="n"/>
      <c r="J206" s="37" t="n"/>
      <c r="K206" s="37" t="n"/>
      <c r="L206" s="37" t="n"/>
      <c r="M206" s="37" t="n"/>
      <c r="N206" s="37" t="n"/>
      <c r="O206" s="37" t="n"/>
      <c r="P206" s="37" t="n"/>
      <c r="Q206" s="37" t="n"/>
      <c r="R206" s="37" t="n"/>
      <c r="S206" s="37" t="n"/>
      <c r="T206" s="37" t="n"/>
      <c r="U206" s="37" t="n"/>
      <c r="V206" s="33">
        <f>IF(COUNT(G206:I206)=3,IFERROR(ROUND((G206*Settings!$D$15+H206*Settings!$D$16+I206*Settings!$D$17)/(Settings!$D$15+Settings!$D$16+Settings!$D$17),2),""),"")</f>
        <v/>
      </c>
      <c r="W206" s="33">
        <f>IF(COUNT(J206:L206)=3,IFERROR(ROUND((J206*Settings!$D$15+K206*Settings!$D$16+L206*Settings!$D$17)/(Settings!$D$15+Settings!$D$16+Settings!$D$17),2),""),"")</f>
        <v/>
      </c>
      <c r="X206" s="33">
        <f>IF(COUNT(M206:O206)=3,IFERROR(ROUND((M206*Settings!$D$15+N206*Settings!$D$16+O206*Settings!$D$17)/(Settings!$D$15+Settings!$D$16+Settings!$D$17),2),""),"")</f>
        <v/>
      </c>
      <c r="Y206" s="33">
        <f>IF(COUNT(P206:R206)=3,IFERROR(ROUND((P206*Settings!$D$15+Q206*Settings!$D$16+R206*Settings!$D$17)/(Settings!$D$15+Settings!$D$16+Settings!$D$17),2),""),"")</f>
        <v/>
      </c>
      <c r="Z206" s="33">
        <f>IF(COUNT(S206:U206)=3,IFERROR(ROUND((S206*Settings!$D$15+T206*Settings!$D$16+U206*Settings!$D$17)/(Settings!$D$15+Settings!$D$16+Settings!$D$17),2),""),"")</f>
        <v/>
      </c>
      <c r="AA206" s="34">
        <f>IF(COUNT(V206:Z206)=0,"",ROUND(AVERAGE(V206:Z206),2))</f>
        <v/>
      </c>
      <c r="AB206" s="35">
        <f>IF($A206="","",COUNT(V206:Z206))</f>
        <v/>
      </c>
      <c r="AC206" s="36" t="n"/>
      <c r="AD206" s="35">
        <f>IF(AA206="","",SUMPRODUCT(ISNUMBER($AA$6:$AA$305)*($AA$6:$AA$305&gt;AA206))+SUMPRODUCT(($AA$6:AA206=AA206)*1))</f>
        <v/>
      </c>
      <c r="AE206" s="35">
        <f>IF(AA206="","",SUMPRODUCT(($E$6:$E$305=E206)*ISNUMBER($AA$6:$AA$305)*($AA$6:$AA$305&gt;AA206))+SUMPRODUCT(($E$6:E206=E206)*($AA$6:AA206=AA206)))</f>
        <v/>
      </c>
    </row>
    <row r="207">
      <c r="A207" s="31">
        <f>IF(Submissions!AD203="","",202)</f>
        <v/>
      </c>
      <c r="B207" s="10">
        <f>IF($A207="","",IF(Settings!$B$4="Yes","Submission "&amp;$A207,Submissions!AD203))</f>
        <v/>
      </c>
      <c r="C207" s="31">
        <f>IF($A207="","",IF(Settings!$B$4="Yes","(hidden)",Submissions!AE203))</f>
        <v/>
      </c>
      <c r="D207" s="31">
        <f>IF($A207="","",Submissions!AF203)</f>
        <v/>
      </c>
      <c r="E207" s="31">
        <f>IF($A207="","",Submissions!AG203)</f>
        <v/>
      </c>
      <c r="F207" s="31">
        <f>IF($A207="","",Submissions!AH203)</f>
        <v/>
      </c>
      <c r="G207" s="37" t="n"/>
      <c r="H207" s="37" t="n"/>
      <c r="I207" s="37" t="n"/>
      <c r="J207" s="37" t="n"/>
      <c r="K207" s="37" t="n"/>
      <c r="L207" s="37" t="n"/>
      <c r="M207" s="37" t="n"/>
      <c r="N207" s="37" t="n"/>
      <c r="O207" s="37" t="n"/>
      <c r="P207" s="37" t="n"/>
      <c r="Q207" s="37" t="n"/>
      <c r="R207" s="37" t="n"/>
      <c r="S207" s="37" t="n"/>
      <c r="T207" s="37" t="n"/>
      <c r="U207" s="37" t="n"/>
      <c r="V207" s="33">
        <f>IF(COUNT(G207:I207)=3,IFERROR(ROUND((G207*Settings!$D$15+H207*Settings!$D$16+I207*Settings!$D$17)/(Settings!$D$15+Settings!$D$16+Settings!$D$17),2),""),"")</f>
        <v/>
      </c>
      <c r="W207" s="33">
        <f>IF(COUNT(J207:L207)=3,IFERROR(ROUND((J207*Settings!$D$15+K207*Settings!$D$16+L207*Settings!$D$17)/(Settings!$D$15+Settings!$D$16+Settings!$D$17),2),""),"")</f>
        <v/>
      </c>
      <c r="X207" s="33">
        <f>IF(COUNT(M207:O207)=3,IFERROR(ROUND((M207*Settings!$D$15+N207*Settings!$D$16+O207*Settings!$D$17)/(Settings!$D$15+Settings!$D$16+Settings!$D$17),2),""),"")</f>
        <v/>
      </c>
      <c r="Y207" s="33">
        <f>IF(COUNT(P207:R207)=3,IFERROR(ROUND((P207*Settings!$D$15+Q207*Settings!$D$16+R207*Settings!$D$17)/(Settings!$D$15+Settings!$D$16+Settings!$D$17),2),""),"")</f>
        <v/>
      </c>
      <c r="Z207" s="33">
        <f>IF(COUNT(S207:U207)=3,IFERROR(ROUND((S207*Settings!$D$15+T207*Settings!$D$16+U207*Settings!$D$17)/(Settings!$D$15+Settings!$D$16+Settings!$D$17),2),""),"")</f>
        <v/>
      </c>
      <c r="AA207" s="34">
        <f>IF(COUNT(V207:Z207)=0,"",ROUND(AVERAGE(V207:Z207),2))</f>
        <v/>
      </c>
      <c r="AB207" s="35">
        <f>IF($A207="","",COUNT(V207:Z207))</f>
        <v/>
      </c>
      <c r="AC207" s="36" t="n"/>
      <c r="AD207" s="35">
        <f>IF(AA207="","",SUMPRODUCT(ISNUMBER($AA$6:$AA$305)*($AA$6:$AA$305&gt;AA207))+SUMPRODUCT(($AA$6:AA207=AA207)*1))</f>
        <v/>
      </c>
      <c r="AE207" s="35">
        <f>IF(AA207="","",SUMPRODUCT(($E$6:$E$305=E207)*ISNUMBER($AA$6:$AA$305)*($AA$6:$AA$305&gt;AA207))+SUMPRODUCT(($E$6:E207=E207)*($AA$6:AA207=AA207)))</f>
        <v/>
      </c>
    </row>
    <row r="208">
      <c r="A208" s="31">
        <f>IF(Submissions!AD204="","",203)</f>
        <v/>
      </c>
      <c r="B208" s="10">
        <f>IF($A208="","",IF(Settings!$B$4="Yes","Submission "&amp;$A208,Submissions!AD204))</f>
        <v/>
      </c>
      <c r="C208" s="31">
        <f>IF($A208="","",IF(Settings!$B$4="Yes","(hidden)",Submissions!AE204))</f>
        <v/>
      </c>
      <c r="D208" s="31">
        <f>IF($A208="","",Submissions!AF204)</f>
        <v/>
      </c>
      <c r="E208" s="31">
        <f>IF($A208="","",Submissions!AG204)</f>
        <v/>
      </c>
      <c r="F208" s="31">
        <f>IF($A208="","",Submissions!AH204)</f>
        <v/>
      </c>
      <c r="G208" s="37" t="n"/>
      <c r="H208" s="37" t="n"/>
      <c r="I208" s="37" t="n"/>
      <c r="J208" s="37" t="n"/>
      <c r="K208" s="37" t="n"/>
      <c r="L208" s="37" t="n"/>
      <c r="M208" s="37" t="n"/>
      <c r="N208" s="37" t="n"/>
      <c r="O208" s="37" t="n"/>
      <c r="P208" s="37" t="n"/>
      <c r="Q208" s="37" t="n"/>
      <c r="R208" s="37" t="n"/>
      <c r="S208" s="37" t="n"/>
      <c r="T208" s="37" t="n"/>
      <c r="U208" s="37" t="n"/>
      <c r="V208" s="33">
        <f>IF(COUNT(G208:I208)=3,IFERROR(ROUND((G208*Settings!$D$15+H208*Settings!$D$16+I208*Settings!$D$17)/(Settings!$D$15+Settings!$D$16+Settings!$D$17),2),""),"")</f>
        <v/>
      </c>
      <c r="W208" s="33">
        <f>IF(COUNT(J208:L208)=3,IFERROR(ROUND((J208*Settings!$D$15+K208*Settings!$D$16+L208*Settings!$D$17)/(Settings!$D$15+Settings!$D$16+Settings!$D$17),2),""),"")</f>
        <v/>
      </c>
      <c r="X208" s="33">
        <f>IF(COUNT(M208:O208)=3,IFERROR(ROUND((M208*Settings!$D$15+N208*Settings!$D$16+O208*Settings!$D$17)/(Settings!$D$15+Settings!$D$16+Settings!$D$17),2),""),"")</f>
        <v/>
      </c>
      <c r="Y208" s="33">
        <f>IF(COUNT(P208:R208)=3,IFERROR(ROUND((P208*Settings!$D$15+Q208*Settings!$D$16+R208*Settings!$D$17)/(Settings!$D$15+Settings!$D$16+Settings!$D$17),2),""),"")</f>
        <v/>
      </c>
      <c r="Z208" s="33">
        <f>IF(COUNT(S208:U208)=3,IFERROR(ROUND((S208*Settings!$D$15+T208*Settings!$D$16+U208*Settings!$D$17)/(Settings!$D$15+Settings!$D$16+Settings!$D$17),2),""),"")</f>
        <v/>
      </c>
      <c r="AA208" s="34">
        <f>IF(COUNT(V208:Z208)=0,"",ROUND(AVERAGE(V208:Z208),2))</f>
        <v/>
      </c>
      <c r="AB208" s="35">
        <f>IF($A208="","",COUNT(V208:Z208))</f>
        <v/>
      </c>
      <c r="AC208" s="36" t="n"/>
      <c r="AD208" s="35">
        <f>IF(AA208="","",SUMPRODUCT(ISNUMBER($AA$6:$AA$305)*($AA$6:$AA$305&gt;AA208))+SUMPRODUCT(($AA$6:AA208=AA208)*1))</f>
        <v/>
      </c>
      <c r="AE208" s="35">
        <f>IF(AA208="","",SUMPRODUCT(($E$6:$E$305=E208)*ISNUMBER($AA$6:$AA$305)*($AA$6:$AA$305&gt;AA208))+SUMPRODUCT(($E$6:E208=E208)*($AA$6:AA208=AA208)))</f>
        <v/>
      </c>
    </row>
    <row r="209">
      <c r="A209" s="31">
        <f>IF(Submissions!AD205="","",204)</f>
        <v/>
      </c>
      <c r="B209" s="10">
        <f>IF($A209="","",IF(Settings!$B$4="Yes","Submission "&amp;$A209,Submissions!AD205))</f>
        <v/>
      </c>
      <c r="C209" s="31">
        <f>IF($A209="","",IF(Settings!$B$4="Yes","(hidden)",Submissions!AE205))</f>
        <v/>
      </c>
      <c r="D209" s="31">
        <f>IF($A209="","",Submissions!AF205)</f>
        <v/>
      </c>
      <c r="E209" s="31">
        <f>IF($A209="","",Submissions!AG205)</f>
        <v/>
      </c>
      <c r="F209" s="31">
        <f>IF($A209="","",Submissions!AH205)</f>
        <v/>
      </c>
      <c r="G209" s="37" t="n"/>
      <c r="H209" s="37" t="n"/>
      <c r="I209" s="37" t="n"/>
      <c r="J209" s="37" t="n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3">
        <f>IF(COUNT(G209:I209)=3,IFERROR(ROUND((G209*Settings!$D$15+H209*Settings!$D$16+I209*Settings!$D$17)/(Settings!$D$15+Settings!$D$16+Settings!$D$17),2),""),"")</f>
        <v/>
      </c>
      <c r="W209" s="33">
        <f>IF(COUNT(J209:L209)=3,IFERROR(ROUND((J209*Settings!$D$15+K209*Settings!$D$16+L209*Settings!$D$17)/(Settings!$D$15+Settings!$D$16+Settings!$D$17),2),""),"")</f>
        <v/>
      </c>
      <c r="X209" s="33">
        <f>IF(COUNT(M209:O209)=3,IFERROR(ROUND((M209*Settings!$D$15+N209*Settings!$D$16+O209*Settings!$D$17)/(Settings!$D$15+Settings!$D$16+Settings!$D$17),2),""),"")</f>
        <v/>
      </c>
      <c r="Y209" s="33">
        <f>IF(COUNT(P209:R209)=3,IFERROR(ROUND((P209*Settings!$D$15+Q209*Settings!$D$16+R209*Settings!$D$17)/(Settings!$D$15+Settings!$D$16+Settings!$D$17),2),""),"")</f>
        <v/>
      </c>
      <c r="Z209" s="33">
        <f>IF(COUNT(S209:U209)=3,IFERROR(ROUND((S209*Settings!$D$15+T209*Settings!$D$16+U209*Settings!$D$17)/(Settings!$D$15+Settings!$D$16+Settings!$D$17),2),""),"")</f>
        <v/>
      </c>
      <c r="AA209" s="34">
        <f>IF(COUNT(V209:Z209)=0,"",ROUND(AVERAGE(V209:Z209),2))</f>
        <v/>
      </c>
      <c r="AB209" s="35">
        <f>IF($A209="","",COUNT(V209:Z209))</f>
        <v/>
      </c>
      <c r="AC209" s="36" t="n"/>
      <c r="AD209" s="35">
        <f>IF(AA209="","",SUMPRODUCT(ISNUMBER($AA$6:$AA$305)*($AA$6:$AA$305&gt;AA209))+SUMPRODUCT(($AA$6:AA209=AA209)*1))</f>
        <v/>
      </c>
      <c r="AE209" s="35">
        <f>IF(AA209="","",SUMPRODUCT(($E$6:$E$305=E209)*ISNUMBER($AA$6:$AA$305)*($AA$6:$AA$305&gt;AA209))+SUMPRODUCT(($E$6:E209=E209)*($AA$6:AA209=AA209)))</f>
        <v/>
      </c>
    </row>
    <row r="210">
      <c r="A210" s="31">
        <f>IF(Submissions!AD206="","",205)</f>
        <v/>
      </c>
      <c r="B210" s="10">
        <f>IF($A210="","",IF(Settings!$B$4="Yes","Submission "&amp;$A210,Submissions!AD206))</f>
        <v/>
      </c>
      <c r="C210" s="31">
        <f>IF($A210="","",IF(Settings!$B$4="Yes","(hidden)",Submissions!AE206))</f>
        <v/>
      </c>
      <c r="D210" s="31">
        <f>IF($A210="","",Submissions!AF206)</f>
        <v/>
      </c>
      <c r="E210" s="31">
        <f>IF($A210="","",Submissions!AG206)</f>
        <v/>
      </c>
      <c r="F210" s="31">
        <f>IF($A210="","",Submissions!AH206)</f>
        <v/>
      </c>
      <c r="G210" s="37" t="n"/>
      <c r="H210" s="37" t="n"/>
      <c r="I210" s="37" t="n"/>
      <c r="J210" s="37" t="n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3">
        <f>IF(COUNT(G210:I210)=3,IFERROR(ROUND((G210*Settings!$D$15+H210*Settings!$D$16+I210*Settings!$D$17)/(Settings!$D$15+Settings!$D$16+Settings!$D$17),2),""),"")</f>
        <v/>
      </c>
      <c r="W210" s="33">
        <f>IF(COUNT(J210:L210)=3,IFERROR(ROUND((J210*Settings!$D$15+K210*Settings!$D$16+L210*Settings!$D$17)/(Settings!$D$15+Settings!$D$16+Settings!$D$17),2),""),"")</f>
        <v/>
      </c>
      <c r="X210" s="33">
        <f>IF(COUNT(M210:O210)=3,IFERROR(ROUND((M210*Settings!$D$15+N210*Settings!$D$16+O210*Settings!$D$17)/(Settings!$D$15+Settings!$D$16+Settings!$D$17),2),""),"")</f>
        <v/>
      </c>
      <c r="Y210" s="33">
        <f>IF(COUNT(P210:R210)=3,IFERROR(ROUND((P210*Settings!$D$15+Q210*Settings!$D$16+R210*Settings!$D$17)/(Settings!$D$15+Settings!$D$16+Settings!$D$17),2),""),"")</f>
        <v/>
      </c>
      <c r="Z210" s="33">
        <f>IF(COUNT(S210:U210)=3,IFERROR(ROUND((S210*Settings!$D$15+T210*Settings!$D$16+U210*Settings!$D$17)/(Settings!$D$15+Settings!$D$16+Settings!$D$17),2),""),"")</f>
        <v/>
      </c>
      <c r="AA210" s="34">
        <f>IF(COUNT(V210:Z210)=0,"",ROUND(AVERAGE(V210:Z210),2))</f>
        <v/>
      </c>
      <c r="AB210" s="35">
        <f>IF($A210="","",COUNT(V210:Z210))</f>
        <v/>
      </c>
      <c r="AC210" s="36" t="n"/>
      <c r="AD210" s="35">
        <f>IF(AA210="","",SUMPRODUCT(ISNUMBER($AA$6:$AA$305)*($AA$6:$AA$305&gt;AA210))+SUMPRODUCT(($AA$6:AA210=AA210)*1))</f>
        <v/>
      </c>
      <c r="AE210" s="35">
        <f>IF(AA210="","",SUMPRODUCT(($E$6:$E$305=E210)*ISNUMBER($AA$6:$AA$305)*($AA$6:$AA$305&gt;AA210))+SUMPRODUCT(($E$6:E210=E210)*($AA$6:AA210=AA210)))</f>
        <v/>
      </c>
    </row>
    <row r="211">
      <c r="A211" s="31">
        <f>IF(Submissions!AD207="","",206)</f>
        <v/>
      </c>
      <c r="B211" s="10">
        <f>IF($A211="","",IF(Settings!$B$4="Yes","Submission "&amp;$A211,Submissions!AD207))</f>
        <v/>
      </c>
      <c r="C211" s="31">
        <f>IF($A211="","",IF(Settings!$B$4="Yes","(hidden)",Submissions!AE207))</f>
        <v/>
      </c>
      <c r="D211" s="31">
        <f>IF($A211="","",Submissions!AF207)</f>
        <v/>
      </c>
      <c r="E211" s="31">
        <f>IF($A211="","",Submissions!AG207)</f>
        <v/>
      </c>
      <c r="F211" s="31">
        <f>IF($A211="","",Submissions!AH207)</f>
        <v/>
      </c>
      <c r="G211" s="37" t="n"/>
      <c r="H211" s="37" t="n"/>
      <c r="I211" s="37" t="n"/>
      <c r="J211" s="37" t="n"/>
      <c r="K211" s="37" t="n"/>
      <c r="L211" s="37" t="n"/>
      <c r="M211" s="37" t="n"/>
      <c r="N211" s="37" t="n"/>
      <c r="O211" s="37" t="n"/>
      <c r="P211" s="37" t="n"/>
      <c r="Q211" s="37" t="n"/>
      <c r="R211" s="37" t="n"/>
      <c r="S211" s="37" t="n"/>
      <c r="T211" s="37" t="n"/>
      <c r="U211" s="37" t="n"/>
      <c r="V211" s="33">
        <f>IF(COUNT(G211:I211)=3,IFERROR(ROUND((G211*Settings!$D$15+H211*Settings!$D$16+I211*Settings!$D$17)/(Settings!$D$15+Settings!$D$16+Settings!$D$17),2),""),"")</f>
        <v/>
      </c>
      <c r="W211" s="33">
        <f>IF(COUNT(J211:L211)=3,IFERROR(ROUND((J211*Settings!$D$15+K211*Settings!$D$16+L211*Settings!$D$17)/(Settings!$D$15+Settings!$D$16+Settings!$D$17),2),""),"")</f>
        <v/>
      </c>
      <c r="X211" s="33">
        <f>IF(COUNT(M211:O211)=3,IFERROR(ROUND((M211*Settings!$D$15+N211*Settings!$D$16+O211*Settings!$D$17)/(Settings!$D$15+Settings!$D$16+Settings!$D$17),2),""),"")</f>
        <v/>
      </c>
      <c r="Y211" s="33">
        <f>IF(COUNT(P211:R211)=3,IFERROR(ROUND((P211*Settings!$D$15+Q211*Settings!$D$16+R211*Settings!$D$17)/(Settings!$D$15+Settings!$D$16+Settings!$D$17),2),""),"")</f>
        <v/>
      </c>
      <c r="Z211" s="33">
        <f>IF(COUNT(S211:U211)=3,IFERROR(ROUND((S211*Settings!$D$15+T211*Settings!$D$16+U211*Settings!$D$17)/(Settings!$D$15+Settings!$D$16+Settings!$D$17),2),""),"")</f>
        <v/>
      </c>
      <c r="AA211" s="34">
        <f>IF(COUNT(V211:Z211)=0,"",ROUND(AVERAGE(V211:Z211),2))</f>
        <v/>
      </c>
      <c r="AB211" s="35">
        <f>IF($A211="","",COUNT(V211:Z211))</f>
        <v/>
      </c>
      <c r="AC211" s="36" t="n"/>
      <c r="AD211" s="35">
        <f>IF(AA211="","",SUMPRODUCT(ISNUMBER($AA$6:$AA$305)*($AA$6:$AA$305&gt;AA211))+SUMPRODUCT(($AA$6:AA211=AA211)*1))</f>
        <v/>
      </c>
      <c r="AE211" s="35">
        <f>IF(AA211="","",SUMPRODUCT(($E$6:$E$305=E211)*ISNUMBER($AA$6:$AA$305)*($AA$6:$AA$305&gt;AA211))+SUMPRODUCT(($E$6:E211=E211)*($AA$6:AA211=AA211)))</f>
        <v/>
      </c>
    </row>
    <row r="212">
      <c r="A212" s="31">
        <f>IF(Submissions!AD208="","",207)</f>
        <v/>
      </c>
      <c r="B212" s="10">
        <f>IF($A212="","",IF(Settings!$B$4="Yes","Submission "&amp;$A212,Submissions!AD208))</f>
        <v/>
      </c>
      <c r="C212" s="31">
        <f>IF($A212="","",IF(Settings!$B$4="Yes","(hidden)",Submissions!AE208))</f>
        <v/>
      </c>
      <c r="D212" s="31">
        <f>IF($A212="","",Submissions!AF208)</f>
        <v/>
      </c>
      <c r="E212" s="31">
        <f>IF($A212="","",Submissions!AG208)</f>
        <v/>
      </c>
      <c r="F212" s="31">
        <f>IF($A212="","",Submissions!AH208)</f>
        <v/>
      </c>
      <c r="G212" s="37" t="n"/>
      <c r="H212" s="37" t="n"/>
      <c r="I212" s="37" t="n"/>
      <c r="J212" s="37" t="n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3">
        <f>IF(COUNT(G212:I212)=3,IFERROR(ROUND((G212*Settings!$D$15+H212*Settings!$D$16+I212*Settings!$D$17)/(Settings!$D$15+Settings!$D$16+Settings!$D$17),2),""),"")</f>
        <v/>
      </c>
      <c r="W212" s="33">
        <f>IF(COUNT(J212:L212)=3,IFERROR(ROUND((J212*Settings!$D$15+K212*Settings!$D$16+L212*Settings!$D$17)/(Settings!$D$15+Settings!$D$16+Settings!$D$17),2),""),"")</f>
        <v/>
      </c>
      <c r="X212" s="33">
        <f>IF(COUNT(M212:O212)=3,IFERROR(ROUND((M212*Settings!$D$15+N212*Settings!$D$16+O212*Settings!$D$17)/(Settings!$D$15+Settings!$D$16+Settings!$D$17),2),""),"")</f>
        <v/>
      </c>
      <c r="Y212" s="33">
        <f>IF(COUNT(P212:R212)=3,IFERROR(ROUND((P212*Settings!$D$15+Q212*Settings!$D$16+R212*Settings!$D$17)/(Settings!$D$15+Settings!$D$16+Settings!$D$17),2),""),"")</f>
        <v/>
      </c>
      <c r="Z212" s="33">
        <f>IF(COUNT(S212:U212)=3,IFERROR(ROUND((S212*Settings!$D$15+T212*Settings!$D$16+U212*Settings!$D$17)/(Settings!$D$15+Settings!$D$16+Settings!$D$17),2),""),"")</f>
        <v/>
      </c>
      <c r="AA212" s="34">
        <f>IF(COUNT(V212:Z212)=0,"",ROUND(AVERAGE(V212:Z212),2))</f>
        <v/>
      </c>
      <c r="AB212" s="35">
        <f>IF($A212="","",COUNT(V212:Z212))</f>
        <v/>
      </c>
      <c r="AC212" s="36" t="n"/>
      <c r="AD212" s="35">
        <f>IF(AA212="","",SUMPRODUCT(ISNUMBER($AA$6:$AA$305)*($AA$6:$AA$305&gt;AA212))+SUMPRODUCT(($AA$6:AA212=AA212)*1))</f>
        <v/>
      </c>
      <c r="AE212" s="35">
        <f>IF(AA212="","",SUMPRODUCT(($E$6:$E$305=E212)*ISNUMBER($AA$6:$AA$305)*($AA$6:$AA$305&gt;AA212))+SUMPRODUCT(($E$6:E212=E212)*($AA$6:AA212=AA212)))</f>
        <v/>
      </c>
    </row>
    <row r="213">
      <c r="A213" s="31">
        <f>IF(Submissions!AD209="","",208)</f>
        <v/>
      </c>
      <c r="B213" s="10">
        <f>IF($A213="","",IF(Settings!$B$4="Yes","Submission "&amp;$A213,Submissions!AD209))</f>
        <v/>
      </c>
      <c r="C213" s="31">
        <f>IF($A213="","",IF(Settings!$B$4="Yes","(hidden)",Submissions!AE209))</f>
        <v/>
      </c>
      <c r="D213" s="31">
        <f>IF($A213="","",Submissions!AF209)</f>
        <v/>
      </c>
      <c r="E213" s="31">
        <f>IF($A213="","",Submissions!AG209)</f>
        <v/>
      </c>
      <c r="F213" s="31">
        <f>IF($A213="","",Submissions!AH209)</f>
        <v/>
      </c>
      <c r="G213" s="37" t="n"/>
      <c r="H213" s="37" t="n"/>
      <c r="I213" s="37" t="n"/>
      <c r="J213" s="37" t="n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3">
        <f>IF(COUNT(G213:I213)=3,IFERROR(ROUND((G213*Settings!$D$15+H213*Settings!$D$16+I213*Settings!$D$17)/(Settings!$D$15+Settings!$D$16+Settings!$D$17),2),""),"")</f>
        <v/>
      </c>
      <c r="W213" s="33">
        <f>IF(COUNT(J213:L213)=3,IFERROR(ROUND((J213*Settings!$D$15+K213*Settings!$D$16+L213*Settings!$D$17)/(Settings!$D$15+Settings!$D$16+Settings!$D$17),2),""),"")</f>
        <v/>
      </c>
      <c r="X213" s="33">
        <f>IF(COUNT(M213:O213)=3,IFERROR(ROUND((M213*Settings!$D$15+N213*Settings!$D$16+O213*Settings!$D$17)/(Settings!$D$15+Settings!$D$16+Settings!$D$17),2),""),"")</f>
        <v/>
      </c>
      <c r="Y213" s="33">
        <f>IF(COUNT(P213:R213)=3,IFERROR(ROUND((P213*Settings!$D$15+Q213*Settings!$D$16+R213*Settings!$D$17)/(Settings!$D$15+Settings!$D$16+Settings!$D$17),2),""),"")</f>
        <v/>
      </c>
      <c r="Z213" s="33">
        <f>IF(COUNT(S213:U213)=3,IFERROR(ROUND((S213*Settings!$D$15+T213*Settings!$D$16+U213*Settings!$D$17)/(Settings!$D$15+Settings!$D$16+Settings!$D$17),2),""),"")</f>
        <v/>
      </c>
      <c r="AA213" s="34">
        <f>IF(COUNT(V213:Z213)=0,"",ROUND(AVERAGE(V213:Z213),2))</f>
        <v/>
      </c>
      <c r="AB213" s="35">
        <f>IF($A213="","",COUNT(V213:Z213))</f>
        <v/>
      </c>
      <c r="AC213" s="36" t="n"/>
      <c r="AD213" s="35">
        <f>IF(AA213="","",SUMPRODUCT(ISNUMBER($AA$6:$AA$305)*($AA$6:$AA$305&gt;AA213))+SUMPRODUCT(($AA$6:AA213=AA213)*1))</f>
        <v/>
      </c>
      <c r="AE213" s="35">
        <f>IF(AA213="","",SUMPRODUCT(($E$6:$E$305=E213)*ISNUMBER($AA$6:$AA$305)*($AA$6:$AA$305&gt;AA213))+SUMPRODUCT(($E$6:E213=E213)*($AA$6:AA213=AA213)))</f>
        <v/>
      </c>
    </row>
    <row r="214">
      <c r="A214" s="31">
        <f>IF(Submissions!AD210="","",209)</f>
        <v/>
      </c>
      <c r="B214" s="10">
        <f>IF($A214="","",IF(Settings!$B$4="Yes","Submission "&amp;$A214,Submissions!AD210))</f>
        <v/>
      </c>
      <c r="C214" s="31">
        <f>IF($A214="","",IF(Settings!$B$4="Yes","(hidden)",Submissions!AE210))</f>
        <v/>
      </c>
      <c r="D214" s="31">
        <f>IF($A214="","",Submissions!AF210)</f>
        <v/>
      </c>
      <c r="E214" s="31">
        <f>IF($A214="","",Submissions!AG210)</f>
        <v/>
      </c>
      <c r="F214" s="31">
        <f>IF($A214="","",Submissions!AH210)</f>
        <v/>
      </c>
      <c r="G214" s="37" t="n"/>
      <c r="H214" s="37" t="n"/>
      <c r="I214" s="37" t="n"/>
      <c r="J214" s="37" t="n"/>
      <c r="K214" s="37" t="n"/>
      <c r="L214" s="37" t="n"/>
      <c r="M214" s="37" t="n"/>
      <c r="N214" s="37" t="n"/>
      <c r="O214" s="37" t="n"/>
      <c r="P214" s="37" t="n"/>
      <c r="Q214" s="37" t="n"/>
      <c r="R214" s="37" t="n"/>
      <c r="S214" s="37" t="n"/>
      <c r="T214" s="37" t="n"/>
      <c r="U214" s="37" t="n"/>
      <c r="V214" s="33">
        <f>IF(COUNT(G214:I214)=3,IFERROR(ROUND((G214*Settings!$D$15+H214*Settings!$D$16+I214*Settings!$D$17)/(Settings!$D$15+Settings!$D$16+Settings!$D$17),2),""),"")</f>
        <v/>
      </c>
      <c r="W214" s="33">
        <f>IF(COUNT(J214:L214)=3,IFERROR(ROUND((J214*Settings!$D$15+K214*Settings!$D$16+L214*Settings!$D$17)/(Settings!$D$15+Settings!$D$16+Settings!$D$17),2),""),"")</f>
        <v/>
      </c>
      <c r="X214" s="33">
        <f>IF(COUNT(M214:O214)=3,IFERROR(ROUND((M214*Settings!$D$15+N214*Settings!$D$16+O214*Settings!$D$17)/(Settings!$D$15+Settings!$D$16+Settings!$D$17),2),""),"")</f>
        <v/>
      </c>
      <c r="Y214" s="33">
        <f>IF(COUNT(P214:R214)=3,IFERROR(ROUND((P214*Settings!$D$15+Q214*Settings!$D$16+R214*Settings!$D$17)/(Settings!$D$15+Settings!$D$16+Settings!$D$17),2),""),"")</f>
        <v/>
      </c>
      <c r="Z214" s="33">
        <f>IF(COUNT(S214:U214)=3,IFERROR(ROUND((S214*Settings!$D$15+T214*Settings!$D$16+U214*Settings!$D$17)/(Settings!$D$15+Settings!$D$16+Settings!$D$17),2),""),"")</f>
        <v/>
      </c>
      <c r="AA214" s="34">
        <f>IF(COUNT(V214:Z214)=0,"",ROUND(AVERAGE(V214:Z214),2))</f>
        <v/>
      </c>
      <c r="AB214" s="35">
        <f>IF($A214="","",COUNT(V214:Z214))</f>
        <v/>
      </c>
      <c r="AC214" s="36" t="n"/>
      <c r="AD214" s="35">
        <f>IF(AA214="","",SUMPRODUCT(ISNUMBER($AA$6:$AA$305)*($AA$6:$AA$305&gt;AA214))+SUMPRODUCT(($AA$6:AA214=AA214)*1))</f>
        <v/>
      </c>
      <c r="AE214" s="35">
        <f>IF(AA214="","",SUMPRODUCT(($E$6:$E$305=E214)*ISNUMBER($AA$6:$AA$305)*($AA$6:$AA$305&gt;AA214))+SUMPRODUCT(($E$6:E214=E214)*($AA$6:AA214=AA214)))</f>
        <v/>
      </c>
    </row>
    <row r="215">
      <c r="A215" s="31">
        <f>IF(Submissions!AD211="","",210)</f>
        <v/>
      </c>
      <c r="B215" s="10">
        <f>IF($A215="","",IF(Settings!$B$4="Yes","Submission "&amp;$A215,Submissions!AD211))</f>
        <v/>
      </c>
      <c r="C215" s="31">
        <f>IF($A215="","",IF(Settings!$B$4="Yes","(hidden)",Submissions!AE211))</f>
        <v/>
      </c>
      <c r="D215" s="31">
        <f>IF($A215="","",Submissions!AF211)</f>
        <v/>
      </c>
      <c r="E215" s="31">
        <f>IF($A215="","",Submissions!AG211)</f>
        <v/>
      </c>
      <c r="F215" s="31">
        <f>IF($A215="","",Submissions!AH211)</f>
        <v/>
      </c>
      <c r="G215" s="37" t="n"/>
      <c r="H215" s="37" t="n"/>
      <c r="I215" s="37" t="n"/>
      <c r="J215" s="37" t="n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3">
        <f>IF(COUNT(G215:I215)=3,IFERROR(ROUND((G215*Settings!$D$15+H215*Settings!$D$16+I215*Settings!$D$17)/(Settings!$D$15+Settings!$D$16+Settings!$D$17),2),""),"")</f>
        <v/>
      </c>
      <c r="W215" s="33">
        <f>IF(COUNT(J215:L215)=3,IFERROR(ROUND((J215*Settings!$D$15+K215*Settings!$D$16+L215*Settings!$D$17)/(Settings!$D$15+Settings!$D$16+Settings!$D$17),2),""),"")</f>
        <v/>
      </c>
      <c r="X215" s="33">
        <f>IF(COUNT(M215:O215)=3,IFERROR(ROUND((M215*Settings!$D$15+N215*Settings!$D$16+O215*Settings!$D$17)/(Settings!$D$15+Settings!$D$16+Settings!$D$17),2),""),"")</f>
        <v/>
      </c>
      <c r="Y215" s="33">
        <f>IF(COUNT(P215:R215)=3,IFERROR(ROUND((P215*Settings!$D$15+Q215*Settings!$D$16+R215*Settings!$D$17)/(Settings!$D$15+Settings!$D$16+Settings!$D$17),2),""),"")</f>
        <v/>
      </c>
      <c r="Z215" s="33">
        <f>IF(COUNT(S215:U215)=3,IFERROR(ROUND((S215*Settings!$D$15+T215*Settings!$D$16+U215*Settings!$D$17)/(Settings!$D$15+Settings!$D$16+Settings!$D$17),2),""),"")</f>
        <v/>
      </c>
      <c r="AA215" s="34">
        <f>IF(COUNT(V215:Z215)=0,"",ROUND(AVERAGE(V215:Z215),2))</f>
        <v/>
      </c>
      <c r="AB215" s="35">
        <f>IF($A215="","",COUNT(V215:Z215))</f>
        <v/>
      </c>
      <c r="AC215" s="36" t="n"/>
      <c r="AD215" s="35">
        <f>IF(AA215="","",SUMPRODUCT(ISNUMBER($AA$6:$AA$305)*($AA$6:$AA$305&gt;AA215))+SUMPRODUCT(($AA$6:AA215=AA215)*1))</f>
        <v/>
      </c>
      <c r="AE215" s="35">
        <f>IF(AA215="","",SUMPRODUCT(($E$6:$E$305=E215)*ISNUMBER($AA$6:$AA$305)*($AA$6:$AA$305&gt;AA215))+SUMPRODUCT(($E$6:E215=E215)*($AA$6:AA215=AA215)))</f>
        <v/>
      </c>
    </row>
    <row r="216">
      <c r="A216" s="31">
        <f>IF(Submissions!AD212="","",211)</f>
        <v/>
      </c>
      <c r="B216" s="10">
        <f>IF($A216="","",IF(Settings!$B$4="Yes","Submission "&amp;$A216,Submissions!AD212))</f>
        <v/>
      </c>
      <c r="C216" s="31">
        <f>IF($A216="","",IF(Settings!$B$4="Yes","(hidden)",Submissions!AE212))</f>
        <v/>
      </c>
      <c r="D216" s="31">
        <f>IF($A216="","",Submissions!AF212)</f>
        <v/>
      </c>
      <c r="E216" s="31">
        <f>IF($A216="","",Submissions!AG212)</f>
        <v/>
      </c>
      <c r="F216" s="31">
        <f>IF($A216="","",Submissions!AH212)</f>
        <v/>
      </c>
      <c r="G216" s="37" t="n"/>
      <c r="H216" s="37" t="n"/>
      <c r="I216" s="37" t="n"/>
      <c r="J216" s="37" t="n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3">
        <f>IF(COUNT(G216:I216)=3,IFERROR(ROUND((G216*Settings!$D$15+H216*Settings!$D$16+I216*Settings!$D$17)/(Settings!$D$15+Settings!$D$16+Settings!$D$17),2),""),"")</f>
        <v/>
      </c>
      <c r="W216" s="33">
        <f>IF(COUNT(J216:L216)=3,IFERROR(ROUND((J216*Settings!$D$15+K216*Settings!$D$16+L216*Settings!$D$17)/(Settings!$D$15+Settings!$D$16+Settings!$D$17),2),""),"")</f>
        <v/>
      </c>
      <c r="X216" s="33">
        <f>IF(COUNT(M216:O216)=3,IFERROR(ROUND((M216*Settings!$D$15+N216*Settings!$D$16+O216*Settings!$D$17)/(Settings!$D$15+Settings!$D$16+Settings!$D$17),2),""),"")</f>
        <v/>
      </c>
      <c r="Y216" s="33">
        <f>IF(COUNT(P216:R216)=3,IFERROR(ROUND((P216*Settings!$D$15+Q216*Settings!$D$16+R216*Settings!$D$17)/(Settings!$D$15+Settings!$D$16+Settings!$D$17),2),""),"")</f>
        <v/>
      </c>
      <c r="Z216" s="33">
        <f>IF(COUNT(S216:U216)=3,IFERROR(ROUND((S216*Settings!$D$15+T216*Settings!$D$16+U216*Settings!$D$17)/(Settings!$D$15+Settings!$D$16+Settings!$D$17),2),""),"")</f>
        <v/>
      </c>
      <c r="AA216" s="34">
        <f>IF(COUNT(V216:Z216)=0,"",ROUND(AVERAGE(V216:Z216),2))</f>
        <v/>
      </c>
      <c r="AB216" s="35">
        <f>IF($A216="","",COUNT(V216:Z216))</f>
        <v/>
      </c>
      <c r="AC216" s="36" t="n"/>
      <c r="AD216" s="35">
        <f>IF(AA216="","",SUMPRODUCT(ISNUMBER($AA$6:$AA$305)*($AA$6:$AA$305&gt;AA216))+SUMPRODUCT(($AA$6:AA216=AA216)*1))</f>
        <v/>
      </c>
      <c r="AE216" s="35">
        <f>IF(AA216="","",SUMPRODUCT(($E$6:$E$305=E216)*ISNUMBER($AA$6:$AA$305)*($AA$6:$AA$305&gt;AA216))+SUMPRODUCT(($E$6:E216=E216)*($AA$6:AA216=AA216)))</f>
        <v/>
      </c>
    </row>
    <row r="217">
      <c r="A217" s="31">
        <f>IF(Submissions!AD213="","",212)</f>
        <v/>
      </c>
      <c r="B217" s="10">
        <f>IF($A217="","",IF(Settings!$B$4="Yes","Submission "&amp;$A217,Submissions!AD213))</f>
        <v/>
      </c>
      <c r="C217" s="31">
        <f>IF($A217="","",IF(Settings!$B$4="Yes","(hidden)",Submissions!AE213))</f>
        <v/>
      </c>
      <c r="D217" s="31">
        <f>IF($A217="","",Submissions!AF213)</f>
        <v/>
      </c>
      <c r="E217" s="31">
        <f>IF($A217="","",Submissions!AG213)</f>
        <v/>
      </c>
      <c r="F217" s="31">
        <f>IF($A217="","",Submissions!AH213)</f>
        <v/>
      </c>
      <c r="G217" s="37" t="n"/>
      <c r="H217" s="37" t="n"/>
      <c r="I217" s="37" t="n"/>
      <c r="J217" s="37" t="n"/>
      <c r="K217" s="37" t="n"/>
      <c r="L217" s="37" t="n"/>
      <c r="M217" s="37" t="n"/>
      <c r="N217" s="37" t="n"/>
      <c r="O217" s="37" t="n"/>
      <c r="P217" s="37" t="n"/>
      <c r="Q217" s="37" t="n"/>
      <c r="R217" s="37" t="n"/>
      <c r="S217" s="37" t="n"/>
      <c r="T217" s="37" t="n"/>
      <c r="U217" s="37" t="n"/>
      <c r="V217" s="33">
        <f>IF(COUNT(G217:I217)=3,IFERROR(ROUND((G217*Settings!$D$15+H217*Settings!$D$16+I217*Settings!$D$17)/(Settings!$D$15+Settings!$D$16+Settings!$D$17),2),""),"")</f>
        <v/>
      </c>
      <c r="W217" s="33">
        <f>IF(COUNT(J217:L217)=3,IFERROR(ROUND((J217*Settings!$D$15+K217*Settings!$D$16+L217*Settings!$D$17)/(Settings!$D$15+Settings!$D$16+Settings!$D$17),2),""),"")</f>
        <v/>
      </c>
      <c r="X217" s="33">
        <f>IF(COUNT(M217:O217)=3,IFERROR(ROUND((M217*Settings!$D$15+N217*Settings!$D$16+O217*Settings!$D$17)/(Settings!$D$15+Settings!$D$16+Settings!$D$17),2),""),"")</f>
        <v/>
      </c>
      <c r="Y217" s="33">
        <f>IF(COUNT(P217:R217)=3,IFERROR(ROUND((P217*Settings!$D$15+Q217*Settings!$D$16+R217*Settings!$D$17)/(Settings!$D$15+Settings!$D$16+Settings!$D$17),2),""),"")</f>
        <v/>
      </c>
      <c r="Z217" s="33">
        <f>IF(COUNT(S217:U217)=3,IFERROR(ROUND((S217*Settings!$D$15+T217*Settings!$D$16+U217*Settings!$D$17)/(Settings!$D$15+Settings!$D$16+Settings!$D$17),2),""),"")</f>
        <v/>
      </c>
      <c r="AA217" s="34">
        <f>IF(COUNT(V217:Z217)=0,"",ROUND(AVERAGE(V217:Z217),2))</f>
        <v/>
      </c>
      <c r="AB217" s="35">
        <f>IF($A217="","",COUNT(V217:Z217))</f>
        <v/>
      </c>
      <c r="AC217" s="36" t="n"/>
      <c r="AD217" s="35">
        <f>IF(AA217="","",SUMPRODUCT(ISNUMBER($AA$6:$AA$305)*($AA$6:$AA$305&gt;AA217))+SUMPRODUCT(($AA$6:AA217=AA217)*1))</f>
        <v/>
      </c>
      <c r="AE217" s="35">
        <f>IF(AA217="","",SUMPRODUCT(($E$6:$E$305=E217)*ISNUMBER($AA$6:$AA$305)*($AA$6:$AA$305&gt;AA217))+SUMPRODUCT(($E$6:E217=E217)*($AA$6:AA217=AA217)))</f>
        <v/>
      </c>
    </row>
    <row r="218">
      <c r="A218" s="31">
        <f>IF(Submissions!AD214="","",213)</f>
        <v/>
      </c>
      <c r="B218" s="10">
        <f>IF($A218="","",IF(Settings!$B$4="Yes","Submission "&amp;$A218,Submissions!AD214))</f>
        <v/>
      </c>
      <c r="C218" s="31">
        <f>IF($A218="","",IF(Settings!$B$4="Yes","(hidden)",Submissions!AE214))</f>
        <v/>
      </c>
      <c r="D218" s="31">
        <f>IF($A218="","",Submissions!AF214)</f>
        <v/>
      </c>
      <c r="E218" s="31">
        <f>IF($A218="","",Submissions!AG214)</f>
        <v/>
      </c>
      <c r="F218" s="31">
        <f>IF($A218="","",Submissions!AH214)</f>
        <v/>
      </c>
      <c r="G218" s="37" t="n"/>
      <c r="H218" s="37" t="n"/>
      <c r="I218" s="37" t="n"/>
      <c r="J218" s="37" t="n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3">
        <f>IF(COUNT(G218:I218)=3,IFERROR(ROUND((G218*Settings!$D$15+H218*Settings!$D$16+I218*Settings!$D$17)/(Settings!$D$15+Settings!$D$16+Settings!$D$17),2),""),"")</f>
        <v/>
      </c>
      <c r="W218" s="33">
        <f>IF(COUNT(J218:L218)=3,IFERROR(ROUND((J218*Settings!$D$15+K218*Settings!$D$16+L218*Settings!$D$17)/(Settings!$D$15+Settings!$D$16+Settings!$D$17),2),""),"")</f>
        <v/>
      </c>
      <c r="X218" s="33">
        <f>IF(COUNT(M218:O218)=3,IFERROR(ROUND((M218*Settings!$D$15+N218*Settings!$D$16+O218*Settings!$D$17)/(Settings!$D$15+Settings!$D$16+Settings!$D$17),2),""),"")</f>
        <v/>
      </c>
      <c r="Y218" s="33">
        <f>IF(COUNT(P218:R218)=3,IFERROR(ROUND((P218*Settings!$D$15+Q218*Settings!$D$16+R218*Settings!$D$17)/(Settings!$D$15+Settings!$D$16+Settings!$D$17),2),""),"")</f>
        <v/>
      </c>
      <c r="Z218" s="33">
        <f>IF(COUNT(S218:U218)=3,IFERROR(ROUND((S218*Settings!$D$15+T218*Settings!$D$16+U218*Settings!$D$17)/(Settings!$D$15+Settings!$D$16+Settings!$D$17),2),""),"")</f>
        <v/>
      </c>
      <c r="AA218" s="34">
        <f>IF(COUNT(V218:Z218)=0,"",ROUND(AVERAGE(V218:Z218),2))</f>
        <v/>
      </c>
      <c r="AB218" s="35">
        <f>IF($A218="","",COUNT(V218:Z218))</f>
        <v/>
      </c>
      <c r="AC218" s="36" t="n"/>
      <c r="AD218" s="35">
        <f>IF(AA218="","",SUMPRODUCT(ISNUMBER($AA$6:$AA$305)*($AA$6:$AA$305&gt;AA218))+SUMPRODUCT(($AA$6:AA218=AA218)*1))</f>
        <v/>
      </c>
      <c r="AE218" s="35">
        <f>IF(AA218="","",SUMPRODUCT(($E$6:$E$305=E218)*ISNUMBER($AA$6:$AA$305)*($AA$6:$AA$305&gt;AA218))+SUMPRODUCT(($E$6:E218=E218)*($AA$6:AA218=AA218)))</f>
        <v/>
      </c>
    </row>
    <row r="219">
      <c r="A219" s="31">
        <f>IF(Submissions!AD215="","",214)</f>
        <v/>
      </c>
      <c r="B219" s="10">
        <f>IF($A219="","",IF(Settings!$B$4="Yes","Submission "&amp;$A219,Submissions!AD215))</f>
        <v/>
      </c>
      <c r="C219" s="31">
        <f>IF($A219="","",IF(Settings!$B$4="Yes","(hidden)",Submissions!AE215))</f>
        <v/>
      </c>
      <c r="D219" s="31">
        <f>IF($A219="","",Submissions!AF215)</f>
        <v/>
      </c>
      <c r="E219" s="31">
        <f>IF($A219="","",Submissions!AG215)</f>
        <v/>
      </c>
      <c r="F219" s="31">
        <f>IF($A219="","",Submissions!AH215)</f>
        <v/>
      </c>
      <c r="G219" s="37" t="n"/>
      <c r="H219" s="37" t="n"/>
      <c r="I219" s="37" t="n"/>
      <c r="J219" s="37" t="n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3">
        <f>IF(COUNT(G219:I219)=3,IFERROR(ROUND((G219*Settings!$D$15+H219*Settings!$D$16+I219*Settings!$D$17)/(Settings!$D$15+Settings!$D$16+Settings!$D$17),2),""),"")</f>
        <v/>
      </c>
      <c r="W219" s="33">
        <f>IF(COUNT(J219:L219)=3,IFERROR(ROUND((J219*Settings!$D$15+K219*Settings!$D$16+L219*Settings!$D$17)/(Settings!$D$15+Settings!$D$16+Settings!$D$17),2),""),"")</f>
        <v/>
      </c>
      <c r="X219" s="33">
        <f>IF(COUNT(M219:O219)=3,IFERROR(ROUND((M219*Settings!$D$15+N219*Settings!$D$16+O219*Settings!$D$17)/(Settings!$D$15+Settings!$D$16+Settings!$D$17),2),""),"")</f>
        <v/>
      </c>
      <c r="Y219" s="33">
        <f>IF(COUNT(P219:R219)=3,IFERROR(ROUND((P219*Settings!$D$15+Q219*Settings!$D$16+R219*Settings!$D$17)/(Settings!$D$15+Settings!$D$16+Settings!$D$17),2),""),"")</f>
        <v/>
      </c>
      <c r="Z219" s="33">
        <f>IF(COUNT(S219:U219)=3,IFERROR(ROUND((S219*Settings!$D$15+T219*Settings!$D$16+U219*Settings!$D$17)/(Settings!$D$15+Settings!$D$16+Settings!$D$17),2),""),"")</f>
        <v/>
      </c>
      <c r="AA219" s="34">
        <f>IF(COUNT(V219:Z219)=0,"",ROUND(AVERAGE(V219:Z219),2))</f>
        <v/>
      </c>
      <c r="AB219" s="35">
        <f>IF($A219="","",COUNT(V219:Z219))</f>
        <v/>
      </c>
      <c r="AC219" s="36" t="n"/>
      <c r="AD219" s="35">
        <f>IF(AA219="","",SUMPRODUCT(ISNUMBER($AA$6:$AA$305)*($AA$6:$AA$305&gt;AA219))+SUMPRODUCT(($AA$6:AA219=AA219)*1))</f>
        <v/>
      </c>
      <c r="AE219" s="35">
        <f>IF(AA219="","",SUMPRODUCT(($E$6:$E$305=E219)*ISNUMBER($AA$6:$AA$305)*($AA$6:$AA$305&gt;AA219))+SUMPRODUCT(($E$6:E219=E219)*($AA$6:AA219=AA219)))</f>
        <v/>
      </c>
    </row>
    <row r="220">
      <c r="A220" s="31">
        <f>IF(Submissions!AD216="","",215)</f>
        <v/>
      </c>
      <c r="B220" s="10">
        <f>IF($A220="","",IF(Settings!$B$4="Yes","Submission "&amp;$A220,Submissions!AD216))</f>
        <v/>
      </c>
      <c r="C220" s="31">
        <f>IF($A220="","",IF(Settings!$B$4="Yes","(hidden)",Submissions!AE216))</f>
        <v/>
      </c>
      <c r="D220" s="31">
        <f>IF($A220="","",Submissions!AF216)</f>
        <v/>
      </c>
      <c r="E220" s="31">
        <f>IF($A220="","",Submissions!AG216)</f>
        <v/>
      </c>
      <c r="F220" s="31">
        <f>IF($A220="","",Submissions!AH216)</f>
        <v/>
      </c>
      <c r="G220" s="37" t="n"/>
      <c r="H220" s="37" t="n"/>
      <c r="I220" s="37" t="n"/>
      <c r="J220" s="37" t="n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3">
        <f>IF(COUNT(G220:I220)=3,IFERROR(ROUND((G220*Settings!$D$15+H220*Settings!$D$16+I220*Settings!$D$17)/(Settings!$D$15+Settings!$D$16+Settings!$D$17),2),""),"")</f>
        <v/>
      </c>
      <c r="W220" s="33">
        <f>IF(COUNT(J220:L220)=3,IFERROR(ROUND((J220*Settings!$D$15+K220*Settings!$D$16+L220*Settings!$D$17)/(Settings!$D$15+Settings!$D$16+Settings!$D$17),2),""),"")</f>
        <v/>
      </c>
      <c r="X220" s="33">
        <f>IF(COUNT(M220:O220)=3,IFERROR(ROUND((M220*Settings!$D$15+N220*Settings!$D$16+O220*Settings!$D$17)/(Settings!$D$15+Settings!$D$16+Settings!$D$17),2),""),"")</f>
        <v/>
      </c>
      <c r="Y220" s="33">
        <f>IF(COUNT(P220:R220)=3,IFERROR(ROUND((P220*Settings!$D$15+Q220*Settings!$D$16+R220*Settings!$D$17)/(Settings!$D$15+Settings!$D$16+Settings!$D$17),2),""),"")</f>
        <v/>
      </c>
      <c r="Z220" s="33">
        <f>IF(COUNT(S220:U220)=3,IFERROR(ROUND((S220*Settings!$D$15+T220*Settings!$D$16+U220*Settings!$D$17)/(Settings!$D$15+Settings!$D$16+Settings!$D$17),2),""),"")</f>
        <v/>
      </c>
      <c r="AA220" s="34">
        <f>IF(COUNT(V220:Z220)=0,"",ROUND(AVERAGE(V220:Z220),2))</f>
        <v/>
      </c>
      <c r="AB220" s="35">
        <f>IF($A220="","",COUNT(V220:Z220))</f>
        <v/>
      </c>
      <c r="AC220" s="36" t="n"/>
      <c r="AD220" s="35">
        <f>IF(AA220="","",SUMPRODUCT(ISNUMBER($AA$6:$AA$305)*($AA$6:$AA$305&gt;AA220))+SUMPRODUCT(($AA$6:AA220=AA220)*1))</f>
        <v/>
      </c>
      <c r="AE220" s="35">
        <f>IF(AA220="","",SUMPRODUCT(($E$6:$E$305=E220)*ISNUMBER($AA$6:$AA$305)*($AA$6:$AA$305&gt;AA220))+SUMPRODUCT(($E$6:E220=E220)*($AA$6:AA220=AA220)))</f>
        <v/>
      </c>
    </row>
    <row r="221">
      <c r="A221" s="31">
        <f>IF(Submissions!AD217="","",216)</f>
        <v/>
      </c>
      <c r="B221" s="10">
        <f>IF($A221="","",IF(Settings!$B$4="Yes","Submission "&amp;$A221,Submissions!AD217))</f>
        <v/>
      </c>
      <c r="C221" s="31">
        <f>IF($A221="","",IF(Settings!$B$4="Yes","(hidden)",Submissions!AE217))</f>
        <v/>
      </c>
      <c r="D221" s="31">
        <f>IF($A221="","",Submissions!AF217)</f>
        <v/>
      </c>
      <c r="E221" s="31">
        <f>IF($A221="","",Submissions!AG217)</f>
        <v/>
      </c>
      <c r="F221" s="31">
        <f>IF($A221="","",Submissions!AH217)</f>
        <v/>
      </c>
      <c r="G221" s="37" t="n"/>
      <c r="H221" s="37" t="n"/>
      <c r="I221" s="37" t="n"/>
      <c r="J221" s="37" t="n"/>
      <c r="K221" s="37" t="n"/>
      <c r="L221" s="37" t="n"/>
      <c r="M221" s="37" t="n"/>
      <c r="N221" s="37" t="n"/>
      <c r="O221" s="37" t="n"/>
      <c r="P221" s="37" t="n"/>
      <c r="Q221" s="37" t="n"/>
      <c r="R221" s="37" t="n"/>
      <c r="S221" s="37" t="n"/>
      <c r="T221" s="37" t="n"/>
      <c r="U221" s="37" t="n"/>
      <c r="V221" s="33">
        <f>IF(COUNT(G221:I221)=3,IFERROR(ROUND((G221*Settings!$D$15+H221*Settings!$D$16+I221*Settings!$D$17)/(Settings!$D$15+Settings!$D$16+Settings!$D$17),2),""),"")</f>
        <v/>
      </c>
      <c r="W221" s="33">
        <f>IF(COUNT(J221:L221)=3,IFERROR(ROUND((J221*Settings!$D$15+K221*Settings!$D$16+L221*Settings!$D$17)/(Settings!$D$15+Settings!$D$16+Settings!$D$17),2),""),"")</f>
        <v/>
      </c>
      <c r="X221" s="33">
        <f>IF(COUNT(M221:O221)=3,IFERROR(ROUND((M221*Settings!$D$15+N221*Settings!$D$16+O221*Settings!$D$17)/(Settings!$D$15+Settings!$D$16+Settings!$D$17),2),""),"")</f>
        <v/>
      </c>
      <c r="Y221" s="33">
        <f>IF(COUNT(P221:R221)=3,IFERROR(ROUND((P221*Settings!$D$15+Q221*Settings!$D$16+R221*Settings!$D$17)/(Settings!$D$15+Settings!$D$16+Settings!$D$17),2),""),"")</f>
        <v/>
      </c>
      <c r="Z221" s="33">
        <f>IF(COUNT(S221:U221)=3,IFERROR(ROUND((S221*Settings!$D$15+T221*Settings!$D$16+U221*Settings!$D$17)/(Settings!$D$15+Settings!$D$16+Settings!$D$17),2),""),"")</f>
        <v/>
      </c>
      <c r="AA221" s="34">
        <f>IF(COUNT(V221:Z221)=0,"",ROUND(AVERAGE(V221:Z221),2))</f>
        <v/>
      </c>
      <c r="AB221" s="35">
        <f>IF($A221="","",COUNT(V221:Z221))</f>
        <v/>
      </c>
      <c r="AC221" s="36" t="n"/>
      <c r="AD221" s="35">
        <f>IF(AA221="","",SUMPRODUCT(ISNUMBER($AA$6:$AA$305)*($AA$6:$AA$305&gt;AA221))+SUMPRODUCT(($AA$6:AA221=AA221)*1))</f>
        <v/>
      </c>
      <c r="AE221" s="35">
        <f>IF(AA221="","",SUMPRODUCT(($E$6:$E$305=E221)*ISNUMBER($AA$6:$AA$305)*($AA$6:$AA$305&gt;AA221))+SUMPRODUCT(($E$6:E221=E221)*($AA$6:AA221=AA221)))</f>
        <v/>
      </c>
    </row>
    <row r="222">
      <c r="A222" s="31">
        <f>IF(Submissions!AD218="","",217)</f>
        <v/>
      </c>
      <c r="B222" s="10">
        <f>IF($A222="","",IF(Settings!$B$4="Yes","Submission "&amp;$A222,Submissions!AD218))</f>
        <v/>
      </c>
      <c r="C222" s="31">
        <f>IF($A222="","",IF(Settings!$B$4="Yes","(hidden)",Submissions!AE218))</f>
        <v/>
      </c>
      <c r="D222" s="31">
        <f>IF($A222="","",Submissions!AF218)</f>
        <v/>
      </c>
      <c r="E222" s="31">
        <f>IF($A222="","",Submissions!AG218)</f>
        <v/>
      </c>
      <c r="F222" s="31">
        <f>IF($A222="","",Submissions!AH218)</f>
        <v/>
      </c>
      <c r="G222" s="37" t="n"/>
      <c r="H222" s="37" t="n"/>
      <c r="I222" s="37" t="n"/>
      <c r="J222" s="37" t="n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3">
        <f>IF(COUNT(G222:I222)=3,IFERROR(ROUND((G222*Settings!$D$15+H222*Settings!$D$16+I222*Settings!$D$17)/(Settings!$D$15+Settings!$D$16+Settings!$D$17),2),""),"")</f>
        <v/>
      </c>
      <c r="W222" s="33">
        <f>IF(COUNT(J222:L222)=3,IFERROR(ROUND((J222*Settings!$D$15+K222*Settings!$D$16+L222*Settings!$D$17)/(Settings!$D$15+Settings!$D$16+Settings!$D$17),2),""),"")</f>
        <v/>
      </c>
      <c r="X222" s="33">
        <f>IF(COUNT(M222:O222)=3,IFERROR(ROUND((M222*Settings!$D$15+N222*Settings!$D$16+O222*Settings!$D$17)/(Settings!$D$15+Settings!$D$16+Settings!$D$17),2),""),"")</f>
        <v/>
      </c>
      <c r="Y222" s="33">
        <f>IF(COUNT(P222:R222)=3,IFERROR(ROUND((P222*Settings!$D$15+Q222*Settings!$D$16+R222*Settings!$D$17)/(Settings!$D$15+Settings!$D$16+Settings!$D$17),2),""),"")</f>
        <v/>
      </c>
      <c r="Z222" s="33">
        <f>IF(COUNT(S222:U222)=3,IFERROR(ROUND((S222*Settings!$D$15+T222*Settings!$D$16+U222*Settings!$D$17)/(Settings!$D$15+Settings!$D$16+Settings!$D$17),2),""),"")</f>
        <v/>
      </c>
      <c r="AA222" s="34">
        <f>IF(COUNT(V222:Z222)=0,"",ROUND(AVERAGE(V222:Z222),2))</f>
        <v/>
      </c>
      <c r="AB222" s="35">
        <f>IF($A222="","",COUNT(V222:Z222))</f>
        <v/>
      </c>
      <c r="AC222" s="36" t="n"/>
      <c r="AD222" s="35">
        <f>IF(AA222="","",SUMPRODUCT(ISNUMBER($AA$6:$AA$305)*($AA$6:$AA$305&gt;AA222))+SUMPRODUCT(($AA$6:AA222=AA222)*1))</f>
        <v/>
      </c>
      <c r="AE222" s="35">
        <f>IF(AA222="","",SUMPRODUCT(($E$6:$E$305=E222)*ISNUMBER($AA$6:$AA$305)*($AA$6:$AA$305&gt;AA222))+SUMPRODUCT(($E$6:E222=E222)*($AA$6:AA222=AA222)))</f>
        <v/>
      </c>
    </row>
    <row r="223">
      <c r="A223" s="31">
        <f>IF(Submissions!AD219="","",218)</f>
        <v/>
      </c>
      <c r="B223" s="10">
        <f>IF($A223="","",IF(Settings!$B$4="Yes","Submission "&amp;$A223,Submissions!AD219))</f>
        <v/>
      </c>
      <c r="C223" s="31">
        <f>IF($A223="","",IF(Settings!$B$4="Yes","(hidden)",Submissions!AE219))</f>
        <v/>
      </c>
      <c r="D223" s="31">
        <f>IF($A223="","",Submissions!AF219)</f>
        <v/>
      </c>
      <c r="E223" s="31">
        <f>IF($A223="","",Submissions!AG219)</f>
        <v/>
      </c>
      <c r="F223" s="31">
        <f>IF($A223="","",Submissions!AH219)</f>
        <v/>
      </c>
      <c r="G223" s="37" t="n"/>
      <c r="H223" s="37" t="n"/>
      <c r="I223" s="37" t="n"/>
      <c r="J223" s="37" t="n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3">
        <f>IF(COUNT(G223:I223)=3,IFERROR(ROUND((G223*Settings!$D$15+H223*Settings!$D$16+I223*Settings!$D$17)/(Settings!$D$15+Settings!$D$16+Settings!$D$17),2),""),"")</f>
        <v/>
      </c>
      <c r="W223" s="33">
        <f>IF(COUNT(J223:L223)=3,IFERROR(ROUND((J223*Settings!$D$15+K223*Settings!$D$16+L223*Settings!$D$17)/(Settings!$D$15+Settings!$D$16+Settings!$D$17),2),""),"")</f>
        <v/>
      </c>
      <c r="X223" s="33">
        <f>IF(COUNT(M223:O223)=3,IFERROR(ROUND((M223*Settings!$D$15+N223*Settings!$D$16+O223*Settings!$D$17)/(Settings!$D$15+Settings!$D$16+Settings!$D$17),2),""),"")</f>
        <v/>
      </c>
      <c r="Y223" s="33">
        <f>IF(COUNT(P223:R223)=3,IFERROR(ROUND((P223*Settings!$D$15+Q223*Settings!$D$16+R223*Settings!$D$17)/(Settings!$D$15+Settings!$D$16+Settings!$D$17),2),""),"")</f>
        <v/>
      </c>
      <c r="Z223" s="33">
        <f>IF(COUNT(S223:U223)=3,IFERROR(ROUND((S223*Settings!$D$15+T223*Settings!$D$16+U223*Settings!$D$17)/(Settings!$D$15+Settings!$D$16+Settings!$D$17),2),""),"")</f>
        <v/>
      </c>
      <c r="AA223" s="34">
        <f>IF(COUNT(V223:Z223)=0,"",ROUND(AVERAGE(V223:Z223),2))</f>
        <v/>
      </c>
      <c r="AB223" s="35">
        <f>IF($A223="","",COUNT(V223:Z223))</f>
        <v/>
      </c>
      <c r="AC223" s="36" t="n"/>
      <c r="AD223" s="35">
        <f>IF(AA223="","",SUMPRODUCT(ISNUMBER($AA$6:$AA$305)*($AA$6:$AA$305&gt;AA223))+SUMPRODUCT(($AA$6:AA223=AA223)*1))</f>
        <v/>
      </c>
      <c r="AE223" s="35">
        <f>IF(AA223="","",SUMPRODUCT(($E$6:$E$305=E223)*ISNUMBER($AA$6:$AA$305)*($AA$6:$AA$305&gt;AA223))+SUMPRODUCT(($E$6:E223=E223)*($AA$6:AA223=AA223)))</f>
        <v/>
      </c>
    </row>
    <row r="224">
      <c r="A224" s="31">
        <f>IF(Submissions!AD220="","",219)</f>
        <v/>
      </c>
      <c r="B224" s="10">
        <f>IF($A224="","",IF(Settings!$B$4="Yes","Submission "&amp;$A224,Submissions!AD220))</f>
        <v/>
      </c>
      <c r="C224" s="31">
        <f>IF($A224="","",IF(Settings!$B$4="Yes","(hidden)",Submissions!AE220))</f>
        <v/>
      </c>
      <c r="D224" s="31">
        <f>IF($A224="","",Submissions!AF220)</f>
        <v/>
      </c>
      <c r="E224" s="31">
        <f>IF($A224="","",Submissions!AG220)</f>
        <v/>
      </c>
      <c r="F224" s="31">
        <f>IF($A224="","",Submissions!AH220)</f>
        <v/>
      </c>
      <c r="G224" s="37" t="n"/>
      <c r="H224" s="37" t="n"/>
      <c r="I224" s="37" t="n"/>
      <c r="J224" s="37" t="n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3">
        <f>IF(COUNT(G224:I224)=3,IFERROR(ROUND((G224*Settings!$D$15+H224*Settings!$D$16+I224*Settings!$D$17)/(Settings!$D$15+Settings!$D$16+Settings!$D$17),2),""),"")</f>
        <v/>
      </c>
      <c r="W224" s="33">
        <f>IF(COUNT(J224:L224)=3,IFERROR(ROUND((J224*Settings!$D$15+K224*Settings!$D$16+L224*Settings!$D$17)/(Settings!$D$15+Settings!$D$16+Settings!$D$17),2),""),"")</f>
        <v/>
      </c>
      <c r="X224" s="33">
        <f>IF(COUNT(M224:O224)=3,IFERROR(ROUND((M224*Settings!$D$15+N224*Settings!$D$16+O224*Settings!$D$17)/(Settings!$D$15+Settings!$D$16+Settings!$D$17),2),""),"")</f>
        <v/>
      </c>
      <c r="Y224" s="33">
        <f>IF(COUNT(P224:R224)=3,IFERROR(ROUND((P224*Settings!$D$15+Q224*Settings!$D$16+R224*Settings!$D$17)/(Settings!$D$15+Settings!$D$16+Settings!$D$17),2),""),"")</f>
        <v/>
      </c>
      <c r="Z224" s="33">
        <f>IF(COUNT(S224:U224)=3,IFERROR(ROUND((S224*Settings!$D$15+T224*Settings!$D$16+U224*Settings!$D$17)/(Settings!$D$15+Settings!$D$16+Settings!$D$17),2),""),"")</f>
        <v/>
      </c>
      <c r="AA224" s="34">
        <f>IF(COUNT(V224:Z224)=0,"",ROUND(AVERAGE(V224:Z224),2))</f>
        <v/>
      </c>
      <c r="AB224" s="35">
        <f>IF($A224="","",COUNT(V224:Z224))</f>
        <v/>
      </c>
      <c r="AC224" s="36" t="n"/>
      <c r="AD224" s="35">
        <f>IF(AA224="","",SUMPRODUCT(ISNUMBER($AA$6:$AA$305)*($AA$6:$AA$305&gt;AA224))+SUMPRODUCT(($AA$6:AA224=AA224)*1))</f>
        <v/>
      </c>
      <c r="AE224" s="35">
        <f>IF(AA224="","",SUMPRODUCT(($E$6:$E$305=E224)*ISNUMBER($AA$6:$AA$305)*($AA$6:$AA$305&gt;AA224))+SUMPRODUCT(($E$6:E224=E224)*($AA$6:AA224=AA224)))</f>
        <v/>
      </c>
    </row>
    <row r="225">
      <c r="A225" s="31">
        <f>IF(Submissions!AD221="","",220)</f>
        <v/>
      </c>
      <c r="B225" s="10">
        <f>IF($A225="","",IF(Settings!$B$4="Yes","Submission "&amp;$A225,Submissions!AD221))</f>
        <v/>
      </c>
      <c r="C225" s="31">
        <f>IF($A225="","",IF(Settings!$B$4="Yes","(hidden)",Submissions!AE221))</f>
        <v/>
      </c>
      <c r="D225" s="31">
        <f>IF($A225="","",Submissions!AF221)</f>
        <v/>
      </c>
      <c r="E225" s="31">
        <f>IF($A225="","",Submissions!AG221)</f>
        <v/>
      </c>
      <c r="F225" s="31">
        <f>IF($A225="","",Submissions!AH221)</f>
        <v/>
      </c>
      <c r="G225" s="37" t="n"/>
      <c r="H225" s="37" t="n"/>
      <c r="I225" s="37" t="n"/>
      <c r="J225" s="37" t="n"/>
      <c r="K225" s="37" t="n"/>
      <c r="L225" s="37" t="n"/>
      <c r="M225" s="37" t="n"/>
      <c r="N225" s="37" t="n"/>
      <c r="O225" s="37" t="n"/>
      <c r="P225" s="37" t="n"/>
      <c r="Q225" s="37" t="n"/>
      <c r="R225" s="37" t="n"/>
      <c r="S225" s="37" t="n"/>
      <c r="T225" s="37" t="n"/>
      <c r="U225" s="37" t="n"/>
      <c r="V225" s="33">
        <f>IF(COUNT(G225:I225)=3,IFERROR(ROUND((G225*Settings!$D$15+H225*Settings!$D$16+I225*Settings!$D$17)/(Settings!$D$15+Settings!$D$16+Settings!$D$17),2),""),"")</f>
        <v/>
      </c>
      <c r="W225" s="33">
        <f>IF(COUNT(J225:L225)=3,IFERROR(ROUND((J225*Settings!$D$15+K225*Settings!$D$16+L225*Settings!$D$17)/(Settings!$D$15+Settings!$D$16+Settings!$D$17),2),""),"")</f>
        <v/>
      </c>
      <c r="X225" s="33">
        <f>IF(COUNT(M225:O225)=3,IFERROR(ROUND((M225*Settings!$D$15+N225*Settings!$D$16+O225*Settings!$D$17)/(Settings!$D$15+Settings!$D$16+Settings!$D$17),2),""),"")</f>
        <v/>
      </c>
      <c r="Y225" s="33">
        <f>IF(COUNT(P225:R225)=3,IFERROR(ROUND((P225*Settings!$D$15+Q225*Settings!$D$16+R225*Settings!$D$17)/(Settings!$D$15+Settings!$D$16+Settings!$D$17),2),""),"")</f>
        <v/>
      </c>
      <c r="Z225" s="33">
        <f>IF(COUNT(S225:U225)=3,IFERROR(ROUND((S225*Settings!$D$15+T225*Settings!$D$16+U225*Settings!$D$17)/(Settings!$D$15+Settings!$D$16+Settings!$D$17),2),""),"")</f>
        <v/>
      </c>
      <c r="AA225" s="34">
        <f>IF(COUNT(V225:Z225)=0,"",ROUND(AVERAGE(V225:Z225),2))</f>
        <v/>
      </c>
      <c r="AB225" s="35">
        <f>IF($A225="","",COUNT(V225:Z225))</f>
        <v/>
      </c>
      <c r="AC225" s="36" t="n"/>
      <c r="AD225" s="35">
        <f>IF(AA225="","",SUMPRODUCT(ISNUMBER($AA$6:$AA$305)*($AA$6:$AA$305&gt;AA225))+SUMPRODUCT(($AA$6:AA225=AA225)*1))</f>
        <v/>
      </c>
      <c r="AE225" s="35">
        <f>IF(AA225="","",SUMPRODUCT(($E$6:$E$305=E225)*ISNUMBER($AA$6:$AA$305)*($AA$6:$AA$305&gt;AA225))+SUMPRODUCT(($E$6:E225=E225)*($AA$6:AA225=AA225)))</f>
        <v/>
      </c>
    </row>
    <row r="226">
      <c r="A226" s="31">
        <f>IF(Submissions!AD222="","",221)</f>
        <v/>
      </c>
      <c r="B226" s="10">
        <f>IF($A226="","",IF(Settings!$B$4="Yes","Submission "&amp;$A226,Submissions!AD222))</f>
        <v/>
      </c>
      <c r="C226" s="31">
        <f>IF($A226="","",IF(Settings!$B$4="Yes","(hidden)",Submissions!AE222))</f>
        <v/>
      </c>
      <c r="D226" s="31">
        <f>IF($A226="","",Submissions!AF222)</f>
        <v/>
      </c>
      <c r="E226" s="31">
        <f>IF($A226="","",Submissions!AG222)</f>
        <v/>
      </c>
      <c r="F226" s="31">
        <f>IF($A226="","",Submissions!AH222)</f>
        <v/>
      </c>
      <c r="G226" s="37" t="n"/>
      <c r="H226" s="37" t="n"/>
      <c r="I226" s="37" t="n"/>
      <c r="J226" s="37" t="n"/>
      <c r="K226" s="37" t="n"/>
      <c r="L226" s="37" t="n"/>
      <c r="M226" s="37" t="n"/>
      <c r="N226" s="37" t="n"/>
      <c r="O226" s="37" t="n"/>
      <c r="P226" s="37" t="n"/>
      <c r="Q226" s="37" t="n"/>
      <c r="R226" s="37" t="n"/>
      <c r="S226" s="37" t="n"/>
      <c r="T226" s="37" t="n"/>
      <c r="U226" s="37" t="n"/>
      <c r="V226" s="33">
        <f>IF(COUNT(G226:I226)=3,IFERROR(ROUND((G226*Settings!$D$15+H226*Settings!$D$16+I226*Settings!$D$17)/(Settings!$D$15+Settings!$D$16+Settings!$D$17),2),""),"")</f>
        <v/>
      </c>
      <c r="W226" s="33">
        <f>IF(COUNT(J226:L226)=3,IFERROR(ROUND((J226*Settings!$D$15+K226*Settings!$D$16+L226*Settings!$D$17)/(Settings!$D$15+Settings!$D$16+Settings!$D$17),2),""),"")</f>
        <v/>
      </c>
      <c r="X226" s="33">
        <f>IF(COUNT(M226:O226)=3,IFERROR(ROUND((M226*Settings!$D$15+N226*Settings!$D$16+O226*Settings!$D$17)/(Settings!$D$15+Settings!$D$16+Settings!$D$17),2),""),"")</f>
        <v/>
      </c>
      <c r="Y226" s="33">
        <f>IF(COUNT(P226:R226)=3,IFERROR(ROUND((P226*Settings!$D$15+Q226*Settings!$D$16+R226*Settings!$D$17)/(Settings!$D$15+Settings!$D$16+Settings!$D$17),2),""),"")</f>
        <v/>
      </c>
      <c r="Z226" s="33">
        <f>IF(COUNT(S226:U226)=3,IFERROR(ROUND((S226*Settings!$D$15+T226*Settings!$D$16+U226*Settings!$D$17)/(Settings!$D$15+Settings!$D$16+Settings!$D$17),2),""),"")</f>
        <v/>
      </c>
      <c r="AA226" s="34">
        <f>IF(COUNT(V226:Z226)=0,"",ROUND(AVERAGE(V226:Z226),2))</f>
        <v/>
      </c>
      <c r="AB226" s="35">
        <f>IF($A226="","",COUNT(V226:Z226))</f>
        <v/>
      </c>
      <c r="AC226" s="36" t="n"/>
      <c r="AD226" s="35">
        <f>IF(AA226="","",SUMPRODUCT(ISNUMBER($AA$6:$AA$305)*($AA$6:$AA$305&gt;AA226))+SUMPRODUCT(($AA$6:AA226=AA226)*1))</f>
        <v/>
      </c>
      <c r="AE226" s="35">
        <f>IF(AA226="","",SUMPRODUCT(($E$6:$E$305=E226)*ISNUMBER($AA$6:$AA$305)*($AA$6:$AA$305&gt;AA226))+SUMPRODUCT(($E$6:E226=E226)*($AA$6:AA226=AA226)))</f>
        <v/>
      </c>
    </row>
    <row r="227">
      <c r="A227" s="31">
        <f>IF(Submissions!AD223="","",222)</f>
        <v/>
      </c>
      <c r="B227" s="10">
        <f>IF($A227="","",IF(Settings!$B$4="Yes","Submission "&amp;$A227,Submissions!AD223))</f>
        <v/>
      </c>
      <c r="C227" s="31">
        <f>IF($A227="","",IF(Settings!$B$4="Yes","(hidden)",Submissions!AE223))</f>
        <v/>
      </c>
      <c r="D227" s="31">
        <f>IF($A227="","",Submissions!AF223)</f>
        <v/>
      </c>
      <c r="E227" s="31">
        <f>IF($A227="","",Submissions!AG223)</f>
        <v/>
      </c>
      <c r="F227" s="31">
        <f>IF($A227="","",Submissions!AH223)</f>
        <v/>
      </c>
      <c r="G227" s="37" t="n"/>
      <c r="H227" s="37" t="n"/>
      <c r="I227" s="37" t="n"/>
      <c r="J227" s="37" t="n"/>
      <c r="K227" s="37" t="n"/>
      <c r="L227" s="37" t="n"/>
      <c r="M227" s="37" t="n"/>
      <c r="N227" s="37" t="n"/>
      <c r="O227" s="37" t="n"/>
      <c r="P227" s="37" t="n"/>
      <c r="Q227" s="37" t="n"/>
      <c r="R227" s="37" t="n"/>
      <c r="S227" s="37" t="n"/>
      <c r="T227" s="37" t="n"/>
      <c r="U227" s="37" t="n"/>
      <c r="V227" s="33">
        <f>IF(COUNT(G227:I227)=3,IFERROR(ROUND((G227*Settings!$D$15+H227*Settings!$D$16+I227*Settings!$D$17)/(Settings!$D$15+Settings!$D$16+Settings!$D$17),2),""),"")</f>
        <v/>
      </c>
      <c r="W227" s="33">
        <f>IF(COUNT(J227:L227)=3,IFERROR(ROUND((J227*Settings!$D$15+K227*Settings!$D$16+L227*Settings!$D$17)/(Settings!$D$15+Settings!$D$16+Settings!$D$17),2),""),"")</f>
        <v/>
      </c>
      <c r="X227" s="33">
        <f>IF(COUNT(M227:O227)=3,IFERROR(ROUND((M227*Settings!$D$15+N227*Settings!$D$16+O227*Settings!$D$17)/(Settings!$D$15+Settings!$D$16+Settings!$D$17),2),""),"")</f>
        <v/>
      </c>
      <c r="Y227" s="33">
        <f>IF(COUNT(P227:R227)=3,IFERROR(ROUND((P227*Settings!$D$15+Q227*Settings!$D$16+R227*Settings!$D$17)/(Settings!$D$15+Settings!$D$16+Settings!$D$17),2),""),"")</f>
        <v/>
      </c>
      <c r="Z227" s="33">
        <f>IF(COUNT(S227:U227)=3,IFERROR(ROUND((S227*Settings!$D$15+T227*Settings!$D$16+U227*Settings!$D$17)/(Settings!$D$15+Settings!$D$16+Settings!$D$17),2),""),"")</f>
        <v/>
      </c>
      <c r="AA227" s="34">
        <f>IF(COUNT(V227:Z227)=0,"",ROUND(AVERAGE(V227:Z227),2))</f>
        <v/>
      </c>
      <c r="AB227" s="35">
        <f>IF($A227="","",COUNT(V227:Z227))</f>
        <v/>
      </c>
      <c r="AC227" s="36" t="n"/>
      <c r="AD227" s="35">
        <f>IF(AA227="","",SUMPRODUCT(ISNUMBER($AA$6:$AA$305)*($AA$6:$AA$305&gt;AA227))+SUMPRODUCT(($AA$6:AA227=AA227)*1))</f>
        <v/>
      </c>
      <c r="AE227" s="35">
        <f>IF(AA227="","",SUMPRODUCT(($E$6:$E$305=E227)*ISNUMBER($AA$6:$AA$305)*($AA$6:$AA$305&gt;AA227))+SUMPRODUCT(($E$6:E227=E227)*($AA$6:AA227=AA227)))</f>
        <v/>
      </c>
    </row>
    <row r="228">
      <c r="A228" s="31">
        <f>IF(Submissions!AD224="","",223)</f>
        <v/>
      </c>
      <c r="B228" s="10">
        <f>IF($A228="","",IF(Settings!$B$4="Yes","Submission "&amp;$A228,Submissions!AD224))</f>
        <v/>
      </c>
      <c r="C228" s="31">
        <f>IF($A228="","",IF(Settings!$B$4="Yes","(hidden)",Submissions!AE224))</f>
        <v/>
      </c>
      <c r="D228" s="31">
        <f>IF($A228="","",Submissions!AF224)</f>
        <v/>
      </c>
      <c r="E228" s="31">
        <f>IF($A228="","",Submissions!AG224)</f>
        <v/>
      </c>
      <c r="F228" s="31">
        <f>IF($A228="","",Submissions!AH224)</f>
        <v/>
      </c>
      <c r="G228" s="37" t="n"/>
      <c r="H228" s="37" t="n"/>
      <c r="I228" s="37" t="n"/>
      <c r="J228" s="37" t="n"/>
      <c r="K228" s="37" t="n"/>
      <c r="L228" s="37" t="n"/>
      <c r="M228" s="37" t="n"/>
      <c r="N228" s="37" t="n"/>
      <c r="O228" s="37" t="n"/>
      <c r="P228" s="37" t="n"/>
      <c r="Q228" s="37" t="n"/>
      <c r="R228" s="37" t="n"/>
      <c r="S228" s="37" t="n"/>
      <c r="T228" s="37" t="n"/>
      <c r="U228" s="37" t="n"/>
      <c r="V228" s="33">
        <f>IF(COUNT(G228:I228)=3,IFERROR(ROUND((G228*Settings!$D$15+H228*Settings!$D$16+I228*Settings!$D$17)/(Settings!$D$15+Settings!$D$16+Settings!$D$17),2),""),"")</f>
        <v/>
      </c>
      <c r="W228" s="33">
        <f>IF(COUNT(J228:L228)=3,IFERROR(ROUND((J228*Settings!$D$15+K228*Settings!$D$16+L228*Settings!$D$17)/(Settings!$D$15+Settings!$D$16+Settings!$D$17),2),""),"")</f>
        <v/>
      </c>
      <c r="X228" s="33">
        <f>IF(COUNT(M228:O228)=3,IFERROR(ROUND((M228*Settings!$D$15+N228*Settings!$D$16+O228*Settings!$D$17)/(Settings!$D$15+Settings!$D$16+Settings!$D$17),2),""),"")</f>
        <v/>
      </c>
      <c r="Y228" s="33">
        <f>IF(COUNT(P228:R228)=3,IFERROR(ROUND((P228*Settings!$D$15+Q228*Settings!$D$16+R228*Settings!$D$17)/(Settings!$D$15+Settings!$D$16+Settings!$D$17),2),""),"")</f>
        <v/>
      </c>
      <c r="Z228" s="33">
        <f>IF(COUNT(S228:U228)=3,IFERROR(ROUND((S228*Settings!$D$15+T228*Settings!$D$16+U228*Settings!$D$17)/(Settings!$D$15+Settings!$D$16+Settings!$D$17),2),""),"")</f>
        <v/>
      </c>
      <c r="AA228" s="34">
        <f>IF(COUNT(V228:Z228)=0,"",ROUND(AVERAGE(V228:Z228),2))</f>
        <v/>
      </c>
      <c r="AB228" s="35">
        <f>IF($A228="","",COUNT(V228:Z228))</f>
        <v/>
      </c>
      <c r="AC228" s="36" t="n"/>
      <c r="AD228" s="35">
        <f>IF(AA228="","",SUMPRODUCT(ISNUMBER($AA$6:$AA$305)*($AA$6:$AA$305&gt;AA228))+SUMPRODUCT(($AA$6:AA228=AA228)*1))</f>
        <v/>
      </c>
      <c r="AE228" s="35">
        <f>IF(AA228="","",SUMPRODUCT(($E$6:$E$305=E228)*ISNUMBER($AA$6:$AA$305)*($AA$6:$AA$305&gt;AA228))+SUMPRODUCT(($E$6:E228=E228)*($AA$6:AA228=AA228)))</f>
        <v/>
      </c>
    </row>
    <row r="229">
      <c r="A229" s="31">
        <f>IF(Submissions!AD225="","",224)</f>
        <v/>
      </c>
      <c r="B229" s="10">
        <f>IF($A229="","",IF(Settings!$B$4="Yes","Submission "&amp;$A229,Submissions!AD225))</f>
        <v/>
      </c>
      <c r="C229" s="31">
        <f>IF($A229="","",IF(Settings!$B$4="Yes","(hidden)",Submissions!AE225))</f>
        <v/>
      </c>
      <c r="D229" s="31">
        <f>IF($A229="","",Submissions!AF225)</f>
        <v/>
      </c>
      <c r="E229" s="31">
        <f>IF($A229="","",Submissions!AG225)</f>
        <v/>
      </c>
      <c r="F229" s="31">
        <f>IF($A229="","",Submissions!AH225)</f>
        <v/>
      </c>
      <c r="G229" s="37" t="n"/>
      <c r="H229" s="37" t="n"/>
      <c r="I229" s="37" t="n"/>
      <c r="J229" s="37" t="n"/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3">
        <f>IF(COUNT(G229:I229)=3,IFERROR(ROUND((G229*Settings!$D$15+H229*Settings!$D$16+I229*Settings!$D$17)/(Settings!$D$15+Settings!$D$16+Settings!$D$17),2),""),"")</f>
        <v/>
      </c>
      <c r="W229" s="33">
        <f>IF(COUNT(J229:L229)=3,IFERROR(ROUND((J229*Settings!$D$15+K229*Settings!$D$16+L229*Settings!$D$17)/(Settings!$D$15+Settings!$D$16+Settings!$D$17),2),""),"")</f>
        <v/>
      </c>
      <c r="X229" s="33">
        <f>IF(COUNT(M229:O229)=3,IFERROR(ROUND((M229*Settings!$D$15+N229*Settings!$D$16+O229*Settings!$D$17)/(Settings!$D$15+Settings!$D$16+Settings!$D$17),2),""),"")</f>
        <v/>
      </c>
      <c r="Y229" s="33">
        <f>IF(COUNT(P229:R229)=3,IFERROR(ROUND((P229*Settings!$D$15+Q229*Settings!$D$16+R229*Settings!$D$17)/(Settings!$D$15+Settings!$D$16+Settings!$D$17),2),""),"")</f>
        <v/>
      </c>
      <c r="Z229" s="33">
        <f>IF(COUNT(S229:U229)=3,IFERROR(ROUND((S229*Settings!$D$15+T229*Settings!$D$16+U229*Settings!$D$17)/(Settings!$D$15+Settings!$D$16+Settings!$D$17),2),""),"")</f>
        <v/>
      </c>
      <c r="AA229" s="34">
        <f>IF(COUNT(V229:Z229)=0,"",ROUND(AVERAGE(V229:Z229),2))</f>
        <v/>
      </c>
      <c r="AB229" s="35">
        <f>IF($A229="","",COUNT(V229:Z229))</f>
        <v/>
      </c>
      <c r="AC229" s="36" t="n"/>
      <c r="AD229" s="35">
        <f>IF(AA229="","",SUMPRODUCT(ISNUMBER($AA$6:$AA$305)*($AA$6:$AA$305&gt;AA229))+SUMPRODUCT(($AA$6:AA229=AA229)*1))</f>
        <v/>
      </c>
      <c r="AE229" s="35">
        <f>IF(AA229="","",SUMPRODUCT(($E$6:$E$305=E229)*ISNUMBER($AA$6:$AA$305)*($AA$6:$AA$305&gt;AA229))+SUMPRODUCT(($E$6:E229=E229)*($AA$6:AA229=AA229)))</f>
        <v/>
      </c>
    </row>
    <row r="230">
      <c r="A230" s="31">
        <f>IF(Submissions!AD226="","",225)</f>
        <v/>
      </c>
      <c r="B230" s="10">
        <f>IF($A230="","",IF(Settings!$B$4="Yes","Submission "&amp;$A230,Submissions!AD226))</f>
        <v/>
      </c>
      <c r="C230" s="31">
        <f>IF($A230="","",IF(Settings!$B$4="Yes","(hidden)",Submissions!AE226))</f>
        <v/>
      </c>
      <c r="D230" s="31">
        <f>IF($A230="","",Submissions!AF226)</f>
        <v/>
      </c>
      <c r="E230" s="31">
        <f>IF($A230="","",Submissions!AG226)</f>
        <v/>
      </c>
      <c r="F230" s="31">
        <f>IF($A230="","",Submissions!AH226)</f>
        <v/>
      </c>
      <c r="G230" s="37" t="n"/>
      <c r="H230" s="37" t="n"/>
      <c r="I230" s="37" t="n"/>
      <c r="J230" s="37" t="n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3">
        <f>IF(COUNT(G230:I230)=3,IFERROR(ROUND((G230*Settings!$D$15+H230*Settings!$D$16+I230*Settings!$D$17)/(Settings!$D$15+Settings!$D$16+Settings!$D$17),2),""),"")</f>
        <v/>
      </c>
      <c r="W230" s="33">
        <f>IF(COUNT(J230:L230)=3,IFERROR(ROUND((J230*Settings!$D$15+K230*Settings!$D$16+L230*Settings!$D$17)/(Settings!$D$15+Settings!$D$16+Settings!$D$17),2),""),"")</f>
        <v/>
      </c>
      <c r="X230" s="33">
        <f>IF(COUNT(M230:O230)=3,IFERROR(ROUND((M230*Settings!$D$15+N230*Settings!$D$16+O230*Settings!$D$17)/(Settings!$D$15+Settings!$D$16+Settings!$D$17),2),""),"")</f>
        <v/>
      </c>
      <c r="Y230" s="33">
        <f>IF(COUNT(P230:R230)=3,IFERROR(ROUND((P230*Settings!$D$15+Q230*Settings!$D$16+R230*Settings!$D$17)/(Settings!$D$15+Settings!$D$16+Settings!$D$17),2),""),"")</f>
        <v/>
      </c>
      <c r="Z230" s="33">
        <f>IF(COUNT(S230:U230)=3,IFERROR(ROUND((S230*Settings!$D$15+T230*Settings!$D$16+U230*Settings!$D$17)/(Settings!$D$15+Settings!$D$16+Settings!$D$17),2),""),"")</f>
        <v/>
      </c>
      <c r="AA230" s="34">
        <f>IF(COUNT(V230:Z230)=0,"",ROUND(AVERAGE(V230:Z230),2))</f>
        <v/>
      </c>
      <c r="AB230" s="35">
        <f>IF($A230="","",COUNT(V230:Z230))</f>
        <v/>
      </c>
      <c r="AC230" s="36" t="n"/>
      <c r="AD230" s="35">
        <f>IF(AA230="","",SUMPRODUCT(ISNUMBER($AA$6:$AA$305)*($AA$6:$AA$305&gt;AA230))+SUMPRODUCT(($AA$6:AA230=AA230)*1))</f>
        <v/>
      </c>
      <c r="AE230" s="35">
        <f>IF(AA230="","",SUMPRODUCT(($E$6:$E$305=E230)*ISNUMBER($AA$6:$AA$305)*($AA$6:$AA$305&gt;AA230))+SUMPRODUCT(($E$6:E230=E230)*($AA$6:AA230=AA230)))</f>
        <v/>
      </c>
    </row>
    <row r="231">
      <c r="A231" s="31">
        <f>IF(Submissions!AD227="","",226)</f>
        <v/>
      </c>
      <c r="B231" s="10">
        <f>IF($A231="","",IF(Settings!$B$4="Yes","Submission "&amp;$A231,Submissions!AD227))</f>
        <v/>
      </c>
      <c r="C231" s="31">
        <f>IF($A231="","",IF(Settings!$B$4="Yes","(hidden)",Submissions!AE227))</f>
        <v/>
      </c>
      <c r="D231" s="31">
        <f>IF($A231="","",Submissions!AF227)</f>
        <v/>
      </c>
      <c r="E231" s="31">
        <f>IF($A231="","",Submissions!AG227)</f>
        <v/>
      </c>
      <c r="F231" s="31">
        <f>IF($A231="","",Submissions!AH227)</f>
        <v/>
      </c>
      <c r="G231" s="37" t="n"/>
      <c r="H231" s="37" t="n"/>
      <c r="I231" s="37" t="n"/>
      <c r="J231" s="37" t="n"/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3">
        <f>IF(COUNT(G231:I231)=3,IFERROR(ROUND((G231*Settings!$D$15+H231*Settings!$D$16+I231*Settings!$D$17)/(Settings!$D$15+Settings!$D$16+Settings!$D$17),2),""),"")</f>
        <v/>
      </c>
      <c r="W231" s="33">
        <f>IF(COUNT(J231:L231)=3,IFERROR(ROUND((J231*Settings!$D$15+K231*Settings!$D$16+L231*Settings!$D$17)/(Settings!$D$15+Settings!$D$16+Settings!$D$17),2),""),"")</f>
        <v/>
      </c>
      <c r="X231" s="33">
        <f>IF(COUNT(M231:O231)=3,IFERROR(ROUND((M231*Settings!$D$15+N231*Settings!$D$16+O231*Settings!$D$17)/(Settings!$D$15+Settings!$D$16+Settings!$D$17),2),""),"")</f>
        <v/>
      </c>
      <c r="Y231" s="33">
        <f>IF(COUNT(P231:R231)=3,IFERROR(ROUND((P231*Settings!$D$15+Q231*Settings!$D$16+R231*Settings!$D$17)/(Settings!$D$15+Settings!$D$16+Settings!$D$17),2),""),"")</f>
        <v/>
      </c>
      <c r="Z231" s="33">
        <f>IF(COUNT(S231:U231)=3,IFERROR(ROUND((S231*Settings!$D$15+T231*Settings!$D$16+U231*Settings!$D$17)/(Settings!$D$15+Settings!$D$16+Settings!$D$17),2),""),"")</f>
        <v/>
      </c>
      <c r="AA231" s="34">
        <f>IF(COUNT(V231:Z231)=0,"",ROUND(AVERAGE(V231:Z231),2))</f>
        <v/>
      </c>
      <c r="AB231" s="35">
        <f>IF($A231="","",COUNT(V231:Z231))</f>
        <v/>
      </c>
      <c r="AC231" s="36" t="n"/>
      <c r="AD231" s="35">
        <f>IF(AA231="","",SUMPRODUCT(ISNUMBER($AA$6:$AA$305)*($AA$6:$AA$305&gt;AA231))+SUMPRODUCT(($AA$6:AA231=AA231)*1))</f>
        <v/>
      </c>
      <c r="AE231" s="35">
        <f>IF(AA231="","",SUMPRODUCT(($E$6:$E$305=E231)*ISNUMBER($AA$6:$AA$305)*($AA$6:$AA$305&gt;AA231))+SUMPRODUCT(($E$6:E231=E231)*($AA$6:AA231=AA231)))</f>
        <v/>
      </c>
    </row>
    <row r="232">
      <c r="A232" s="31">
        <f>IF(Submissions!AD228="","",227)</f>
        <v/>
      </c>
      <c r="B232" s="10">
        <f>IF($A232="","",IF(Settings!$B$4="Yes","Submission "&amp;$A232,Submissions!AD228))</f>
        <v/>
      </c>
      <c r="C232" s="31">
        <f>IF($A232="","",IF(Settings!$B$4="Yes","(hidden)",Submissions!AE228))</f>
        <v/>
      </c>
      <c r="D232" s="31">
        <f>IF($A232="","",Submissions!AF228)</f>
        <v/>
      </c>
      <c r="E232" s="31">
        <f>IF($A232="","",Submissions!AG228)</f>
        <v/>
      </c>
      <c r="F232" s="31">
        <f>IF($A232="","",Submissions!AH228)</f>
        <v/>
      </c>
      <c r="G232" s="37" t="n"/>
      <c r="H232" s="37" t="n"/>
      <c r="I232" s="37" t="n"/>
      <c r="J232" s="37" t="n"/>
      <c r="K232" s="37" t="n"/>
      <c r="L232" s="37" t="n"/>
      <c r="M232" s="37" t="n"/>
      <c r="N232" s="37" t="n"/>
      <c r="O232" s="37" t="n"/>
      <c r="P232" s="37" t="n"/>
      <c r="Q232" s="37" t="n"/>
      <c r="R232" s="37" t="n"/>
      <c r="S232" s="37" t="n"/>
      <c r="T232" s="37" t="n"/>
      <c r="U232" s="37" t="n"/>
      <c r="V232" s="33">
        <f>IF(COUNT(G232:I232)=3,IFERROR(ROUND((G232*Settings!$D$15+H232*Settings!$D$16+I232*Settings!$D$17)/(Settings!$D$15+Settings!$D$16+Settings!$D$17),2),""),"")</f>
        <v/>
      </c>
      <c r="W232" s="33">
        <f>IF(COUNT(J232:L232)=3,IFERROR(ROUND((J232*Settings!$D$15+K232*Settings!$D$16+L232*Settings!$D$17)/(Settings!$D$15+Settings!$D$16+Settings!$D$17),2),""),"")</f>
        <v/>
      </c>
      <c r="X232" s="33">
        <f>IF(COUNT(M232:O232)=3,IFERROR(ROUND((M232*Settings!$D$15+N232*Settings!$D$16+O232*Settings!$D$17)/(Settings!$D$15+Settings!$D$16+Settings!$D$17),2),""),"")</f>
        <v/>
      </c>
      <c r="Y232" s="33">
        <f>IF(COUNT(P232:R232)=3,IFERROR(ROUND((P232*Settings!$D$15+Q232*Settings!$D$16+R232*Settings!$D$17)/(Settings!$D$15+Settings!$D$16+Settings!$D$17),2),""),"")</f>
        <v/>
      </c>
      <c r="Z232" s="33">
        <f>IF(COUNT(S232:U232)=3,IFERROR(ROUND((S232*Settings!$D$15+T232*Settings!$D$16+U232*Settings!$D$17)/(Settings!$D$15+Settings!$D$16+Settings!$D$17),2),""),"")</f>
        <v/>
      </c>
      <c r="AA232" s="34">
        <f>IF(COUNT(V232:Z232)=0,"",ROUND(AVERAGE(V232:Z232),2))</f>
        <v/>
      </c>
      <c r="AB232" s="35">
        <f>IF($A232="","",COUNT(V232:Z232))</f>
        <v/>
      </c>
      <c r="AC232" s="36" t="n"/>
      <c r="AD232" s="35">
        <f>IF(AA232="","",SUMPRODUCT(ISNUMBER($AA$6:$AA$305)*($AA$6:$AA$305&gt;AA232))+SUMPRODUCT(($AA$6:AA232=AA232)*1))</f>
        <v/>
      </c>
      <c r="AE232" s="35">
        <f>IF(AA232="","",SUMPRODUCT(($E$6:$E$305=E232)*ISNUMBER($AA$6:$AA$305)*($AA$6:$AA$305&gt;AA232))+SUMPRODUCT(($E$6:E232=E232)*($AA$6:AA232=AA232)))</f>
        <v/>
      </c>
    </row>
    <row r="233">
      <c r="A233" s="31">
        <f>IF(Submissions!AD229="","",228)</f>
        <v/>
      </c>
      <c r="B233" s="10">
        <f>IF($A233="","",IF(Settings!$B$4="Yes","Submission "&amp;$A233,Submissions!AD229))</f>
        <v/>
      </c>
      <c r="C233" s="31">
        <f>IF($A233="","",IF(Settings!$B$4="Yes","(hidden)",Submissions!AE229))</f>
        <v/>
      </c>
      <c r="D233" s="31">
        <f>IF($A233="","",Submissions!AF229)</f>
        <v/>
      </c>
      <c r="E233" s="31">
        <f>IF($A233="","",Submissions!AG229)</f>
        <v/>
      </c>
      <c r="F233" s="31">
        <f>IF($A233="","",Submissions!AH229)</f>
        <v/>
      </c>
      <c r="G233" s="37" t="n"/>
      <c r="H233" s="37" t="n"/>
      <c r="I233" s="37" t="n"/>
      <c r="J233" s="37" t="n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3">
        <f>IF(COUNT(G233:I233)=3,IFERROR(ROUND((G233*Settings!$D$15+H233*Settings!$D$16+I233*Settings!$D$17)/(Settings!$D$15+Settings!$D$16+Settings!$D$17),2),""),"")</f>
        <v/>
      </c>
      <c r="W233" s="33">
        <f>IF(COUNT(J233:L233)=3,IFERROR(ROUND((J233*Settings!$D$15+K233*Settings!$D$16+L233*Settings!$D$17)/(Settings!$D$15+Settings!$D$16+Settings!$D$17),2),""),"")</f>
        <v/>
      </c>
      <c r="X233" s="33">
        <f>IF(COUNT(M233:O233)=3,IFERROR(ROUND((M233*Settings!$D$15+N233*Settings!$D$16+O233*Settings!$D$17)/(Settings!$D$15+Settings!$D$16+Settings!$D$17),2),""),"")</f>
        <v/>
      </c>
      <c r="Y233" s="33">
        <f>IF(COUNT(P233:R233)=3,IFERROR(ROUND((P233*Settings!$D$15+Q233*Settings!$D$16+R233*Settings!$D$17)/(Settings!$D$15+Settings!$D$16+Settings!$D$17),2),""),"")</f>
        <v/>
      </c>
      <c r="Z233" s="33">
        <f>IF(COUNT(S233:U233)=3,IFERROR(ROUND((S233*Settings!$D$15+T233*Settings!$D$16+U233*Settings!$D$17)/(Settings!$D$15+Settings!$D$16+Settings!$D$17),2),""),"")</f>
        <v/>
      </c>
      <c r="AA233" s="34">
        <f>IF(COUNT(V233:Z233)=0,"",ROUND(AVERAGE(V233:Z233),2))</f>
        <v/>
      </c>
      <c r="AB233" s="35">
        <f>IF($A233="","",COUNT(V233:Z233))</f>
        <v/>
      </c>
      <c r="AC233" s="36" t="n"/>
      <c r="AD233" s="35">
        <f>IF(AA233="","",SUMPRODUCT(ISNUMBER($AA$6:$AA$305)*($AA$6:$AA$305&gt;AA233))+SUMPRODUCT(($AA$6:AA233=AA233)*1))</f>
        <v/>
      </c>
      <c r="AE233" s="35">
        <f>IF(AA233="","",SUMPRODUCT(($E$6:$E$305=E233)*ISNUMBER($AA$6:$AA$305)*($AA$6:$AA$305&gt;AA233))+SUMPRODUCT(($E$6:E233=E233)*($AA$6:AA233=AA233)))</f>
        <v/>
      </c>
    </row>
    <row r="234">
      <c r="A234" s="31">
        <f>IF(Submissions!AD230="","",229)</f>
        <v/>
      </c>
      <c r="B234" s="10">
        <f>IF($A234="","",IF(Settings!$B$4="Yes","Submission "&amp;$A234,Submissions!AD230))</f>
        <v/>
      </c>
      <c r="C234" s="31">
        <f>IF($A234="","",IF(Settings!$B$4="Yes","(hidden)",Submissions!AE230))</f>
        <v/>
      </c>
      <c r="D234" s="31">
        <f>IF($A234="","",Submissions!AF230)</f>
        <v/>
      </c>
      <c r="E234" s="31">
        <f>IF($A234="","",Submissions!AG230)</f>
        <v/>
      </c>
      <c r="F234" s="31">
        <f>IF($A234="","",Submissions!AH230)</f>
        <v/>
      </c>
      <c r="G234" s="37" t="n"/>
      <c r="H234" s="37" t="n"/>
      <c r="I234" s="37" t="n"/>
      <c r="J234" s="37" t="n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3">
        <f>IF(COUNT(G234:I234)=3,IFERROR(ROUND((G234*Settings!$D$15+H234*Settings!$D$16+I234*Settings!$D$17)/(Settings!$D$15+Settings!$D$16+Settings!$D$17),2),""),"")</f>
        <v/>
      </c>
      <c r="W234" s="33">
        <f>IF(COUNT(J234:L234)=3,IFERROR(ROUND((J234*Settings!$D$15+K234*Settings!$D$16+L234*Settings!$D$17)/(Settings!$D$15+Settings!$D$16+Settings!$D$17),2),""),"")</f>
        <v/>
      </c>
      <c r="X234" s="33">
        <f>IF(COUNT(M234:O234)=3,IFERROR(ROUND((M234*Settings!$D$15+N234*Settings!$D$16+O234*Settings!$D$17)/(Settings!$D$15+Settings!$D$16+Settings!$D$17),2),""),"")</f>
        <v/>
      </c>
      <c r="Y234" s="33">
        <f>IF(COUNT(P234:R234)=3,IFERROR(ROUND((P234*Settings!$D$15+Q234*Settings!$D$16+R234*Settings!$D$17)/(Settings!$D$15+Settings!$D$16+Settings!$D$17),2),""),"")</f>
        <v/>
      </c>
      <c r="Z234" s="33">
        <f>IF(COUNT(S234:U234)=3,IFERROR(ROUND((S234*Settings!$D$15+T234*Settings!$D$16+U234*Settings!$D$17)/(Settings!$D$15+Settings!$D$16+Settings!$D$17),2),""),"")</f>
        <v/>
      </c>
      <c r="AA234" s="34">
        <f>IF(COUNT(V234:Z234)=0,"",ROUND(AVERAGE(V234:Z234),2))</f>
        <v/>
      </c>
      <c r="AB234" s="35">
        <f>IF($A234="","",COUNT(V234:Z234))</f>
        <v/>
      </c>
      <c r="AC234" s="36" t="n"/>
      <c r="AD234" s="35">
        <f>IF(AA234="","",SUMPRODUCT(ISNUMBER($AA$6:$AA$305)*($AA$6:$AA$305&gt;AA234))+SUMPRODUCT(($AA$6:AA234=AA234)*1))</f>
        <v/>
      </c>
      <c r="AE234" s="35">
        <f>IF(AA234="","",SUMPRODUCT(($E$6:$E$305=E234)*ISNUMBER($AA$6:$AA$305)*($AA$6:$AA$305&gt;AA234))+SUMPRODUCT(($E$6:E234=E234)*($AA$6:AA234=AA234)))</f>
        <v/>
      </c>
    </row>
    <row r="235">
      <c r="A235" s="31">
        <f>IF(Submissions!AD231="","",230)</f>
        <v/>
      </c>
      <c r="B235" s="10">
        <f>IF($A235="","",IF(Settings!$B$4="Yes","Submission "&amp;$A235,Submissions!AD231))</f>
        <v/>
      </c>
      <c r="C235" s="31">
        <f>IF($A235="","",IF(Settings!$B$4="Yes","(hidden)",Submissions!AE231))</f>
        <v/>
      </c>
      <c r="D235" s="31">
        <f>IF($A235="","",Submissions!AF231)</f>
        <v/>
      </c>
      <c r="E235" s="31">
        <f>IF($A235="","",Submissions!AG231)</f>
        <v/>
      </c>
      <c r="F235" s="31">
        <f>IF($A235="","",Submissions!AH231)</f>
        <v/>
      </c>
      <c r="G235" s="37" t="n"/>
      <c r="H235" s="37" t="n"/>
      <c r="I235" s="37" t="n"/>
      <c r="J235" s="37" t="n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3">
        <f>IF(COUNT(G235:I235)=3,IFERROR(ROUND((G235*Settings!$D$15+H235*Settings!$D$16+I235*Settings!$D$17)/(Settings!$D$15+Settings!$D$16+Settings!$D$17),2),""),"")</f>
        <v/>
      </c>
      <c r="W235" s="33">
        <f>IF(COUNT(J235:L235)=3,IFERROR(ROUND((J235*Settings!$D$15+K235*Settings!$D$16+L235*Settings!$D$17)/(Settings!$D$15+Settings!$D$16+Settings!$D$17),2),""),"")</f>
        <v/>
      </c>
      <c r="X235" s="33">
        <f>IF(COUNT(M235:O235)=3,IFERROR(ROUND((M235*Settings!$D$15+N235*Settings!$D$16+O235*Settings!$D$17)/(Settings!$D$15+Settings!$D$16+Settings!$D$17),2),""),"")</f>
        <v/>
      </c>
      <c r="Y235" s="33">
        <f>IF(COUNT(P235:R235)=3,IFERROR(ROUND((P235*Settings!$D$15+Q235*Settings!$D$16+R235*Settings!$D$17)/(Settings!$D$15+Settings!$D$16+Settings!$D$17),2),""),"")</f>
        <v/>
      </c>
      <c r="Z235" s="33">
        <f>IF(COUNT(S235:U235)=3,IFERROR(ROUND((S235*Settings!$D$15+T235*Settings!$D$16+U235*Settings!$D$17)/(Settings!$D$15+Settings!$D$16+Settings!$D$17),2),""),"")</f>
        <v/>
      </c>
      <c r="AA235" s="34">
        <f>IF(COUNT(V235:Z235)=0,"",ROUND(AVERAGE(V235:Z235),2))</f>
        <v/>
      </c>
      <c r="AB235" s="35">
        <f>IF($A235="","",COUNT(V235:Z235))</f>
        <v/>
      </c>
      <c r="AC235" s="36" t="n"/>
      <c r="AD235" s="35">
        <f>IF(AA235="","",SUMPRODUCT(ISNUMBER($AA$6:$AA$305)*($AA$6:$AA$305&gt;AA235))+SUMPRODUCT(($AA$6:AA235=AA235)*1))</f>
        <v/>
      </c>
      <c r="AE235" s="35">
        <f>IF(AA235="","",SUMPRODUCT(($E$6:$E$305=E235)*ISNUMBER($AA$6:$AA$305)*($AA$6:$AA$305&gt;AA235))+SUMPRODUCT(($E$6:E235=E235)*($AA$6:AA235=AA235)))</f>
        <v/>
      </c>
    </row>
    <row r="236">
      <c r="A236" s="31">
        <f>IF(Submissions!AD232="","",231)</f>
        <v/>
      </c>
      <c r="B236" s="10">
        <f>IF($A236="","",IF(Settings!$B$4="Yes","Submission "&amp;$A236,Submissions!AD232))</f>
        <v/>
      </c>
      <c r="C236" s="31">
        <f>IF($A236="","",IF(Settings!$B$4="Yes","(hidden)",Submissions!AE232))</f>
        <v/>
      </c>
      <c r="D236" s="31">
        <f>IF($A236="","",Submissions!AF232)</f>
        <v/>
      </c>
      <c r="E236" s="31">
        <f>IF($A236="","",Submissions!AG232)</f>
        <v/>
      </c>
      <c r="F236" s="31">
        <f>IF($A236="","",Submissions!AH232)</f>
        <v/>
      </c>
      <c r="G236" s="37" t="n"/>
      <c r="H236" s="37" t="n"/>
      <c r="I236" s="37" t="n"/>
      <c r="J236" s="37" t="n"/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3">
        <f>IF(COUNT(G236:I236)=3,IFERROR(ROUND((G236*Settings!$D$15+H236*Settings!$D$16+I236*Settings!$D$17)/(Settings!$D$15+Settings!$D$16+Settings!$D$17),2),""),"")</f>
        <v/>
      </c>
      <c r="W236" s="33">
        <f>IF(COUNT(J236:L236)=3,IFERROR(ROUND((J236*Settings!$D$15+K236*Settings!$D$16+L236*Settings!$D$17)/(Settings!$D$15+Settings!$D$16+Settings!$D$17),2),""),"")</f>
        <v/>
      </c>
      <c r="X236" s="33">
        <f>IF(COUNT(M236:O236)=3,IFERROR(ROUND((M236*Settings!$D$15+N236*Settings!$D$16+O236*Settings!$D$17)/(Settings!$D$15+Settings!$D$16+Settings!$D$17),2),""),"")</f>
        <v/>
      </c>
      <c r="Y236" s="33">
        <f>IF(COUNT(P236:R236)=3,IFERROR(ROUND((P236*Settings!$D$15+Q236*Settings!$D$16+R236*Settings!$D$17)/(Settings!$D$15+Settings!$D$16+Settings!$D$17),2),""),"")</f>
        <v/>
      </c>
      <c r="Z236" s="33">
        <f>IF(COUNT(S236:U236)=3,IFERROR(ROUND((S236*Settings!$D$15+T236*Settings!$D$16+U236*Settings!$D$17)/(Settings!$D$15+Settings!$D$16+Settings!$D$17),2),""),"")</f>
        <v/>
      </c>
      <c r="AA236" s="34">
        <f>IF(COUNT(V236:Z236)=0,"",ROUND(AVERAGE(V236:Z236),2))</f>
        <v/>
      </c>
      <c r="AB236" s="35">
        <f>IF($A236="","",COUNT(V236:Z236))</f>
        <v/>
      </c>
      <c r="AC236" s="36" t="n"/>
      <c r="AD236" s="35">
        <f>IF(AA236="","",SUMPRODUCT(ISNUMBER($AA$6:$AA$305)*($AA$6:$AA$305&gt;AA236))+SUMPRODUCT(($AA$6:AA236=AA236)*1))</f>
        <v/>
      </c>
      <c r="AE236" s="35">
        <f>IF(AA236="","",SUMPRODUCT(($E$6:$E$305=E236)*ISNUMBER($AA$6:$AA$305)*($AA$6:$AA$305&gt;AA236))+SUMPRODUCT(($E$6:E236=E236)*($AA$6:AA236=AA236)))</f>
        <v/>
      </c>
    </row>
    <row r="237">
      <c r="A237" s="31">
        <f>IF(Submissions!AD233="","",232)</f>
        <v/>
      </c>
      <c r="B237" s="10">
        <f>IF($A237="","",IF(Settings!$B$4="Yes","Submission "&amp;$A237,Submissions!AD233))</f>
        <v/>
      </c>
      <c r="C237" s="31">
        <f>IF($A237="","",IF(Settings!$B$4="Yes","(hidden)",Submissions!AE233))</f>
        <v/>
      </c>
      <c r="D237" s="31">
        <f>IF($A237="","",Submissions!AF233)</f>
        <v/>
      </c>
      <c r="E237" s="31">
        <f>IF($A237="","",Submissions!AG233)</f>
        <v/>
      </c>
      <c r="F237" s="31">
        <f>IF($A237="","",Submissions!AH233)</f>
        <v/>
      </c>
      <c r="G237" s="37" t="n"/>
      <c r="H237" s="37" t="n"/>
      <c r="I237" s="37" t="n"/>
      <c r="J237" s="37" t="n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3">
        <f>IF(COUNT(G237:I237)=3,IFERROR(ROUND((G237*Settings!$D$15+H237*Settings!$D$16+I237*Settings!$D$17)/(Settings!$D$15+Settings!$D$16+Settings!$D$17),2),""),"")</f>
        <v/>
      </c>
      <c r="W237" s="33">
        <f>IF(COUNT(J237:L237)=3,IFERROR(ROUND((J237*Settings!$D$15+K237*Settings!$D$16+L237*Settings!$D$17)/(Settings!$D$15+Settings!$D$16+Settings!$D$17),2),""),"")</f>
        <v/>
      </c>
      <c r="X237" s="33">
        <f>IF(COUNT(M237:O237)=3,IFERROR(ROUND((M237*Settings!$D$15+N237*Settings!$D$16+O237*Settings!$D$17)/(Settings!$D$15+Settings!$D$16+Settings!$D$17),2),""),"")</f>
        <v/>
      </c>
      <c r="Y237" s="33">
        <f>IF(COUNT(P237:R237)=3,IFERROR(ROUND((P237*Settings!$D$15+Q237*Settings!$D$16+R237*Settings!$D$17)/(Settings!$D$15+Settings!$D$16+Settings!$D$17),2),""),"")</f>
        <v/>
      </c>
      <c r="Z237" s="33">
        <f>IF(COUNT(S237:U237)=3,IFERROR(ROUND((S237*Settings!$D$15+T237*Settings!$D$16+U237*Settings!$D$17)/(Settings!$D$15+Settings!$D$16+Settings!$D$17),2),""),"")</f>
        <v/>
      </c>
      <c r="AA237" s="34">
        <f>IF(COUNT(V237:Z237)=0,"",ROUND(AVERAGE(V237:Z237),2))</f>
        <v/>
      </c>
      <c r="AB237" s="35">
        <f>IF($A237="","",COUNT(V237:Z237))</f>
        <v/>
      </c>
      <c r="AC237" s="36" t="n"/>
      <c r="AD237" s="35">
        <f>IF(AA237="","",SUMPRODUCT(ISNUMBER($AA$6:$AA$305)*($AA$6:$AA$305&gt;AA237))+SUMPRODUCT(($AA$6:AA237=AA237)*1))</f>
        <v/>
      </c>
      <c r="AE237" s="35">
        <f>IF(AA237="","",SUMPRODUCT(($E$6:$E$305=E237)*ISNUMBER($AA$6:$AA$305)*($AA$6:$AA$305&gt;AA237))+SUMPRODUCT(($E$6:E237=E237)*($AA$6:AA237=AA237)))</f>
        <v/>
      </c>
    </row>
    <row r="238">
      <c r="A238" s="31">
        <f>IF(Submissions!AD234="","",233)</f>
        <v/>
      </c>
      <c r="B238" s="10">
        <f>IF($A238="","",IF(Settings!$B$4="Yes","Submission "&amp;$A238,Submissions!AD234))</f>
        <v/>
      </c>
      <c r="C238" s="31">
        <f>IF($A238="","",IF(Settings!$B$4="Yes","(hidden)",Submissions!AE234))</f>
        <v/>
      </c>
      <c r="D238" s="31">
        <f>IF($A238="","",Submissions!AF234)</f>
        <v/>
      </c>
      <c r="E238" s="31">
        <f>IF($A238="","",Submissions!AG234)</f>
        <v/>
      </c>
      <c r="F238" s="31">
        <f>IF($A238="","",Submissions!AH234)</f>
        <v/>
      </c>
      <c r="G238" s="37" t="n"/>
      <c r="H238" s="37" t="n"/>
      <c r="I238" s="37" t="n"/>
      <c r="J238" s="37" t="n"/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3">
        <f>IF(COUNT(G238:I238)=3,IFERROR(ROUND((G238*Settings!$D$15+H238*Settings!$D$16+I238*Settings!$D$17)/(Settings!$D$15+Settings!$D$16+Settings!$D$17),2),""),"")</f>
        <v/>
      </c>
      <c r="W238" s="33">
        <f>IF(COUNT(J238:L238)=3,IFERROR(ROUND((J238*Settings!$D$15+K238*Settings!$D$16+L238*Settings!$D$17)/(Settings!$D$15+Settings!$D$16+Settings!$D$17),2),""),"")</f>
        <v/>
      </c>
      <c r="X238" s="33">
        <f>IF(COUNT(M238:O238)=3,IFERROR(ROUND((M238*Settings!$D$15+N238*Settings!$D$16+O238*Settings!$D$17)/(Settings!$D$15+Settings!$D$16+Settings!$D$17),2),""),"")</f>
        <v/>
      </c>
      <c r="Y238" s="33">
        <f>IF(COUNT(P238:R238)=3,IFERROR(ROUND((P238*Settings!$D$15+Q238*Settings!$D$16+R238*Settings!$D$17)/(Settings!$D$15+Settings!$D$16+Settings!$D$17),2),""),"")</f>
        <v/>
      </c>
      <c r="Z238" s="33">
        <f>IF(COUNT(S238:U238)=3,IFERROR(ROUND((S238*Settings!$D$15+T238*Settings!$D$16+U238*Settings!$D$17)/(Settings!$D$15+Settings!$D$16+Settings!$D$17),2),""),"")</f>
        <v/>
      </c>
      <c r="AA238" s="34">
        <f>IF(COUNT(V238:Z238)=0,"",ROUND(AVERAGE(V238:Z238),2))</f>
        <v/>
      </c>
      <c r="AB238" s="35">
        <f>IF($A238="","",COUNT(V238:Z238))</f>
        <v/>
      </c>
      <c r="AC238" s="36" t="n"/>
      <c r="AD238" s="35">
        <f>IF(AA238="","",SUMPRODUCT(ISNUMBER($AA$6:$AA$305)*($AA$6:$AA$305&gt;AA238))+SUMPRODUCT(($AA$6:AA238=AA238)*1))</f>
        <v/>
      </c>
      <c r="AE238" s="35">
        <f>IF(AA238="","",SUMPRODUCT(($E$6:$E$305=E238)*ISNUMBER($AA$6:$AA$305)*($AA$6:$AA$305&gt;AA238))+SUMPRODUCT(($E$6:E238=E238)*($AA$6:AA238=AA238)))</f>
        <v/>
      </c>
    </row>
    <row r="239">
      <c r="A239" s="31">
        <f>IF(Submissions!AD235="","",234)</f>
        <v/>
      </c>
      <c r="B239" s="10">
        <f>IF($A239="","",IF(Settings!$B$4="Yes","Submission "&amp;$A239,Submissions!AD235))</f>
        <v/>
      </c>
      <c r="C239" s="31">
        <f>IF($A239="","",IF(Settings!$B$4="Yes","(hidden)",Submissions!AE235))</f>
        <v/>
      </c>
      <c r="D239" s="31">
        <f>IF($A239="","",Submissions!AF235)</f>
        <v/>
      </c>
      <c r="E239" s="31">
        <f>IF($A239="","",Submissions!AG235)</f>
        <v/>
      </c>
      <c r="F239" s="31">
        <f>IF($A239="","",Submissions!AH235)</f>
        <v/>
      </c>
      <c r="G239" s="37" t="n"/>
      <c r="H239" s="37" t="n"/>
      <c r="I239" s="37" t="n"/>
      <c r="J239" s="37" t="n"/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3">
        <f>IF(COUNT(G239:I239)=3,IFERROR(ROUND((G239*Settings!$D$15+H239*Settings!$D$16+I239*Settings!$D$17)/(Settings!$D$15+Settings!$D$16+Settings!$D$17),2),""),"")</f>
        <v/>
      </c>
      <c r="W239" s="33">
        <f>IF(COUNT(J239:L239)=3,IFERROR(ROUND((J239*Settings!$D$15+K239*Settings!$D$16+L239*Settings!$D$17)/(Settings!$D$15+Settings!$D$16+Settings!$D$17),2),""),"")</f>
        <v/>
      </c>
      <c r="X239" s="33">
        <f>IF(COUNT(M239:O239)=3,IFERROR(ROUND((M239*Settings!$D$15+N239*Settings!$D$16+O239*Settings!$D$17)/(Settings!$D$15+Settings!$D$16+Settings!$D$17),2),""),"")</f>
        <v/>
      </c>
      <c r="Y239" s="33">
        <f>IF(COUNT(P239:R239)=3,IFERROR(ROUND((P239*Settings!$D$15+Q239*Settings!$D$16+R239*Settings!$D$17)/(Settings!$D$15+Settings!$D$16+Settings!$D$17),2),""),"")</f>
        <v/>
      </c>
      <c r="Z239" s="33">
        <f>IF(COUNT(S239:U239)=3,IFERROR(ROUND((S239*Settings!$D$15+T239*Settings!$D$16+U239*Settings!$D$17)/(Settings!$D$15+Settings!$D$16+Settings!$D$17),2),""),"")</f>
        <v/>
      </c>
      <c r="AA239" s="34">
        <f>IF(COUNT(V239:Z239)=0,"",ROUND(AVERAGE(V239:Z239),2))</f>
        <v/>
      </c>
      <c r="AB239" s="35">
        <f>IF($A239="","",COUNT(V239:Z239))</f>
        <v/>
      </c>
      <c r="AC239" s="36" t="n"/>
      <c r="AD239" s="35">
        <f>IF(AA239="","",SUMPRODUCT(ISNUMBER($AA$6:$AA$305)*($AA$6:$AA$305&gt;AA239))+SUMPRODUCT(($AA$6:AA239=AA239)*1))</f>
        <v/>
      </c>
      <c r="AE239" s="35">
        <f>IF(AA239="","",SUMPRODUCT(($E$6:$E$305=E239)*ISNUMBER($AA$6:$AA$305)*($AA$6:$AA$305&gt;AA239))+SUMPRODUCT(($E$6:E239=E239)*($AA$6:AA239=AA239)))</f>
        <v/>
      </c>
    </row>
    <row r="240">
      <c r="A240" s="31">
        <f>IF(Submissions!AD236="","",235)</f>
        <v/>
      </c>
      <c r="B240" s="10">
        <f>IF($A240="","",IF(Settings!$B$4="Yes","Submission "&amp;$A240,Submissions!AD236))</f>
        <v/>
      </c>
      <c r="C240" s="31">
        <f>IF($A240="","",IF(Settings!$B$4="Yes","(hidden)",Submissions!AE236))</f>
        <v/>
      </c>
      <c r="D240" s="31">
        <f>IF($A240="","",Submissions!AF236)</f>
        <v/>
      </c>
      <c r="E240" s="31">
        <f>IF($A240="","",Submissions!AG236)</f>
        <v/>
      </c>
      <c r="F240" s="31">
        <f>IF($A240="","",Submissions!AH236)</f>
        <v/>
      </c>
      <c r="G240" s="37" t="n"/>
      <c r="H240" s="37" t="n"/>
      <c r="I240" s="37" t="n"/>
      <c r="J240" s="37" t="n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3">
        <f>IF(COUNT(G240:I240)=3,IFERROR(ROUND((G240*Settings!$D$15+H240*Settings!$D$16+I240*Settings!$D$17)/(Settings!$D$15+Settings!$D$16+Settings!$D$17),2),""),"")</f>
        <v/>
      </c>
      <c r="W240" s="33">
        <f>IF(COUNT(J240:L240)=3,IFERROR(ROUND((J240*Settings!$D$15+K240*Settings!$D$16+L240*Settings!$D$17)/(Settings!$D$15+Settings!$D$16+Settings!$D$17),2),""),"")</f>
        <v/>
      </c>
      <c r="X240" s="33">
        <f>IF(COUNT(M240:O240)=3,IFERROR(ROUND((M240*Settings!$D$15+N240*Settings!$D$16+O240*Settings!$D$17)/(Settings!$D$15+Settings!$D$16+Settings!$D$17),2),""),"")</f>
        <v/>
      </c>
      <c r="Y240" s="33">
        <f>IF(COUNT(P240:R240)=3,IFERROR(ROUND((P240*Settings!$D$15+Q240*Settings!$D$16+R240*Settings!$D$17)/(Settings!$D$15+Settings!$D$16+Settings!$D$17),2),""),"")</f>
        <v/>
      </c>
      <c r="Z240" s="33">
        <f>IF(COUNT(S240:U240)=3,IFERROR(ROUND((S240*Settings!$D$15+T240*Settings!$D$16+U240*Settings!$D$17)/(Settings!$D$15+Settings!$D$16+Settings!$D$17),2),""),"")</f>
        <v/>
      </c>
      <c r="AA240" s="34">
        <f>IF(COUNT(V240:Z240)=0,"",ROUND(AVERAGE(V240:Z240),2))</f>
        <v/>
      </c>
      <c r="AB240" s="35">
        <f>IF($A240="","",COUNT(V240:Z240))</f>
        <v/>
      </c>
      <c r="AC240" s="36" t="n"/>
      <c r="AD240" s="35">
        <f>IF(AA240="","",SUMPRODUCT(ISNUMBER($AA$6:$AA$305)*($AA$6:$AA$305&gt;AA240))+SUMPRODUCT(($AA$6:AA240=AA240)*1))</f>
        <v/>
      </c>
      <c r="AE240" s="35">
        <f>IF(AA240="","",SUMPRODUCT(($E$6:$E$305=E240)*ISNUMBER($AA$6:$AA$305)*($AA$6:$AA$305&gt;AA240))+SUMPRODUCT(($E$6:E240=E240)*($AA$6:AA240=AA240)))</f>
        <v/>
      </c>
    </row>
    <row r="241">
      <c r="A241" s="31">
        <f>IF(Submissions!AD237="","",236)</f>
        <v/>
      </c>
      <c r="B241" s="10">
        <f>IF($A241="","",IF(Settings!$B$4="Yes","Submission "&amp;$A241,Submissions!AD237))</f>
        <v/>
      </c>
      <c r="C241" s="31">
        <f>IF($A241="","",IF(Settings!$B$4="Yes","(hidden)",Submissions!AE237))</f>
        <v/>
      </c>
      <c r="D241" s="31">
        <f>IF($A241="","",Submissions!AF237)</f>
        <v/>
      </c>
      <c r="E241" s="31">
        <f>IF($A241="","",Submissions!AG237)</f>
        <v/>
      </c>
      <c r="F241" s="31">
        <f>IF($A241="","",Submissions!AH237)</f>
        <v/>
      </c>
      <c r="G241" s="37" t="n"/>
      <c r="H241" s="37" t="n"/>
      <c r="I241" s="37" t="n"/>
      <c r="J241" s="37" t="n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3">
        <f>IF(COUNT(G241:I241)=3,IFERROR(ROUND((G241*Settings!$D$15+H241*Settings!$D$16+I241*Settings!$D$17)/(Settings!$D$15+Settings!$D$16+Settings!$D$17),2),""),"")</f>
        <v/>
      </c>
      <c r="W241" s="33">
        <f>IF(COUNT(J241:L241)=3,IFERROR(ROUND((J241*Settings!$D$15+K241*Settings!$D$16+L241*Settings!$D$17)/(Settings!$D$15+Settings!$D$16+Settings!$D$17),2),""),"")</f>
        <v/>
      </c>
      <c r="X241" s="33">
        <f>IF(COUNT(M241:O241)=3,IFERROR(ROUND((M241*Settings!$D$15+N241*Settings!$D$16+O241*Settings!$D$17)/(Settings!$D$15+Settings!$D$16+Settings!$D$17),2),""),"")</f>
        <v/>
      </c>
      <c r="Y241" s="33">
        <f>IF(COUNT(P241:R241)=3,IFERROR(ROUND((P241*Settings!$D$15+Q241*Settings!$D$16+R241*Settings!$D$17)/(Settings!$D$15+Settings!$D$16+Settings!$D$17),2),""),"")</f>
        <v/>
      </c>
      <c r="Z241" s="33">
        <f>IF(COUNT(S241:U241)=3,IFERROR(ROUND((S241*Settings!$D$15+T241*Settings!$D$16+U241*Settings!$D$17)/(Settings!$D$15+Settings!$D$16+Settings!$D$17),2),""),"")</f>
        <v/>
      </c>
      <c r="AA241" s="34">
        <f>IF(COUNT(V241:Z241)=0,"",ROUND(AVERAGE(V241:Z241),2))</f>
        <v/>
      </c>
      <c r="AB241" s="35">
        <f>IF($A241="","",COUNT(V241:Z241))</f>
        <v/>
      </c>
      <c r="AC241" s="36" t="n"/>
      <c r="AD241" s="35">
        <f>IF(AA241="","",SUMPRODUCT(ISNUMBER($AA$6:$AA$305)*($AA$6:$AA$305&gt;AA241))+SUMPRODUCT(($AA$6:AA241=AA241)*1))</f>
        <v/>
      </c>
      <c r="AE241" s="35">
        <f>IF(AA241="","",SUMPRODUCT(($E$6:$E$305=E241)*ISNUMBER($AA$6:$AA$305)*($AA$6:$AA$305&gt;AA241))+SUMPRODUCT(($E$6:E241=E241)*($AA$6:AA241=AA241)))</f>
        <v/>
      </c>
    </row>
    <row r="242">
      <c r="A242" s="31">
        <f>IF(Submissions!AD238="","",237)</f>
        <v/>
      </c>
      <c r="B242" s="10">
        <f>IF($A242="","",IF(Settings!$B$4="Yes","Submission "&amp;$A242,Submissions!AD238))</f>
        <v/>
      </c>
      <c r="C242" s="31">
        <f>IF($A242="","",IF(Settings!$B$4="Yes","(hidden)",Submissions!AE238))</f>
        <v/>
      </c>
      <c r="D242" s="31">
        <f>IF($A242="","",Submissions!AF238)</f>
        <v/>
      </c>
      <c r="E242" s="31">
        <f>IF($A242="","",Submissions!AG238)</f>
        <v/>
      </c>
      <c r="F242" s="31">
        <f>IF($A242="","",Submissions!AH238)</f>
        <v/>
      </c>
      <c r="G242" s="37" t="n"/>
      <c r="H242" s="37" t="n"/>
      <c r="I242" s="37" t="n"/>
      <c r="J242" s="37" t="n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3">
        <f>IF(COUNT(G242:I242)=3,IFERROR(ROUND((G242*Settings!$D$15+H242*Settings!$D$16+I242*Settings!$D$17)/(Settings!$D$15+Settings!$D$16+Settings!$D$17),2),""),"")</f>
        <v/>
      </c>
      <c r="W242" s="33">
        <f>IF(COUNT(J242:L242)=3,IFERROR(ROUND((J242*Settings!$D$15+K242*Settings!$D$16+L242*Settings!$D$17)/(Settings!$D$15+Settings!$D$16+Settings!$D$17),2),""),"")</f>
        <v/>
      </c>
      <c r="X242" s="33">
        <f>IF(COUNT(M242:O242)=3,IFERROR(ROUND((M242*Settings!$D$15+N242*Settings!$D$16+O242*Settings!$D$17)/(Settings!$D$15+Settings!$D$16+Settings!$D$17),2),""),"")</f>
        <v/>
      </c>
      <c r="Y242" s="33">
        <f>IF(COUNT(P242:R242)=3,IFERROR(ROUND((P242*Settings!$D$15+Q242*Settings!$D$16+R242*Settings!$D$17)/(Settings!$D$15+Settings!$D$16+Settings!$D$17),2),""),"")</f>
        <v/>
      </c>
      <c r="Z242" s="33">
        <f>IF(COUNT(S242:U242)=3,IFERROR(ROUND((S242*Settings!$D$15+T242*Settings!$D$16+U242*Settings!$D$17)/(Settings!$D$15+Settings!$D$16+Settings!$D$17),2),""),"")</f>
        <v/>
      </c>
      <c r="AA242" s="34">
        <f>IF(COUNT(V242:Z242)=0,"",ROUND(AVERAGE(V242:Z242),2))</f>
        <v/>
      </c>
      <c r="AB242" s="35">
        <f>IF($A242="","",COUNT(V242:Z242))</f>
        <v/>
      </c>
      <c r="AC242" s="36" t="n"/>
      <c r="AD242" s="35">
        <f>IF(AA242="","",SUMPRODUCT(ISNUMBER($AA$6:$AA$305)*($AA$6:$AA$305&gt;AA242))+SUMPRODUCT(($AA$6:AA242=AA242)*1))</f>
        <v/>
      </c>
      <c r="AE242" s="35">
        <f>IF(AA242="","",SUMPRODUCT(($E$6:$E$305=E242)*ISNUMBER($AA$6:$AA$305)*($AA$6:$AA$305&gt;AA242))+SUMPRODUCT(($E$6:E242=E242)*($AA$6:AA242=AA242)))</f>
        <v/>
      </c>
    </row>
    <row r="243">
      <c r="A243" s="31">
        <f>IF(Submissions!AD239="","",238)</f>
        <v/>
      </c>
      <c r="B243" s="10">
        <f>IF($A243="","",IF(Settings!$B$4="Yes","Submission "&amp;$A243,Submissions!AD239))</f>
        <v/>
      </c>
      <c r="C243" s="31">
        <f>IF($A243="","",IF(Settings!$B$4="Yes","(hidden)",Submissions!AE239))</f>
        <v/>
      </c>
      <c r="D243" s="31">
        <f>IF($A243="","",Submissions!AF239)</f>
        <v/>
      </c>
      <c r="E243" s="31">
        <f>IF($A243="","",Submissions!AG239)</f>
        <v/>
      </c>
      <c r="F243" s="31">
        <f>IF($A243="","",Submissions!AH239)</f>
        <v/>
      </c>
      <c r="G243" s="37" t="n"/>
      <c r="H243" s="37" t="n"/>
      <c r="I243" s="37" t="n"/>
      <c r="J243" s="37" t="n"/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3">
        <f>IF(COUNT(G243:I243)=3,IFERROR(ROUND((G243*Settings!$D$15+H243*Settings!$D$16+I243*Settings!$D$17)/(Settings!$D$15+Settings!$D$16+Settings!$D$17),2),""),"")</f>
        <v/>
      </c>
      <c r="W243" s="33">
        <f>IF(COUNT(J243:L243)=3,IFERROR(ROUND((J243*Settings!$D$15+K243*Settings!$D$16+L243*Settings!$D$17)/(Settings!$D$15+Settings!$D$16+Settings!$D$17),2),""),"")</f>
        <v/>
      </c>
      <c r="X243" s="33">
        <f>IF(COUNT(M243:O243)=3,IFERROR(ROUND((M243*Settings!$D$15+N243*Settings!$D$16+O243*Settings!$D$17)/(Settings!$D$15+Settings!$D$16+Settings!$D$17),2),""),"")</f>
        <v/>
      </c>
      <c r="Y243" s="33">
        <f>IF(COUNT(P243:R243)=3,IFERROR(ROUND((P243*Settings!$D$15+Q243*Settings!$D$16+R243*Settings!$D$17)/(Settings!$D$15+Settings!$D$16+Settings!$D$17),2),""),"")</f>
        <v/>
      </c>
      <c r="Z243" s="33">
        <f>IF(COUNT(S243:U243)=3,IFERROR(ROUND((S243*Settings!$D$15+T243*Settings!$D$16+U243*Settings!$D$17)/(Settings!$D$15+Settings!$D$16+Settings!$D$17),2),""),"")</f>
        <v/>
      </c>
      <c r="AA243" s="34">
        <f>IF(COUNT(V243:Z243)=0,"",ROUND(AVERAGE(V243:Z243),2))</f>
        <v/>
      </c>
      <c r="AB243" s="35">
        <f>IF($A243="","",COUNT(V243:Z243))</f>
        <v/>
      </c>
      <c r="AC243" s="36" t="n"/>
      <c r="AD243" s="35">
        <f>IF(AA243="","",SUMPRODUCT(ISNUMBER($AA$6:$AA$305)*($AA$6:$AA$305&gt;AA243))+SUMPRODUCT(($AA$6:AA243=AA243)*1))</f>
        <v/>
      </c>
      <c r="AE243" s="35">
        <f>IF(AA243="","",SUMPRODUCT(($E$6:$E$305=E243)*ISNUMBER($AA$6:$AA$305)*($AA$6:$AA$305&gt;AA243))+SUMPRODUCT(($E$6:E243=E243)*($AA$6:AA243=AA243)))</f>
        <v/>
      </c>
    </row>
    <row r="244">
      <c r="A244" s="31">
        <f>IF(Submissions!AD240="","",239)</f>
        <v/>
      </c>
      <c r="B244" s="10">
        <f>IF($A244="","",IF(Settings!$B$4="Yes","Submission "&amp;$A244,Submissions!AD240))</f>
        <v/>
      </c>
      <c r="C244" s="31">
        <f>IF($A244="","",IF(Settings!$B$4="Yes","(hidden)",Submissions!AE240))</f>
        <v/>
      </c>
      <c r="D244" s="31">
        <f>IF($A244="","",Submissions!AF240)</f>
        <v/>
      </c>
      <c r="E244" s="31">
        <f>IF($A244="","",Submissions!AG240)</f>
        <v/>
      </c>
      <c r="F244" s="31">
        <f>IF($A244="","",Submissions!AH240)</f>
        <v/>
      </c>
      <c r="G244" s="37" t="n"/>
      <c r="H244" s="37" t="n"/>
      <c r="I244" s="37" t="n"/>
      <c r="J244" s="37" t="n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3">
        <f>IF(COUNT(G244:I244)=3,IFERROR(ROUND((G244*Settings!$D$15+H244*Settings!$D$16+I244*Settings!$D$17)/(Settings!$D$15+Settings!$D$16+Settings!$D$17),2),""),"")</f>
        <v/>
      </c>
      <c r="W244" s="33">
        <f>IF(COUNT(J244:L244)=3,IFERROR(ROUND((J244*Settings!$D$15+K244*Settings!$D$16+L244*Settings!$D$17)/(Settings!$D$15+Settings!$D$16+Settings!$D$17),2),""),"")</f>
        <v/>
      </c>
      <c r="X244" s="33">
        <f>IF(COUNT(M244:O244)=3,IFERROR(ROUND((M244*Settings!$D$15+N244*Settings!$D$16+O244*Settings!$D$17)/(Settings!$D$15+Settings!$D$16+Settings!$D$17),2),""),"")</f>
        <v/>
      </c>
      <c r="Y244" s="33">
        <f>IF(COUNT(P244:R244)=3,IFERROR(ROUND((P244*Settings!$D$15+Q244*Settings!$D$16+R244*Settings!$D$17)/(Settings!$D$15+Settings!$D$16+Settings!$D$17),2),""),"")</f>
        <v/>
      </c>
      <c r="Z244" s="33">
        <f>IF(COUNT(S244:U244)=3,IFERROR(ROUND((S244*Settings!$D$15+T244*Settings!$D$16+U244*Settings!$D$17)/(Settings!$D$15+Settings!$D$16+Settings!$D$17),2),""),"")</f>
        <v/>
      </c>
      <c r="AA244" s="34">
        <f>IF(COUNT(V244:Z244)=0,"",ROUND(AVERAGE(V244:Z244),2))</f>
        <v/>
      </c>
      <c r="AB244" s="35">
        <f>IF($A244="","",COUNT(V244:Z244))</f>
        <v/>
      </c>
      <c r="AC244" s="36" t="n"/>
      <c r="AD244" s="35">
        <f>IF(AA244="","",SUMPRODUCT(ISNUMBER($AA$6:$AA$305)*($AA$6:$AA$305&gt;AA244))+SUMPRODUCT(($AA$6:AA244=AA244)*1))</f>
        <v/>
      </c>
      <c r="AE244" s="35">
        <f>IF(AA244="","",SUMPRODUCT(($E$6:$E$305=E244)*ISNUMBER($AA$6:$AA$305)*($AA$6:$AA$305&gt;AA244))+SUMPRODUCT(($E$6:E244=E244)*($AA$6:AA244=AA244)))</f>
        <v/>
      </c>
    </row>
    <row r="245">
      <c r="A245" s="31">
        <f>IF(Submissions!AD241="","",240)</f>
        <v/>
      </c>
      <c r="B245" s="10">
        <f>IF($A245="","",IF(Settings!$B$4="Yes","Submission "&amp;$A245,Submissions!AD241))</f>
        <v/>
      </c>
      <c r="C245" s="31">
        <f>IF($A245="","",IF(Settings!$B$4="Yes","(hidden)",Submissions!AE241))</f>
        <v/>
      </c>
      <c r="D245" s="31">
        <f>IF($A245="","",Submissions!AF241)</f>
        <v/>
      </c>
      <c r="E245" s="31">
        <f>IF($A245="","",Submissions!AG241)</f>
        <v/>
      </c>
      <c r="F245" s="31">
        <f>IF($A245="","",Submissions!AH241)</f>
        <v/>
      </c>
      <c r="G245" s="37" t="n"/>
      <c r="H245" s="37" t="n"/>
      <c r="I245" s="37" t="n"/>
      <c r="J245" s="37" t="n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3">
        <f>IF(COUNT(G245:I245)=3,IFERROR(ROUND((G245*Settings!$D$15+H245*Settings!$D$16+I245*Settings!$D$17)/(Settings!$D$15+Settings!$D$16+Settings!$D$17),2),""),"")</f>
        <v/>
      </c>
      <c r="W245" s="33">
        <f>IF(COUNT(J245:L245)=3,IFERROR(ROUND((J245*Settings!$D$15+K245*Settings!$D$16+L245*Settings!$D$17)/(Settings!$D$15+Settings!$D$16+Settings!$D$17),2),""),"")</f>
        <v/>
      </c>
      <c r="X245" s="33">
        <f>IF(COUNT(M245:O245)=3,IFERROR(ROUND((M245*Settings!$D$15+N245*Settings!$D$16+O245*Settings!$D$17)/(Settings!$D$15+Settings!$D$16+Settings!$D$17),2),""),"")</f>
        <v/>
      </c>
      <c r="Y245" s="33">
        <f>IF(COUNT(P245:R245)=3,IFERROR(ROUND((P245*Settings!$D$15+Q245*Settings!$D$16+R245*Settings!$D$17)/(Settings!$D$15+Settings!$D$16+Settings!$D$17),2),""),"")</f>
        <v/>
      </c>
      <c r="Z245" s="33">
        <f>IF(COUNT(S245:U245)=3,IFERROR(ROUND((S245*Settings!$D$15+T245*Settings!$D$16+U245*Settings!$D$17)/(Settings!$D$15+Settings!$D$16+Settings!$D$17),2),""),"")</f>
        <v/>
      </c>
      <c r="AA245" s="34">
        <f>IF(COUNT(V245:Z245)=0,"",ROUND(AVERAGE(V245:Z245),2))</f>
        <v/>
      </c>
      <c r="AB245" s="35">
        <f>IF($A245="","",COUNT(V245:Z245))</f>
        <v/>
      </c>
      <c r="AC245" s="36" t="n"/>
      <c r="AD245" s="35">
        <f>IF(AA245="","",SUMPRODUCT(ISNUMBER($AA$6:$AA$305)*($AA$6:$AA$305&gt;AA245))+SUMPRODUCT(($AA$6:AA245=AA245)*1))</f>
        <v/>
      </c>
      <c r="AE245" s="35">
        <f>IF(AA245="","",SUMPRODUCT(($E$6:$E$305=E245)*ISNUMBER($AA$6:$AA$305)*($AA$6:$AA$305&gt;AA245))+SUMPRODUCT(($E$6:E245=E245)*($AA$6:AA245=AA245)))</f>
        <v/>
      </c>
    </row>
    <row r="246">
      <c r="A246" s="31">
        <f>IF(Submissions!AD242="","",241)</f>
        <v/>
      </c>
      <c r="B246" s="10">
        <f>IF($A246="","",IF(Settings!$B$4="Yes","Submission "&amp;$A246,Submissions!AD242))</f>
        <v/>
      </c>
      <c r="C246" s="31">
        <f>IF($A246="","",IF(Settings!$B$4="Yes","(hidden)",Submissions!AE242))</f>
        <v/>
      </c>
      <c r="D246" s="31">
        <f>IF($A246="","",Submissions!AF242)</f>
        <v/>
      </c>
      <c r="E246" s="31">
        <f>IF($A246="","",Submissions!AG242)</f>
        <v/>
      </c>
      <c r="F246" s="31">
        <f>IF($A246="","",Submissions!AH242)</f>
        <v/>
      </c>
      <c r="G246" s="37" t="n"/>
      <c r="H246" s="37" t="n"/>
      <c r="I246" s="37" t="n"/>
      <c r="J246" s="37" t="n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3">
        <f>IF(COUNT(G246:I246)=3,IFERROR(ROUND((G246*Settings!$D$15+H246*Settings!$D$16+I246*Settings!$D$17)/(Settings!$D$15+Settings!$D$16+Settings!$D$17),2),""),"")</f>
        <v/>
      </c>
      <c r="W246" s="33">
        <f>IF(COUNT(J246:L246)=3,IFERROR(ROUND((J246*Settings!$D$15+K246*Settings!$D$16+L246*Settings!$D$17)/(Settings!$D$15+Settings!$D$16+Settings!$D$17),2),""),"")</f>
        <v/>
      </c>
      <c r="X246" s="33">
        <f>IF(COUNT(M246:O246)=3,IFERROR(ROUND((M246*Settings!$D$15+N246*Settings!$D$16+O246*Settings!$D$17)/(Settings!$D$15+Settings!$D$16+Settings!$D$17),2),""),"")</f>
        <v/>
      </c>
      <c r="Y246" s="33">
        <f>IF(COUNT(P246:R246)=3,IFERROR(ROUND((P246*Settings!$D$15+Q246*Settings!$D$16+R246*Settings!$D$17)/(Settings!$D$15+Settings!$D$16+Settings!$D$17),2),""),"")</f>
        <v/>
      </c>
      <c r="Z246" s="33">
        <f>IF(COUNT(S246:U246)=3,IFERROR(ROUND((S246*Settings!$D$15+T246*Settings!$D$16+U246*Settings!$D$17)/(Settings!$D$15+Settings!$D$16+Settings!$D$17),2),""),"")</f>
        <v/>
      </c>
      <c r="AA246" s="34">
        <f>IF(COUNT(V246:Z246)=0,"",ROUND(AVERAGE(V246:Z246),2))</f>
        <v/>
      </c>
      <c r="AB246" s="35">
        <f>IF($A246="","",COUNT(V246:Z246))</f>
        <v/>
      </c>
      <c r="AC246" s="36" t="n"/>
      <c r="AD246" s="35">
        <f>IF(AA246="","",SUMPRODUCT(ISNUMBER($AA$6:$AA$305)*($AA$6:$AA$305&gt;AA246))+SUMPRODUCT(($AA$6:AA246=AA246)*1))</f>
        <v/>
      </c>
      <c r="AE246" s="35">
        <f>IF(AA246="","",SUMPRODUCT(($E$6:$E$305=E246)*ISNUMBER($AA$6:$AA$305)*($AA$6:$AA$305&gt;AA246))+SUMPRODUCT(($E$6:E246=E246)*($AA$6:AA246=AA246)))</f>
        <v/>
      </c>
    </row>
    <row r="247">
      <c r="A247" s="31">
        <f>IF(Submissions!AD243="","",242)</f>
        <v/>
      </c>
      <c r="B247" s="10">
        <f>IF($A247="","",IF(Settings!$B$4="Yes","Submission "&amp;$A247,Submissions!AD243))</f>
        <v/>
      </c>
      <c r="C247" s="31">
        <f>IF($A247="","",IF(Settings!$B$4="Yes","(hidden)",Submissions!AE243))</f>
        <v/>
      </c>
      <c r="D247" s="31">
        <f>IF($A247="","",Submissions!AF243)</f>
        <v/>
      </c>
      <c r="E247" s="31">
        <f>IF($A247="","",Submissions!AG243)</f>
        <v/>
      </c>
      <c r="F247" s="31">
        <f>IF($A247="","",Submissions!AH243)</f>
        <v/>
      </c>
      <c r="G247" s="37" t="n"/>
      <c r="H247" s="37" t="n"/>
      <c r="I247" s="37" t="n"/>
      <c r="J247" s="37" t="n"/>
      <c r="K247" s="37" t="n"/>
      <c r="L247" s="37" t="n"/>
      <c r="M247" s="37" t="n"/>
      <c r="N247" s="37" t="n"/>
      <c r="O247" s="37" t="n"/>
      <c r="P247" s="37" t="n"/>
      <c r="Q247" s="37" t="n"/>
      <c r="R247" s="37" t="n"/>
      <c r="S247" s="37" t="n"/>
      <c r="T247" s="37" t="n"/>
      <c r="U247" s="37" t="n"/>
      <c r="V247" s="33">
        <f>IF(COUNT(G247:I247)=3,IFERROR(ROUND((G247*Settings!$D$15+H247*Settings!$D$16+I247*Settings!$D$17)/(Settings!$D$15+Settings!$D$16+Settings!$D$17),2),""),"")</f>
        <v/>
      </c>
      <c r="W247" s="33">
        <f>IF(COUNT(J247:L247)=3,IFERROR(ROUND((J247*Settings!$D$15+K247*Settings!$D$16+L247*Settings!$D$17)/(Settings!$D$15+Settings!$D$16+Settings!$D$17),2),""),"")</f>
        <v/>
      </c>
      <c r="X247" s="33">
        <f>IF(COUNT(M247:O247)=3,IFERROR(ROUND((M247*Settings!$D$15+N247*Settings!$D$16+O247*Settings!$D$17)/(Settings!$D$15+Settings!$D$16+Settings!$D$17),2),""),"")</f>
        <v/>
      </c>
      <c r="Y247" s="33">
        <f>IF(COUNT(P247:R247)=3,IFERROR(ROUND((P247*Settings!$D$15+Q247*Settings!$D$16+R247*Settings!$D$17)/(Settings!$D$15+Settings!$D$16+Settings!$D$17),2),""),"")</f>
        <v/>
      </c>
      <c r="Z247" s="33">
        <f>IF(COUNT(S247:U247)=3,IFERROR(ROUND((S247*Settings!$D$15+T247*Settings!$D$16+U247*Settings!$D$17)/(Settings!$D$15+Settings!$D$16+Settings!$D$17),2),""),"")</f>
        <v/>
      </c>
      <c r="AA247" s="34">
        <f>IF(COUNT(V247:Z247)=0,"",ROUND(AVERAGE(V247:Z247),2))</f>
        <v/>
      </c>
      <c r="AB247" s="35">
        <f>IF($A247="","",COUNT(V247:Z247))</f>
        <v/>
      </c>
      <c r="AC247" s="36" t="n"/>
      <c r="AD247" s="35">
        <f>IF(AA247="","",SUMPRODUCT(ISNUMBER($AA$6:$AA$305)*($AA$6:$AA$305&gt;AA247))+SUMPRODUCT(($AA$6:AA247=AA247)*1))</f>
        <v/>
      </c>
      <c r="AE247" s="35">
        <f>IF(AA247="","",SUMPRODUCT(($E$6:$E$305=E247)*ISNUMBER($AA$6:$AA$305)*($AA$6:$AA$305&gt;AA247))+SUMPRODUCT(($E$6:E247=E247)*($AA$6:AA247=AA247)))</f>
        <v/>
      </c>
    </row>
    <row r="248">
      <c r="A248" s="31">
        <f>IF(Submissions!AD244="","",243)</f>
        <v/>
      </c>
      <c r="B248" s="10">
        <f>IF($A248="","",IF(Settings!$B$4="Yes","Submission "&amp;$A248,Submissions!AD244))</f>
        <v/>
      </c>
      <c r="C248" s="31">
        <f>IF($A248="","",IF(Settings!$B$4="Yes","(hidden)",Submissions!AE244))</f>
        <v/>
      </c>
      <c r="D248" s="31">
        <f>IF($A248="","",Submissions!AF244)</f>
        <v/>
      </c>
      <c r="E248" s="31">
        <f>IF($A248="","",Submissions!AG244)</f>
        <v/>
      </c>
      <c r="F248" s="31">
        <f>IF($A248="","",Submissions!AH244)</f>
        <v/>
      </c>
      <c r="G248" s="37" t="n"/>
      <c r="H248" s="37" t="n"/>
      <c r="I248" s="37" t="n"/>
      <c r="J248" s="37" t="n"/>
      <c r="K248" s="37" t="n"/>
      <c r="L248" s="37" t="n"/>
      <c r="M248" s="37" t="n"/>
      <c r="N248" s="37" t="n"/>
      <c r="O248" s="37" t="n"/>
      <c r="P248" s="37" t="n"/>
      <c r="Q248" s="37" t="n"/>
      <c r="R248" s="37" t="n"/>
      <c r="S248" s="37" t="n"/>
      <c r="T248" s="37" t="n"/>
      <c r="U248" s="37" t="n"/>
      <c r="V248" s="33">
        <f>IF(COUNT(G248:I248)=3,IFERROR(ROUND((G248*Settings!$D$15+H248*Settings!$D$16+I248*Settings!$D$17)/(Settings!$D$15+Settings!$D$16+Settings!$D$17),2),""),"")</f>
        <v/>
      </c>
      <c r="W248" s="33">
        <f>IF(COUNT(J248:L248)=3,IFERROR(ROUND((J248*Settings!$D$15+K248*Settings!$D$16+L248*Settings!$D$17)/(Settings!$D$15+Settings!$D$16+Settings!$D$17),2),""),"")</f>
        <v/>
      </c>
      <c r="X248" s="33">
        <f>IF(COUNT(M248:O248)=3,IFERROR(ROUND((M248*Settings!$D$15+N248*Settings!$D$16+O248*Settings!$D$17)/(Settings!$D$15+Settings!$D$16+Settings!$D$17),2),""),"")</f>
        <v/>
      </c>
      <c r="Y248" s="33">
        <f>IF(COUNT(P248:R248)=3,IFERROR(ROUND((P248*Settings!$D$15+Q248*Settings!$D$16+R248*Settings!$D$17)/(Settings!$D$15+Settings!$D$16+Settings!$D$17),2),""),"")</f>
        <v/>
      </c>
      <c r="Z248" s="33">
        <f>IF(COUNT(S248:U248)=3,IFERROR(ROUND((S248*Settings!$D$15+T248*Settings!$D$16+U248*Settings!$D$17)/(Settings!$D$15+Settings!$D$16+Settings!$D$17),2),""),"")</f>
        <v/>
      </c>
      <c r="AA248" s="34">
        <f>IF(COUNT(V248:Z248)=0,"",ROUND(AVERAGE(V248:Z248),2))</f>
        <v/>
      </c>
      <c r="AB248" s="35">
        <f>IF($A248="","",COUNT(V248:Z248))</f>
        <v/>
      </c>
      <c r="AC248" s="36" t="n"/>
      <c r="AD248" s="35">
        <f>IF(AA248="","",SUMPRODUCT(ISNUMBER($AA$6:$AA$305)*($AA$6:$AA$305&gt;AA248))+SUMPRODUCT(($AA$6:AA248=AA248)*1))</f>
        <v/>
      </c>
      <c r="AE248" s="35">
        <f>IF(AA248="","",SUMPRODUCT(($E$6:$E$305=E248)*ISNUMBER($AA$6:$AA$305)*($AA$6:$AA$305&gt;AA248))+SUMPRODUCT(($E$6:E248=E248)*($AA$6:AA248=AA248)))</f>
        <v/>
      </c>
    </row>
    <row r="249">
      <c r="A249" s="31">
        <f>IF(Submissions!AD245="","",244)</f>
        <v/>
      </c>
      <c r="B249" s="10">
        <f>IF($A249="","",IF(Settings!$B$4="Yes","Submission "&amp;$A249,Submissions!AD245))</f>
        <v/>
      </c>
      <c r="C249" s="31">
        <f>IF($A249="","",IF(Settings!$B$4="Yes","(hidden)",Submissions!AE245))</f>
        <v/>
      </c>
      <c r="D249" s="31">
        <f>IF($A249="","",Submissions!AF245)</f>
        <v/>
      </c>
      <c r="E249" s="31">
        <f>IF($A249="","",Submissions!AG245)</f>
        <v/>
      </c>
      <c r="F249" s="31">
        <f>IF($A249="","",Submissions!AH245)</f>
        <v/>
      </c>
      <c r="G249" s="37" t="n"/>
      <c r="H249" s="37" t="n"/>
      <c r="I249" s="37" t="n"/>
      <c r="J249" s="37" t="n"/>
      <c r="K249" s="37" t="n"/>
      <c r="L249" s="37" t="n"/>
      <c r="M249" s="37" t="n"/>
      <c r="N249" s="37" t="n"/>
      <c r="O249" s="37" t="n"/>
      <c r="P249" s="37" t="n"/>
      <c r="Q249" s="37" t="n"/>
      <c r="R249" s="37" t="n"/>
      <c r="S249" s="37" t="n"/>
      <c r="T249" s="37" t="n"/>
      <c r="U249" s="37" t="n"/>
      <c r="V249" s="33">
        <f>IF(COUNT(G249:I249)=3,IFERROR(ROUND((G249*Settings!$D$15+H249*Settings!$D$16+I249*Settings!$D$17)/(Settings!$D$15+Settings!$D$16+Settings!$D$17),2),""),"")</f>
        <v/>
      </c>
      <c r="W249" s="33">
        <f>IF(COUNT(J249:L249)=3,IFERROR(ROUND((J249*Settings!$D$15+K249*Settings!$D$16+L249*Settings!$D$17)/(Settings!$D$15+Settings!$D$16+Settings!$D$17),2),""),"")</f>
        <v/>
      </c>
      <c r="X249" s="33">
        <f>IF(COUNT(M249:O249)=3,IFERROR(ROUND((M249*Settings!$D$15+N249*Settings!$D$16+O249*Settings!$D$17)/(Settings!$D$15+Settings!$D$16+Settings!$D$17),2),""),"")</f>
        <v/>
      </c>
      <c r="Y249" s="33">
        <f>IF(COUNT(P249:R249)=3,IFERROR(ROUND((P249*Settings!$D$15+Q249*Settings!$D$16+R249*Settings!$D$17)/(Settings!$D$15+Settings!$D$16+Settings!$D$17),2),""),"")</f>
        <v/>
      </c>
      <c r="Z249" s="33">
        <f>IF(COUNT(S249:U249)=3,IFERROR(ROUND((S249*Settings!$D$15+T249*Settings!$D$16+U249*Settings!$D$17)/(Settings!$D$15+Settings!$D$16+Settings!$D$17),2),""),"")</f>
        <v/>
      </c>
      <c r="AA249" s="34">
        <f>IF(COUNT(V249:Z249)=0,"",ROUND(AVERAGE(V249:Z249),2))</f>
        <v/>
      </c>
      <c r="AB249" s="35">
        <f>IF($A249="","",COUNT(V249:Z249))</f>
        <v/>
      </c>
      <c r="AC249" s="36" t="n"/>
      <c r="AD249" s="35">
        <f>IF(AA249="","",SUMPRODUCT(ISNUMBER($AA$6:$AA$305)*($AA$6:$AA$305&gt;AA249))+SUMPRODUCT(($AA$6:AA249=AA249)*1))</f>
        <v/>
      </c>
      <c r="AE249" s="35">
        <f>IF(AA249="","",SUMPRODUCT(($E$6:$E$305=E249)*ISNUMBER($AA$6:$AA$305)*($AA$6:$AA$305&gt;AA249))+SUMPRODUCT(($E$6:E249=E249)*($AA$6:AA249=AA249)))</f>
        <v/>
      </c>
    </row>
    <row r="250">
      <c r="A250" s="31">
        <f>IF(Submissions!AD246="","",245)</f>
        <v/>
      </c>
      <c r="B250" s="10">
        <f>IF($A250="","",IF(Settings!$B$4="Yes","Submission "&amp;$A250,Submissions!AD246))</f>
        <v/>
      </c>
      <c r="C250" s="31">
        <f>IF($A250="","",IF(Settings!$B$4="Yes","(hidden)",Submissions!AE246))</f>
        <v/>
      </c>
      <c r="D250" s="31">
        <f>IF($A250="","",Submissions!AF246)</f>
        <v/>
      </c>
      <c r="E250" s="31">
        <f>IF($A250="","",Submissions!AG246)</f>
        <v/>
      </c>
      <c r="F250" s="31">
        <f>IF($A250="","",Submissions!AH246)</f>
        <v/>
      </c>
      <c r="G250" s="37" t="n"/>
      <c r="H250" s="37" t="n"/>
      <c r="I250" s="37" t="n"/>
      <c r="J250" s="37" t="n"/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3">
        <f>IF(COUNT(G250:I250)=3,IFERROR(ROUND((G250*Settings!$D$15+H250*Settings!$D$16+I250*Settings!$D$17)/(Settings!$D$15+Settings!$D$16+Settings!$D$17),2),""),"")</f>
        <v/>
      </c>
      <c r="W250" s="33">
        <f>IF(COUNT(J250:L250)=3,IFERROR(ROUND((J250*Settings!$D$15+K250*Settings!$D$16+L250*Settings!$D$17)/(Settings!$D$15+Settings!$D$16+Settings!$D$17),2),""),"")</f>
        <v/>
      </c>
      <c r="X250" s="33">
        <f>IF(COUNT(M250:O250)=3,IFERROR(ROUND((M250*Settings!$D$15+N250*Settings!$D$16+O250*Settings!$D$17)/(Settings!$D$15+Settings!$D$16+Settings!$D$17),2),""),"")</f>
        <v/>
      </c>
      <c r="Y250" s="33">
        <f>IF(COUNT(P250:R250)=3,IFERROR(ROUND((P250*Settings!$D$15+Q250*Settings!$D$16+R250*Settings!$D$17)/(Settings!$D$15+Settings!$D$16+Settings!$D$17),2),""),"")</f>
        <v/>
      </c>
      <c r="Z250" s="33">
        <f>IF(COUNT(S250:U250)=3,IFERROR(ROUND((S250*Settings!$D$15+T250*Settings!$D$16+U250*Settings!$D$17)/(Settings!$D$15+Settings!$D$16+Settings!$D$17),2),""),"")</f>
        <v/>
      </c>
      <c r="AA250" s="34">
        <f>IF(COUNT(V250:Z250)=0,"",ROUND(AVERAGE(V250:Z250),2))</f>
        <v/>
      </c>
      <c r="AB250" s="35">
        <f>IF($A250="","",COUNT(V250:Z250))</f>
        <v/>
      </c>
      <c r="AC250" s="36" t="n"/>
      <c r="AD250" s="35">
        <f>IF(AA250="","",SUMPRODUCT(ISNUMBER($AA$6:$AA$305)*($AA$6:$AA$305&gt;AA250))+SUMPRODUCT(($AA$6:AA250=AA250)*1))</f>
        <v/>
      </c>
      <c r="AE250" s="35">
        <f>IF(AA250="","",SUMPRODUCT(($E$6:$E$305=E250)*ISNUMBER($AA$6:$AA$305)*($AA$6:$AA$305&gt;AA250))+SUMPRODUCT(($E$6:E250=E250)*($AA$6:AA250=AA250)))</f>
        <v/>
      </c>
    </row>
    <row r="251">
      <c r="A251" s="31">
        <f>IF(Submissions!AD247="","",246)</f>
        <v/>
      </c>
      <c r="B251" s="10">
        <f>IF($A251="","",IF(Settings!$B$4="Yes","Submission "&amp;$A251,Submissions!AD247))</f>
        <v/>
      </c>
      <c r="C251" s="31">
        <f>IF($A251="","",IF(Settings!$B$4="Yes","(hidden)",Submissions!AE247))</f>
        <v/>
      </c>
      <c r="D251" s="31">
        <f>IF($A251="","",Submissions!AF247)</f>
        <v/>
      </c>
      <c r="E251" s="31">
        <f>IF($A251="","",Submissions!AG247)</f>
        <v/>
      </c>
      <c r="F251" s="31">
        <f>IF($A251="","",Submissions!AH247)</f>
        <v/>
      </c>
      <c r="G251" s="37" t="n"/>
      <c r="H251" s="37" t="n"/>
      <c r="I251" s="37" t="n"/>
      <c r="J251" s="37" t="n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3">
        <f>IF(COUNT(G251:I251)=3,IFERROR(ROUND((G251*Settings!$D$15+H251*Settings!$D$16+I251*Settings!$D$17)/(Settings!$D$15+Settings!$D$16+Settings!$D$17),2),""),"")</f>
        <v/>
      </c>
      <c r="W251" s="33">
        <f>IF(COUNT(J251:L251)=3,IFERROR(ROUND((J251*Settings!$D$15+K251*Settings!$D$16+L251*Settings!$D$17)/(Settings!$D$15+Settings!$D$16+Settings!$D$17),2),""),"")</f>
        <v/>
      </c>
      <c r="X251" s="33">
        <f>IF(COUNT(M251:O251)=3,IFERROR(ROUND((M251*Settings!$D$15+N251*Settings!$D$16+O251*Settings!$D$17)/(Settings!$D$15+Settings!$D$16+Settings!$D$17),2),""),"")</f>
        <v/>
      </c>
      <c r="Y251" s="33">
        <f>IF(COUNT(P251:R251)=3,IFERROR(ROUND((P251*Settings!$D$15+Q251*Settings!$D$16+R251*Settings!$D$17)/(Settings!$D$15+Settings!$D$16+Settings!$D$17),2),""),"")</f>
        <v/>
      </c>
      <c r="Z251" s="33">
        <f>IF(COUNT(S251:U251)=3,IFERROR(ROUND((S251*Settings!$D$15+T251*Settings!$D$16+U251*Settings!$D$17)/(Settings!$D$15+Settings!$D$16+Settings!$D$17),2),""),"")</f>
        <v/>
      </c>
      <c r="AA251" s="34">
        <f>IF(COUNT(V251:Z251)=0,"",ROUND(AVERAGE(V251:Z251),2))</f>
        <v/>
      </c>
      <c r="AB251" s="35">
        <f>IF($A251="","",COUNT(V251:Z251))</f>
        <v/>
      </c>
      <c r="AC251" s="36" t="n"/>
      <c r="AD251" s="35">
        <f>IF(AA251="","",SUMPRODUCT(ISNUMBER($AA$6:$AA$305)*($AA$6:$AA$305&gt;AA251))+SUMPRODUCT(($AA$6:AA251=AA251)*1))</f>
        <v/>
      </c>
      <c r="AE251" s="35">
        <f>IF(AA251="","",SUMPRODUCT(($E$6:$E$305=E251)*ISNUMBER($AA$6:$AA$305)*($AA$6:$AA$305&gt;AA251))+SUMPRODUCT(($E$6:E251=E251)*($AA$6:AA251=AA251)))</f>
        <v/>
      </c>
    </row>
    <row r="252">
      <c r="A252" s="31">
        <f>IF(Submissions!AD248="","",247)</f>
        <v/>
      </c>
      <c r="B252" s="10">
        <f>IF($A252="","",IF(Settings!$B$4="Yes","Submission "&amp;$A252,Submissions!AD248))</f>
        <v/>
      </c>
      <c r="C252" s="31">
        <f>IF($A252="","",IF(Settings!$B$4="Yes","(hidden)",Submissions!AE248))</f>
        <v/>
      </c>
      <c r="D252" s="31">
        <f>IF($A252="","",Submissions!AF248)</f>
        <v/>
      </c>
      <c r="E252" s="31">
        <f>IF($A252="","",Submissions!AG248)</f>
        <v/>
      </c>
      <c r="F252" s="31">
        <f>IF($A252="","",Submissions!AH248)</f>
        <v/>
      </c>
      <c r="G252" s="37" t="n"/>
      <c r="H252" s="37" t="n"/>
      <c r="I252" s="37" t="n"/>
      <c r="J252" s="37" t="n"/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3">
        <f>IF(COUNT(G252:I252)=3,IFERROR(ROUND((G252*Settings!$D$15+H252*Settings!$D$16+I252*Settings!$D$17)/(Settings!$D$15+Settings!$D$16+Settings!$D$17),2),""),"")</f>
        <v/>
      </c>
      <c r="W252" s="33">
        <f>IF(COUNT(J252:L252)=3,IFERROR(ROUND((J252*Settings!$D$15+K252*Settings!$D$16+L252*Settings!$D$17)/(Settings!$D$15+Settings!$D$16+Settings!$D$17),2),""),"")</f>
        <v/>
      </c>
      <c r="X252" s="33">
        <f>IF(COUNT(M252:O252)=3,IFERROR(ROUND((M252*Settings!$D$15+N252*Settings!$D$16+O252*Settings!$D$17)/(Settings!$D$15+Settings!$D$16+Settings!$D$17),2),""),"")</f>
        <v/>
      </c>
      <c r="Y252" s="33">
        <f>IF(COUNT(P252:R252)=3,IFERROR(ROUND((P252*Settings!$D$15+Q252*Settings!$D$16+R252*Settings!$D$17)/(Settings!$D$15+Settings!$D$16+Settings!$D$17),2),""),"")</f>
        <v/>
      </c>
      <c r="Z252" s="33">
        <f>IF(COUNT(S252:U252)=3,IFERROR(ROUND((S252*Settings!$D$15+T252*Settings!$D$16+U252*Settings!$D$17)/(Settings!$D$15+Settings!$D$16+Settings!$D$17),2),""),"")</f>
        <v/>
      </c>
      <c r="AA252" s="34">
        <f>IF(COUNT(V252:Z252)=0,"",ROUND(AVERAGE(V252:Z252),2))</f>
        <v/>
      </c>
      <c r="AB252" s="35">
        <f>IF($A252="","",COUNT(V252:Z252))</f>
        <v/>
      </c>
      <c r="AC252" s="36" t="n"/>
      <c r="AD252" s="35">
        <f>IF(AA252="","",SUMPRODUCT(ISNUMBER($AA$6:$AA$305)*($AA$6:$AA$305&gt;AA252))+SUMPRODUCT(($AA$6:AA252=AA252)*1))</f>
        <v/>
      </c>
      <c r="AE252" s="35">
        <f>IF(AA252="","",SUMPRODUCT(($E$6:$E$305=E252)*ISNUMBER($AA$6:$AA$305)*($AA$6:$AA$305&gt;AA252))+SUMPRODUCT(($E$6:E252=E252)*($AA$6:AA252=AA252)))</f>
        <v/>
      </c>
    </row>
    <row r="253">
      <c r="A253" s="31">
        <f>IF(Submissions!AD249="","",248)</f>
        <v/>
      </c>
      <c r="B253" s="10">
        <f>IF($A253="","",IF(Settings!$B$4="Yes","Submission "&amp;$A253,Submissions!AD249))</f>
        <v/>
      </c>
      <c r="C253" s="31">
        <f>IF($A253="","",IF(Settings!$B$4="Yes","(hidden)",Submissions!AE249))</f>
        <v/>
      </c>
      <c r="D253" s="31">
        <f>IF($A253="","",Submissions!AF249)</f>
        <v/>
      </c>
      <c r="E253" s="31">
        <f>IF($A253="","",Submissions!AG249)</f>
        <v/>
      </c>
      <c r="F253" s="31">
        <f>IF($A253="","",Submissions!AH249)</f>
        <v/>
      </c>
      <c r="G253" s="37" t="n"/>
      <c r="H253" s="37" t="n"/>
      <c r="I253" s="37" t="n"/>
      <c r="J253" s="37" t="n"/>
      <c r="K253" s="37" t="n"/>
      <c r="L253" s="37" t="n"/>
      <c r="M253" s="37" t="n"/>
      <c r="N253" s="37" t="n"/>
      <c r="O253" s="37" t="n"/>
      <c r="P253" s="37" t="n"/>
      <c r="Q253" s="37" t="n"/>
      <c r="R253" s="37" t="n"/>
      <c r="S253" s="37" t="n"/>
      <c r="T253" s="37" t="n"/>
      <c r="U253" s="37" t="n"/>
      <c r="V253" s="33">
        <f>IF(COUNT(G253:I253)=3,IFERROR(ROUND((G253*Settings!$D$15+H253*Settings!$D$16+I253*Settings!$D$17)/(Settings!$D$15+Settings!$D$16+Settings!$D$17),2),""),"")</f>
        <v/>
      </c>
      <c r="W253" s="33">
        <f>IF(COUNT(J253:L253)=3,IFERROR(ROUND((J253*Settings!$D$15+K253*Settings!$D$16+L253*Settings!$D$17)/(Settings!$D$15+Settings!$D$16+Settings!$D$17),2),""),"")</f>
        <v/>
      </c>
      <c r="X253" s="33">
        <f>IF(COUNT(M253:O253)=3,IFERROR(ROUND((M253*Settings!$D$15+N253*Settings!$D$16+O253*Settings!$D$17)/(Settings!$D$15+Settings!$D$16+Settings!$D$17),2),""),"")</f>
        <v/>
      </c>
      <c r="Y253" s="33">
        <f>IF(COUNT(P253:R253)=3,IFERROR(ROUND((P253*Settings!$D$15+Q253*Settings!$D$16+R253*Settings!$D$17)/(Settings!$D$15+Settings!$D$16+Settings!$D$17),2),""),"")</f>
        <v/>
      </c>
      <c r="Z253" s="33">
        <f>IF(COUNT(S253:U253)=3,IFERROR(ROUND((S253*Settings!$D$15+T253*Settings!$D$16+U253*Settings!$D$17)/(Settings!$D$15+Settings!$D$16+Settings!$D$17),2),""),"")</f>
        <v/>
      </c>
      <c r="AA253" s="34">
        <f>IF(COUNT(V253:Z253)=0,"",ROUND(AVERAGE(V253:Z253),2))</f>
        <v/>
      </c>
      <c r="AB253" s="35">
        <f>IF($A253="","",COUNT(V253:Z253))</f>
        <v/>
      </c>
      <c r="AC253" s="36" t="n"/>
      <c r="AD253" s="35">
        <f>IF(AA253="","",SUMPRODUCT(ISNUMBER($AA$6:$AA$305)*($AA$6:$AA$305&gt;AA253))+SUMPRODUCT(($AA$6:AA253=AA253)*1))</f>
        <v/>
      </c>
      <c r="AE253" s="35">
        <f>IF(AA253="","",SUMPRODUCT(($E$6:$E$305=E253)*ISNUMBER($AA$6:$AA$305)*($AA$6:$AA$305&gt;AA253))+SUMPRODUCT(($E$6:E253=E253)*($AA$6:AA253=AA253)))</f>
        <v/>
      </c>
    </row>
    <row r="254">
      <c r="A254" s="31">
        <f>IF(Submissions!AD250="","",249)</f>
        <v/>
      </c>
      <c r="B254" s="10">
        <f>IF($A254="","",IF(Settings!$B$4="Yes","Submission "&amp;$A254,Submissions!AD250))</f>
        <v/>
      </c>
      <c r="C254" s="31">
        <f>IF($A254="","",IF(Settings!$B$4="Yes","(hidden)",Submissions!AE250))</f>
        <v/>
      </c>
      <c r="D254" s="31">
        <f>IF($A254="","",Submissions!AF250)</f>
        <v/>
      </c>
      <c r="E254" s="31">
        <f>IF($A254="","",Submissions!AG250)</f>
        <v/>
      </c>
      <c r="F254" s="31">
        <f>IF($A254="","",Submissions!AH250)</f>
        <v/>
      </c>
      <c r="G254" s="37" t="n"/>
      <c r="H254" s="37" t="n"/>
      <c r="I254" s="37" t="n"/>
      <c r="J254" s="37" t="n"/>
      <c r="K254" s="37" t="n"/>
      <c r="L254" s="37" t="n"/>
      <c r="M254" s="37" t="n"/>
      <c r="N254" s="37" t="n"/>
      <c r="O254" s="37" t="n"/>
      <c r="P254" s="37" t="n"/>
      <c r="Q254" s="37" t="n"/>
      <c r="R254" s="37" t="n"/>
      <c r="S254" s="37" t="n"/>
      <c r="T254" s="37" t="n"/>
      <c r="U254" s="37" t="n"/>
      <c r="V254" s="33">
        <f>IF(COUNT(G254:I254)=3,IFERROR(ROUND((G254*Settings!$D$15+H254*Settings!$D$16+I254*Settings!$D$17)/(Settings!$D$15+Settings!$D$16+Settings!$D$17),2),""),"")</f>
        <v/>
      </c>
      <c r="W254" s="33">
        <f>IF(COUNT(J254:L254)=3,IFERROR(ROUND((J254*Settings!$D$15+K254*Settings!$D$16+L254*Settings!$D$17)/(Settings!$D$15+Settings!$D$16+Settings!$D$17),2),""),"")</f>
        <v/>
      </c>
      <c r="X254" s="33">
        <f>IF(COUNT(M254:O254)=3,IFERROR(ROUND((M254*Settings!$D$15+N254*Settings!$D$16+O254*Settings!$D$17)/(Settings!$D$15+Settings!$D$16+Settings!$D$17),2),""),"")</f>
        <v/>
      </c>
      <c r="Y254" s="33">
        <f>IF(COUNT(P254:R254)=3,IFERROR(ROUND((P254*Settings!$D$15+Q254*Settings!$D$16+R254*Settings!$D$17)/(Settings!$D$15+Settings!$D$16+Settings!$D$17),2),""),"")</f>
        <v/>
      </c>
      <c r="Z254" s="33">
        <f>IF(COUNT(S254:U254)=3,IFERROR(ROUND((S254*Settings!$D$15+T254*Settings!$D$16+U254*Settings!$D$17)/(Settings!$D$15+Settings!$D$16+Settings!$D$17),2),""),"")</f>
        <v/>
      </c>
      <c r="AA254" s="34">
        <f>IF(COUNT(V254:Z254)=0,"",ROUND(AVERAGE(V254:Z254),2))</f>
        <v/>
      </c>
      <c r="AB254" s="35">
        <f>IF($A254="","",COUNT(V254:Z254))</f>
        <v/>
      </c>
      <c r="AC254" s="36" t="n"/>
      <c r="AD254" s="35">
        <f>IF(AA254="","",SUMPRODUCT(ISNUMBER($AA$6:$AA$305)*($AA$6:$AA$305&gt;AA254))+SUMPRODUCT(($AA$6:AA254=AA254)*1))</f>
        <v/>
      </c>
      <c r="AE254" s="35">
        <f>IF(AA254="","",SUMPRODUCT(($E$6:$E$305=E254)*ISNUMBER($AA$6:$AA$305)*($AA$6:$AA$305&gt;AA254))+SUMPRODUCT(($E$6:E254=E254)*($AA$6:AA254=AA254)))</f>
        <v/>
      </c>
    </row>
    <row r="255">
      <c r="A255" s="31">
        <f>IF(Submissions!AD251="","",250)</f>
        <v/>
      </c>
      <c r="B255" s="10">
        <f>IF($A255="","",IF(Settings!$B$4="Yes","Submission "&amp;$A255,Submissions!AD251))</f>
        <v/>
      </c>
      <c r="C255" s="31">
        <f>IF($A255="","",IF(Settings!$B$4="Yes","(hidden)",Submissions!AE251))</f>
        <v/>
      </c>
      <c r="D255" s="31">
        <f>IF($A255="","",Submissions!AF251)</f>
        <v/>
      </c>
      <c r="E255" s="31">
        <f>IF($A255="","",Submissions!AG251)</f>
        <v/>
      </c>
      <c r="F255" s="31">
        <f>IF($A255="","",Submissions!AH251)</f>
        <v/>
      </c>
      <c r="G255" s="37" t="n"/>
      <c r="H255" s="37" t="n"/>
      <c r="I255" s="37" t="n"/>
      <c r="J255" s="37" t="n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3">
        <f>IF(COUNT(G255:I255)=3,IFERROR(ROUND((G255*Settings!$D$15+H255*Settings!$D$16+I255*Settings!$D$17)/(Settings!$D$15+Settings!$D$16+Settings!$D$17),2),""),"")</f>
        <v/>
      </c>
      <c r="W255" s="33">
        <f>IF(COUNT(J255:L255)=3,IFERROR(ROUND((J255*Settings!$D$15+K255*Settings!$D$16+L255*Settings!$D$17)/(Settings!$D$15+Settings!$D$16+Settings!$D$17),2),""),"")</f>
        <v/>
      </c>
      <c r="X255" s="33">
        <f>IF(COUNT(M255:O255)=3,IFERROR(ROUND((M255*Settings!$D$15+N255*Settings!$D$16+O255*Settings!$D$17)/(Settings!$D$15+Settings!$D$16+Settings!$D$17),2),""),"")</f>
        <v/>
      </c>
      <c r="Y255" s="33">
        <f>IF(COUNT(P255:R255)=3,IFERROR(ROUND((P255*Settings!$D$15+Q255*Settings!$D$16+R255*Settings!$D$17)/(Settings!$D$15+Settings!$D$16+Settings!$D$17),2),""),"")</f>
        <v/>
      </c>
      <c r="Z255" s="33">
        <f>IF(COUNT(S255:U255)=3,IFERROR(ROUND((S255*Settings!$D$15+T255*Settings!$D$16+U255*Settings!$D$17)/(Settings!$D$15+Settings!$D$16+Settings!$D$17),2),""),"")</f>
        <v/>
      </c>
      <c r="AA255" s="34">
        <f>IF(COUNT(V255:Z255)=0,"",ROUND(AVERAGE(V255:Z255),2))</f>
        <v/>
      </c>
      <c r="AB255" s="35">
        <f>IF($A255="","",COUNT(V255:Z255))</f>
        <v/>
      </c>
      <c r="AC255" s="36" t="n"/>
      <c r="AD255" s="35">
        <f>IF(AA255="","",SUMPRODUCT(ISNUMBER($AA$6:$AA$305)*($AA$6:$AA$305&gt;AA255))+SUMPRODUCT(($AA$6:AA255=AA255)*1))</f>
        <v/>
      </c>
      <c r="AE255" s="35">
        <f>IF(AA255="","",SUMPRODUCT(($E$6:$E$305=E255)*ISNUMBER($AA$6:$AA$305)*($AA$6:$AA$305&gt;AA255))+SUMPRODUCT(($E$6:E255=E255)*($AA$6:AA255=AA255)))</f>
        <v/>
      </c>
    </row>
    <row r="256">
      <c r="A256" s="31">
        <f>IF(Submissions!AD252="","",251)</f>
        <v/>
      </c>
      <c r="B256" s="10">
        <f>IF($A256="","",IF(Settings!$B$4="Yes","Submission "&amp;$A256,Submissions!AD252))</f>
        <v/>
      </c>
      <c r="C256" s="31">
        <f>IF($A256="","",IF(Settings!$B$4="Yes","(hidden)",Submissions!AE252))</f>
        <v/>
      </c>
      <c r="D256" s="31">
        <f>IF($A256="","",Submissions!AF252)</f>
        <v/>
      </c>
      <c r="E256" s="31">
        <f>IF($A256="","",Submissions!AG252)</f>
        <v/>
      </c>
      <c r="F256" s="31">
        <f>IF($A256="","",Submissions!AH252)</f>
        <v/>
      </c>
      <c r="G256" s="37" t="n"/>
      <c r="H256" s="37" t="n"/>
      <c r="I256" s="37" t="n"/>
      <c r="J256" s="37" t="n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3">
        <f>IF(COUNT(G256:I256)=3,IFERROR(ROUND((G256*Settings!$D$15+H256*Settings!$D$16+I256*Settings!$D$17)/(Settings!$D$15+Settings!$D$16+Settings!$D$17),2),""),"")</f>
        <v/>
      </c>
      <c r="W256" s="33">
        <f>IF(COUNT(J256:L256)=3,IFERROR(ROUND((J256*Settings!$D$15+K256*Settings!$D$16+L256*Settings!$D$17)/(Settings!$D$15+Settings!$D$16+Settings!$D$17),2),""),"")</f>
        <v/>
      </c>
      <c r="X256" s="33">
        <f>IF(COUNT(M256:O256)=3,IFERROR(ROUND((M256*Settings!$D$15+N256*Settings!$D$16+O256*Settings!$D$17)/(Settings!$D$15+Settings!$D$16+Settings!$D$17),2),""),"")</f>
        <v/>
      </c>
      <c r="Y256" s="33">
        <f>IF(COUNT(P256:R256)=3,IFERROR(ROUND((P256*Settings!$D$15+Q256*Settings!$D$16+R256*Settings!$D$17)/(Settings!$D$15+Settings!$D$16+Settings!$D$17),2),""),"")</f>
        <v/>
      </c>
      <c r="Z256" s="33">
        <f>IF(COUNT(S256:U256)=3,IFERROR(ROUND((S256*Settings!$D$15+T256*Settings!$D$16+U256*Settings!$D$17)/(Settings!$D$15+Settings!$D$16+Settings!$D$17),2),""),"")</f>
        <v/>
      </c>
      <c r="AA256" s="34">
        <f>IF(COUNT(V256:Z256)=0,"",ROUND(AVERAGE(V256:Z256),2))</f>
        <v/>
      </c>
      <c r="AB256" s="35">
        <f>IF($A256="","",COUNT(V256:Z256))</f>
        <v/>
      </c>
      <c r="AC256" s="36" t="n"/>
      <c r="AD256" s="35">
        <f>IF(AA256="","",SUMPRODUCT(ISNUMBER($AA$6:$AA$305)*($AA$6:$AA$305&gt;AA256))+SUMPRODUCT(($AA$6:AA256=AA256)*1))</f>
        <v/>
      </c>
      <c r="AE256" s="35">
        <f>IF(AA256="","",SUMPRODUCT(($E$6:$E$305=E256)*ISNUMBER($AA$6:$AA$305)*($AA$6:$AA$305&gt;AA256))+SUMPRODUCT(($E$6:E256=E256)*($AA$6:AA256=AA256)))</f>
        <v/>
      </c>
    </row>
    <row r="257">
      <c r="A257" s="31">
        <f>IF(Submissions!AD253="","",252)</f>
        <v/>
      </c>
      <c r="B257" s="10">
        <f>IF($A257="","",IF(Settings!$B$4="Yes","Submission "&amp;$A257,Submissions!AD253))</f>
        <v/>
      </c>
      <c r="C257" s="31">
        <f>IF($A257="","",IF(Settings!$B$4="Yes","(hidden)",Submissions!AE253))</f>
        <v/>
      </c>
      <c r="D257" s="31">
        <f>IF($A257="","",Submissions!AF253)</f>
        <v/>
      </c>
      <c r="E257" s="31">
        <f>IF($A257="","",Submissions!AG253)</f>
        <v/>
      </c>
      <c r="F257" s="31">
        <f>IF($A257="","",Submissions!AH253)</f>
        <v/>
      </c>
      <c r="G257" s="37" t="n"/>
      <c r="H257" s="37" t="n"/>
      <c r="I257" s="37" t="n"/>
      <c r="J257" s="37" t="n"/>
      <c r="K257" s="37" t="n"/>
      <c r="L257" s="37" t="n"/>
      <c r="M257" s="37" t="n"/>
      <c r="N257" s="37" t="n"/>
      <c r="O257" s="37" t="n"/>
      <c r="P257" s="37" t="n"/>
      <c r="Q257" s="37" t="n"/>
      <c r="R257" s="37" t="n"/>
      <c r="S257" s="37" t="n"/>
      <c r="T257" s="37" t="n"/>
      <c r="U257" s="37" t="n"/>
      <c r="V257" s="33">
        <f>IF(COUNT(G257:I257)=3,IFERROR(ROUND((G257*Settings!$D$15+H257*Settings!$D$16+I257*Settings!$D$17)/(Settings!$D$15+Settings!$D$16+Settings!$D$17),2),""),"")</f>
        <v/>
      </c>
      <c r="W257" s="33">
        <f>IF(COUNT(J257:L257)=3,IFERROR(ROUND((J257*Settings!$D$15+K257*Settings!$D$16+L257*Settings!$D$17)/(Settings!$D$15+Settings!$D$16+Settings!$D$17),2),""),"")</f>
        <v/>
      </c>
      <c r="X257" s="33">
        <f>IF(COUNT(M257:O257)=3,IFERROR(ROUND((M257*Settings!$D$15+N257*Settings!$D$16+O257*Settings!$D$17)/(Settings!$D$15+Settings!$D$16+Settings!$D$17),2),""),"")</f>
        <v/>
      </c>
      <c r="Y257" s="33">
        <f>IF(COUNT(P257:R257)=3,IFERROR(ROUND((P257*Settings!$D$15+Q257*Settings!$D$16+R257*Settings!$D$17)/(Settings!$D$15+Settings!$D$16+Settings!$D$17),2),""),"")</f>
        <v/>
      </c>
      <c r="Z257" s="33">
        <f>IF(COUNT(S257:U257)=3,IFERROR(ROUND((S257*Settings!$D$15+T257*Settings!$D$16+U257*Settings!$D$17)/(Settings!$D$15+Settings!$D$16+Settings!$D$17),2),""),"")</f>
        <v/>
      </c>
      <c r="AA257" s="34">
        <f>IF(COUNT(V257:Z257)=0,"",ROUND(AVERAGE(V257:Z257),2))</f>
        <v/>
      </c>
      <c r="AB257" s="35">
        <f>IF($A257="","",COUNT(V257:Z257))</f>
        <v/>
      </c>
      <c r="AC257" s="36" t="n"/>
      <c r="AD257" s="35">
        <f>IF(AA257="","",SUMPRODUCT(ISNUMBER($AA$6:$AA$305)*($AA$6:$AA$305&gt;AA257))+SUMPRODUCT(($AA$6:AA257=AA257)*1))</f>
        <v/>
      </c>
      <c r="AE257" s="35">
        <f>IF(AA257="","",SUMPRODUCT(($E$6:$E$305=E257)*ISNUMBER($AA$6:$AA$305)*($AA$6:$AA$305&gt;AA257))+SUMPRODUCT(($E$6:E257=E257)*($AA$6:AA257=AA257)))</f>
        <v/>
      </c>
    </row>
    <row r="258">
      <c r="A258" s="31">
        <f>IF(Submissions!AD254="","",253)</f>
        <v/>
      </c>
      <c r="B258" s="10">
        <f>IF($A258="","",IF(Settings!$B$4="Yes","Submission "&amp;$A258,Submissions!AD254))</f>
        <v/>
      </c>
      <c r="C258" s="31">
        <f>IF($A258="","",IF(Settings!$B$4="Yes","(hidden)",Submissions!AE254))</f>
        <v/>
      </c>
      <c r="D258" s="31">
        <f>IF($A258="","",Submissions!AF254)</f>
        <v/>
      </c>
      <c r="E258" s="31">
        <f>IF($A258="","",Submissions!AG254)</f>
        <v/>
      </c>
      <c r="F258" s="31">
        <f>IF($A258="","",Submissions!AH254)</f>
        <v/>
      </c>
      <c r="G258" s="37" t="n"/>
      <c r="H258" s="37" t="n"/>
      <c r="I258" s="37" t="n"/>
      <c r="J258" s="37" t="n"/>
      <c r="K258" s="37" t="n"/>
      <c r="L258" s="37" t="n"/>
      <c r="M258" s="37" t="n"/>
      <c r="N258" s="37" t="n"/>
      <c r="O258" s="37" t="n"/>
      <c r="P258" s="37" t="n"/>
      <c r="Q258" s="37" t="n"/>
      <c r="R258" s="37" t="n"/>
      <c r="S258" s="37" t="n"/>
      <c r="T258" s="37" t="n"/>
      <c r="U258" s="37" t="n"/>
      <c r="V258" s="33">
        <f>IF(COUNT(G258:I258)=3,IFERROR(ROUND((G258*Settings!$D$15+H258*Settings!$D$16+I258*Settings!$D$17)/(Settings!$D$15+Settings!$D$16+Settings!$D$17),2),""),"")</f>
        <v/>
      </c>
      <c r="W258" s="33">
        <f>IF(COUNT(J258:L258)=3,IFERROR(ROUND((J258*Settings!$D$15+K258*Settings!$D$16+L258*Settings!$D$17)/(Settings!$D$15+Settings!$D$16+Settings!$D$17),2),""),"")</f>
        <v/>
      </c>
      <c r="X258" s="33">
        <f>IF(COUNT(M258:O258)=3,IFERROR(ROUND((M258*Settings!$D$15+N258*Settings!$D$16+O258*Settings!$D$17)/(Settings!$D$15+Settings!$D$16+Settings!$D$17),2),""),"")</f>
        <v/>
      </c>
      <c r="Y258" s="33">
        <f>IF(COUNT(P258:R258)=3,IFERROR(ROUND((P258*Settings!$D$15+Q258*Settings!$D$16+R258*Settings!$D$17)/(Settings!$D$15+Settings!$D$16+Settings!$D$17),2),""),"")</f>
        <v/>
      </c>
      <c r="Z258" s="33">
        <f>IF(COUNT(S258:U258)=3,IFERROR(ROUND((S258*Settings!$D$15+T258*Settings!$D$16+U258*Settings!$D$17)/(Settings!$D$15+Settings!$D$16+Settings!$D$17),2),""),"")</f>
        <v/>
      </c>
      <c r="AA258" s="34">
        <f>IF(COUNT(V258:Z258)=0,"",ROUND(AVERAGE(V258:Z258),2))</f>
        <v/>
      </c>
      <c r="AB258" s="35">
        <f>IF($A258="","",COUNT(V258:Z258))</f>
        <v/>
      </c>
      <c r="AC258" s="36" t="n"/>
      <c r="AD258" s="35">
        <f>IF(AA258="","",SUMPRODUCT(ISNUMBER($AA$6:$AA$305)*($AA$6:$AA$305&gt;AA258))+SUMPRODUCT(($AA$6:AA258=AA258)*1))</f>
        <v/>
      </c>
      <c r="AE258" s="35">
        <f>IF(AA258="","",SUMPRODUCT(($E$6:$E$305=E258)*ISNUMBER($AA$6:$AA$305)*($AA$6:$AA$305&gt;AA258))+SUMPRODUCT(($E$6:E258=E258)*($AA$6:AA258=AA258)))</f>
        <v/>
      </c>
    </row>
    <row r="259">
      <c r="A259" s="31">
        <f>IF(Submissions!AD255="","",254)</f>
        <v/>
      </c>
      <c r="B259" s="10">
        <f>IF($A259="","",IF(Settings!$B$4="Yes","Submission "&amp;$A259,Submissions!AD255))</f>
        <v/>
      </c>
      <c r="C259" s="31">
        <f>IF($A259="","",IF(Settings!$B$4="Yes","(hidden)",Submissions!AE255))</f>
        <v/>
      </c>
      <c r="D259" s="31">
        <f>IF($A259="","",Submissions!AF255)</f>
        <v/>
      </c>
      <c r="E259" s="31">
        <f>IF($A259="","",Submissions!AG255)</f>
        <v/>
      </c>
      <c r="F259" s="31">
        <f>IF($A259="","",Submissions!AH255)</f>
        <v/>
      </c>
      <c r="G259" s="37" t="n"/>
      <c r="H259" s="37" t="n"/>
      <c r="I259" s="37" t="n"/>
      <c r="J259" s="37" t="n"/>
      <c r="K259" s="37" t="n"/>
      <c r="L259" s="37" t="n"/>
      <c r="M259" s="37" t="n"/>
      <c r="N259" s="37" t="n"/>
      <c r="O259" s="37" t="n"/>
      <c r="P259" s="37" t="n"/>
      <c r="Q259" s="37" t="n"/>
      <c r="R259" s="37" t="n"/>
      <c r="S259" s="37" t="n"/>
      <c r="T259" s="37" t="n"/>
      <c r="U259" s="37" t="n"/>
      <c r="V259" s="33">
        <f>IF(COUNT(G259:I259)=3,IFERROR(ROUND((G259*Settings!$D$15+H259*Settings!$D$16+I259*Settings!$D$17)/(Settings!$D$15+Settings!$D$16+Settings!$D$17),2),""),"")</f>
        <v/>
      </c>
      <c r="W259" s="33">
        <f>IF(COUNT(J259:L259)=3,IFERROR(ROUND((J259*Settings!$D$15+K259*Settings!$D$16+L259*Settings!$D$17)/(Settings!$D$15+Settings!$D$16+Settings!$D$17),2),""),"")</f>
        <v/>
      </c>
      <c r="X259" s="33">
        <f>IF(COUNT(M259:O259)=3,IFERROR(ROUND((M259*Settings!$D$15+N259*Settings!$D$16+O259*Settings!$D$17)/(Settings!$D$15+Settings!$D$16+Settings!$D$17),2),""),"")</f>
        <v/>
      </c>
      <c r="Y259" s="33">
        <f>IF(COUNT(P259:R259)=3,IFERROR(ROUND((P259*Settings!$D$15+Q259*Settings!$D$16+R259*Settings!$D$17)/(Settings!$D$15+Settings!$D$16+Settings!$D$17),2),""),"")</f>
        <v/>
      </c>
      <c r="Z259" s="33">
        <f>IF(COUNT(S259:U259)=3,IFERROR(ROUND((S259*Settings!$D$15+T259*Settings!$D$16+U259*Settings!$D$17)/(Settings!$D$15+Settings!$D$16+Settings!$D$17),2),""),"")</f>
        <v/>
      </c>
      <c r="AA259" s="34">
        <f>IF(COUNT(V259:Z259)=0,"",ROUND(AVERAGE(V259:Z259),2))</f>
        <v/>
      </c>
      <c r="AB259" s="35">
        <f>IF($A259="","",COUNT(V259:Z259))</f>
        <v/>
      </c>
      <c r="AC259" s="36" t="n"/>
      <c r="AD259" s="35">
        <f>IF(AA259="","",SUMPRODUCT(ISNUMBER($AA$6:$AA$305)*($AA$6:$AA$305&gt;AA259))+SUMPRODUCT(($AA$6:AA259=AA259)*1))</f>
        <v/>
      </c>
      <c r="AE259" s="35">
        <f>IF(AA259="","",SUMPRODUCT(($E$6:$E$305=E259)*ISNUMBER($AA$6:$AA$305)*($AA$6:$AA$305&gt;AA259))+SUMPRODUCT(($E$6:E259=E259)*($AA$6:AA259=AA259)))</f>
        <v/>
      </c>
    </row>
    <row r="260">
      <c r="A260" s="31">
        <f>IF(Submissions!AD256="","",255)</f>
        <v/>
      </c>
      <c r="B260" s="10">
        <f>IF($A260="","",IF(Settings!$B$4="Yes","Submission "&amp;$A260,Submissions!AD256))</f>
        <v/>
      </c>
      <c r="C260" s="31">
        <f>IF($A260="","",IF(Settings!$B$4="Yes","(hidden)",Submissions!AE256))</f>
        <v/>
      </c>
      <c r="D260" s="31">
        <f>IF($A260="","",Submissions!AF256)</f>
        <v/>
      </c>
      <c r="E260" s="31">
        <f>IF($A260="","",Submissions!AG256)</f>
        <v/>
      </c>
      <c r="F260" s="31">
        <f>IF($A260="","",Submissions!AH256)</f>
        <v/>
      </c>
      <c r="G260" s="37" t="n"/>
      <c r="H260" s="37" t="n"/>
      <c r="I260" s="37" t="n"/>
      <c r="J260" s="37" t="n"/>
      <c r="K260" s="37" t="n"/>
      <c r="L260" s="37" t="n"/>
      <c r="M260" s="37" t="n"/>
      <c r="N260" s="37" t="n"/>
      <c r="O260" s="37" t="n"/>
      <c r="P260" s="37" t="n"/>
      <c r="Q260" s="37" t="n"/>
      <c r="R260" s="37" t="n"/>
      <c r="S260" s="37" t="n"/>
      <c r="T260" s="37" t="n"/>
      <c r="U260" s="37" t="n"/>
      <c r="V260" s="33">
        <f>IF(COUNT(G260:I260)=3,IFERROR(ROUND((G260*Settings!$D$15+H260*Settings!$D$16+I260*Settings!$D$17)/(Settings!$D$15+Settings!$D$16+Settings!$D$17),2),""),"")</f>
        <v/>
      </c>
      <c r="W260" s="33">
        <f>IF(COUNT(J260:L260)=3,IFERROR(ROUND((J260*Settings!$D$15+K260*Settings!$D$16+L260*Settings!$D$17)/(Settings!$D$15+Settings!$D$16+Settings!$D$17),2),""),"")</f>
        <v/>
      </c>
      <c r="X260" s="33">
        <f>IF(COUNT(M260:O260)=3,IFERROR(ROUND((M260*Settings!$D$15+N260*Settings!$D$16+O260*Settings!$D$17)/(Settings!$D$15+Settings!$D$16+Settings!$D$17),2),""),"")</f>
        <v/>
      </c>
      <c r="Y260" s="33">
        <f>IF(COUNT(P260:R260)=3,IFERROR(ROUND((P260*Settings!$D$15+Q260*Settings!$D$16+R260*Settings!$D$17)/(Settings!$D$15+Settings!$D$16+Settings!$D$17),2),""),"")</f>
        <v/>
      </c>
      <c r="Z260" s="33">
        <f>IF(COUNT(S260:U260)=3,IFERROR(ROUND((S260*Settings!$D$15+T260*Settings!$D$16+U260*Settings!$D$17)/(Settings!$D$15+Settings!$D$16+Settings!$D$17),2),""),"")</f>
        <v/>
      </c>
      <c r="AA260" s="34">
        <f>IF(COUNT(V260:Z260)=0,"",ROUND(AVERAGE(V260:Z260),2))</f>
        <v/>
      </c>
      <c r="AB260" s="35">
        <f>IF($A260="","",COUNT(V260:Z260))</f>
        <v/>
      </c>
      <c r="AC260" s="36" t="n"/>
      <c r="AD260" s="35">
        <f>IF(AA260="","",SUMPRODUCT(ISNUMBER($AA$6:$AA$305)*($AA$6:$AA$305&gt;AA260))+SUMPRODUCT(($AA$6:AA260=AA260)*1))</f>
        <v/>
      </c>
      <c r="AE260" s="35">
        <f>IF(AA260="","",SUMPRODUCT(($E$6:$E$305=E260)*ISNUMBER($AA$6:$AA$305)*($AA$6:$AA$305&gt;AA260))+SUMPRODUCT(($E$6:E260=E260)*($AA$6:AA260=AA260)))</f>
        <v/>
      </c>
    </row>
    <row r="261">
      <c r="A261" s="31">
        <f>IF(Submissions!AD257="","",256)</f>
        <v/>
      </c>
      <c r="B261" s="10">
        <f>IF($A261="","",IF(Settings!$B$4="Yes","Submission "&amp;$A261,Submissions!AD257))</f>
        <v/>
      </c>
      <c r="C261" s="31">
        <f>IF($A261="","",IF(Settings!$B$4="Yes","(hidden)",Submissions!AE257))</f>
        <v/>
      </c>
      <c r="D261" s="31">
        <f>IF($A261="","",Submissions!AF257)</f>
        <v/>
      </c>
      <c r="E261" s="31">
        <f>IF($A261="","",Submissions!AG257)</f>
        <v/>
      </c>
      <c r="F261" s="31">
        <f>IF($A261="","",Submissions!AH257)</f>
        <v/>
      </c>
      <c r="G261" s="37" t="n"/>
      <c r="H261" s="37" t="n"/>
      <c r="I261" s="37" t="n"/>
      <c r="J261" s="37" t="n"/>
      <c r="K261" s="37" t="n"/>
      <c r="L261" s="37" t="n"/>
      <c r="M261" s="37" t="n"/>
      <c r="N261" s="37" t="n"/>
      <c r="O261" s="37" t="n"/>
      <c r="P261" s="37" t="n"/>
      <c r="Q261" s="37" t="n"/>
      <c r="R261" s="37" t="n"/>
      <c r="S261" s="37" t="n"/>
      <c r="T261" s="37" t="n"/>
      <c r="U261" s="37" t="n"/>
      <c r="V261" s="33">
        <f>IF(COUNT(G261:I261)=3,IFERROR(ROUND((G261*Settings!$D$15+H261*Settings!$D$16+I261*Settings!$D$17)/(Settings!$D$15+Settings!$D$16+Settings!$D$17),2),""),"")</f>
        <v/>
      </c>
      <c r="W261" s="33">
        <f>IF(COUNT(J261:L261)=3,IFERROR(ROUND((J261*Settings!$D$15+K261*Settings!$D$16+L261*Settings!$D$17)/(Settings!$D$15+Settings!$D$16+Settings!$D$17),2),""),"")</f>
        <v/>
      </c>
      <c r="X261" s="33">
        <f>IF(COUNT(M261:O261)=3,IFERROR(ROUND((M261*Settings!$D$15+N261*Settings!$D$16+O261*Settings!$D$17)/(Settings!$D$15+Settings!$D$16+Settings!$D$17),2),""),"")</f>
        <v/>
      </c>
      <c r="Y261" s="33">
        <f>IF(COUNT(P261:R261)=3,IFERROR(ROUND((P261*Settings!$D$15+Q261*Settings!$D$16+R261*Settings!$D$17)/(Settings!$D$15+Settings!$D$16+Settings!$D$17),2),""),"")</f>
        <v/>
      </c>
      <c r="Z261" s="33">
        <f>IF(COUNT(S261:U261)=3,IFERROR(ROUND((S261*Settings!$D$15+T261*Settings!$D$16+U261*Settings!$D$17)/(Settings!$D$15+Settings!$D$16+Settings!$D$17),2),""),"")</f>
        <v/>
      </c>
      <c r="AA261" s="34">
        <f>IF(COUNT(V261:Z261)=0,"",ROUND(AVERAGE(V261:Z261),2))</f>
        <v/>
      </c>
      <c r="AB261" s="35">
        <f>IF($A261="","",COUNT(V261:Z261))</f>
        <v/>
      </c>
      <c r="AC261" s="36" t="n"/>
      <c r="AD261" s="35">
        <f>IF(AA261="","",SUMPRODUCT(ISNUMBER($AA$6:$AA$305)*($AA$6:$AA$305&gt;AA261))+SUMPRODUCT(($AA$6:AA261=AA261)*1))</f>
        <v/>
      </c>
      <c r="AE261" s="35">
        <f>IF(AA261="","",SUMPRODUCT(($E$6:$E$305=E261)*ISNUMBER($AA$6:$AA$305)*($AA$6:$AA$305&gt;AA261))+SUMPRODUCT(($E$6:E261=E261)*($AA$6:AA261=AA261)))</f>
        <v/>
      </c>
    </row>
    <row r="262">
      <c r="A262" s="31">
        <f>IF(Submissions!AD258="","",257)</f>
        <v/>
      </c>
      <c r="B262" s="10">
        <f>IF($A262="","",IF(Settings!$B$4="Yes","Submission "&amp;$A262,Submissions!AD258))</f>
        <v/>
      </c>
      <c r="C262" s="31">
        <f>IF($A262="","",IF(Settings!$B$4="Yes","(hidden)",Submissions!AE258))</f>
        <v/>
      </c>
      <c r="D262" s="31">
        <f>IF($A262="","",Submissions!AF258)</f>
        <v/>
      </c>
      <c r="E262" s="31">
        <f>IF($A262="","",Submissions!AG258)</f>
        <v/>
      </c>
      <c r="F262" s="31">
        <f>IF($A262="","",Submissions!AH258)</f>
        <v/>
      </c>
      <c r="G262" s="37" t="n"/>
      <c r="H262" s="37" t="n"/>
      <c r="I262" s="37" t="n"/>
      <c r="J262" s="37" t="n"/>
      <c r="K262" s="37" t="n"/>
      <c r="L262" s="37" t="n"/>
      <c r="M262" s="37" t="n"/>
      <c r="N262" s="37" t="n"/>
      <c r="O262" s="37" t="n"/>
      <c r="P262" s="37" t="n"/>
      <c r="Q262" s="37" t="n"/>
      <c r="R262" s="37" t="n"/>
      <c r="S262" s="37" t="n"/>
      <c r="T262" s="37" t="n"/>
      <c r="U262" s="37" t="n"/>
      <c r="V262" s="33">
        <f>IF(COUNT(G262:I262)=3,IFERROR(ROUND((G262*Settings!$D$15+H262*Settings!$D$16+I262*Settings!$D$17)/(Settings!$D$15+Settings!$D$16+Settings!$D$17),2),""),"")</f>
        <v/>
      </c>
      <c r="W262" s="33">
        <f>IF(COUNT(J262:L262)=3,IFERROR(ROUND((J262*Settings!$D$15+K262*Settings!$D$16+L262*Settings!$D$17)/(Settings!$D$15+Settings!$D$16+Settings!$D$17),2),""),"")</f>
        <v/>
      </c>
      <c r="X262" s="33">
        <f>IF(COUNT(M262:O262)=3,IFERROR(ROUND((M262*Settings!$D$15+N262*Settings!$D$16+O262*Settings!$D$17)/(Settings!$D$15+Settings!$D$16+Settings!$D$17),2),""),"")</f>
        <v/>
      </c>
      <c r="Y262" s="33">
        <f>IF(COUNT(P262:R262)=3,IFERROR(ROUND((P262*Settings!$D$15+Q262*Settings!$D$16+R262*Settings!$D$17)/(Settings!$D$15+Settings!$D$16+Settings!$D$17),2),""),"")</f>
        <v/>
      </c>
      <c r="Z262" s="33">
        <f>IF(COUNT(S262:U262)=3,IFERROR(ROUND((S262*Settings!$D$15+T262*Settings!$D$16+U262*Settings!$D$17)/(Settings!$D$15+Settings!$D$16+Settings!$D$17),2),""),"")</f>
        <v/>
      </c>
      <c r="AA262" s="34">
        <f>IF(COUNT(V262:Z262)=0,"",ROUND(AVERAGE(V262:Z262),2))</f>
        <v/>
      </c>
      <c r="AB262" s="35">
        <f>IF($A262="","",COUNT(V262:Z262))</f>
        <v/>
      </c>
      <c r="AC262" s="36" t="n"/>
      <c r="AD262" s="35">
        <f>IF(AA262="","",SUMPRODUCT(ISNUMBER($AA$6:$AA$305)*($AA$6:$AA$305&gt;AA262))+SUMPRODUCT(($AA$6:AA262=AA262)*1))</f>
        <v/>
      </c>
      <c r="AE262" s="35">
        <f>IF(AA262="","",SUMPRODUCT(($E$6:$E$305=E262)*ISNUMBER($AA$6:$AA$305)*($AA$6:$AA$305&gt;AA262))+SUMPRODUCT(($E$6:E262=E262)*($AA$6:AA262=AA262)))</f>
        <v/>
      </c>
    </row>
    <row r="263">
      <c r="A263" s="31">
        <f>IF(Submissions!AD259="","",258)</f>
        <v/>
      </c>
      <c r="B263" s="10">
        <f>IF($A263="","",IF(Settings!$B$4="Yes","Submission "&amp;$A263,Submissions!AD259))</f>
        <v/>
      </c>
      <c r="C263" s="31">
        <f>IF($A263="","",IF(Settings!$B$4="Yes","(hidden)",Submissions!AE259))</f>
        <v/>
      </c>
      <c r="D263" s="31">
        <f>IF($A263="","",Submissions!AF259)</f>
        <v/>
      </c>
      <c r="E263" s="31">
        <f>IF($A263="","",Submissions!AG259)</f>
        <v/>
      </c>
      <c r="F263" s="31">
        <f>IF($A263="","",Submissions!AH259)</f>
        <v/>
      </c>
      <c r="G263" s="37" t="n"/>
      <c r="H263" s="37" t="n"/>
      <c r="I263" s="37" t="n"/>
      <c r="J263" s="37" t="n"/>
      <c r="K263" s="37" t="n"/>
      <c r="L263" s="37" t="n"/>
      <c r="M263" s="37" t="n"/>
      <c r="N263" s="37" t="n"/>
      <c r="O263" s="37" t="n"/>
      <c r="P263" s="37" t="n"/>
      <c r="Q263" s="37" t="n"/>
      <c r="R263" s="37" t="n"/>
      <c r="S263" s="37" t="n"/>
      <c r="T263" s="37" t="n"/>
      <c r="U263" s="37" t="n"/>
      <c r="V263" s="33">
        <f>IF(COUNT(G263:I263)=3,IFERROR(ROUND((G263*Settings!$D$15+H263*Settings!$D$16+I263*Settings!$D$17)/(Settings!$D$15+Settings!$D$16+Settings!$D$17),2),""),"")</f>
        <v/>
      </c>
      <c r="W263" s="33">
        <f>IF(COUNT(J263:L263)=3,IFERROR(ROUND((J263*Settings!$D$15+K263*Settings!$D$16+L263*Settings!$D$17)/(Settings!$D$15+Settings!$D$16+Settings!$D$17),2),""),"")</f>
        <v/>
      </c>
      <c r="X263" s="33">
        <f>IF(COUNT(M263:O263)=3,IFERROR(ROUND((M263*Settings!$D$15+N263*Settings!$D$16+O263*Settings!$D$17)/(Settings!$D$15+Settings!$D$16+Settings!$D$17),2),""),"")</f>
        <v/>
      </c>
      <c r="Y263" s="33">
        <f>IF(COUNT(P263:R263)=3,IFERROR(ROUND((P263*Settings!$D$15+Q263*Settings!$D$16+R263*Settings!$D$17)/(Settings!$D$15+Settings!$D$16+Settings!$D$17),2),""),"")</f>
        <v/>
      </c>
      <c r="Z263" s="33">
        <f>IF(COUNT(S263:U263)=3,IFERROR(ROUND((S263*Settings!$D$15+T263*Settings!$D$16+U263*Settings!$D$17)/(Settings!$D$15+Settings!$D$16+Settings!$D$17),2),""),"")</f>
        <v/>
      </c>
      <c r="AA263" s="34">
        <f>IF(COUNT(V263:Z263)=0,"",ROUND(AVERAGE(V263:Z263),2))</f>
        <v/>
      </c>
      <c r="AB263" s="35">
        <f>IF($A263="","",COUNT(V263:Z263))</f>
        <v/>
      </c>
      <c r="AC263" s="36" t="n"/>
      <c r="AD263" s="35">
        <f>IF(AA263="","",SUMPRODUCT(ISNUMBER($AA$6:$AA$305)*($AA$6:$AA$305&gt;AA263))+SUMPRODUCT(($AA$6:AA263=AA263)*1))</f>
        <v/>
      </c>
      <c r="AE263" s="35">
        <f>IF(AA263="","",SUMPRODUCT(($E$6:$E$305=E263)*ISNUMBER($AA$6:$AA$305)*($AA$6:$AA$305&gt;AA263))+SUMPRODUCT(($E$6:E263=E263)*($AA$6:AA263=AA263)))</f>
        <v/>
      </c>
    </row>
    <row r="264">
      <c r="A264" s="31">
        <f>IF(Submissions!AD260="","",259)</f>
        <v/>
      </c>
      <c r="B264" s="10">
        <f>IF($A264="","",IF(Settings!$B$4="Yes","Submission "&amp;$A264,Submissions!AD260))</f>
        <v/>
      </c>
      <c r="C264" s="31">
        <f>IF($A264="","",IF(Settings!$B$4="Yes","(hidden)",Submissions!AE260))</f>
        <v/>
      </c>
      <c r="D264" s="31">
        <f>IF($A264="","",Submissions!AF260)</f>
        <v/>
      </c>
      <c r="E264" s="31">
        <f>IF($A264="","",Submissions!AG260)</f>
        <v/>
      </c>
      <c r="F264" s="31">
        <f>IF($A264="","",Submissions!AH260)</f>
        <v/>
      </c>
      <c r="G264" s="37" t="n"/>
      <c r="H264" s="37" t="n"/>
      <c r="I264" s="37" t="n"/>
      <c r="J264" s="37" t="n"/>
      <c r="K264" s="37" t="n"/>
      <c r="L264" s="37" t="n"/>
      <c r="M264" s="37" t="n"/>
      <c r="N264" s="37" t="n"/>
      <c r="O264" s="37" t="n"/>
      <c r="P264" s="37" t="n"/>
      <c r="Q264" s="37" t="n"/>
      <c r="R264" s="37" t="n"/>
      <c r="S264" s="37" t="n"/>
      <c r="T264" s="37" t="n"/>
      <c r="U264" s="37" t="n"/>
      <c r="V264" s="33">
        <f>IF(COUNT(G264:I264)=3,IFERROR(ROUND((G264*Settings!$D$15+H264*Settings!$D$16+I264*Settings!$D$17)/(Settings!$D$15+Settings!$D$16+Settings!$D$17),2),""),"")</f>
        <v/>
      </c>
      <c r="W264" s="33">
        <f>IF(COUNT(J264:L264)=3,IFERROR(ROUND((J264*Settings!$D$15+K264*Settings!$D$16+L264*Settings!$D$17)/(Settings!$D$15+Settings!$D$16+Settings!$D$17),2),""),"")</f>
        <v/>
      </c>
      <c r="X264" s="33">
        <f>IF(COUNT(M264:O264)=3,IFERROR(ROUND((M264*Settings!$D$15+N264*Settings!$D$16+O264*Settings!$D$17)/(Settings!$D$15+Settings!$D$16+Settings!$D$17),2),""),"")</f>
        <v/>
      </c>
      <c r="Y264" s="33">
        <f>IF(COUNT(P264:R264)=3,IFERROR(ROUND((P264*Settings!$D$15+Q264*Settings!$D$16+R264*Settings!$D$17)/(Settings!$D$15+Settings!$D$16+Settings!$D$17),2),""),"")</f>
        <v/>
      </c>
      <c r="Z264" s="33">
        <f>IF(COUNT(S264:U264)=3,IFERROR(ROUND((S264*Settings!$D$15+T264*Settings!$D$16+U264*Settings!$D$17)/(Settings!$D$15+Settings!$D$16+Settings!$D$17),2),""),"")</f>
        <v/>
      </c>
      <c r="AA264" s="34">
        <f>IF(COUNT(V264:Z264)=0,"",ROUND(AVERAGE(V264:Z264),2))</f>
        <v/>
      </c>
      <c r="AB264" s="35">
        <f>IF($A264="","",COUNT(V264:Z264))</f>
        <v/>
      </c>
      <c r="AC264" s="36" t="n"/>
      <c r="AD264" s="35">
        <f>IF(AA264="","",SUMPRODUCT(ISNUMBER($AA$6:$AA$305)*($AA$6:$AA$305&gt;AA264))+SUMPRODUCT(($AA$6:AA264=AA264)*1))</f>
        <v/>
      </c>
      <c r="AE264" s="35">
        <f>IF(AA264="","",SUMPRODUCT(($E$6:$E$305=E264)*ISNUMBER($AA$6:$AA$305)*($AA$6:$AA$305&gt;AA264))+SUMPRODUCT(($E$6:E264=E264)*($AA$6:AA264=AA264)))</f>
        <v/>
      </c>
    </row>
    <row r="265">
      <c r="A265" s="31">
        <f>IF(Submissions!AD261="","",260)</f>
        <v/>
      </c>
      <c r="B265" s="10">
        <f>IF($A265="","",IF(Settings!$B$4="Yes","Submission "&amp;$A265,Submissions!AD261))</f>
        <v/>
      </c>
      <c r="C265" s="31">
        <f>IF($A265="","",IF(Settings!$B$4="Yes","(hidden)",Submissions!AE261))</f>
        <v/>
      </c>
      <c r="D265" s="31">
        <f>IF($A265="","",Submissions!AF261)</f>
        <v/>
      </c>
      <c r="E265" s="31">
        <f>IF($A265="","",Submissions!AG261)</f>
        <v/>
      </c>
      <c r="F265" s="31">
        <f>IF($A265="","",Submissions!AH261)</f>
        <v/>
      </c>
      <c r="G265" s="37" t="n"/>
      <c r="H265" s="37" t="n"/>
      <c r="I265" s="37" t="n"/>
      <c r="J265" s="37" t="n"/>
      <c r="K265" s="37" t="n"/>
      <c r="L265" s="37" t="n"/>
      <c r="M265" s="37" t="n"/>
      <c r="N265" s="37" t="n"/>
      <c r="O265" s="37" t="n"/>
      <c r="P265" s="37" t="n"/>
      <c r="Q265" s="37" t="n"/>
      <c r="R265" s="37" t="n"/>
      <c r="S265" s="37" t="n"/>
      <c r="T265" s="37" t="n"/>
      <c r="U265" s="37" t="n"/>
      <c r="V265" s="33">
        <f>IF(COUNT(G265:I265)=3,IFERROR(ROUND((G265*Settings!$D$15+H265*Settings!$D$16+I265*Settings!$D$17)/(Settings!$D$15+Settings!$D$16+Settings!$D$17),2),""),"")</f>
        <v/>
      </c>
      <c r="W265" s="33">
        <f>IF(COUNT(J265:L265)=3,IFERROR(ROUND((J265*Settings!$D$15+K265*Settings!$D$16+L265*Settings!$D$17)/(Settings!$D$15+Settings!$D$16+Settings!$D$17),2),""),"")</f>
        <v/>
      </c>
      <c r="X265" s="33">
        <f>IF(COUNT(M265:O265)=3,IFERROR(ROUND((M265*Settings!$D$15+N265*Settings!$D$16+O265*Settings!$D$17)/(Settings!$D$15+Settings!$D$16+Settings!$D$17),2),""),"")</f>
        <v/>
      </c>
      <c r="Y265" s="33">
        <f>IF(COUNT(P265:R265)=3,IFERROR(ROUND((P265*Settings!$D$15+Q265*Settings!$D$16+R265*Settings!$D$17)/(Settings!$D$15+Settings!$D$16+Settings!$D$17),2),""),"")</f>
        <v/>
      </c>
      <c r="Z265" s="33">
        <f>IF(COUNT(S265:U265)=3,IFERROR(ROUND((S265*Settings!$D$15+T265*Settings!$D$16+U265*Settings!$D$17)/(Settings!$D$15+Settings!$D$16+Settings!$D$17),2),""),"")</f>
        <v/>
      </c>
      <c r="AA265" s="34">
        <f>IF(COUNT(V265:Z265)=0,"",ROUND(AVERAGE(V265:Z265),2))</f>
        <v/>
      </c>
      <c r="AB265" s="35">
        <f>IF($A265="","",COUNT(V265:Z265))</f>
        <v/>
      </c>
      <c r="AC265" s="36" t="n"/>
      <c r="AD265" s="35">
        <f>IF(AA265="","",SUMPRODUCT(ISNUMBER($AA$6:$AA$305)*($AA$6:$AA$305&gt;AA265))+SUMPRODUCT(($AA$6:AA265=AA265)*1))</f>
        <v/>
      </c>
      <c r="AE265" s="35">
        <f>IF(AA265="","",SUMPRODUCT(($E$6:$E$305=E265)*ISNUMBER($AA$6:$AA$305)*($AA$6:$AA$305&gt;AA265))+SUMPRODUCT(($E$6:E265=E265)*($AA$6:AA265=AA265)))</f>
        <v/>
      </c>
    </row>
    <row r="266">
      <c r="A266" s="31">
        <f>IF(Submissions!AD262="","",261)</f>
        <v/>
      </c>
      <c r="B266" s="10">
        <f>IF($A266="","",IF(Settings!$B$4="Yes","Submission "&amp;$A266,Submissions!AD262))</f>
        <v/>
      </c>
      <c r="C266" s="31">
        <f>IF($A266="","",IF(Settings!$B$4="Yes","(hidden)",Submissions!AE262))</f>
        <v/>
      </c>
      <c r="D266" s="31">
        <f>IF($A266="","",Submissions!AF262)</f>
        <v/>
      </c>
      <c r="E266" s="31">
        <f>IF($A266="","",Submissions!AG262)</f>
        <v/>
      </c>
      <c r="F266" s="31">
        <f>IF($A266="","",Submissions!AH262)</f>
        <v/>
      </c>
      <c r="G266" s="37" t="n"/>
      <c r="H266" s="37" t="n"/>
      <c r="I266" s="37" t="n"/>
      <c r="J266" s="37" t="n"/>
      <c r="K266" s="37" t="n"/>
      <c r="L266" s="37" t="n"/>
      <c r="M266" s="37" t="n"/>
      <c r="N266" s="37" t="n"/>
      <c r="O266" s="37" t="n"/>
      <c r="P266" s="37" t="n"/>
      <c r="Q266" s="37" t="n"/>
      <c r="R266" s="37" t="n"/>
      <c r="S266" s="37" t="n"/>
      <c r="T266" s="37" t="n"/>
      <c r="U266" s="37" t="n"/>
      <c r="V266" s="33">
        <f>IF(COUNT(G266:I266)=3,IFERROR(ROUND((G266*Settings!$D$15+H266*Settings!$D$16+I266*Settings!$D$17)/(Settings!$D$15+Settings!$D$16+Settings!$D$17),2),""),"")</f>
        <v/>
      </c>
      <c r="W266" s="33">
        <f>IF(COUNT(J266:L266)=3,IFERROR(ROUND((J266*Settings!$D$15+K266*Settings!$D$16+L266*Settings!$D$17)/(Settings!$D$15+Settings!$D$16+Settings!$D$17),2),""),"")</f>
        <v/>
      </c>
      <c r="X266" s="33">
        <f>IF(COUNT(M266:O266)=3,IFERROR(ROUND((M266*Settings!$D$15+N266*Settings!$D$16+O266*Settings!$D$17)/(Settings!$D$15+Settings!$D$16+Settings!$D$17),2),""),"")</f>
        <v/>
      </c>
      <c r="Y266" s="33">
        <f>IF(COUNT(P266:R266)=3,IFERROR(ROUND((P266*Settings!$D$15+Q266*Settings!$D$16+R266*Settings!$D$17)/(Settings!$D$15+Settings!$D$16+Settings!$D$17),2),""),"")</f>
        <v/>
      </c>
      <c r="Z266" s="33">
        <f>IF(COUNT(S266:U266)=3,IFERROR(ROUND((S266*Settings!$D$15+T266*Settings!$D$16+U266*Settings!$D$17)/(Settings!$D$15+Settings!$D$16+Settings!$D$17),2),""),"")</f>
        <v/>
      </c>
      <c r="AA266" s="34">
        <f>IF(COUNT(V266:Z266)=0,"",ROUND(AVERAGE(V266:Z266),2))</f>
        <v/>
      </c>
      <c r="AB266" s="35">
        <f>IF($A266="","",COUNT(V266:Z266))</f>
        <v/>
      </c>
      <c r="AC266" s="36" t="n"/>
      <c r="AD266" s="35">
        <f>IF(AA266="","",SUMPRODUCT(ISNUMBER($AA$6:$AA$305)*($AA$6:$AA$305&gt;AA266))+SUMPRODUCT(($AA$6:AA266=AA266)*1))</f>
        <v/>
      </c>
      <c r="AE266" s="35">
        <f>IF(AA266="","",SUMPRODUCT(($E$6:$E$305=E266)*ISNUMBER($AA$6:$AA$305)*($AA$6:$AA$305&gt;AA266))+SUMPRODUCT(($E$6:E266=E266)*($AA$6:AA266=AA266)))</f>
        <v/>
      </c>
    </row>
    <row r="267">
      <c r="A267" s="31">
        <f>IF(Submissions!AD263="","",262)</f>
        <v/>
      </c>
      <c r="B267" s="10">
        <f>IF($A267="","",IF(Settings!$B$4="Yes","Submission "&amp;$A267,Submissions!AD263))</f>
        <v/>
      </c>
      <c r="C267" s="31">
        <f>IF($A267="","",IF(Settings!$B$4="Yes","(hidden)",Submissions!AE263))</f>
        <v/>
      </c>
      <c r="D267" s="31">
        <f>IF($A267="","",Submissions!AF263)</f>
        <v/>
      </c>
      <c r="E267" s="31">
        <f>IF($A267="","",Submissions!AG263)</f>
        <v/>
      </c>
      <c r="F267" s="31">
        <f>IF($A267="","",Submissions!AH263)</f>
        <v/>
      </c>
      <c r="G267" s="37" t="n"/>
      <c r="H267" s="37" t="n"/>
      <c r="I267" s="37" t="n"/>
      <c r="J267" s="37" t="n"/>
      <c r="K267" s="37" t="n"/>
      <c r="L267" s="37" t="n"/>
      <c r="M267" s="37" t="n"/>
      <c r="N267" s="37" t="n"/>
      <c r="O267" s="37" t="n"/>
      <c r="P267" s="37" t="n"/>
      <c r="Q267" s="37" t="n"/>
      <c r="R267" s="37" t="n"/>
      <c r="S267" s="37" t="n"/>
      <c r="T267" s="37" t="n"/>
      <c r="U267" s="37" t="n"/>
      <c r="V267" s="33">
        <f>IF(COUNT(G267:I267)=3,IFERROR(ROUND((G267*Settings!$D$15+H267*Settings!$D$16+I267*Settings!$D$17)/(Settings!$D$15+Settings!$D$16+Settings!$D$17),2),""),"")</f>
        <v/>
      </c>
      <c r="W267" s="33">
        <f>IF(COUNT(J267:L267)=3,IFERROR(ROUND((J267*Settings!$D$15+K267*Settings!$D$16+L267*Settings!$D$17)/(Settings!$D$15+Settings!$D$16+Settings!$D$17),2),""),"")</f>
        <v/>
      </c>
      <c r="X267" s="33">
        <f>IF(COUNT(M267:O267)=3,IFERROR(ROUND((M267*Settings!$D$15+N267*Settings!$D$16+O267*Settings!$D$17)/(Settings!$D$15+Settings!$D$16+Settings!$D$17),2),""),"")</f>
        <v/>
      </c>
      <c r="Y267" s="33">
        <f>IF(COUNT(P267:R267)=3,IFERROR(ROUND((P267*Settings!$D$15+Q267*Settings!$D$16+R267*Settings!$D$17)/(Settings!$D$15+Settings!$D$16+Settings!$D$17),2),""),"")</f>
        <v/>
      </c>
      <c r="Z267" s="33">
        <f>IF(COUNT(S267:U267)=3,IFERROR(ROUND((S267*Settings!$D$15+T267*Settings!$D$16+U267*Settings!$D$17)/(Settings!$D$15+Settings!$D$16+Settings!$D$17),2),""),"")</f>
        <v/>
      </c>
      <c r="AA267" s="34">
        <f>IF(COUNT(V267:Z267)=0,"",ROUND(AVERAGE(V267:Z267),2))</f>
        <v/>
      </c>
      <c r="AB267" s="35">
        <f>IF($A267="","",COUNT(V267:Z267))</f>
        <v/>
      </c>
      <c r="AC267" s="36" t="n"/>
      <c r="AD267" s="35">
        <f>IF(AA267="","",SUMPRODUCT(ISNUMBER($AA$6:$AA$305)*($AA$6:$AA$305&gt;AA267))+SUMPRODUCT(($AA$6:AA267=AA267)*1))</f>
        <v/>
      </c>
      <c r="AE267" s="35">
        <f>IF(AA267="","",SUMPRODUCT(($E$6:$E$305=E267)*ISNUMBER($AA$6:$AA$305)*($AA$6:$AA$305&gt;AA267))+SUMPRODUCT(($E$6:E267=E267)*($AA$6:AA267=AA267)))</f>
        <v/>
      </c>
    </row>
    <row r="268">
      <c r="A268" s="31">
        <f>IF(Submissions!AD264="","",263)</f>
        <v/>
      </c>
      <c r="B268" s="10">
        <f>IF($A268="","",IF(Settings!$B$4="Yes","Submission "&amp;$A268,Submissions!AD264))</f>
        <v/>
      </c>
      <c r="C268" s="31">
        <f>IF($A268="","",IF(Settings!$B$4="Yes","(hidden)",Submissions!AE264))</f>
        <v/>
      </c>
      <c r="D268" s="31">
        <f>IF($A268="","",Submissions!AF264)</f>
        <v/>
      </c>
      <c r="E268" s="31">
        <f>IF($A268="","",Submissions!AG264)</f>
        <v/>
      </c>
      <c r="F268" s="31">
        <f>IF($A268="","",Submissions!AH264)</f>
        <v/>
      </c>
      <c r="G268" s="37" t="n"/>
      <c r="H268" s="37" t="n"/>
      <c r="I268" s="37" t="n"/>
      <c r="J268" s="37" t="n"/>
      <c r="K268" s="37" t="n"/>
      <c r="L268" s="37" t="n"/>
      <c r="M268" s="37" t="n"/>
      <c r="N268" s="37" t="n"/>
      <c r="O268" s="37" t="n"/>
      <c r="P268" s="37" t="n"/>
      <c r="Q268" s="37" t="n"/>
      <c r="R268" s="37" t="n"/>
      <c r="S268" s="37" t="n"/>
      <c r="T268" s="37" t="n"/>
      <c r="U268" s="37" t="n"/>
      <c r="V268" s="33">
        <f>IF(COUNT(G268:I268)=3,IFERROR(ROUND((G268*Settings!$D$15+H268*Settings!$D$16+I268*Settings!$D$17)/(Settings!$D$15+Settings!$D$16+Settings!$D$17),2),""),"")</f>
        <v/>
      </c>
      <c r="W268" s="33">
        <f>IF(COUNT(J268:L268)=3,IFERROR(ROUND((J268*Settings!$D$15+K268*Settings!$D$16+L268*Settings!$D$17)/(Settings!$D$15+Settings!$D$16+Settings!$D$17),2),""),"")</f>
        <v/>
      </c>
      <c r="X268" s="33">
        <f>IF(COUNT(M268:O268)=3,IFERROR(ROUND((M268*Settings!$D$15+N268*Settings!$D$16+O268*Settings!$D$17)/(Settings!$D$15+Settings!$D$16+Settings!$D$17),2),""),"")</f>
        <v/>
      </c>
      <c r="Y268" s="33">
        <f>IF(COUNT(P268:R268)=3,IFERROR(ROUND((P268*Settings!$D$15+Q268*Settings!$D$16+R268*Settings!$D$17)/(Settings!$D$15+Settings!$D$16+Settings!$D$17),2),""),"")</f>
        <v/>
      </c>
      <c r="Z268" s="33">
        <f>IF(COUNT(S268:U268)=3,IFERROR(ROUND((S268*Settings!$D$15+T268*Settings!$D$16+U268*Settings!$D$17)/(Settings!$D$15+Settings!$D$16+Settings!$D$17),2),""),"")</f>
        <v/>
      </c>
      <c r="AA268" s="34">
        <f>IF(COUNT(V268:Z268)=0,"",ROUND(AVERAGE(V268:Z268),2))</f>
        <v/>
      </c>
      <c r="AB268" s="35">
        <f>IF($A268="","",COUNT(V268:Z268))</f>
        <v/>
      </c>
      <c r="AC268" s="36" t="n"/>
      <c r="AD268" s="35">
        <f>IF(AA268="","",SUMPRODUCT(ISNUMBER($AA$6:$AA$305)*($AA$6:$AA$305&gt;AA268))+SUMPRODUCT(($AA$6:AA268=AA268)*1))</f>
        <v/>
      </c>
      <c r="AE268" s="35">
        <f>IF(AA268="","",SUMPRODUCT(($E$6:$E$305=E268)*ISNUMBER($AA$6:$AA$305)*($AA$6:$AA$305&gt;AA268))+SUMPRODUCT(($E$6:E268=E268)*($AA$6:AA268=AA268)))</f>
        <v/>
      </c>
    </row>
    <row r="269">
      <c r="A269" s="31">
        <f>IF(Submissions!AD265="","",264)</f>
        <v/>
      </c>
      <c r="B269" s="10">
        <f>IF($A269="","",IF(Settings!$B$4="Yes","Submission "&amp;$A269,Submissions!AD265))</f>
        <v/>
      </c>
      <c r="C269" s="31">
        <f>IF($A269="","",IF(Settings!$B$4="Yes","(hidden)",Submissions!AE265))</f>
        <v/>
      </c>
      <c r="D269" s="31">
        <f>IF($A269="","",Submissions!AF265)</f>
        <v/>
      </c>
      <c r="E269" s="31">
        <f>IF($A269="","",Submissions!AG265)</f>
        <v/>
      </c>
      <c r="F269" s="31">
        <f>IF($A269="","",Submissions!AH265)</f>
        <v/>
      </c>
      <c r="G269" s="37" t="n"/>
      <c r="H269" s="37" t="n"/>
      <c r="I269" s="37" t="n"/>
      <c r="J269" s="37" t="n"/>
      <c r="K269" s="37" t="n"/>
      <c r="L269" s="37" t="n"/>
      <c r="M269" s="37" t="n"/>
      <c r="N269" s="37" t="n"/>
      <c r="O269" s="37" t="n"/>
      <c r="P269" s="37" t="n"/>
      <c r="Q269" s="37" t="n"/>
      <c r="R269" s="37" t="n"/>
      <c r="S269" s="37" t="n"/>
      <c r="T269" s="37" t="n"/>
      <c r="U269" s="37" t="n"/>
      <c r="V269" s="33">
        <f>IF(COUNT(G269:I269)=3,IFERROR(ROUND((G269*Settings!$D$15+H269*Settings!$D$16+I269*Settings!$D$17)/(Settings!$D$15+Settings!$D$16+Settings!$D$17),2),""),"")</f>
        <v/>
      </c>
      <c r="W269" s="33">
        <f>IF(COUNT(J269:L269)=3,IFERROR(ROUND((J269*Settings!$D$15+K269*Settings!$D$16+L269*Settings!$D$17)/(Settings!$D$15+Settings!$D$16+Settings!$D$17),2),""),"")</f>
        <v/>
      </c>
      <c r="X269" s="33">
        <f>IF(COUNT(M269:O269)=3,IFERROR(ROUND((M269*Settings!$D$15+N269*Settings!$D$16+O269*Settings!$D$17)/(Settings!$D$15+Settings!$D$16+Settings!$D$17),2),""),"")</f>
        <v/>
      </c>
      <c r="Y269" s="33">
        <f>IF(COUNT(P269:R269)=3,IFERROR(ROUND((P269*Settings!$D$15+Q269*Settings!$D$16+R269*Settings!$D$17)/(Settings!$D$15+Settings!$D$16+Settings!$D$17),2),""),"")</f>
        <v/>
      </c>
      <c r="Z269" s="33">
        <f>IF(COUNT(S269:U269)=3,IFERROR(ROUND((S269*Settings!$D$15+T269*Settings!$D$16+U269*Settings!$D$17)/(Settings!$D$15+Settings!$D$16+Settings!$D$17),2),""),"")</f>
        <v/>
      </c>
      <c r="AA269" s="34">
        <f>IF(COUNT(V269:Z269)=0,"",ROUND(AVERAGE(V269:Z269),2))</f>
        <v/>
      </c>
      <c r="AB269" s="35">
        <f>IF($A269="","",COUNT(V269:Z269))</f>
        <v/>
      </c>
      <c r="AC269" s="36" t="n"/>
      <c r="AD269" s="35">
        <f>IF(AA269="","",SUMPRODUCT(ISNUMBER($AA$6:$AA$305)*($AA$6:$AA$305&gt;AA269))+SUMPRODUCT(($AA$6:AA269=AA269)*1))</f>
        <v/>
      </c>
      <c r="AE269" s="35">
        <f>IF(AA269="","",SUMPRODUCT(($E$6:$E$305=E269)*ISNUMBER($AA$6:$AA$305)*($AA$6:$AA$305&gt;AA269))+SUMPRODUCT(($E$6:E269=E269)*($AA$6:AA269=AA269)))</f>
        <v/>
      </c>
    </row>
    <row r="270">
      <c r="A270" s="31">
        <f>IF(Submissions!AD266="","",265)</f>
        <v/>
      </c>
      <c r="B270" s="10">
        <f>IF($A270="","",IF(Settings!$B$4="Yes","Submission "&amp;$A270,Submissions!AD266))</f>
        <v/>
      </c>
      <c r="C270" s="31">
        <f>IF($A270="","",IF(Settings!$B$4="Yes","(hidden)",Submissions!AE266))</f>
        <v/>
      </c>
      <c r="D270" s="31">
        <f>IF($A270="","",Submissions!AF266)</f>
        <v/>
      </c>
      <c r="E270" s="31">
        <f>IF($A270="","",Submissions!AG266)</f>
        <v/>
      </c>
      <c r="F270" s="31">
        <f>IF($A270="","",Submissions!AH266)</f>
        <v/>
      </c>
      <c r="G270" s="37" t="n"/>
      <c r="H270" s="37" t="n"/>
      <c r="I270" s="37" t="n"/>
      <c r="J270" s="37" t="n"/>
      <c r="K270" s="37" t="n"/>
      <c r="L270" s="37" t="n"/>
      <c r="M270" s="37" t="n"/>
      <c r="N270" s="37" t="n"/>
      <c r="O270" s="37" t="n"/>
      <c r="P270" s="37" t="n"/>
      <c r="Q270" s="37" t="n"/>
      <c r="R270" s="37" t="n"/>
      <c r="S270" s="37" t="n"/>
      <c r="T270" s="37" t="n"/>
      <c r="U270" s="37" t="n"/>
      <c r="V270" s="33">
        <f>IF(COUNT(G270:I270)=3,IFERROR(ROUND((G270*Settings!$D$15+H270*Settings!$D$16+I270*Settings!$D$17)/(Settings!$D$15+Settings!$D$16+Settings!$D$17),2),""),"")</f>
        <v/>
      </c>
      <c r="W270" s="33">
        <f>IF(COUNT(J270:L270)=3,IFERROR(ROUND((J270*Settings!$D$15+K270*Settings!$D$16+L270*Settings!$D$17)/(Settings!$D$15+Settings!$D$16+Settings!$D$17),2),""),"")</f>
        <v/>
      </c>
      <c r="X270" s="33">
        <f>IF(COUNT(M270:O270)=3,IFERROR(ROUND((M270*Settings!$D$15+N270*Settings!$D$16+O270*Settings!$D$17)/(Settings!$D$15+Settings!$D$16+Settings!$D$17),2),""),"")</f>
        <v/>
      </c>
      <c r="Y270" s="33">
        <f>IF(COUNT(P270:R270)=3,IFERROR(ROUND((P270*Settings!$D$15+Q270*Settings!$D$16+R270*Settings!$D$17)/(Settings!$D$15+Settings!$D$16+Settings!$D$17),2),""),"")</f>
        <v/>
      </c>
      <c r="Z270" s="33">
        <f>IF(COUNT(S270:U270)=3,IFERROR(ROUND((S270*Settings!$D$15+T270*Settings!$D$16+U270*Settings!$D$17)/(Settings!$D$15+Settings!$D$16+Settings!$D$17),2),""),"")</f>
        <v/>
      </c>
      <c r="AA270" s="34">
        <f>IF(COUNT(V270:Z270)=0,"",ROUND(AVERAGE(V270:Z270),2))</f>
        <v/>
      </c>
      <c r="AB270" s="35">
        <f>IF($A270="","",COUNT(V270:Z270))</f>
        <v/>
      </c>
      <c r="AC270" s="36" t="n"/>
      <c r="AD270" s="35">
        <f>IF(AA270="","",SUMPRODUCT(ISNUMBER($AA$6:$AA$305)*($AA$6:$AA$305&gt;AA270))+SUMPRODUCT(($AA$6:AA270=AA270)*1))</f>
        <v/>
      </c>
      <c r="AE270" s="35">
        <f>IF(AA270="","",SUMPRODUCT(($E$6:$E$305=E270)*ISNUMBER($AA$6:$AA$305)*($AA$6:$AA$305&gt;AA270))+SUMPRODUCT(($E$6:E270=E270)*($AA$6:AA270=AA270)))</f>
        <v/>
      </c>
    </row>
    <row r="271">
      <c r="A271" s="31">
        <f>IF(Submissions!AD267="","",266)</f>
        <v/>
      </c>
      <c r="B271" s="10">
        <f>IF($A271="","",IF(Settings!$B$4="Yes","Submission "&amp;$A271,Submissions!AD267))</f>
        <v/>
      </c>
      <c r="C271" s="31">
        <f>IF($A271="","",IF(Settings!$B$4="Yes","(hidden)",Submissions!AE267))</f>
        <v/>
      </c>
      <c r="D271" s="31">
        <f>IF($A271="","",Submissions!AF267)</f>
        <v/>
      </c>
      <c r="E271" s="31">
        <f>IF($A271="","",Submissions!AG267)</f>
        <v/>
      </c>
      <c r="F271" s="31">
        <f>IF($A271="","",Submissions!AH267)</f>
        <v/>
      </c>
      <c r="G271" s="37" t="n"/>
      <c r="H271" s="37" t="n"/>
      <c r="I271" s="37" t="n"/>
      <c r="J271" s="37" t="n"/>
      <c r="K271" s="37" t="n"/>
      <c r="L271" s="37" t="n"/>
      <c r="M271" s="37" t="n"/>
      <c r="N271" s="37" t="n"/>
      <c r="O271" s="37" t="n"/>
      <c r="P271" s="37" t="n"/>
      <c r="Q271" s="37" t="n"/>
      <c r="R271" s="37" t="n"/>
      <c r="S271" s="37" t="n"/>
      <c r="T271" s="37" t="n"/>
      <c r="U271" s="37" t="n"/>
      <c r="V271" s="33">
        <f>IF(COUNT(G271:I271)=3,IFERROR(ROUND((G271*Settings!$D$15+H271*Settings!$D$16+I271*Settings!$D$17)/(Settings!$D$15+Settings!$D$16+Settings!$D$17),2),""),"")</f>
        <v/>
      </c>
      <c r="W271" s="33">
        <f>IF(COUNT(J271:L271)=3,IFERROR(ROUND((J271*Settings!$D$15+K271*Settings!$D$16+L271*Settings!$D$17)/(Settings!$D$15+Settings!$D$16+Settings!$D$17),2),""),"")</f>
        <v/>
      </c>
      <c r="X271" s="33">
        <f>IF(COUNT(M271:O271)=3,IFERROR(ROUND((M271*Settings!$D$15+N271*Settings!$D$16+O271*Settings!$D$17)/(Settings!$D$15+Settings!$D$16+Settings!$D$17),2),""),"")</f>
        <v/>
      </c>
      <c r="Y271" s="33">
        <f>IF(COUNT(P271:R271)=3,IFERROR(ROUND((P271*Settings!$D$15+Q271*Settings!$D$16+R271*Settings!$D$17)/(Settings!$D$15+Settings!$D$16+Settings!$D$17),2),""),"")</f>
        <v/>
      </c>
      <c r="Z271" s="33">
        <f>IF(COUNT(S271:U271)=3,IFERROR(ROUND((S271*Settings!$D$15+T271*Settings!$D$16+U271*Settings!$D$17)/(Settings!$D$15+Settings!$D$16+Settings!$D$17),2),""),"")</f>
        <v/>
      </c>
      <c r="AA271" s="34">
        <f>IF(COUNT(V271:Z271)=0,"",ROUND(AVERAGE(V271:Z271),2))</f>
        <v/>
      </c>
      <c r="AB271" s="35">
        <f>IF($A271="","",COUNT(V271:Z271))</f>
        <v/>
      </c>
      <c r="AC271" s="36" t="n"/>
      <c r="AD271" s="35">
        <f>IF(AA271="","",SUMPRODUCT(ISNUMBER($AA$6:$AA$305)*($AA$6:$AA$305&gt;AA271))+SUMPRODUCT(($AA$6:AA271=AA271)*1))</f>
        <v/>
      </c>
      <c r="AE271" s="35">
        <f>IF(AA271="","",SUMPRODUCT(($E$6:$E$305=E271)*ISNUMBER($AA$6:$AA$305)*($AA$6:$AA$305&gt;AA271))+SUMPRODUCT(($E$6:E271=E271)*($AA$6:AA271=AA271)))</f>
        <v/>
      </c>
    </row>
    <row r="272">
      <c r="A272" s="31">
        <f>IF(Submissions!AD268="","",267)</f>
        <v/>
      </c>
      <c r="B272" s="10">
        <f>IF($A272="","",IF(Settings!$B$4="Yes","Submission "&amp;$A272,Submissions!AD268))</f>
        <v/>
      </c>
      <c r="C272" s="31">
        <f>IF($A272="","",IF(Settings!$B$4="Yes","(hidden)",Submissions!AE268))</f>
        <v/>
      </c>
      <c r="D272" s="31">
        <f>IF($A272="","",Submissions!AF268)</f>
        <v/>
      </c>
      <c r="E272" s="31">
        <f>IF($A272="","",Submissions!AG268)</f>
        <v/>
      </c>
      <c r="F272" s="31">
        <f>IF($A272="","",Submissions!AH268)</f>
        <v/>
      </c>
      <c r="G272" s="37" t="n"/>
      <c r="H272" s="37" t="n"/>
      <c r="I272" s="37" t="n"/>
      <c r="J272" s="37" t="n"/>
      <c r="K272" s="37" t="n"/>
      <c r="L272" s="37" t="n"/>
      <c r="M272" s="37" t="n"/>
      <c r="N272" s="37" t="n"/>
      <c r="O272" s="37" t="n"/>
      <c r="P272" s="37" t="n"/>
      <c r="Q272" s="37" t="n"/>
      <c r="R272" s="37" t="n"/>
      <c r="S272" s="37" t="n"/>
      <c r="T272" s="37" t="n"/>
      <c r="U272" s="37" t="n"/>
      <c r="V272" s="33">
        <f>IF(COUNT(G272:I272)=3,IFERROR(ROUND((G272*Settings!$D$15+H272*Settings!$D$16+I272*Settings!$D$17)/(Settings!$D$15+Settings!$D$16+Settings!$D$17),2),""),"")</f>
        <v/>
      </c>
      <c r="W272" s="33">
        <f>IF(COUNT(J272:L272)=3,IFERROR(ROUND((J272*Settings!$D$15+K272*Settings!$D$16+L272*Settings!$D$17)/(Settings!$D$15+Settings!$D$16+Settings!$D$17),2),""),"")</f>
        <v/>
      </c>
      <c r="X272" s="33">
        <f>IF(COUNT(M272:O272)=3,IFERROR(ROUND((M272*Settings!$D$15+N272*Settings!$D$16+O272*Settings!$D$17)/(Settings!$D$15+Settings!$D$16+Settings!$D$17),2),""),"")</f>
        <v/>
      </c>
      <c r="Y272" s="33">
        <f>IF(COUNT(P272:R272)=3,IFERROR(ROUND((P272*Settings!$D$15+Q272*Settings!$D$16+R272*Settings!$D$17)/(Settings!$D$15+Settings!$D$16+Settings!$D$17),2),""),"")</f>
        <v/>
      </c>
      <c r="Z272" s="33">
        <f>IF(COUNT(S272:U272)=3,IFERROR(ROUND((S272*Settings!$D$15+T272*Settings!$D$16+U272*Settings!$D$17)/(Settings!$D$15+Settings!$D$16+Settings!$D$17),2),""),"")</f>
        <v/>
      </c>
      <c r="AA272" s="34">
        <f>IF(COUNT(V272:Z272)=0,"",ROUND(AVERAGE(V272:Z272),2))</f>
        <v/>
      </c>
      <c r="AB272" s="35">
        <f>IF($A272="","",COUNT(V272:Z272))</f>
        <v/>
      </c>
      <c r="AC272" s="36" t="n"/>
      <c r="AD272" s="35">
        <f>IF(AA272="","",SUMPRODUCT(ISNUMBER($AA$6:$AA$305)*($AA$6:$AA$305&gt;AA272))+SUMPRODUCT(($AA$6:AA272=AA272)*1))</f>
        <v/>
      </c>
      <c r="AE272" s="35">
        <f>IF(AA272="","",SUMPRODUCT(($E$6:$E$305=E272)*ISNUMBER($AA$6:$AA$305)*($AA$6:$AA$305&gt;AA272))+SUMPRODUCT(($E$6:E272=E272)*($AA$6:AA272=AA272)))</f>
        <v/>
      </c>
    </row>
    <row r="273">
      <c r="A273" s="31">
        <f>IF(Submissions!AD269="","",268)</f>
        <v/>
      </c>
      <c r="B273" s="10">
        <f>IF($A273="","",IF(Settings!$B$4="Yes","Submission "&amp;$A273,Submissions!AD269))</f>
        <v/>
      </c>
      <c r="C273" s="31">
        <f>IF($A273="","",IF(Settings!$B$4="Yes","(hidden)",Submissions!AE269))</f>
        <v/>
      </c>
      <c r="D273" s="31">
        <f>IF($A273="","",Submissions!AF269)</f>
        <v/>
      </c>
      <c r="E273" s="31">
        <f>IF($A273="","",Submissions!AG269)</f>
        <v/>
      </c>
      <c r="F273" s="31">
        <f>IF($A273="","",Submissions!AH269)</f>
        <v/>
      </c>
      <c r="G273" s="37" t="n"/>
      <c r="H273" s="37" t="n"/>
      <c r="I273" s="37" t="n"/>
      <c r="J273" s="37" t="n"/>
      <c r="K273" s="37" t="n"/>
      <c r="L273" s="37" t="n"/>
      <c r="M273" s="37" t="n"/>
      <c r="N273" s="37" t="n"/>
      <c r="O273" s="37" t="n"/>
      <c r="P273" s="37" t="n"/>
      <c r="Q273" s="37" t="n"/>
      <c r="R273" s="37" t="n"/>
      <c r="S273" s="37" t="n"/>
      <c r="T273" s="37" t="n"/>
      <c r="U273" s="37" t="n"/>
      <c r="V273" s="33">
        <f>IF(COUNT(G273:I273)=3,IFERROR(ROUND((G273*Settings!$D$15+H273*Settings!$D$16+I273*Settings!$D$17)/(Settings!$D$15+Settings!$D$16+Settings!$D$17),2),""),"")</f>
        <v/>
      </c>
      <c r="W273" s="33">
        <f>IF(COUNT(J273:L273)=3,IFERROR(ROUND((J273*Settings!$D$15+K273*Settings!$D$16+L273*Settings!$D$17)/(Settings!$D$15+Settings!$D$16+Settings!$D$17),2),""),"")</f>
        <v/>
      </c>
      <c r="X273" s="33">
        <f>IF(COUNT(M273:O273)=3,IFERROR(ROUND((M273*Settings!$D$15+N273*Settings!$D$16+O273*Settings!$D$17)/(Settings!$D$15+Settings!$D$16+Settings!$D$17),2),""),"")</f>
        <v/>
      </c>
      <c r="Y273" s="33">
        <f>IF(COUNT(P273:R273)=3,IFERROR(ROUND((P273*Settings!$D$15+Q273*Settings!$D$16+R273*Settings!$D$17)/(Settings!$D$15+Settings!$D$16+Settings!$D$17),2),""),"")</f>
        <v/>
      </c>
      <c r="Z273" s="33">
        <f>IF(COUNT(S273:U273)=3,IFERROR(ROUND((S273*Settings!$D$15+T273*Settings!$D$16+U273*Settings!$D$17)/(Settings!$D$15+Settings!$D$16+Settings!$D$17),2),""),"")</f>
        <v/>
      </c>
      <c r="AA273" s="34">
        <f>IF(COUNT(V273:Z273)=0,"",ROUND(AVERAGE(V273:Z273),2))</f>
        <v/>
      </c>
      <c r="AB273" s="35">
        <f>IF($A273="","",COUNT(V273:Z273))</f>
        <v/>
      </c>
      <c r="AC273" s="36" t="n"/>
      <c r="AD273" s="35">
        <f>IF(AA273="","",SUMPRODUCT(ISNUMBER($AA$6:$AA$305)*($AA$6:$AA$305&gt;AA273))+SUMPRODUCT(($AA$6:AA273=AA273)*1))</f>
        <v/>
      </c>
      <c r="AE273" s="35">
        <f>IF(AA273="","",SUMPRODUCT(($E$6:$E$305=E273)*ISNUMBER($AA$6:$AA$305)*($AA$6:$AA$305&gt;AA273))+SUMPRODUCT(($E$6:E273=E273)*($AA$6:AA273=AA273)))</f>
        <v/>
      </c>
    </row>
    <row r="274">
      <c r="A274" s="31">
        <f>IF(Submissions!AD270="","",269)</f>
        <v/>
      </c>
      <c r="B274" s="10">
        <f>IF($A274="","",IF(Settings!$B$4="Yes","Submission "&amp;$A274,Submissions!AD270))</f>
        <v/>
      </c>
      <c r="C274" s="31">
        <f>IF($A274="","",IF(Settings!$B$4="Yes","(hidden)",Submissions!AE270))</f>
        <v/>
      </c>
      <c r="D274" s="31">
        <f>IF($A274="","",Submissions!AF270)</f>
        <v/>
      </c>
      <c r="E274" s="31">
        <f>IF($A274="","",Submissions!AG270)</f>
        <v/>
      </c>
      <c r="F274" s="31">
        <f>IF($A274="","",Submissions!AH270)</f>
        <v/>
      </c>
      <c r="G274" s="37" t="n"/>
      <c r="H274" s="37" t="n"/>
      <c r="I274" s="37" t="n"/>
      <c r="J274" s="37" t="n"/>
      <c r="K274" s="37" t="n"/>
      <c r="L274" s="37" t="n"/>
      <c r="M274" s="37" t="n"/>
      <c r="N274" s="37" t="n"/>
      <c r="O274" s="37" t="n"/>
      <c r="P274" s="37" t="n"/>
      <c r="Q274" s="37" t="n"/>
      <c r="R274" s="37" t="n"/>
      <c r="S274" s="37" t="n"/>
      <c r="T274" s="37" t="n"/>
      <c r="U274" s="37" t="n"/>
      <c r="V274" s="33">
        <f>IF(COUNT(G274:I274)=3,IFERROR(ROUND((G274*Settings!$D$15+H274*Settings!$D$16+I274*Settings!$D$17)/(Settings!$D$15+Settings!$D$16+Settings!$D$17),2),""),"")</f>
        <v/>
      </c>
      <c r="W274" s="33">
        <f>IF(COUNT(J274:L274)=3,IFERROR(ROUND((J274*Settings!$D$15+K274*Settings!$D$16+L274*Settings!$D$17)/(Settings!$D$15+Settings!$D$16+Settings!$D$17),2),""),"")</f>
        <v/>
      </c>
      <c r="X274" s="33">
        <f>IF(COUNT(M274:O274)=3,IFERROR(ROUND((M274*Settings!$D$15+N274*Settings!$D$16+O274*Settings!$D$17)/(Settings!$D$15+Settings!$D$16+Settings!$D$17),2),""),"")</f>
        <v/>
      </c>
      <c r="Y274" s="33">
        <f>IF(COUNT(P274:R274)=3,IFERROR(ROUND((P274*Settings!$D$15+Q274*Settings!$D$16+R274*Settings!$D$17)/(Settings!$D$15+Settings!$D$16+Settings!$D$17),2),""),"")</f>
        <v/>
      </c>
      <c r="Z274" s="33">
        <f>IF(COUNT(S274:U274)=3,IFERROR(ROUND((S274*Settings!$D$15+T274*Settings!$D$16+U274*Settings!$D$17)/(Settings!$D$15+Settings!$D$16+Settings!$D$17),2),""),"")</f>
        <v/>
      </c>
      <c r="AA274" s="34">
        <f>IF(COUNT(V274:Z274)=0,"",ROUND(AVERAGE(V274:Z274),2))</f>
        <v/>
      </c>
      <c r="AB274" s="35">
        <f>IF($A274="","",COUNT(V274:Z274))</f>
        <v/>
      </c>
      <c r="AC274" s="36" t="n"/>
      <c r="AD274" s="35">
        <f>IF(AA274="","",SUMPRODUCT(ISNUMBER($AA$6:$AA$305)*($AA$6:$AA$305&gt;AA274))+SUMPRODUCT(($AA$6:AA274=AA274)*1))</f>
        <v/>
      </c>
      <c r="AE274" s="35">
        <f>IF(AA274="","",SUMPRODUCT(($E$6:$E$305=E274)*ISNUMBER($AA$6:$AA$305)*($AA$6:$AA$305&gt;AA274))+SUMPRODUCT(($E$6:E274=E274)*($AA$6:AA274=AA274)))</f>
        <v/>
      </c>
    </row>
    <row r="275">
      <c r="A275" s="31">
        <f>IF(Submissions!AD271="","",270)</f>
        <v/>
      </c>
      <c r="B275" s="10">
        <f>IF($A275="","",IF(Settings!$B$4="Yes","Submission "&amp;$A275,Submissions!AD271))</f>
        <v/>
      </c>
      <c r="C275" s="31">
        <f>IF($A275="","",IF(Settings!$B$4="Yes","(hidden)",Submissions!AE271))</f>
        <v/>
      </c>
      <c r="D275" s="31">
        <f>IF($A275="","",Submissions!AF271)</f>
        <v/>
      </c>
      <c r="E275" s="31">
        <f>IF($A275="","",Submissions!AG271)</f>
        <v/>
      </c>
      <c r="F275" s="31">
        <f>IF($A275="","",Submissions!AH271)</f>
        <v/>
      </c>
      <c r="G275" s="37" t="n"/>
      <c r="H275" s="37" t="n"/>
      <c r="I275" s="37" t="n"/>
      <c r="J275" s="37" t="n"/>
      <c r="K275" s="37" t="n"/>
      <c r="L275" s="37" t="n"/>
      <c r="M275" s="37" t="n"/>
      <c r="N275" s="37" t="n"/>
      <c r="O275" s="37" t="n"/>
      <c r="P275" s="37" t="n"/>
      <c r="Q275" s="37" t="n"/>
      <c r="R275" s="37" t="n"/>
      <c r="S275" s="37" t="n"/>
      <c r="T275" s="37" t="n"/>
      <c r="U275" s="37" t="n"/>
      <c r="V275" s="33">
        <f>IF(COUNT(G275:I275)=3,IFERROR(ROUND((G275*Settings!$D$15+H275*Settings!$D$16+I275*Settings!$D$17)/(Settings!$D$15+Settings!$D$16+Settings!$D$17),2),""),"")</f>
        <v/>
      </c>
      <c r="W275" s="33">
        <f>IF(COUNT(J275:L275)=3,IFERROR(ROUND((J275*Settings!$D$15+K275*Settings!$D$16+L275*Settings!$D$17)/(Settings!$D$15+Settings!$D$16+Settings!$D$17),2),""),"")</f>
        <v/>
      </c>
      <c r="X275" s="33">
        <f>IF(COUNT(M275:O275)=3,IFERROR(ROUND((M275*Settings!$D$15+N275*Settings!$D$16+O275*Settings!$D$17)/(Settings!$D$15+Settings!$D$16+Settings!$D$17),2),""),"")</f>
        <v/>
      </c>
      <c r="Y275" s="33">
        <f>IF(COUNT(P275:R275)=3,IFERROR(ROUND((P275*Settings!$D$15+Q275*Settings!$D$16+R275*Settings!$D$17)/(Settings!$D$15+Settings!$D$16+Settings!$D$17),2),""),"")</f>
        <v/>
      </c>
      <c r="Z275" s="33">
        <f>IF(COUNT(S275:U275)=3,IFERROR(ROUND((S275*Settings!$D$15+T275*Settings!$D$16+U275*Settings!$D$17)/(Settings!$D$15+Settings!$D$16+Settings!$D$17),2),""),"")</f>
        <v/>
      </c>
      <c r="AA275" s="34">
        <f>IF(COUNT(V275:Z275)=0,"",ROUND(AVERAGE(V275:Z275),2))</f>
        <v/>
      </c>
      <c r="AB275" s="35">
        <f>IF($A275="","",COUNT(V275:Z275))</f>
        <v/>
      </c>
      <c r="AC275" s="36" t="n"/>
      <c r="AD275" s="35">
        <f>IF(AA275="","",SUMPRODUCT(ISNUMBER($AA$6:$AA$305)*($AA$6:$AA$305&gt;AA275))+SUMPRODUCT(($AA$6:AA275=AA275)*1))</f>
        <v/>
      </c>
      <c r="AE275" s="35">
        <f>IF(AA275="","",SUMPRODUCT(($E$6:$E$305=E275)*ISNUMBER($AA$6:$AA$305)*($AA$6:$AA$305&gt;AA275))+SUMPRODUCT(($E$6:E275=E275)*($AA$6:AA275=AA275)))</f>
        <v/>
      </c>
    </row>
    <row r="276">
      <c r="A276" s="31">
        <f>IF(Submissions!AD272="","",271)</f>
        <v/>
      </c>
      <c r="B276" s="10">
        <f>IF($A276="","",IF(Settings!$B$4="Yes","Submission "&amp;$A276,Submissions!AD272))</f>
        <v/>
      </c>
      <c r="C276" s="31">
        <f>IF($A276="","",IF(Settings!$B$4="Yes","(hidden)",Submissions!AE272))</f>
        <v/>
      </c>
      <c r="D276" s="31">
        <f>IF($A276="","",Submissions!AF272)</f>
        <v/>
      </c>
      <c r="E276" s="31">
        <f>IF($A276="","",Submissions!AG272)</f>
        <v/>
      </c>
      <c r="F276" s="31">
        <f>IF($A276="","",Submissions!AH272)</f>
        <v/>
      </c>
      <c r="G276" s="37" t="n"/>
      <c r="H276" s="37" t="n"/>
      <c r="I276" s="37" t="n"/>
      <c r="J276" s="37" t="n"/>
      <c r="K276" s="37" t="n"/>
      <c r="L276" s="37" t="n"/>
      <c r="M276" s="37" t="n"/>
      <c r="N276" s="37" t="n"/>
      <c r="O276" s="37" t="n"/>
      <c r="P276" s="37" t="n"/>
      <c r="Q276" s="37" t="n"/>
      <c r="R276" s="37" t="n"/>
      <c r="S276" s="37" t="n"/>
      <c r="T276" s="37" t="n"/>
      <c r="U276" s="37" t="n"/>
      <c r="V276" s="33">
        <f>IF(COUNT(G276:I276)=3,IFERROR(ROUND((G276*Settings!$D$15+H276*Settings!$D$16+I276*Settings!$D$17)/(Settings!$D$15+Settings!$D$16+Settings!$D$17),2),""),"")</f>
        <v/>
      </c>
      <c r="W276" s="33">
        <f>IF(COUNT(J276:L276)=3,IFERROR(ROUND((J276*Settings!$D$15+K276*Settings!$D$16+L276*Settings!$D$17)/(Settings!$D$15+Settings!$D$16+Settings!$D$17),2),""),"")</f>
        <v/>
      </c>
      <c r="X276" s="33">
        <f>IF(COUNT(M276:O276)=3,IFERROR(ROUND((M276*Settings!$D$15+N276*Settings!$D$16+O276*Settings!$D$17)/(Settings!$D$15+Settings!$D$16+Settings!$D$17),2),""),"")</f>
        <v/>
      </c>
      <c r="Y276" s="33">
        <f>IF(COUNT(P276:R276)=3,IFERROR(ROUND((P276*Settings!$D$15+Q276*Settings!$D$16+R276*Settings!$D$17)/(Settings!$D$15+Settings!$D$16+Settings!$D$17),2),""),"")</f>
        <v/>
      </c>
      <c r="Z276" s="33">
        <f>IF(COUNT(S276:U276)=3,IFERROR(ROUND((S276*Settings!$D$15+T276*Settings!$D$16+U276*Settings!$D$17)/(Settings!$D$15+Settings!$D$16+Settings!$D$17),2),""),"")</f>
        <v/>
      </c>
      <c r="AA276" s="34">
        <f>IF(COUNT(V276:Z276)=0,"",ROUND(AVERAGE(V276:Z276),2))</f>
        <v/>
      </c>
      <c r="AB276" s="35">
        <f>IF($A276="","",COUNT(V276:Z276))</f>
        <v/>
      </c>
      <c r="AC276" s="36" t="n"/>
      <c r="AD276" s="35">
        <f>IF(AA276="","",SUMPRODUCT(ISNUMBER($AA$6:$AA$305)*($AA$6:$AA$305&gt;AA276))+SUMPRODUCT(($AA$6:AA276=AA276)*1))</f>
        <v/>
      </c>
      <c r="AE276" s="35">
        <f>IF(AA276="","",SUMPRODUCT(($E$6:$E$305=E276)*ISNUMBER($AA$6:$AA$305)*($AA$6:$AA$305&gt;AA276))+SUMPRODUCT(($E$6:E276=E276)*($AA$6:AA276=AA276)))</f>
        <v/>
      </c>
    </row>
    <row r="277">
      <c r="A277" s="31">
        <f>IF(Submissions!AD273="","",272)</f>
        <v/>
      </c>
      <c r="B277" s="10">
        <f>IF($A277="","",IF(Settings!$B$4="Yes","Submission "&amp;$A277,Submissions!AD273))</f>
        <v/>
      </c>
      <c r="C277" s="31">
        <f>IF($A277="","",IF(Settings!$B$4="Yes","(hidden)",Submissions!AE273))</f>
        <v/>
      </c>
      <c r="D277" s="31">
        <f>IF($A277="","",Submissions!AF273)</f>
        <v/>
      </c>
      <c r="E277" s="31">
        <f>IF($A277="","",Submissions!AG273)</f>
        <v/>
      </c>
      <c r="F277" s="31">
        <f>IF($A277="","",Submissions!AH273)</f>
        <v/>
      </c>
      <c r="G277" s="37" t="n"/>
      <c r="H277" s="37" t="n"/>
      <c r="I277" s="37" t="n"/>
      <c r="J277" s="37" t="n"/>
      <c r="K277" s="37" t="n"/>
      <c r="L277" s="37" t="n"/>
      <c r="M277" s="37" t="n"/>
      <c r="N277" s="37" t="n"/>
      <c r="O277" s="37" t="n"/>
      <c r="P277" s="37" t="n"/>
      <c r="Q277" s="37" t="n"/>
      <c r="R277" s="37" t="n"/>
      <c r="S277" s="37" t="n"/>
      <c r="T277" s="37" t="n"/>
      <c r="U277" s="37" t="n"/>
      <c r="V277" s="33">
        <f>IF(COUNT(G277:I277)=3,IFERROR(ROUND((G277*Settings!$D$15+H277*Settings!$D$16+I277*Settings!$D$17)/(Settings!$D$15+Settings!$D$16+Settings!$D$17),2),""),"")</f>
        <v/>
      </c>
      <c r="W277" s="33">
        <f>IF(COUNT(J277:L277)=3,IFERROR(ROUND((J277*Settings!$D$15+K277*Settings!$D$16+L277*Settings!$D$17)/(Settings!$D$15+Settings!$D$16+Settings!$D$17),2),""),"")</f>
        <v/>
      </c>
      <c r="X277" s="33">
        <f>IF(COUNT(M277:O277)=3,IFERROR(ROUND((M277*Settings!$D$15+N277*Settings!$D$16+O277*Settings!$D$17)/(Settings!$D$15+Settings!$D$16+Settings!$D$17),2),""),"")</f>
        <v/>
      </c>
      <c r="Y277" s="33">
        <f>IF(COUNT(P277:R277)=3,IFERROR(ROUND((P277*Settings!$D$15+Q277*Settings!$D$16+R277*Settings!$D$17)/(Settings!$D$15+Settings!$D$16+Settings!$D$17),2),""),"")</f>
        <v/>
      </c>
      <c r="Z277" s="33">
        <f>IF(COUNT(S277:U277)=3,IFERROR(ROUND((S277*Settings!$D$15+T277*Settings!$D$16+U277*Settings!$D$17)/(Settings!$D$15+Settings!$D$16+Settings!$D$17),2),""),"")</f>
        <v/>
      </c>
      <c r="AA277" s="34">
        <f>IF(COUNT(V277:Z277)=0,"",ROUND(AVERAGE(V277:Z277),2))</f>
        <v/>
      </c>
      <c r="AB277" s="35">
        <f>IF($A277="","",COUNT(V277:Z277))</f>
        <v/>
      </c>
      <c r="AC277" s="36" t="n"/>
      <c r="AD277" s="35">
        <f>IF(AA277="","",SUMPRODUCT(ISNUMBER($AA$6:$AA$305)*($AA$6:$AA$305&gt;AA277))+SUMPRODUCT(($AA$6:AA277=AA277)*1))</f>
        <v/>
      </c>
      <c r="AE277" s="35">
        <f>IF(AA277="","",SUMPRODUCT(($E$6:$E$305=E277)*ISNUMBER($AA$6:$AA$305)*($AA$6:$AA$305&gt;AA277))+SUMPRODUCT(($E$6:E277=E277)*($AA$6:AA277=AA277)))</f>
        <v/>
      </c>
    </row>
    <row r="278">
      <c r="A278" s="31">
        <f>IF(Submissions!AD274="","",273)</f>
        <v/>
      </c>
      <c r="B278" s="10">
        <f>IF($A278="","",IF(Settings!$B$4="Yes","Submission "&amp;$A278,Submissions!AD274))</f>
        <v/>
      </c>
      <c r="C278" s="31">
        <f>IF($A278="","",IF(Settings!$B$4="Yes","(hidden)",Submissions!AE274))</f>
        <v/>
      </c>
      <c r="D278" s="31">
        <f>IF($A278="","",Submissions!AF274)</f>
        <v/>
      </c>
      <c r="E278" s="31">
        <f>IF($A278="","",Submissions!AG274)</f>
        <v/>
      </c>
      <c r="F278" s="31">
        <f>IF($A278="","",Submissions!AH274)</f>
        <v/>
      </c>
      <c r="G278" s="37" t="n"/>
      <c r="H278" s="37" t="n"/>
      <c r="I278" s="37" t="n"/>
      <c r="J278" s="37" t="n"/>
      <c r="K278" s="37" t="n"/>
      <c r="L278" s="37" t="n"/>
      <c r="M278" s="37" t="n"/>
      <c r="N278" s="37" t="n"/>
      <c r="O278" s="37" t="n"/>
      <c r="P278" s="37" t="n"/>
      <c r="Q278" s="37" t="n"/>
      <c r="R278" s="37" t="n"/>
      <c r="S278" s="37" t="n"/>
      <c r="T278" s="37" t="n"/>
      <c r="U278" s="37" t="n"/>
      <c r="V278" s="33">
        <f>IF(COUNT(G278:I278)=3,IFERROR(ROUND((G278*Settings!$D$15+H278*Settings!$D$16+I278*Settings!$D$17)/(Settings!$D$15+Settings!$D$16+Settings!$D$17),2),""),"")</f>
        <v/>
      </c>
      <c r="W278" s="33">
        <f>IF(COUNT(J278:L278)=3,IFERROR(ROUND((J278*Settings!$D$15+K278*Settings!$D$16+L278*Settings!$D$17)/(Settings!$D$15+Settings!$D$16+Settings!$D$17),2),""),"")</f>
        <v/>
      </c>
      <c r="X278" s="33">
        <f>IF(COUNT(M278:O278)=3,IFERROR(ROUND((M278*Settings!$D$15+N278*Settings!$D$16+O278*Settings!$D$17)/(Settings!$D$15+Settings!$D$16+Settings!$D$17),2),""),"")</f>
        <v/>
      </c>
      <c r="Y278" s="33">
        <f>IF(COUNT(P278:R278)=3,IFERROR(ROUND((P278*Settings!$D$15+Q278*Settings!$D$16+R278*Settings!$D$17)/(Settings!$D$15+Settings!$D$16+Settings!$D$17),2),""),"")</f>
        <v/>
      </c>
      <c r="Z278" s="33">
        <f>IF(COUNT(S278:U278)=3,IFERROR(ROUND((S278*Settings!$D$15+T278*Settings!$D$16+U278*Settings!$D$17)/(Settings!$D$15+Settings!$D$16+Settings!$D$17),2),""),"")</f>
        <v/>
      </c>
      <c r="AA278" s="34">
        <f>IF(COUNT(V278:Z278)=0,"",ROUND(AVERAGE(V278:Z278),2))</f>
        <v/>
      </c>
      <c r="AB278" s="35">
        <f>IF($A278="","",COUNT(V278:Z278))</f>
        <v/>
      </c>
      <c r="AC278" s="36" t="n"/>
      <c r="AD278" s="35">
        <f>IF(AA278="","",SUMPRODUCT(ISNUMBER($AA$6:$AA$305)*($AA$6:$AA$305&gt;AA278))+SUMPRODUCT(($AA$6:AA278=AA278)*1))</f>
        <v/>
      </c>
      <c r="AE278" s="35">
        <f>IF(AA278="","",SUMPRODUCT(($E$6:$E$305=E278)*ISNUMBER($AA$6:$AA$305)*($AA$6:$AA$305&gt;AA278))+SUMPRODUCT(($E$6:E278=E278)*($AA$6:AA278=AA278)))</f>
        <v/>
      </c>
    </row>
    <row r="279">
      <c r="A279" s="31">
        <f>IF(Submissions!AD275="","",274)</f>
        <v/>
      </c>
      <c r="B279" s="10">
        <f>IF($A279="","",IF(Settings!$B$4="Yes","Submission "&amp;$A279,Submissions!AD275))</f>
        <v/>
      </c>
      <c r="C279" s="31">
        <f>IF($A279="","",IF(Settings!$B$4="Yes","(hidden)",Submissions!AE275))</f>
        <v/>
      </c>
      <c r="D279" s="31">
        <f>IF($A279="","",Submissions!AF275)</f>
        <v/>
      </c>
      <c r="E279" s="31">
        <f>IF($A279="","",Submissions!AG275)</f>
        <v/>
      </c>
      <c r="F279" s="31">
        <f>IF($A279="","",Submissions!AH275)</f>
        <v/>
      </c>
      <c r="G279" s="37" t="n"/>
      <c r="H279" s="37" t="n"/>
      <c r="I279" s="37" t="n"/>
      <c r="J279" s="37" t="n"/>
      <c r="K279" s="37" t="n"/>
      <c r="L279" s="37" t="n"/>
      <c r="M279" s="37" t="n"/>
      <c r="N279" s="37" t="n"/>
      <c r="O279" s="37" t="n"/>
      <c r="P279" s="37" t="n"/>
      <c r="Q279" s="37" t="n"/>
      <c r="R279" s="37" t="n"/>
      <c r="S279" s="37" t="n"/>
      <c r="T279" s="37" t="n"/>
      <c r="U279" s="37" t="n"/>
      <c r="V279" s="33">
        <f>IF(COUNT(G279:I279)=3,IFERROR(ROUND((G279*Settings!$D$15+H279*Settings!$D$16+I279*Settings!$D$17)/(Settings!$D$15+Settings!$D$16+Settings!$D$17),2),""),"")</f>
        <v/>
      </c>
      <c r="W279" s="33">
        <f>IF(COUNT(J279:L279)=3,IFERROR(ROUND((J279*Settings!$D$15+K279*Settings!$D$16+L279*Settings!$D$17)/(Settings!$D$15+Settings!$D$16+Settings!$D$17),2),""),"")</f>
        <v/>
      </c>
      <c r="X279" s="33">
        <f>IF(COUNT(M279:O279)=3,IFERROR(ROUND((M279*Settings!$D$15+N279*Settings!$D$16+O279*Settings!$D$17)/(Settings!$D$15+Settings!$D$16+Settings!$D$17),2),""),"")</f>
        <v/>
      </c>
      <c r="Y279" s="33">
        <f>IF(COUNT(P279:R279)=3,IFERROR(ROUND((P279*Settings!$D$15+Q279*Settings!$D$16+R279*Settings!$D$17)/(Settings!$D$15+Settings!$D$16+Settings!$D$17),2),""),"")</f>
        <v/>
      </c>
      <c r="Z279" s="33">
        <f>IF(COUNT(S279:U279)=3,IFERROR(ROUND((S279*Settings!$D$15+T279*Settings!$D$16+U279*Settings!$D$17)/(Settings!$D$15+Settings!$D$16+Settings!$D$17),2),""),"")</f>
        <v/>
      </c>
      <c r="AA279" s="34">
        <f>IF(COUNT(V279:Z279)=0,"",ROUND(AVERAGE(V279:Z279),2))</f>
        <v/>
      </c>
      <c r="AB279" s="35">
        <f>IF($A279="","",COUNT(V279:Z279))</f>
        <v/>
      </c>
      <c r="AC279" s="36" t="n"/>
      <c r="AD279" s="35">
        <f>IF(AA279="","",SUMPRODUCT(ISNUMBER($AA$6:$AA$305)*($AA$6:$AA$305&gt;AA279))+SUMPRODUCT(($AA$6:AA279=AA279)*1))</f>
        <v/>
      </c>
      <c r="AE279" s="35">
        <f>IF(AA279="","",SUMPRODUCT(($E$6:$E$305=E279)*ISNUMBER($AA$6:$AA$305)*($AA$6:$AA$305&gt;AA279))+SUMPRODUCT(($E$6:E279=E279)*($AA$6:AA279=AA279)))</f>
        <v/>
      </c>
    </row>
    <row r="280">
      <c r="A280" s="31">
        <f>IF(Submissions!AD276="","",275)</f>
        <v/>
      </c>
      <c r="B280" s="10">
        <f>IF($A280="","",IF(Settings!$B$4="Yes","Submission "&amp;$A280,Submissions!AD276))</f>
        <v/>
      </c>
      <c r="C280" s="31">
        <f>IF($A280="","",IF(Settings!$B$4="Yes","(hidden)",Submissions!AE276))</f>
        <v/>
      </c>
      <c r="D280" s="31">
        <f>IF($A280="","",Submissions!AF276)</f>
        <v/>
      </c>
      <c r="E280" s="31">
        <f>IF($A280="","",Submissions!AG276)</f>
        <v/>
      </c>
      <c r="F280" s="31">
        <f>IF($A280="","",Submissions!AH276)</f>
        <v/>
      </c>
      <c r="G280" s="37" t="n"/>
      <c r="H280" s="37" t="n"/>
      <c r="I280" s="37" t="n"/>
      <c r="J280" s="37" t="n"/>
      <c r="K280" s="37" t="n"/>
      <c r="L280" s="37" t="n"/>
      <c r="M280" s="37" t="n"/>
      <c r="N280" s="37" t="n"/>
      <c r="O280" s="37" t="n"/>
      <c r="P280" s="37" t="n"/>
      <c r="Q280" s="37" t="n"/>
      <c r="R280" s="37" t="n"/>
      <c r="S280" s="37" t="n"/>
      <c r="T280" s="37" t="n"/>
      <c r="U280" s="37" t="n"/>
      <c r="V280" s="33">
        <f>IF(COUNT(G280:I280)=3,IFERROR(ROUND((G280*Settings!$D$15+H280*Settings!$D$16+I280*Settings!$D$17)/(Settings!$D$15+Settings!$D$16+Settings!$D$17),2),""),"")</f>
        <v/>
      </c>
      <c r="W280" s="33">
        <f>IF(COUNT(J280:L280)=3,IFERROR(ROUND((J280*Settings!$D$15+K280*Settings!$D$16+L280*Settings!$D$17)/(Settings!$D$15+Settings!$D$16+Settings!$D$17),2),""),"")</f>
        <v/>
      </c>
      <c r="X280" s="33">
        <f>IF(COUNT(M280:O280)=3,IFERROR(ROUND((M280*Settings!$D$15+N280*Settings!$D$16+O280*Settings!$D$17)/(Settings!$D$15+Settings!$D$16+Settings!$D$17),2),""),"")</f>
        <v/>
      </c>
      <c r="Y280" s="33">
        <f>IF(COUNT(P280:R280)=3,IFERROR(ROUND((P280*Settings!$D$15+Q280*Settings!$D$16+R280*Settings!$D$17)/(Settings!$D$15+Settings!$D$16+Settings!$D$17),2),""),"")</f>
        <v/>
      </c>
      <c r="Z280" s="33">
        <f>IF(COUNT(S280:U280)=3,IFERROR(ROUND((S280*Settings!$D$15+T280*Settings!$D$16+U280*Settings!$D$17)/(Settings!$D$15+Settings!$D$16+Settings!$D$17),2),""),"")</f>
        <v/>
      </c>
      <c r="AA280" s="34">
        <f>IF(COUNT(V280:Z280)=0,"",ROUND(AVERAGE(V280:Z280),2))</f>
        <v/>
      </c>
      <c r="AB280" s="35">
        <f>IF($A280="","",COUNT(V280:Z280))</f>
        <v/>
      </c>
      <c r="AC280" s="36" t="n"/>
      <c r="AD280" s="35">
        <f>IF(AA280="","",SUMPRODUCT(ISNUMBER($AA$6:$AA$305)*($AA$6:$AA$305&gt;AA280))+SUMPRODUCT(($AA$6:AA280=AA280)*1))</f>
        <v/>
      </c>
      <c r="AE280" s="35">
        <f>IF(AA280="","",SUMPRODUCT(($E$6:$E$305=E280)*ISNUMBER($AA$6:$AA$305)*($AA$6:$AA$305&gt;AA280))+SUMPRODUCT(($E$6:E280=E280)*($AA$6:AA280=AA280)))</f>
        <v/>
      </c>
    </row>
    <row r="281">
      <c r="A281" s="31">
        <f>IF(Submissions!AD277="","",276)</f>
        <v/>
      </c>
      <c r="B281" s="10">
        <f>IF($A281="","",IF(Settings!$B$4="Yes","Submission "&amp;$A281,Submissions!AD277))</f>
        <v/>
      </c>
      <c r="C281" s="31">
        <f>IF($A281="","",IF(Settings!$B$4="Yes","(hidden)",Submissions!AE277))</f>
        <v/>
      </c>
      <c r="D281" s="31">
        <f>IF($A281="","",Submissions!AF277)</f>
        <v/>
      </c>
      <c r="E281" s="31">
        <f>IF($A281="","",Submissions!AG277)</f>
        <v/>
      </c>
      <c r="F281" s="31">
        <f>IF($A281="","",Submissions!AH277)</f>
        <v/>
      </c>
      <c r="G281" s="37" t="n"/>
      <c r="H281" s="37" t="n"/>
      <c r="I281" s="37" t="n"/>
      <c r="J281" s="37" t="n"/>
      <c r="K281" s="37" t="n"/>
      <c r="L281" s="37" t="n"/>
      <c r="M281" s="37" t="n"/>
      <c r="N281" s="37" t="n"/>
      <c r="O281" s="37" t="n"/>
      <c r="P281" s="37" t="n"/>
      <c r="Q281" s="37" t="n"/>
      <c r="R281" s="37" t="n"/>
      <c r="S281" s="37" t="n"/>
      <c r="T281" s="37" t="n"/>
      <c r="U281" s="37" t="n"/>
      <c r="V281" s="33">
        <f>IF(COUNT(G281:I281)=3,IFERROR(ROUND((G281*Settings!$D$15+H281*Settings!$D$16+I281*Settings!$D$17)/(Settings!$D$15+Settings!$D$16+Settings!$D$17),2),""),"")</f>
        <v/>
      </c>
      <c r="W281" s="33">
        <f>IF(COUNT(J281:L281)=3,IFERROR(ROUND((J281*Settings!$D$15+K281*Settings!$D$16+L281*Settings!$D$17)/(Settings!$D$15+Settings!$D$16+Settings!$D$17),2),""),"")</f>
        <v/>
      </c>
      <c r="X281" s="33">
        <f>IF(COUNT(M281:O281)=3,IFERROR(ROUND((M281*Settings!$D$15+N281*Settings!$D$16+O281*Settings!$D$17)/(Settings!$D$15+Settings!$D$16+Settings!$D$17),2),""),"")</f>
        <v/>
      </c>
      <c r="Y281" s="33">
        <f>IF(COUNT(P281:R281)=3,IFERROR(ROUND((P281*Settings!$D$15+Q281*Settings!$D$16+R281*Settings!$D$17)/(Settings!$D$15+Settings!$D$16+Settings!$D$17),2),""),"")</f>
        <v/>
      </c>
      <c r="Z281" s="33">
        <f>IF(COUNT(S281:U281)=3,IFERROR(ROUND((S281*Settings!$D$15+T281*Settings!$D$16+U281*Settings!$D$17)/(Settings!$D$15+Settings!$D$16+Settings!$D$17),2),""),"")</f>
        <v/>
      </c>
      <c r="AA281" s="34">
        <f>IF(COUNT(V281:Z281)=0,"",ROUND(AVERAGE(V281:Z281),2))</f>
        <v/>
      </c>
      <c r="AB281" s="35">
        <f>IF($A281="","",COUNT(V281:Z281))</f>
        <v/>
      </c>
      <c r="AC281" s="36" t="n"/>
      <c r="AD281" s="35">
        <f>IF(AA281="","",SUMPRODUCT(ISNUMBER($AA$6:$AA$305)*($AA$6:$AA$305&gt;AA281))+SUMPRODUCT(($AA$6:AA281=AA281)*1))</f>
        <v/>
      </c>
      <c r="AE281" s="35">
        <f>IF(AA281="","",SUMPRODUCT(($E$6:$E$305=E281)*ISNUMBER($AA$6:$AA$305)*($AA$6:$AA$305&gt;AA281))+SUMPRODUCT(($E$6:E281=E281)*($AA$6:AA281=AA281)))</f>
        <v/>
      </c>
    </row>
    <row r="282">
      <c r="A282" s="31">
        <f>IF(Submissions!AD278="","",277)</f>
        <v/>
      </c>
      <c r="B282" s="10">
        <f>IF($A282="","",IF(Settings!$B$4="Yes","Submission "&amp;$A282,Submissions!AD278))</f>
        <v/>
      </c>
      <c r="C282" s="31">
        <f>IF($A282="","",IF(Settings!$B$4="Yes","(hidden)",Submissions!AE278))</f>
        <v/>
      </c>
      <c r="D282" s="31">
        <f>IF($A282="","",Submissions!AF278)</f>
        <v/>
      </c>
      <c r="E282" s="31">
        <f>IF($A282="","",Submissions!AG278)</f>
        <v/>
      </c>
      <c r="F282" s="31">
        <f>IF($A282="","",Submissions!AH278)</f>
        <v/>
      </c>
      <c r="G282" s="37" t="n"/>
      <c r="H282" s="37" t="n"/>
      <c r="I282" s="37" t="n"/>
      <c r="J282" s="37" t="n"/>
      <c r="K282" s="37" t="n"/>
      <c r="L282" s="37" t="n"/>
      <c r="M282" s="37" t="n"/>
      <c r="N282" s="37" t="n"/>
      <c r="O282" s="37" t="n"/>
      <c r="P282" s="37" t="n"/>
      <c r="Q282" s="37" t="n"/>
      <c r="R282" s="37" t="n"/>
      <c r="S282" s="37" t="n"/>
      <c r="T282" s="37" t="n"/>
      <c r="U282" s="37" t="n"/>
      <c r="V282" s="33">
        <f>IF(COUNT(G282:I282)=3,IFERROR(ROUND((G282*Settings!$D$15+H282*Settings!$D$16+I282*Settings!$D$17)/(Settings!$D$15+Settings!$D$16+Settings!$D$17),2),""),"")</f>
        <v/>
      </c>
      <c r="W282" s="33">
        <f>IF(COUNT(J282:L282)=3,IFERROR(ROUND((J282*Settings!$D$15+K282*Settings!$D$16+L282*Settings!$D$17)/(Settings!$D$15+Settings!$D$16+Settings!$D$17),2),""),"")</f>
        <v/>
      </c>
      <c r="X282" s="33">
        <f>IF(COUNT(M282:O282)=3,IFERROR(ROUND((M282*Settings!$D$15+N282*Settings!$D$16+O282*Settings!$D$17)/(Settings!$D$15+Settings!$D$16+Settings!$D$17),2),""),"")</f>
        <v/>
      </c>
      <c r="Y282" s="33">
        <f>IF(COUNT(P282:R282)=3,IFERROR(ROUND((P282*Settings!$D$15+Q282*Settings!$D$16+R282*Settings!$D$17)/(Settings!$D$15+Settings!$D$16+Settings!$D$17),2),""),"")</f>
        <v/>
      </c>
      <c r="Z282" s="33">
        <f>IF(COUNT(S282:U282)=3,IFERROR(ROUND((S282*Settings!$D$15+T282*Settings!$D$16+U282*Settings!$D$17)/(Settings!$D$15+Settings!$D$16+Settings!$D$17),2),""),"")</f>
        <v/>
      </c>
      <c r="AA282" s="34">
        <f>IF(COUNT(V282:Z282)=0,"",ROUND(AVERAGE(V282:Z282),2))</f>
        <v/>
      </c>
      <c r="AB282" s="35">
        <f>IF($A282="","",COUNT(V282:Z282))</f>
        <v/>
      </c>
      <c r="AC282" s="36" t="n"/>
      <c r="AD282" s="35">
        <f>IF(AA282="","",SUMPRODUCT(ISNUMBER($AA$6:$AA$305)*($AA$6:$AA$305&gt;AA282))+SUMPRODUCT(($AA$6:AA282=AA282)*1))</f>
        <v/>
      </c>
      <c r="AE282" s="35">
        <f>IF(AA282="","",SUMPRODUCT(($E$6:$E$305=E282)*ISNUMBER($AA$6:$AA$305)*($AA$6:$AA$305&gt;AA282))+SUMPRODUCT(($E$6:E282=E282)*($AA$6:AA282=AA282)))</f>
        <v/>
      </c>
    </row>
    <row r="283">
      <c r="A283" s="31">
        <f>IF(Submissions!AD279="","",278)</f>
        <v/>
      </c>
      <c r="B283" s="10">
        <f>IF($A283="","",IF(Settings!$B$4="Yes","Submission "&amp;$A283,Submissions!AD279))</f>
        <v/>
      </c>
      <c r="C283" s="31">
        <f>IF($A283="","",IF(Settings!$B$4="Yes","(hidden)",Submissions!AE279))</f>
        <v/>
      </c>
      <c r="D283" s="31">
        <f>IF($A283="","",Submissions!AF279)</f>
        <v/>
      </c>
      <c r="E283" s="31">
        <f>IF($A283="","",Submissions!AG279)</f>
        <v/>
      </c>
      <c r="F283" s="31">
        <f>IF($A283="","",Submissions!AH279)</f>
        <v/>
      </c>
      <c r="G283" s="37" t="n"/>
      <c r="H283" s="37" t="n"/>
      <c r="I283" s="37" t="n"/>
      <c r="J283" s="37" t="n"/>
      <c r="K283" s="37" t="n"/>
      <c r="L283" s="37" t="n"/>
      <c r="M283" s="37" t="n"/>
      <c r="N283" s="37" t="n"/>
      <c r="O283" s="37" t="n"/>
      <c r="P283" s="37" t="n"/>
      <c r="Q283" s="37" t="n"/>
      <c r="R283" s="37" t="n"/>
      <c r="S283" s="37" t="n"/>
      <c r="T283" s="37" t="n"/>
      <c r="U283" s="37" t="n"/>
      <c r="V283" s="33">
        <f>IF(COUNT(G283:I283)=3,IFERROR(ROUND((G283*Settings!$D$15+H283*Settings!$D$16+I283*Settings!$D$17)/(Settings!$D$15+Settings!$D$16+Settings!$D$17),2),""),"")</f>
        <v/>
      </c>
      <c r="W283" s="33">
        <f>IF(COUNT(J283:L283)=3,IFERROR(ROUND((J283*Settings!$D$15+K283*Settings!$D$16+L283*Settings!$D$17)/(Settings!$D$15+Settings!$D$16+Settings!$D$17),2),""),"")</f>
        <v/>
      </c>
      <c r="X283" s="33">
        <f>IF(COUNT(M283:O283)=3,IFERROR(ROUND((M283*Settings!$D$15+N283*Settings!$D$16+O283*Settings!$D$17)/(Settings!$D$15+Settings!$D$16+Settings!$D$17),2),""),"")</f>
        <v/>
      </c>
      <c r="Y283" s="33">
        <f>IF(COUNT(P283:R283)=3,IFERROR(ROUND((P283*Settings!$D$15+Q283*Settings!$D$16+R283*Settings!$D$17)/(Settings!$D$15+Settings!$D$16+Settings!$D$17),2),""),"")</f>
        <v/>
      </c>
      <c r="Z283" s="33">
        <f>IF(COUNT(S283:U283)=3,IFERROR(ROUND((S283*Settings!$D$15+T283*Settings!$D$16+U283*Settings!$D$17)/(Settings!$D$15+Settings!$D$16+Settings!$D$17),2),""),"")</f>
        <v/>
      </c>
      <c r="AA283" s="34">
        <f>IF(COUNT(V283:Z283)=0,"",ROUND(AVERAGE(V283:Z283),2))</f>
        <v/>
      </c>
      <c r="AB283" s="35">
        <f>IF($A283="","",COUNT(V283:Z283))</f>
        <v/>
      </c>
      <c r="AC283" s="36" t="n"/>
      <c r="AD283" s="35">
        <f>IF(AA283="","",SUMPRODUCT(ISNUMBER($AA$6:$AA$305)*($AA$6:$AA$305&gt;AA283))+SUMPRODUCT(($AA$6:AA283=AA283)*1))</f>
        <v/>
      </c>
      <c r="AE283" s="35">
        <f>IF(AA283="","",SUMPRODUCT(($E$6:$E$305=E283)*ISNUMBER($AA$6:$AA$305)*($AA$6:$AA$305&gt;AA283))+SUMPRODUCT(($E$6:E283=E283)*($AA$6:AA283=AA283)))</f>
        <v/>
      </c>
    </row>
    <row r="284">
      <c r="A284" s="31">
        <f>IF(Submissions!AD280="","",279)</f>
        <v/>
      </c>
      <c r="B284" s="10">
        <f>IF($A284="","",IF(Settings!$B$4="Yes","Submission "&amp;$A284,Submissions!AD280))</f>
        <v/>
      </c>
      <c r="C284" s="31">
        <f>IF($A284="","",IF(Settings!$B$4="Yes","(hidden)",Submissions!AE280))</f>
        <v/>
      </c>
      <c r="D284" s="31">
        <f>IF($A284="","",Submissions!AF280)</f>
        <v/>
      </c>
      <c r="E284" s="31">
        <f>IF($A284="","",Submissions!AG280)</f>
        <v/>
      </c>
      <c r="F284" s="31">
        <f>IF($A284="","",Submissions!AH280)</f>
        <v/>
      </c>
      <c r="G284" s="37" t="n"/>
      <c r="H284" s="37" t="n"/>
      <c r="I284" s="37" t="n"/>
      <c r="J284" s="37" t="n"/>
      <c r="K284" s="37" t="n"/>
      <c r="L284" s="37" t="n"/>
      <c r="M284" s="37" t="n"/>
      <c r="N284" s="37" t="n"/>
      <c r="O284" s="37" t="n"/>
      <c r="P284" s="37" t="n"/>
      <c r="Q284" s="37" t="n"/>
      <c r="R284" s="37" t="n"/>
      <c r="S284" s="37" t="n"/>
      <c r="T284" s="37" t="n"/>
      <c r="U284" s="37" t="n"/>
      <c r="V284" s="33">
        <f>IF(COUNT(G284:I284)=3,IFERROR(ROUND((G284*Settings!$D$15+H284*Settings!$D$16+I284*Settings!$D$17)/(Settings!$D$15+Settings!$D$16+Settings!$D$17),2),""),"")</f>
        <v/>
      </c>
      <c r="W284" s="33">
        <f>IF(COUNT(J284:L284)=3,IFERROR(ROUND((J284*Settings!$D$15+K284*Settings!$D$16+L284*Settings!$D$17)/(Settings!$D$15+Settings!$D$16+Settings!$D$17),2),""),"")</f>
        <v/>
      </c>
      <c r="X284" s="33">
        <f>IF(COUNT(M284:O284)=3,IFERROR(ROUND((M284*Settings!$D$15+N284*Settings!$D$16+O284*Settings!$D$17)/(Settings!$D$15+Settings!$D$16+Settings!$D$17),2),""),"")</f>
        <v/>
      </c>
      <c r="Y284" s="33">
        <f>IF(COUNT(P284:R284)=3,IFERROR(ROUND((P284*Settings!$D$15+Q284*Settings!$D$16+R284*Settings!$D$17)/(Settings!$D$15+Settings!$D$16+Settings!$D$17),2),""),"")</f>
        <v/>
      </c>
      <c r="Z284" s="33">
        <f>IF(COUNT(S284:U284)=3,IFERROR(ROUND((S284*Settings!$D$15+T284*Settings!$D$16+U284*Settings!$D$17)/(Settings!$D$15+Settings!$D$16+Settings!$D$17),2),""),"")</f>
        <v/>
      </c>
      <c r="AA284" s="34">
        <f>IF(COUNT(V284:Z284)=0,"",ROUND(AVERAGE(V284:Z284),2))</f>
        <v/>
      </c>
      <c r="AB284" s="35">
        <f>IF($A284="","",COUNT(V284:Z284))</f>
        <v/>
      </c>
      <c r="AC284" s="36" t="n"/>
      <c r="AD284" s="35">
        <f>IF(AA284="","",SUMPRODUCT(ISNUMBER($AA$6:$AA$305)*($AA$6:$AA$305&gt;AA284))+SUMPRODUCT(($AA$6:AA284=AA284)*1))</f>
        <v/>
      </c>
      <c r="AE284" s="35">
        <f>IF(AA284="","",SUMPRODUCT(($E$6:$E$305=E284)*ISNUMBER($AA$6:$AA$305)*($AA$6:$AA$305&gt;AA284))+SUMPRODUCT(($E$6:E284=E284)*($AA$6:AA284=AA284)))</f>
        <v/>
      </c>
    </row>
    <row r="285">
      <c r="A285" s="31">
        <f>IF(Submissions!AD281="","",280)</f>
        <v/>
      </c>
      <c r="B285" s="10">
        <f>IF($A285="","",IF(Settings!$B$4="Yes","Submission "&amp;$A285,Submissions!AD281))</f>
        <v/>
      </c>
      <c r="C285" s="31">
        <f>IF($A285="","",IF(Settings!$B$4="Yes","(hidden)",Submissions!AE281))</f>
        <v/>
      </c>
      <c r="D285" s="31">
        <f>IF($A285="","",Submissions!AF281)</f>
        <v/>
      </c>
      <c r="E285" s="31">
        <f>IF($A285="","",Submissions!AG281)</f>
        <v/>
      </c>
      <c r="F285" s="31">
        <f>IF($A285="","",Submissions!AH281)</f>
        <v/>
      </c>
      <c r="G285" s="37" t="n"/>
      <c r="H285" s="37" t="n"/>
      <c r="I285" s="37" t="n"/>
      <c r="J285" s="37" t="n"/>
      <c r="K285" s="37" t="n"/>
      <c r="L285" s="37" t="n"/>
      <c r="M285" s="37" t="n"/>
      <c r="N285" s="37" t="n"/>
      <c r="O285" s="37" t="n"/>
      <c r="P285" s="37" t="n"/>
      <c r="Q285" s="37" t="n"/>
      <c r="R285" s="37" t="n"/>
      <c r="S285" s="37" t="n"/>
      <c r="T285" s="37" t="n"/>
      <c r="U285" s="37" t="n"/>
      <c r="V285" s="33">
        <f>IF(COUNT(G285:I285)=3,IFERROR(ROUND((G285*Settings!$D$15+H285*Settings!$D$16+I285*Settings!$D$17)/(Settings!$D$15+Settings!$D$16+Settings!$D$17),2),""),"")</f>
        <v/>
      </c>
      <c r="W285" s="33">
        <f>IF(COUNT(J285:L285)=3,IFERROR(ROUND((J285*Settings!$D$15+K285*Settings!$D$16+L285*Settings!$D$17)/(Settings!$D$15+Settings!$D$16+Settings!$D$17),2),""),"")</f>
        <v/>
      </c>
      <c r="X285" s="33">
        <f>IF(COUNT(M285:O285)=3,IFERROR(ROUND((M285*Settings!$D$15+N285*Settings!$D$16+O285*Settings!$D$17)/(Settings!$D$15+Settings!$D$16+Settings!$D$17),2),""),"")</f>
        <v/>
      </c>
      <c r="Y285" s="33">
        <f>IF(COUNT(P285:R285)=3,IFERROR(ROUND((P285*Settings!$D$15+Q285*Settings!$D$16+R285*Settings!$D$17)/(Settings!$D$15+Settings!$D$16+Settings!$D$17),2),""),"")</f>
        <v/>
      </c>
      <c r="Z285" s="33">
        <f>IF(COUNT(S285:U285)=3,IFERROR(ROUND((S285*Settings!$D$15+T285*Settings!$D$16+U285*Settings!$D$17)/(Settings!$D$15+Settings!$D$16+Settings!$D$17),2),""),"")</f>
        <v/>
      </c>
      <c r="AA285" s="34">
        <f>IF(COUNT(V285:Z285)=0,"",ROUND(AVERAGE(V285:Z285),2))</f>
        <v/>
      </c>
      <c r="AB285" s="35">
        <f>IF($A285="","",COUNT(V285:Z285))</f>
        <v/>
      </c>
      <c r="AC285" s="36" t="n"/>
      <c r="AD285" s="35">
        <f>IF(AA285="","",SUMPRODUCT(ISNUMBER($AA$6:$AA$305)*($AA$6:$AA$305&gt;AA285))+SUMPRODUCT(($AA$6:AA285=AA285)*1))</f>
        <v/>
      </c>
      <c r="AE285" s="35">
        <f>IF(AA285="","",SUMPRODUCT(($E$6:$E$305=E285)*ISNUMBER($AA$6:$AA$305)*($AA$6:$AA$305&gt;AA285))+SUMPRODUCT(($E$6:E285=E285)*($AA$6:AA285=AA285)))</f>
        <v/>
      </c>
    </row>
    <row r="286">
      <c r="A286" s="31">
        <f>IF(Submissions!AD282="","",281)</f>
        <v/>
      </c>
      <c r="B286" s="10">
        <f>IF($A286="","",IF(Settings!$B$4="Yes","Submission "&amp;$A286,Submissions!AD282))</f>
        <v/>
      </c>
      <c r="C286" s="31">
        <f>IF($A286="","",IF(Settings!$B$4="Yes","(hidden)",Submissions!AE282))</f>
        <v/>
      </c>
      <c r="D286" s="31">
        <f>IF($A286="","",Submissions!AF282)</f>
        <v/>
      </c>
      <c r="E286" s="31">
        <f>IF($A286="","",Submissions!AG282)</f>
        <v/>
      </c>
      <c r="F286" s="31">
        <f>IF($A286="","",Submissions!AH282)</f>
        <v/>
      </c>
      <c r="G286" s="37" t="n"/>
      <c r="H286" s="37" t="n"/>
      <c r="I286" s="37" t="n"/>
      <c r="J286" s="37" t="n"/>
      <c r="K286" s="37" t="n"/>
      <c r="L286" s="37" t="n"/>
      <c r="M286" s="37" t="n"/>
      <c r="N286" s="37" t="n"/>
      <c r="O286" s="37" t="n"/>
      <c r="P286" s="37" t="n"/>
      <c r="Q286" s="37" t="n"/>
      <c r="R286" s="37" t="n"/>
      <c r="S286" s="37" t="n"/>
      <c r="T286" s="37" t="n"/>
      <c r="U286" s="37" t="n"/>
      <c r="V286" s="33">
        <f>IF(COUNT(G286:I286)=3,IFERROR(ROUND((G286*Settings!$D$15+H286*Settings!$D$16+I286*Settings!$D$17)/(Settings!$D$15+Settings!$D$16+Settings!$D$17),2),""),"")</f>
        <v/>
      </c>
      <c r="W286" s="33">
        <f>IF(COUNT(J286:L286)=3,IFERROR(ROUND((J286*Settings!$D$15+K286*Settings!$D$16+L286*Settings!$D$17)/(Settings!$D$15+Settings!$D$16+Settings!$D$17),2),""),"")</f>
        <v/>
      </c>
      <c r="X286" s="33">
        <f>IF(COUNT(M286:O286)=3,IFERROR(ROUND((M286*Settings!$D$15+N286*Settings!$D$16+O286*Settings!$D$17)/(Settings!$D$15+Settings!$D$16+Settings!$D$17),2),""),"")</f>
        <v/>
      </c>
      <c r="Y286" s="33">
        <f>IF(COUNT(P286:R286)=3,IFERROR(ROUND((P286*Settings!$D$15+Q286*Settings!$D$16+R286*Settings!$D$17)/(Settings!$D$15+Settings!$D$16+Settings!$D$17),2),""),"")</f>
        <v/>
      </c>
      <c r="Z286" s="33">
        <f>IF(COUNT(S286:U286)=3,IFERROR(ROUND((S286*Settings!$D$15+T286*Settings!$D$16+U286*Settings!$D$17)/(Settings!$D$15+Settings!$D$16+Settings!$D$17),2),""),"")</f>
        <v/>
      </c>
      <c r="AA286" s="34">
        <f>IF(COUNT(V286:Z286)=0,"",ROUND(AVERAGE(V286:Z286),2))</f>
        <v/>
      </c>
      <c r="AB286" s="35">
        <f>IF($A286="","",COUNT(V286:Z286))</f>
        <v/>
      </c>
      <c r="AC286" s="36" t="n"/>
      <c r="AD286" s="35">
        <f>IF(AA286="","",SUMPRODUCT(ISNUMBER($AA$6:$AA$305)*($AA$6:$AA$305&gt;AA286))+SUMPRODUCT(($AA$6:AA286=AA286)*1))</f>
        <v/>
      </c>
      <c r="AE286" s="35">
        <f>IF(AA286="","",SUMPRODUCT(($E$6:$E$305=E286)*ISNUMBER($AA$6:$AA$305)*($AA$6:$AA$305&gt;AA286))+SUMPRODUCT(($E$6:E286=E286)*($AA$6:AA286=AA286)))</f>
        <v/>
      </c>
    </row>
    <row r="287">
      <c r="A287" s="31">
        <f>IF(Submissions!AD283="","",282)</f>
        <v/>
      </c>
      <c r="B287" s="10">
        <f>IF($A287="","",IF(Settings!$B$4="Yes","Submission "&amp;$A287,Submissions!AD283))</f>
        <v/>
      </c>
      <c r="C287" s="31">
        <f>IF($A287="","",IF(Settings!$B$4="Yes","(hidden)",Submissions!AE283))</f>
        <v/>
      </c>
      <c r="D287" s="31">
        <f>IF($A287="","",Submissions!AF283)</f>
        <v/>
      </c>
      <c r="E287" s="31">
        <f>IF($A287="","",Submissions!AG283)</f>
        <v/>
      </c>
      <c r="F287" s="31">
        <f>IF($A287="","",Submissions!AH283)</f>
        <v/>
      </c>
      <c r="G287" s="37" t="n"/>
      <c r="H287" s="37" t="n"/>
      <c r="I287" s="37" t="n"/>
      <c r="J287" s="37" t="n"/>
      <c r="K287" s="37" t="n"/>
      <c r="L287" s="37" t="n"/>
      <c r="M287" s="37" t="n"/>
      <c r="N287" s="37" t="n"/>
      <c r="O287" s="37" t="n"/>
      <c r="P287" s="37" t="n"/>
      <c r="Q287" s="37" t="n"/>
      <c r="R287" s="37" t="n"/>
      <c r="S287" s="37" t="n"/>
      <c r="T287" s="37" t="n"/>
      <c r="U287" s="37" t="n"/>
      <c r="V287" s="33">
        <f>IF(COUNT(G287:I287)=3,IFERROR(ROUND((G287*Settings!$D$15+H287*Settings!$D$16+I287*Settings!$D$17)/(Settings!$D$15+Settings!$D$16+Settings!$D$17),2),""),"")</f>
        <v/>
      </c>
      <c r="W287" s="33">
        <f>IF(COUNT(J287:L287)=3,IFERROR(ROUND((J287*Settings!$D$15+K287*Settings!$D$16+L287*Settings!$D$17)/(Settings!$D$15+Settings!$D$16+Settings!$D$17),2),""),"")</f>
        <v/>
      </c>
      <c r="X287" s="33">
        <f>IF(COUNT(M287:O287)=3,IFERROR(ROUND((M287*Settings!$D$15+N287*Settings!$D$16+O287*Settings!$D$17)/(Settings!$D$15+Settings!$D$16+Settings!$D$17),2),""),"")</f>
        <v/>
      </c>
      <c r="Y287" s="33">
        <f>IF(COUNT(P287:R287)=3,IFERROR(ROUND((P287*Settings!$D$15+Q287*Settings!$D$16+R287*Settings!$D$17)/(Settings!$D$15+Settings!$D$16+Settings!$D$17),2),""),"")</f>
        <v/>
      </c>
      <c r="Z287" s="33">
        <f>IF(COUNT(S287:U287)=3,IFERROR(ROUND((S287*Settings!$D$15+T287*Settings!$D$16+U287*Settings!$D$17)/(Settings!$D$15+Settings!$D$16+Settings!$D$17),2),""),"")</f>
        <v/>
      </c>
      <c r="AA287" s="34">
        <f>IF(COUNT(V287:Z287)=0,"",ROUND(AVERAGE(V287:Z287),2))</f>
        <v/>
      </c>
      <c r="AB287" s="35">
        <f>IF($A287="","",COUNT(V287:Z287))</f>
        <v/>
      </c>
      <c r="AC287" s="36" t="n"/>
      <c r="AD287" s="35">
        <f>IF(AA287="","",SUMPRODUCT(ISNUMBER($AA$6:$AA$305)*($AA$6:$AA$305&gt;AA287))+SUMPRODUCT(($AA$6:AA287=AA287)*1))</f>
        <v/>
      </c>
      <c r="AE287" s="35">
        <f>IF(AA287="","",SUMPRODUCT(($E$6:$E$305=E287)*ISNUMBER($AA$6:$AA$305)*($AA$6:$AA$305&gt;AA287))+SUMPRODUCT(($E$6:E287=E287)*($AA$6:AA287=AA287)))</f>
        <v/>
      </c>
    </row>
    <row r="288">
      <c r="A288" s="31">
        <f>IF(Submissions!AD284="","",283)</f>
        <v/>
      </c>
      <c r="B288" s="10">
        <f>IF($A288="","",IF(Settings!$B$4="Yes","Submission "&amp;$A288,Submissions!AD284))</f>
        <v/>
      </c>
      <c r="C288" s="31">
        <f>IF($A288="","",IF(Settings!$B$4="Yes","(hidden)",Submissions!AE284))</f>
        <v/>
      </c>
      <c r="D288" s="31">
        <f>IF($A288="","",Submissions!AF284)</f>
        <v/>
      </c>
      <c r="E288" s="31">
        <f>IF($A288="","",Submissions!AG284)</f>
        <v/>
      </c>
      <c r="F288" s="31">
        <f>IF($A288="","",Submissions!AH284)</f>
        <v/>
      </c>
      <c r="G288" s="37" t="n"/>
      <c r="H288" s="37" t="n"/>
      <c r="I288" s="37" t="n"/>
      <c r="J288" s="37" t="n"/>
      <c r="K288" s="37" t="n"/>
      <c r="L288" s="37" t="n"/>
      <c r="M288" s="37" t="n"/>
      <c r="N288" s="37" t="n"/>
      <c r="O288" s="37" t="n"/>
      <c r="P288" s="37" t="n"/>
      <c r="Q288" s="37" t="n"/>
      <c r="R288" s="37" t="n"/>
      <c r="S288" s="37" t="n"/>
      <c r="T288" s="37" t="n"/>
      <c r="U288" s="37" t="n"/>
      <c r="V288" s="33">
        <f>IF(COUNT(G288:I288)=3,IFERROR(ROUND((G288*Settings!$D$15+H288*Settings!$D$16+I288*Settings!$D$17)/(Settings!$D$15+Settings!$D$16+Settings!$D$17),2),""),"")</f>
        <v/>
      </c>
      <c r="W288" s="33">
        <f>IF(COUNT(J288:L288)=3,IFERROR(ROUND((J288*Settings!$D$15+K288*Settings!$D$16+L288*Settings!$D$17)/(Settings!$D$15+Settings!$D$16+Settings!$D$17),2),""),"")</f>
        <v/>
      </c>
      <c r="X288" s="33">
        <f>IF(COUNT(M288:O288)=3,IFERROR(ROUND((M288*Settings!$D$15+N288*Settings!$D$16+O288*Settings!$D$17)/(Settings!$D$15+Settings!$D$16+Settings!$D$17),2),""),"")</f>
        <v/>
      </c>
      <c r="Y288" s="33">
        <f>IF(COUNT(P288:R288)=3,IFERROR(ROUND((P288*Settings!$D$15+Q288*Settings!$D$16+R288*Settings!$D$17)/(Settings!$D$15+Settings!$D$16+Settings!$D$17),2),""),"")</f>
        <v/>
      </c>
      <c r="Z288" s="33">
        <f>IF(COUNT(S288:U288)=3,IFERROR(ROUND((S288*Settings!$D$15+T288*Settings!$D$16+U288*Settings!$D$17)/(Settings!$D$15+Settings!$D$16+Settings!$D$17),2),""),"")</f>
        <v/>
      </c>
      <c r="AA288" s="34">
        <f>IF(COUNT(V288:Z288)=0,"",ROUND(AVERAGE(V288:Z288),2))</f>
        <v/>
      </c>
      <c r="AB288" s="35">
        <f>IF($A288="","",COUNT(V288:Z288))</f>
        <v/>
      </c>
      <c r="AC288" s="36" t="n"/>
      <c r="AD288" s="35">
        <f>IF(AA288="","",SUMPRODUCT(ISNUMBER($AA$6:$AA$305)*($AA$6:$AA$305&gt;AA288))+SUMPRODUCT(($AA$6:AA288=AA288)*1))</f>
        <v/>
      </c>
      <c r="AE288" s="35">
        <f>IF(AA288="","",SUMPRODUCT(($E$6:$E$305=E288)*ISNUMBER($AA$6:$AA$305)*($AA$6:$AA$305&gt;AA288))+SUMPRODUCT(($E$6:E288=E288)*($AA$6:AA288=AA288)))</f>
        <v/>
      </c>
    </row>
    <row r="289">
      <c r="A289" s="31">
        <f>IF(Submissions!AD285="","",284)</f>
        <v/>
      </c>
      <c r="B289" s="10">
        <f>IF($A289="","",IF(Settings!$B$4="Yes","Submission "&amp;$A289,Submissions!AD285))</f>
        <v/>
      </c>
      <c r="C289" s="31">
        <f>IF($A289="","",IF(Settings!$B$4="Yes","(hidden)",Submissions!AE285))</f>
        <v/>
      </c>
      <c r="D289" s="31">
        <f>IF($A289="","",Submissions!AF285)</f>
        <v/>
      </c>
      <c r="E289" s="31">
        <f>IF($A289="","",Submissions!AG285)</f>
        <v/>
      </c>
      <c r="F289" s="31">
        <f>IF($A289="","",Submissions!AH285)</f>
        <v/>
      </c>
      <c r="G289" s="37" t="n"/>
      <c r="H289" s="37" t="n"/>
      <c r="I289" s="37" t="n"/>
      <c r="J289" s="37" t="n"/>
      <c r="K289" s="37" t="n"/>
      <c r="L289" s="37" t="n"/>
      <c r="M289" s="37" t="n"/>
      <c r="N289" s="37" t="n"/>
      <c r="O289" s="37" t="n"/>
      <c r="P289" s="37" t="n"/>
      <c r="Q289" s="37" t="n"/>
      <c r="R289" s="37" t="n"/>
      <c r="S289" s="37" t="n"/>
      <c r="T289" s="37" t="n"/>
      <c r="U289" s="37" t="n"/>
      <c r="V289" s="33">
        <f>IF(COUNT(G289:I289)=3,IFERROR(ROUND((G289*Settings!$D$15+H289*Settings!$D$16+I289*Settings!$D$17)/(Settings!$D$15+Settings!$D$16+Settings!$D$17),2),""),"")</f>
        <v/>
      </c>
      <c r="W289" s="33">
        <f>IF(COUNT(J289:L289)=3,IFERROR(ROUND((J289*Settings!$D$15+K289*Settings!$D$16+L289*Settings!$D$17)/(Settings!$D$15+Settings!$D$16+Settings!$D$17),2),""),"")</f>
        <v/>
      </c>
      <c r="X289" s="33">
        <f>IF(COUNT(M289:O289)=3,IFERROR(ROUND((M289*Settings!$D$15+N289*Settings!$D$16+O289*Settings!$D$17)/(Settings!$D$15+Settings!$D$16+Settings!$D$17),2),""),"")</f>
        <v/>
      </c>
      <c r="Y289" s="33">
        <f>IF(COUNT(P289:R289)=3,IFERROR(ROUND((P289*Settings!$D$15+Q289*Settings!$D$16+R289*Settings!$D$17)/(Settings!$D$15+Settings!$D$16+Settings!$D$17),2),""),"")</f>
        <v/>
      </c>
      <c r="Z289" s="33">
        <f>IF(COUNT(S289:U289)=3,IFERROR(ROUND((S289*Settings!$D$15+T289*Settings!$D$16+U289*Settings!$D$17)/(Settings!$D$15+Settings!$D$16+Settings!$D$17),2),""),"")</f>
        <v/>
      </c>
      <c r="AA289" s="34">
        <f>IF(COUNT(V289:Z289)=0,"",ROUND(AVERAGE(V289:Z289),2))</f>
        <v/>
      </c>
      <c r="AB289" s="35">
        <f>IF($A289="","",COUNT(V289:Z289))</f>
        <v/>
      </c>
      <c r="AC289" s="36" t="n"/>
      <c r="AD289" s="35">
        <f>IF(AA289="","",SUMPRODUCT(ISNUMBER($AA$6:$AA$305)*($AA$6:$AA$305&gt;AA289))+SUMPRODUCT(($AA$6:AA289=AA289)*1))</f>
        <v/>
      </c>
      <c r="AE289" s="35">
        <f>IF(AA289="","",SUMPRODUCT(($E$6:$E$305=E289)*ISNUMBER($AA$6:$AA$305)*($AA$6:$AA$305&gt;AA289))+SUMPRODUCT(($E$6:E289=E289)*($AA$6:AA289=AA289)))</f>
        <v/>
      </c>
    </row>
    <row r="290">
      <c r="A290" s="31">
        <f>IF(Submissions!AD286="","",285)</f>
        <v/>
      </c>
      <c r="B290" s="10">
        <f>IF($A290="","",IF(Settings!$B$4="Yes","Submission "&amp;$A290,Submissions!AD286))</f>
        <v/>
      </c>
      <c r="C290" s="31">
        <f>IF($A290="","",IF(Settings!$B$4="Yes","(hidden)",Submissions!AE286))</f>
        <v/>
      </c>
      <c r="D290" s="31">
        <f>IF($A290="","",Submissions!AF286)</f>
        <v/>
      </c>
      <c r="E290" s="31">
        <f>IF($A290="","",Submissions!AG286)</f>
        <v/>
      </c>
      <c r="F290" s="31">
        <f>IF($A290="","",Submissions!AH286)</f>
        <v/>
      </c>
      <c r="G290" s="37" t="n"/>
      <c r="H290" s="37" t="n"/>
      <c r="I290" s="37" t="n"/>
      <c r="J290" s="37" t="n"/>
      <c r="K290" s="37" t="n"/>
      <c r="L290" s="37" t="n"/>
      <c r="M290" s="37" t="n"/>
      <c r="N290" s="37" t="n"/>
      <c r="O290" s="37" t="n"/>
      <c r="P290" s="37" t="n"/>
      <c r="Q290" s="37" t="n"/>
      <c r="R290" s="37" t="n"/>
      <c r="S290" s="37" t="n"/>
      <c r="T290" s="37" t="n"/>
      <c r="U290" s="37" t="n"/>
      <c r="V290" s="33">
        <f>IF(COUNT(G290:I290)=3,IFERROR(ROUND((G290*Settings!$D$15+H290*Settings!$D$16+I290*Settings!$D$17)/(Settings!$D$15+Settings!$D$16+Settings!$D$17),2),""),"")</f>
        <v/>
      </c>
      <c r="W290" s="33">
        <f>IF(COUNT(J290:L290)=3,IFERROR(ROUND((J290*Settings!$D$15+K290*Settings!$D$16+L290*Settings!$D$17)/(Settings!$D$15+Settings!$D$16+Settings!$D$17),2),""),"")</f>
        <v/>
      </c>
      <c r="X290" s="33">
        <f>IF(COUNT(M290:O290)=3,IFERROR(ROUND((M290*Settings!$D$15+N290*Settings!$D$16+O290*Settings!$D$17)/(Settings!$D$15+Settings!$D$16+Settings!$D$17),2),""),"")</f>
        <v/>
      </c>
      <c r="Y290" s="33">
        <f>IF(COUNT(P290:R290)=3,IFERROR(ROUND((P290*Settings!$D$15+Q290*Settings!$D$16+R290*Settings!$D$17)/(Settings!$D$15+Settings!$D$16+Settings!$D$17),2),""),"")</f>
        <v/>
      </c>
      <c r="Z290" s="33">
        <f>IF(COUNT(S290:U290)=3,IFERROR(ROUND((S290*Settings!$D$15+T290*Settings!$D$16+U290*Settings!$D$17)/(Settings!$D$15+Settings!$D$16+Settings!$D$17),2),""),"")</f>
        <v/>
      </c>
      <c r="AA290" s="34">
        <f>IF(COUNT(V290:Z290)=0,"",ROUND(AVERAGE(V290:Z290),2))</f>
        <v/>
      </c>
      <c r="AB290" s="35">
        <f>IF($A290="","",COUNT(V290:Z290))</f>
        <v/>
      </c>
      <c r="AC290" s="36" t="n"/>
      <c r="AD290" s="35">
        <f>IF(AA290="","",SUMPRODUCT(ISNUMBER($AA$6:$AA$305)*($AA$6:$AA$305&gt;AA290))+SUMPRODUCT(($AA$6:AA290=AA290)*1))</f>
        <v/>
      </c>
      <c r="AE290" s="35">
        <f>IF(AA290="","",SUMPRODUCT(($E$6:$E$305=E290)*ISNUMBER($AA$6:$AA$305)*($AA$6:$AA$305&gt;AA290))+SUMPRODUCT(($E$6:E290=E290)*($AA$6:AA290=AA290)))</f>
        <v/>
      </c>
    </row>
    <row r="291">
      <c r="A291" s="31">
        <f>IF(Submissions!AD287="","",286)</f>
        <v/>
      </c>
      <c r="B291" s="10">
        <f>IF($A291="","",IF(Settings!$B$4="Yes","Submission "&amp;$A291,Submissions!AD287))</f>
        <v/>
      </c>
      <c r="C291" s="31">
        <f>IF($A291="","",IF(Settings!$B$4="Yes","(hidden)",Submissions!AE287))</f>
        <v/>
      </c>
      <c r="D291" s="31">
        <f>IF($A291="","",Submissions!AF287)</f>
        <v/>
      </c>
      <c r="E291" s="31">
        <f>IF($A291="","",Submissions!AG287)</f>
        <v/>
      </c>
      <c r="F291" s="31">
        <f>IF($A291="","",Submissions!AH287)</f>
        <v/>
      </c>
      <c r="G291" s="37" t="n"/>
      <c r="H291" s="37" t="n"/>
      <c r="I291" s="37" t="n"/>
      <c r="J291" s="37" t="n"/>
      <c r="K291" s="37" t="n"/>
      <c r="L291" s="37" t="n"/>
      <c r="M291" s="37" t="n"/>
      <c r="N291" s="37" t="n"/>
      <c r="O291" s="37" t="n"/>
      <c r="P291" s="37" t="n"/>
      <c r="Q291" s="37" t="n"/>
      <c r="R291" s="37" t="n"/>
      <c r="S291" s="37" t="n"/>
      <c r="T291" s="37" t="n"/>
      <c r="U291" s="37" t="n"/>
      <c r="V291" s="33">
        <f>IF(COUNT(G291:I291)=3,IFERROR(ROUND((G291*Settings!$D$15+H291*Settings!$D$16+I291*Settings!$D$17)/(Settings!$D$15+Settings!$D$16+Settings!$D$17),2),""),"")</f>
        <v/>
      </c>
      <c r="W291" s="33">
        <f>IF(COUNT(J291:L291)=3,IFERROR(ROUND((J291*Settings!$D$15+K291*Settings!$D$16+L291*Settings!$D$17)/(Settings!$D$15+Settings!$D$16+Settings!$D$17),2),""),"")</f>
        <v/>
      </c>
      <c r="X291" s="33">
        <f>IF(COUNT(M291:O291)=3,IFERROR(ROUND((M291*Settings!$D$15+N291*Settings!$D$16+O291*Settings!$D$17)/(Settings!$D$15+Settings!$D$16+Settings!$D$17),2),""),"")</f>
        <v/>
      </c>
      <c r="Y291" s="33">
        <f>IF(COUNT(P291:R291)=3,IFERROR(ROUND((P291*Settings!$D$15+Q291*Settings!$D$16+R291*Settings!$D$17)/(Settings!$D$15+Settings!$D$16+Settings!$D$17),2),""),"")</f>
        <v/>
      </c>
      <c r="Z291" s="33">
        <f>IF(COUNT(S291:U291)=3,IFERROR(ROUND((S291*Settings!$D$15+T291*Settings!$D$16+U291*Settings!$D$17)/(Settings!$D$15+Settings!$D$16+Settings!$D$17),2),""),"")</f>
        <v/>
      </c>
      <c r="AA291" s="34">
        <f>IF(COUNT(V291:Z291)=0,"",ROUND(AVERAGE(V291:Z291),2))</f>
        <v/>
      </c>
      <c r="AB291" s="35">
        <f>IF($A291="","",COUNT(V291:Z291))</f>
        <v/>
      </c>
      <c r="AC291" s="36" t="n"/>
      <c r="AD291" s="35">
        <f>IF(AA291="","",SUMPRODUCT(ISNUMBER($AA$6:$AA$305)*($AA$6:$AA$305&gt;AA291))+SUMPRODUCT(($AA$6:AA291=AA291)*1))</f>
        <v/>
      </c>
      <c r="AE291" s="35">
        <f>IF(AA291="","",SUMPRODUCT(($E$6:$E$305=E291)*ISNUMBER($AA$6:$AA$305)*($AA$6:$AA$305&gt;AA291))+SUMPRODUCT(($E$6:E291=E291)*($AA$6:AA291=AA291)))</f>
        <v/>
      </c>
    </row>
    <row r="292">
      <c r="A292" s="31">
        <f>IF(Submissions!AD288="","",287)</f>
        <v/>
      </c>
      <c r="B292" s="10">
        <f>IF($A292="","",IF(Settings!$B$4="Yes","Submission "&amp;$A292,Submissions!AD288))</f>
        <v/>
      </c>
      <c r="C292" s="31">
        <f>IF($A292="","",IF(Settings!$B$4="Yes","(hidden)",Submissions!AE288))</f>
        <v/>
      </c>
      <c r="D292" s="31">
        <f>IF($A292="","",Submissions!AF288)</f>
        <v/>
      </c>
      <c r="E292" s="31">
        <f>IF($A292="","",Submissions!AG288)</f>
        <v/>
      </c>
      <c r="F292" s="31">
        <f>IF($A292="","",Submissions!AH288)</f>
        <v/>
      </c>
      <c r="G292" s="37" t="n"/>
      <c r="H292" s="37" t="n"/>
      <c r="I292" s="37" t="n"/>
      <c r="J292" s="37" t="n"/>
      <c r="K292" s="37" t="n"/>
      <c r="L292" s="37" t="n"/>
      <c r="M292" s="37" t="n"/>
      <c r="N292" s="37" t="n"/>
      <c r="O292" s="37" t="n"/>
      <c r="P292" s="37" t="n"/>
      <c r="Q292" s="37" t="n"/>
      <c r="R292" s="37" t="n"/>
      <c r="S292" s="37" t="n"/>
      <c r="T292" s="37" t="n"/>
      <c r="U292" s="37" t="n"/>
      <c r="V292" s="33">
        <f>IF(COUNT(G292:I292)=3,IFERROR(ROUND((G292*Settings!$D$15+H292*Settings!$D$16+I292*Settings!$D$17)/(Settings!$D$15+Settings!$D$16+Settings!$D$17),2),""),"")</f>
        <v/>
      </c>
      <c r="W292" s="33">
        <f>IF(COUNT(J292:L292)=3,IFERROR(ROUND((J292*Settings!$D$15+K292*Settings!$D$16+L292*Settings!$D$17)/(Settings!$D$15+Settings!$D$16+Settings!$D$17),2),""),"")</f>
        <v/>
      </c>
      <c r="X292" s="33">
        <f>IF(COUNT(M292:O292)=3,IFERROR(ROUND((M292*Settings!$D$15+N292*Settings!$D$16+O292*Settings!$D$17)/(Settings!$D$15+Settings!$D$16+Settings!$D$17),2),""),"")</f>
        <v/>
      </c>
      <c r="Y292" s="33">
        <f>IF(COUNT(P292:R292)=3,IFERROR(ROUND((P292*Settings!$D$15+Q292*Settings!$D$16+R292*Settings!$D$17)/(Settings!$D$15+Settings!$D$16+Settings!$D$17),2),""),"")</f>
        <v/>
      </c>
      <c r="Z292" s="33">
        <f>IF(COUNT(S292:U292)=3,IFERROR(ROUND((S292*Settings!$D$15+T292*Settings!$D$16+U292*Settings!$D$17)/(Settings!$D$15+Settings!$D$16+Settings!$D$17),2),""),"")</f>
        <v/>
      </c>
      <c r="AA292" s="34">
        <f>IF(COUNT(V292:Z292)=0,"",ROUND(AVERAGE(V292:Z292),2))</f>
        <v/>
      </c>
      <c r="AB292" s="35">
        <f>IF($A292="","",COUNT(V292:Z292))</f>
        <v/>
      </c>
      <c r="AC292" s="36" t="n"/>
      <c r="AD292" s="35">
        <f>IF(AA292="","",SUMPRODUCT(ISNUMBER($AA$6:$AA$305)*($AA$6:$AA$305&gt;AA292))+SUMPRODUCT(($AA$6:AA292=AA292)*1))</f>
        <v/>
      </c>
      <c r="AE292" s="35">
        <f>IF(AA292="","",SUMPRODUCT(($E$6:$E$305=E292)*ISNUMBER($AA$6:$AA$305)*($AA$6:$AA$305&gt;AA292))+SUMPRODUCT(($E$6:E292=E292)*($AA$6:AA292=AA292)))</f>
        <v/>
      </c>
    </row>
    <row r="293">
      <c r="A293" s="31">
        <f>IF(Submissions!AD289="","",288)</f>
        <v/>
      </c>
      <c r="B293" s="10">
        <f>IF($A293="","",IF(Settings!$B$4="Yes","Submission "&amp;$A293,Submissions!AD289))</f>
        <v/>
      </c>
      <c r="C293" s="31">
        <f>IF($A293="","",IF(Settings!$B$4="Yes","(hidden)",Submissions!AE289))</f>
        <v/>
      </c>
      <c r="D293" s="31">
        <f>IF($A293="","",Submissions!AF289)</f>
        <v/>
      </c>
      <c r="E293" s="31">
        <f>IF($A293="","",Submissions!AG289)</f>
        <v/>
      </c>
      <c r="F293" s="31">
        <f>IF($A293="","",Submissions!AH289)</f>
        <v/>
      </c>
      <c r="G293" s="37" t="n"/>
      <c r="H293" s="37" t="n"/>
      <c r="I293" s="37" t="n"/>
      <c r="J293" s="37" t="n"/>
      <c r="K293" s="37" t="n"/>
      <c r="L293" s="37" t="n"/>
      <c r="M293" s="37" t="n"/>
      <c r="N293" s="37" t="n"/>
      <c r="O293" s="37" t="n"/>
      <c r="P293" s="37" t="n"/>
      <c r="Q293" s="37" t="n"/>
      <c r="R293" s="37" t="n"/>
      <c r="S293" s="37" t="n"/>
      <c r="T293" s="37" t="n"/>
      <c r="U293" s="37" t="n"/>
      <c r="V293" s="33">
        <f>IF(COUNT(G293:I293)=3,IFERROR(ROUND((G293*Settings!$D$15+H293*Settings!$D$16+I293*Settings!$D$17)/(Settings!$D$15+Settings!$D$16+Settings!$D$17),2),""),"")</f>
        <v/>
      </c>
      <c r="W293" s="33">
        <f>IF(COUNT(J293:L293)=3,IFERROR(ROUND((J293*Settings!$D$15+K293*Settings!$D$16+L293*Settings!$D$17)/(Settings!$D$15+Settings!$D$16+Settings!$D$17),2),""),"")</f>
        <v/>
      </c>
      <c r="X293" s="33">
        <f>IF(COUNT(M293:O293)=3,IFERROR(ROUND((M293*Settings!$D$15+N293*Settings!$D$16+O293*Settings!$D$17)/(Settings!$D$15+Settings!$D$16+Settings!$D$17),2),""),"")</f>
        <v/>
      </c>
      <c r="Y293" s="33">
        <f>IF(COUNT(P293:R293)=3,IFERROR(ROUND((P293*Settings!$D$15+Q293*Settings!$D$16+R293*Settings!$D$17)/(Settings!$D$15+Settings!$D$16+Settings!$D$17),2),""),"")</f>
        <v/>
      </c>
      <c r="Z293" s="33">
        <f>IF(COUNT(S293:U293)=3,IFERROR(ROUND((S293*Settings!$D$15+T293*Settings!$D$16+U293*Settings!$D$17)/(Settings!$D$15+Settings!$D$16+Settings!$D$17),2),""),"")</f>
        <v/>
      </c>
      <c r="AA293" s="34">
        <f>IF(COUNT(V293:Z293)=0,"",ROUND(AVERAGE(V293:Z293),2))</f>
        <v/>
      </c>
      <c r="AB293" s="35">
        <f>IF($A293="","",COUNT(V293:Z293))</f>
        <v/>
      </c>
      <c r="AC293" s="36" t="n"/>
      <c r="AD293" s="35">
        <f>IF(AA293="","",SUMPRODUCT(ISNUMBER($AA$6:$AA$305)*($AA$6:$AA$305&gt;AA293))+SUMPRODUCT(($AA$6:AA293=AA293)*1))</f>
        <v/>
      </c>
      <c r="AE293" s="35">
        <f>IF(AA293="","",SUMPRODUCT(($E$6:$E$305=E293)*ISNUMBER($AA$6:$AA$305)*($AA$6:$AA$305&gt;AA293))+SUMPRODUCT(($E$6:E293=E293)*($AA$6:AA293=AA293)))</f>
        <v/>
      </c>
    </row>
    <row r="294">
      <c r="A294" s="31">
        <f>IF(Submissions!AD290="","",289)</f>
        <v/>
      </c>
      <c r="B294" s="10">
        <f>IF($A294="","",IF(Settings!$B$4="Yes","Submission "&amp;$A294,Submissions!AD290))</f>
        <v/>
      </c>
      <c r="C294" s="31">
        <f>IF($A294="","",IF(Settings!$B$4="Yes","(hidden)",Submissions!AE290))</f>
        <v/>
      </c>
      <c r="D294" s="31">
        <f>IF($A294="","",Submissions!AF290)</f>
        <v/>
      </c>
      <c r="E294" s="31">
        <f>IF($A294="","",Submissions!AG290)</f>
        <v/>
      </c>
      <c r="F294" s="31">
        <f>IF($A294="","",Submissions!AH290)</f>
        <v/>
      </c>
      <c r="G294" s="37" t="n"/>
      <c r="H294" s="37" t="n"/>
      <c r="I294" s="37" t="n"/>
      <c r="J294" s="37" t="n"/>
      <c r="K294" s="37" t="n"/>
      <c r="L294" s="37" t="n"/>
      <c r="M294" s="37" t="n"/>
      <c r="N294" s="37" t="n"/>
      <c r="O294" s="37" t="n"/>
      <c r="P294" s="37" t="n"/>
      <c r="Q294" s="37" t="n"/>
      <c r="R294" s="37" t="n"/>
      <c r="S294" s="37" t="n"/>
      <c r="T294" s="37" t="n"/>
      <c r="U294" s="37" t="n"/>
      <c r="V294" s="33">
        <f>IF(COUNT(G294:I294)=3,IFERROR(ROUND((G294*Settings!$D$15+H294*Settings!$D$16+I294*Settings!$D$17)/(Settings!$D$15+Settings!$D$16+Settings!$D$17),2),""),"")</f>
        <v/>
      </c>
      <c r="W294" s="33">
        <f>IF(COUNT(J294:L294)=3,IFERROR(ROUND((J294*Settings!$D$15+K294*Settings!$D$16+L294*Settings!$D$17)/(Settings!$D$15+Settings!$D$16+Settings!$D$17),2),""),"")</f>
        <v/>
      </c>
      <c r="X294" s="33">
        <f>IF(COUNT(M294:O294)=3,IFERROR(ROUND((M294*Settings!$D$15+N294*Settings!$D$16+O294*Settings!$D$17)/(Settings!$D$15+Settings!$D$16+Settings!$D$17),2),""),"")</f>
        <v/>
      </c>
      <c r="Y294" s="33">
        <f>IF(COUNT(P294:R294)=3,IFERROR(ROUND((P294*Settings!$D$15+Q294*Settings!$D$16+R294*Settings!$D$17)/(Settings!$D$15+Settings!$D$16+Settings!$D$17),2),""),"")</f>
        <v/>
      </c>
      <c r="Z294" s="33">
        <f>IF(COUNT(S294:U294)=3,IFERROR(ROUND((S294*Settings!$D$15+T294*Settings!$D$16+U294*Settings!$D$17)/(Settings!$D$15+Settings!$D$16+Settings!$D$17),2),""),"")</f>
        <v/>
      </c>
      <c r="AA294" s="34">
        <f>IF(COUNT(V294:Z294)=0,"",ROUND(AVERAGE(V294:Z294),2))</f>
        <v/>
      </c>
      <c r="AB294" s="35">
        <f>IF($A294="","",COUNT(V294:Z294))</f>
        <v/>
      </c>
      <c r="AC294" s="36" t="n"/>
      <c r="AD294" s="35">
        <f>IF(AA294="","",SUMPRODUCT(ISNUMBER($AA$6:$AA$305)*($AA$6:$AA$305&gt;AA294))+SUMPRODUCT(($AA$6:AA294=AA294)*1))</f>
        <v/>
      </c>
      <c r="AE294" s="35">
        <f>IF(AA294="","",SUMPRODUCT(($E$6:$E$305=E294)*ISNUMBER($AA$6:$AA$305)*($AA$6:$AA$305&gt;AA294))+SUMPRODUCT(($E$6:E294=E294)*($AA$6:AA294=AA294)))</f>
        <v/>
      </c>
    </row>
    <row r="295">
      <c r="A295" s="31">
        <f>IF(Submissions!AD291="","",290)</f>
        <v/>
      </c>
      <c r="B295" s="10">
        <f>IF($A295="","",IF(Settings!$B$4="Yes","Submission "&amp;$A295,Submissions!AD291))</f>
        <v/>
      </c>
      <c r="C295" s="31">
        <f>IF($A295="","",IF(Settings!$B$4="Yes","(hidden)",Submissions!AE291))</f>
        <v/>
      </c>
      <c r="D295" s="31">
        <f>IF($A295="","",Submissions!AF291)</f>
        <v/>
      </c>
      <c r="E295" s="31">
        <f>IF($A295="","",Submissions!AG291)</f>
        <v/>
      </c>
      <c r="F295" s="31">
        <f>IF($A295="","",Submissions!AH291)</f>
        <v/>
      </c>
      <c r="G295" s="37" t="n"/>
      <c r="H295" s="37" t="n"/>
      <c r="I295" s="37" t="n"/>
      <c r="J295" s="37" t="n"/>
      <c r="K295" s="37" t="n"/>
      <c r="L295" s="37" t="n"/>
      <c r="M295" s="37" t="n"/>
      <c r="N295" s="37" t="n"/>
      <c r="O295" s="37" t="n"/>
      <c r="P295" s="37" t="n"/>
      <c r="Q295" s="37" t="n"/>
      <c r="R295" s="37" t="n"/>
      <c r="S295" s="37" t="n"/>
      <c r="T295" s="37" t="n"/>
      <c r="U295" s="37" t="n"/>
      <c r="V295" s="33">
        <f>IF(COUNT(G295:I295)=3,IFERROR(ROUND((G295*Settings!$D$15+H295*Settings!$D$16+I295*Settings!$D$17)/(Settings!$D$15+Settings!$D$16+Settings!$D$17),2),""),"")</f>
        <v/>
      </c>
      <c r="W295" s="33">
        <f>IF(COUNT(J295:L295)=3,IFERROR(ROUND((J295*Settings!$D$15+K295*Settings!$D$16+L295*Settings!$D$17)/(Settings!$D$15+Settings!$D$16+Settings!$D$17),2),""),"")</f>
        <v/>
      </c>
      <c r="X295" s="33">
        <f>IF(COUNT(M295:O295)=3,IFERROR(ROUND((M295*Settings!$D$15+N295*Settings!$D$16+O295*Settings!$D$17)/(Settings!$D$15+Settings!$D$16+Settings!$D$17),2),""),"")</f>
        <v/>
      </c>
      <c r="Y295" s="33">
        <f>IF(COUNT(P295:R295)=3,IFERROR(ROUND((P295*Settings!$D$15+Q295*Settings!$D$16+R295*Settings!$D$17)/(Settings!$D$15+Settings!$D$16+Settings!$D$17),2),""),"")</f>
        <v/>
      </c>
      <c r="Z295" s="33">
        <f>IF(COUNT(S295:U295)=3,IFERROR(ROUND((S295*Settings!$D$15+T295*Settings!$D$16+U295*Settings!$D$17)/(Settings!$D$15+Settings!$D$16+Settings!$D$17),2),""),"")</f>
        <v/>
      </c>
      <c r="AA295" s="34">
        <f>IF(COUNT(V295:Z295)=0,"",ROUND(AVERAGE(V295:Z295),2))</f>
        <v/>
      </c>
      <c r="AB295" s="35">
        <f>IF($A295="","",COUNT(V295:Z295))</f>
        <v/>
      </c>
      <c r="AC295" s="36" t="n"/>
      <c r="AD295" s="35">
        <f>IF(AA295="","",SUMPRODUCT(ISNUMBER($AA$6:$AA$305)*($AA$6:$AA$305&gt;AA295))+SUMPRODUCT(($AA$6:AA295=AA295)*1))</f>
        <v/>
      </c>
      <c r="AE295" s="35">
        <f>IF(AA295="","",SUMPRODUCT(($E$6:$E$305=E295)*ISNUMBER($AA$6:$AA$305)*($AA$6:$AA$305&gt;AA295))+SUMPRODUCT(($E$6:E295=E295)*($AA$6:AA295=AA295)))</f>
        <v/>
      </c>
    </row>
    <row r="296">
      <c r="A296" s="31">
        <f>IF(Submissions!AD292="","",291)</f>
        <v/>
      </c>
      <c r="B296" s="10">
        <f>IF($A296="","",IF(Settings!$B$4="Yes","Submission "&amp;$A296,Submissions!AD292))</f>
        <v/>
      </c>
      <c r="C296" s="31">
        <f>IF($A296="","",IF(Settings!$B$4="Yes","(hidden)",Submissions!AE292))</f>
        <v/>
      </c>
      <c r="D296" s="31">
        <f>IF($A296="","",Submissions!AF292)</f>
        <v/>
      </c>
      <c r="E296" s="31">
        <f>IF($A296="","",Submissions!AG292)</f>
        <v/>
      </c>
      <c r="F296" s="31">
        <f>IF($A296="","",Submissions!AH292)</f>
        <v/>
      </c>
      <c r="G296" s="37" t="n"/>
      <c r="H296" s="37" t="n"/>
      <c r="I296" s="37" t="n"/>
      <c r="J296" s="37" t="n"/>
      <c r="K296" s="37" t="n"/>
      <c r="L296" s="37" t="n"/>
      <c r="M296" s="37" t="n"/>
      <c r="N296" s="37" t="n"/>
      <c r="O296" s="37" t="n"/>
      <c r="P296" s="37" t="n"/>
      <c r="Q296" s="37" t="n"/>
      <c r="R296" s="37" t="n"/>
      <c r="S296" s="37" t="n"/>
      <c r="T296" s="37" t="n"/>
      <c r="U296" s="37" t="n"/>
      <c r="V296" s="33">
        <f>IF(COUNT(G296:I296)=3,IFERROR(ROUND((G296*Settings!$D$15+H296*Settings!$D$16+I296*Settings!$D$17)/(Settings!$D$15+Settings!$D$16+Settings!$D$17),2),""),"")</f>
        <v/>
      </c>
      <c r="W296" s="33">
        <f>IF(COUNT(J296:L296)=3,IFERROR(ROUND((J296*Settings!$D$15+K296*Settings!$D$16+L296*Settings!$D$17)/(Settings!$D$15+Settings!$D$16+Settings!$D$17),2),""),"")</f>
        <v/>
      </c>
      <c r="X296" s="33">
        <f>IF(COUNT(M296:O296)=3,IFERROR(ROUND((M296*Settings!$D$15+N296*Settings!$D$16+O296*Settings!$D$17)/(Settings!$D$15+Settings!$D$16+Settings!$D$17),2),""),"")</f>
        <v/>
      </c>
      <c r="Y296" s="33">
        <f>IF(COUNT(P296:R296)=3,IFERROR(ROUND((P296*Settings!$D$15+Q296*Settings!$D$16+R296*Settings!$D$17)/(Settings!$D$15+Settings!$D$16+Settings!$D$17),2),""),"")</f>
        <v/>
      </c>
      <c r="Z296" s="33">
        <f>IF(COUNT(S296:U296)=3,IFERROR(ROUND((S296*Settings!$D$15+T296*Settings!$D$16+U296*Settings!$D$17)/(Settings!$D$15+Settings!$D$16+Settings!$D$17),2),""),"")</f>
        <v/>
      </c>
      <c r="AA296" s="34">
        <f>IF(COUNT(V296:Z296)=0,"",ROUND(AVERAGE(V296:Z296),2))</f>
        <v/>
      </c>
      <c r="AB296" s="35">
        <f>IF($A296="","",COUNT(V296:Z296))</f>
        <v/>
      </c>
      <c r="AC296" s="36" t="n"/>
      <c r="AD296" s="35">
        <f>IF(AA296="","",SUMPRODUCT(ISNUMBER($AA$6:$AA$305)*($AA$6:$AA$305&gt;AA296))+SUMPRODUCT(($AA$6:AA296=AA296)*1))</f>
        <v/>
      </c>
      <c r="AE296" s="35">
        <f>IF(AA296="","",SUMPRODUCT(($E$6:$E$305=E296)*ISNUMBER($AA$6:$AA$305)*($AA$6:$AA$305&gt;AA296))+SUMPRODUCT(($E$6:E296=E296)*($AA$6:AA296=AA296)))</f>
        <v/>
      </c>
    </row>
    <row r="297">
      <c r="A297" s="31">
        <f>IF(Submissions!AD293="","",292)</f>
        <v/>
      </c>
      <c r="B297" s="10">
        <f>IF($A297="","",IF(Settings!$B$4="Yes","Submission "&amp;$A297,Submissions!AD293))</f>
        <v/>
      </c>
      <c r="C297" s="31">
        <f>IF($A297="","",IF(Settings!$B$4="Yes","(hidden)",Submissions!AE293))</f>
        <v/>
      </c>
      <c r="D297" s="31">
        <f>IF($A297="","",Submissions!AF293)</f>
        <v/>
      </c>
      <c r="E297" s="31">
        <f>IF($A297="","",Submissions!AG293)</f>
        <v/>
      </c>
      <c r="F297" s="31">
        <f>IF($A297="","",Submissions!AH293)</f>
        <v/>
      </c>
      <c r="G297" s="37" t="n"/>
      <c r="H297" s="37" t="n"/>
      <c r="I297" s="37" t="n"/>
      <c r="J297" s="37" t="n"/>
      <c r="K297" s="37" t="n"/>
      <c r="L297" s="37" t="n"/>
      <c r="M297" s="37" t="n"/>
      <c r="N297" s="37" t="n"/>
      <c r="O297" s="37" t="n"/>
      <c r="P297" s="37" t="n"/>
      <c r="Q297" s="37" t="n"/>
      <c r="R297" s="37" t="n"/>
      <c r="S297" s="37" t="n"/>
      <c r="T297" s="37" t="n"/>
      <c r="U297" s="37" t="n"/>
      <c r="V297" s="33">
        <f>IF(COUNT(G297:I297)=3,IFERROR(ROUND((G297*Settings!$D$15+H297*Settings!$D$16+I297*Settings!$D$17)/(Settings!$D$15+Settings!$D$16+Settings!$D$17),2),""),"")</f>
        <v/>
      </c>
      <c r="W297" s="33">
        <f>IF(COUNT(J297:L297)=3,IFERROR(ROUND((J297*Settings!$D$15+K297*Settings!$D$16+L297*Settings!$D$17)/(Settings!$D$15+Settings!$D$16+Settings!$D$17),2),""),"")</f>
        <v/>
      </c>
      <c r="X297" s="33">
        <f>IF(COUNT(M297:O297)=3,IFERROR(ROUND((M297*Settings!$D$15+N297*Settings!$D$16+O297*Settings!$D$17)/(Settings!$D$15+Settings!$D$16+Settings!$D$17),2),""),"")</f>
        <v/>
      </c>
      <c r="Y297" s="33">
        <f>IF(COUNT(P297:R297)=3,IFERROR(ROUND((P297*Settings!$D$15+Q297*Settings!$D$16+R297*Settings!$D$17)/(Settings!$D$15+Settings!$D$16+Settings!$D$17),2),""),"")</f>
        <v/>
      </c>
      <c r="Z297" s="33">
        <f>IF(COUNT(S297:U297)=3,IFERROR(ROUND((S297*Settings!$D$15+T297*Settings!$D$16+U297*Settings!$D$17)/(Settings!$D$15+Settings!$D$16+Settings!$D$17),2),""),"")</f>
        <v/>
      </c>
      <c r="AA297" s="34">
        <f>IF(COUNT(V297:Z297)=0,"",ROUND(AVERAGE(V297:Z297),2))</f>
        <v/>
      </c>
      <c r="AB297" s="35">
        <f>IF($A297="","",COUNT(V297:Z297))</f>
        <v/>
      </c>
      <c r="AC297" s="36" t="n"/>
      <c r="AD297" s="35">
        <f>IF(AA297="","",SUMPRODUCT(ISNUMBER($AA$6:$AA$305)*($AA$6:$AA$305&gt;AA297))+SUMPRODUCT(($AA$6:AA297=AA297)*1))</f>
        <v/>
      </c>
      <c r="AE297" s="35">
        <f>IF(AA297="","",SUMPRODUCT(($E$6:$E$305=E297)*ISNUMBER($AA$6:$AA$305)*($AA$6:$AA$305&gt;AA297))+SUMPRODUCT(($E$6:E297=E297)*($AA$6:AA297=AA297)))</f>
        <v/>
      </c>
    </row>
    <row r="298">
      <c r="A298" s="31">
        <f>IF(Submissions!AD294="","",293)</f>
        <v/>
      </c>
      <c r="B298" s="10">
        <f>IF($A298="","",IF(Settings!$B$4="Yes","Submission "&amp;$A298,Submissions!AD294))</f>
        <v/>
      </c>
      <c r="C298" s="31">
        <f>IF($A298="","",IF(Settings!$B$4="Yes","(hidden)",Submissions!AE294))</f>
        <v/>
      </c>
      <c r="D298" s="31">
        <f>IF($A298="","",Submissions!AF294)</f>
        <v/>
      </c>
      <c r="E298" s="31">
        <f>IF($A298="","",Submissions!AG294)</f>
        <v/>
      </c>
      <c r="F298" s="31">
        <f>IF($A298="","",Submissions!AH294)</f>
        <v/>
      </c>
      <c r="G298" s="37" t="n"/>
      <c r="H298" s="37" t="n"/>
      <c r="I298" s="37" t="n"/>
      <c r="J298" s="37" t="n"/>
      <c r="K298" s="37" t="n"/>
      <c r="L298" s="37" t="n"/>
      <c r="M298" s="37" t="n"/>
      <c r="N298" s="37" t="n"/>
      <c r="O298" s="37" t="n"/>
      <c r="P298" s="37" t="n"/>
      <c r="Q298" s="37" t="n"/>
      <c r="R298" s="37" t="n"/>
      <c r="S298" s="37" t="n"/>
      <c r="T298" s="37" t="n"/>
      <c r="U298" s="37" t="n"/>
      <c r="V298" s="33">
        <f>IF(COUNT(G298:I298)=3,IFERROR(ROUND((G298*Settings!$D$15+H298*Settings!$D$16+I298*Settings!$D$17)/(Settings!$D$15+Settings!$D$16+Settings!$D$17),2),""),"")</f>
        <v/>
      </c>
      <c r="W298" s="33">
        <f>IF(COUNT(J298:L298)=3,IFERROR(ROUND((J298*Settings!$D$15+K298*Settings!$D$16+L298*Settings!$D$17)/(Settings!$D$15+Settings!$D$16+Settings!$D$17),2),""),"")</f>
        <v/>
      </c>
      <c r="X298" s="33">
        <f>IF(COUNT(M298:O298)=3,IFERROR(ROUND((M298*Settings!$D$15+N298*Settings!$D$16+O298*Settings!$D$17)/(Settings!$D$15+Settings!$D$16+Settings!$D$17),2),""),"")</f>
        <v/>
      </c>
      <c r="Y298" s="33">
        <f>IF(COUNT(P298:R298)=3,IFERROR(ROUND((P298*Settings!$D$15+Q298*Settings!$D$16+R298*Settings!$D$17)/(Settings!$D$15+Settings!$D$16+Settings!$D$17),2),""),"")</f>
        <v/>
      </c>
      <c r="Z298" s="33">
        <f>IF(COUNT(S298:U298)=3,IFERROR(ROUND((S298*Settings!$D$15+T298*Settings!$D$16+U298*Settings!$D$17)/(Settings!$D$15+Settings!$D$16+Settings!$D$17),2),""),"")</f>
        <v/>
      </c>
      <c r="AA298" s="34">
        <f>IF(COUNT(V298:Z298)=0,"",ROUND(AVERAGE(V298:Z298),2))</f>
        <v/>
      </c>
      <c r="AB298" s="35">
        <f>IF($A298="","",COUNT(V298:Z298))</f>
        <v/>
      </c>
      <c r="AC298" s="36" t="n"/>
      <c r="AD298" s="35">
        <f>IF(AA298="","",SUMPRODUCT(ISNUMBER($AA$6:$AA$305)*($AA$6:$AA$305&gt;AA298))+SUMPRODUCT(($AA$6:AA298=AA298)*1))</f>
        <v/>
      </c>
      <c r="AE298" s="35">
        <f>IF(AA298="","",SUMPRODUCT(($E$6:$E$305=E298)*ISNUMBER($AA$6:$AA$305)*($AA$6:$AA$305&gt;AA298))+SUMPRODUCT(($E$6:E298=E298)*($AA$6:AA298=AA298)))</f>
        <v/>
      </c>
    </row>
    <row r="299">
      <c r="A299" s="31">
        <f>IF(Submissions!AD295="","",294)</f>
        <v/>
      </c>
      <c r="B299" s="10">
        <f>IF($A299="","",IF(Settings!$B$4="Yes","Submission "&amp;$A299,Submissions!AD295))</f>
        <v/>
      </c>
      <c r="C299" s="31">
        <f>IF($A299="","",IF(Settings!$B$4="Yes","(hidden)",Submissions!AE295))</f>
        <v/>
      </c>
      <c r="D299" s="31">
        <f>IF($A299="","",Submissions!AF295)</f>
        <v/>
      </c>
      <c r="E299" s="31">
        <f>IF($A299="","",Submissions!AG295)</f>
        <v/>
      </c>
      <c r="F299" s="31">
        <f>IF($A299="","",Submissions!AH295)</f>
        <v/>
      </c>
      <c r="G299" s="37" t="n"/>
      <c r="H299" s="37" t="n"/>
      <c r="I299" s="37" t="n"/>
      <c r="J299" s="37" t="n"/>
      <c r="K299" s="37" t="n"/>
      <c r="L299" s="37" t="n"/>
      <c r="M299" s="37" t="n"/>
      <c r="N299" s="37" t="n"/>
      <c r="O299" s="37" t="n"/>
      <c r="P299" s="37" t="n"/>
      <c r="Q299" s="37" t="n"/>
      <c r="R299" s="37" t="n"/>
      <c r="S299" s="37" t="n"/>
      <c r="T299" s="37" t="n"/>
      <c r="U299" s="37" t="n"/>
      <c r="V299" s="33">
        <f>IF(COUNT(G299:I299)=3,IFERROR(ROUND((G299*Settings!$D$15+H299*Settings!$D$16+I299*Settings!$D$17)/(Settings!$D$15+Settings!$D$16+Settings!$D$17),2),""),"")</f>
        <v/>
      </c>
      <c r="W299" s="33">
        <f>IF(COUNT(J299:L299)=3,IFERROR(ROUND((J299*Settings!$D$15+K299*Settings!$D$16+L299*Settings!$D$17)/(Settings!$D$15+Settings!$D$16+Settings!$D$17),2),""),"")</f>
        <v/>
      </c>
      <c r="X299" s="33">
        <f>IF(COUNT(M299:O299)=3,IFERROR(ROUND((M299*Settings!$D$15+N299*Settings!$D$16+O299*Settings!$D$17)/(Settings!$D$15+Settings!$D$16+Settings!$D$17),2),""),"")</f>
        <v/>
      </c>
      <c r="Y299" s="33">
        <f>IF(COUNT(P299:R299)=3,IFERROR(ROUND((P299*Settings!$D$15+Q299*Settings!$D$16+R299*Settings!$D$17)/(Settings!$D$15+Settings!$D$16+Settings!$D$17),2),""),"")</f>
        <v/>
      </c>
      <c r="Z299" s="33">
        <f>IF(COUNT(S299:U299)=3,IFERROR(ROUND((S299*Settings!$D$15+T299*Settings!$D$16+U299*Settings!$D$17)/(Settings!$D$15+Settings!$D$16+Settings!$D$17),2),""),"")</f>
        <v/>
      </c>
      <c r="AA299" s="34">
        <f>IF(COUNT(V299:Z299)=0,"",ROUND(AVERAGE(V299:Z299),2))</f>
        <v/>
      </c>
      <c r="AB299" s="35">
        <f>IF($A299="","",COUNT(V299:Z299))</f>
        <v/>
      </c>
      <c r="AC299" s="36" t="n"/>
      <c r="AD299" s="35">
        <f>IF(AA299="","",SUMPRODUCT(ISNUMBER($AA$6:$AA$305)*($AA$6:$AA$305&gt;AA299))+SUMPRODUCT(($AA$6:AA299=AA299)*1))</f>
        <v/>
      </c>
      <c r="AE299" s="35">
        <f>IF(AA299="","",SUMPRODUCT(($E$6:$E$305=E299)*ISNUMBER($AA$6:$AA$305)*($AA$6:$AA$305&gt;AA299))+SUMPRODUCT(($E$6:E299=E299)*($AA$6:AA299=AA299)))</f>
        <v/>
      </c>
    </row>
    <row r="300">
      <c r="A300" s="31">
        <f>IF(Submissions!AD296="","",295)</f>
        <v/>
      </c>
      <c r="B300" s="10">
        <f>IF($A300="","",IF(Settings!$B$4="Yes","Submission "&amp;$A300,Submissions!AD296))</f>
        <v/>
      </c>
      <c r="C300" s="31">
        <f>IF($A300="","",IF(Settings!$B$4="Yes","(hidden)",Submissions!AE296))</f>
        <v/>
      </c>
      <c r="D300" s="31">
        <f>IF($A300="","",Submissions!AF296)</f>
        <v/>
      </c>
      <c r="E300" s="31">
        <f>IF($A300="","",Submissions!AG296)</f>
        <v/>
      </c>
      <c r="F300" s="31">
        <f>IF($A300="","",Submissions!AH296)</f>
        <v/>
      </c>
      <c r="G300" s="37" t="n"/>
      <c r="H300" s="37" t="n"/>
      <c r="I300" s="37" t="n"/>
      <c r="J300" s="37" t="n"/>
      <c r="K300" s="37" t="n"/>
      <c r="L300" s="37" t="n"/>
      <c r="M300" s="37" t="n"/>
      <c r="N300" s="37" t="n"/>
      <c r="O300" s="37" t="n"/>
      <c r="P300" s="37" t="n"/>
      <c r="Q300" s="37" t="n"/>
      <c r="R300" s="37" t="n"/>
      <c r="S300" s="37" t="n"/>
      <c r="T300" s="37" t="n"/>
      <c r="U300" s="37" t="n"/>
      <c r="V300" s="33">
        <f>IF(COUNT(G300:I300)=3,IFERROR(ROUND((G300*Settings!$D$15+H300*Settings!$D$16+I300*Settings!$D$17)/(Settings!$D$15+Settings!$D$16+Settings!$D$17),2),""),"")</f>
        <v/>
      </c>
      <c r="W300" s="33">
        <f>IF(COUNT(J300:L300)=3,IFERROR(ROUND((J300*Settings!$D$15+K300*Settings!$D$16+L300*Settings!$D$17)/(Settings!$D$15+Settings!$D$16+Settings!$D$17),2),""),"")</f>
        <v/>
      </c>
      <c r="X300" s="33">
        <f>IF(COUNT(M300:O300)=3,IFERROR(ROUND((M300*Settings!$D$15+N300*Settings!$D$16+O300*Settings!$D$17)/(Settings!$D$15+Settings!$D$16+Settings!$D$17),2),""),"")</f>
        <v/>
      </c>
      <c r="Y300" s="33">
        <f>IF(COUNT(P300:R300)=3,IFERROR(ROUND((P300*Settings!$D$15+Q300*Settings!$D$16+R300*Settings!$D$17)/(Settings!$D$15+Settings!$D$16+Settings!$D$17),2),""),"")</f>
        <v/>
      </c>
      <c r="Z300" s="33">
        <f>IF(COUNT(S300:U300)=3,IFERROR(ROUND((S300*Settings!$D$15+T300*Settings!$D$16+U300*Settings!$D$17)/(Settings!$D$15+Settings!$D$16+Settings!$D$17),2),""),"")</f>
        <v/>
      </c>
      <c r="AA300" s="34">
        <f>IF(COUNT(V300:Z300)=0,"",ROUND(AVERAGE(V300:Z300),2))</f>
        <v/>
      </c>
      <c r="AB300" s="35">
        <f>IF($A300="","",COUNT(V300:Z300))</f>
        <v/>
      </c>
      <c r="AC300" s="36" t="n"/>
      <c r="AD300" s="35">
        <f>IF(AA300="","",SUMPRODUCT(ISNUMBER($AA$6:$AA$305)*($AA$6:$AA$305&gt;AA300))+SUMPRODUCT(($AA$6:AA300=AA300)*1))</f>
        <v/>
      </c>
      <c r="AE300" s="35">
        <f>IF(AA300="","",SUMPRODUCT(($E$6:$E$305=E300)*ISNUMBER($AA$6:$AA$305)*($AA$6:$AA$305&gt;AA300))+SUMPRODUCT(($E$6:E300=E300)*($AA$6:AA300=AA300)))</f>
        <v/>
      </c>
    </row>
    <row r="301">
      <c r="A301" s="31">
        <f>IF(Submissions!AD297="","",296)</f>
        <v/>
      </c>
      <c r="B301" s="10">
        <f>IF($A301="","",IF(Settings!$B$4="Yes","Submission "&amp;$A301,Submissions!AD297))</f>
        <v/>
      </c>
      <c r="C301" s="31">
        <f>IF($A301="","",IF(Settings!$B$4="Yes","(hidden)",Submissions!AE297))</f>
        <v/>
      </c>
      <c r="D301" s="31">
        <f>IF($A301="","",Submissions!AF297)</f>
        <v/>
      </c>
      <c r="E301" s="31">
        <f>IF($A301="","",Submissions!AG297)</f>
        <v/>
      </c>
      <c r="F301" s="31">
        <f>IF($A301="","",Submissions!AH297)</f>
        <v/>
      </c>
      <c r="G301" s="37" t="n"/>
      <c r="H301" s="37" t="n"/>
      <c r="I301" s="37" t="n"/>
      <c r="J301" s="37" t="n"/>
      <c r="K301" s="37" t="n"/>
      <c r="L301" s="37" t="n"/>
      <c r="M301" s="37" t="n"/>
      <c r="N301" s="37" t="n"/>
      <c r="O301" s="37" t="n"/>
      <c r="P301" s="37" t="n"/>
      <c r="Q301" s="37" t="n"/>
      <c r="R301" s="37" t="n"/>
      <c r="S301" s="37" t="n"/>
      <c r="T301" s="37" t="n"/>
      <c r="U301" s="37" t="n"/>
      <c r="V301" s="33">
        <f>IF(COUNT(G301:I301)=3,IFERROR(ROUND((G301*Settings!$D$15+H301*Settings!$D$16+I301*Settings!$D$17)/(Settings!$D$15+Settings!$D$16+Settings!$D$17),2),""),"")</f>
        <v/>
      </c>
      <c r="W301" s="33">
        <f>IF(COUNT(J301:L301)=3,IFERROR(ROUND((J301*Settings!$D$15+K301*Settings!$D$16+L301*Settings!$D$17)/(Settings!$D$15+Settings!$D$16+Settings!$D$17),2),""),"")</f>
        <v/>
      </c>
      <c r="X301" s="33">
        <f>IF(COUNT(M301:O301)=3,IFERROR(ROUND((M301*Settings!$D$15+N301*Settings!$D$16+O301*Settings!$D$17)/(Settings!$D$15+Settings!$D$16+Settings!$D$17),2),""),"")</f>
        <v/>
      </c>
      <c r="Y301" s="33">
        <f>IF(COUNT(P301:R301)=3,IFERROR(ROUND((P301*Settings!$D$15+Q301*Settings!$D$16+R301*Settings!$D$17)/(Settings!$D$15+Settings!$D$16+Settings!$D$17),2),""),"")</f>
        <v/>
      </c>
      <c r="Z301" s="33">
        <f>IF(COUNT(S301:U301)=3,IFERROR(ROUND((S301*Settings!$D$15+T301*Settings!$D$16+U301*Settings!$D$17)/(Settings!$D$15+Settings!$D$16+Settings!$D$17),2),""),"")</f>
        <v/>
      </c>
      <c r="AA301" s="34">
        <f>IF(COUNT(V301:Z301)=0,"",ROUND(AVERAGE(V301:Z301),2))</f>
        <v/>
      </c>
      <c r="AB301" s="35">
        <f>IF($A301="","",COUNT(V301:Z301))</f>
        <v/>
      </c>
      <c r="AC301" s="36" t="n"/>
      <c r="AD301" s="35">
        <f>IF(AA301="","",SUMPRODUCT(ISNUMBER($AA$6:$AA$305)*($AA$6:$AA$305&gt;AA301))+SUMPRODUCT(($AA$6:AA301=AA301)*1))</f>
        <v/>
      </c>
      <c r="AE301" s="35">
        <f>IF(AA301="","",SUMPRODUCT(($E$6:$E$305=E301)*ISNUMBER($AA$6:$AA$305)*($AA$6:$AA$305&gt;AA301))+SUMPRODUCT(($E$6:E301=E301)*($AA$6:AA301=AA301)))</f>
        <v/>
      </c>
    </row>
    <row r="302">
      <c r="A302" s="31">
        <f>IF(Submissions!AD298="","",297)</f>
        <v/>
      </c>
      <c r="B302" s="10">
        <f>IF($A302="","",IF(Settings!$B$4="Yes","Submission "&amp;$A302,Submissions!AD298))</f>
        <v/>
      </c>
      <c r="C302" s="31">
        <f>IF($A302="","",IF(Settings!$B$4="Yes","(hidden)",Submissions!AE298))</f>
        <v/>
      </c>
      <c r="D302" s="31">
        <f>IF($A302="","",Submissions!AF298)</f>
        <v/>
      </c>
      <c r="E302" s="31">
        <f>IF($A302="","",Submissions!AG298)</f>
        <v/>
      </c>
      <c r="F302" s="31">
        <f>IF($A302="","",Submissions!AH298)</f>
        <v/>
      </c>
      <c r="G302" s="37" t="n"/>
      <c r="H302" s="37" t="n"/>
      <c r="I302" s="37" t="n"/>
      <c r="J302" s="37" t="n"/>
      <c r="K302" s="37" t="n"/>
      <c r="L302" s="37" t="n"/>
      <c r="M302" s="37" t="n"/>
      <c r="N302" s="37" t="n"/>
      <c r="O302" s="37" t="n"/>
      <c r="P302" s="37" t="n"/>
      <c r="Q302" s="37" t="n"/>
      <c r="R302" s="37" t="n"/>
      <c r="S302" s="37" t="n"/>
      <c r="T302" s="37" t="n"/>
      <c r="U302" s="37" t="n"/>
      <c r="V302" s="33">
        <f>IF(COUNT(G302:I302)=3,IFERROR(ROUND((G302*Settings!$D$15+H302*Settings!$D$16+I302*Settings!$D$17)/(Settings!$D$15+Settings!$D$16+Settings!$D$17),2),""),"")</f>
        <v/>
      </c>
      <c r="W302" s="33">
        <f>IF(COUNT(J302:L302)=3,IFERROR(ROUND((J302*Settings!$D$15+K302*Settings!$D$16+L302*Settings!$D$17)/(Settings!$D$15+Settings!$D$16+Settings!$D$17),2),""),"")</f>
        <v/>
      </c>
      <c r="X302" s="33">
        <f>IF(COUNT(M302:O302)=3,IFERROR(ROUND((M302*Settings!$D$15+N302*Settings!$D$16+O302*Settings!$D$17)/(Settings!$D$15+Settings!$D$16+Settings!$D$17),2),""),"")</f>
        <v/>
      </c>
      <c r="Y302" s="33">
        <f>IF(COUNT(P302:R302)=3,IFERROR(ROUND((P302*Settings!$D$15+Q302*Settings!$D$16+R302*Settings!$D$17)/(Settings!$D$15+Settings!$D$16+Settings!$D$17),2),""),"")</f>
        <v/>
      </c>
      <c r="Z302" s="33">
        <f>IF(COUNT(S302:U302)=3,IFERROR(ROUND((S302*Settings!$D$15+T302*Settings!$D$16+U302*Settings!$D$17)/(Settings!$D$15+Settings!$D$16+Settings!$D$17),2),""),"")</f>
        <v/>
      </c>
      <c r="AA302" s="34">
        <f>IF(COUNT(V302:Z302)=0,"",ROUND(AVERAGE(V302:Z302),2))</f>
        <v/>
      </c>
      <c r="AB302" s="35">
        <f>IF($A302="","",COUNT(V302:Z302))</f>
        <v/>
      </c>
      <c r="AC302" s="36" t="n"/>
      <c r="AD302" s="35">
        <f>IF(AA302="","",SUMPRODUCT(ISNUMBER($AA$6:$AA$305)*($AA$6:$AA$305&gt;AA302))+SUMPRODUCT(($AA$6:AA302=AA302)*1))</f>
        <v/>
      </c>
      <c r="AE302" s="35">
        <f>IF(AA302="","",SUMPRODUCT(($E$6:$E$305=E302)*ISNUMBER($AA$6:$AA$305)*($AA$6:$AA$305&gt;AA302))+SUMPRODUCT(($E$6:E302=E302)*($AA$6:AA302=AA302)))</f>
        <v/>
      </c>
    </row>
    <row r="303">
      <c r="A303" s="31">
        <f>IF(Submissions!AD299="","",298)</f>
        <v/>
      </c>
      <c r="B303" s="10">
        <f>IF($A303="","",IF(Settings!$B$4="Yes","Submission "&amp;$A303,Submissions!AD299))</f>
        <v/>
      </c>
      <c r="C303" s="31">
        <f>IF($A303="","",IF(Settings!$B$4="Yes","(hidden)",Submissions!AE299))</f>
        <v/>
      </c>
      <c r="D303" s="31">
        <f>IF($A303="","",Submissions!AF299)</f>
        <v/>
      </c>
      <c r="E303" s="31">
        <f>IF($A303="","",Submissions!AG299)</f>
        <v/>
      </c>
      <c r="F303" s="31">
        <f>IF($A303="","",Submissions!AH299)</f>
        <v/>
      </c>
      <c r="G303" s="37" t="n"/>
      <c r="H303" s="37" t="n"/>
      <c r="I303" s="37" t="n"/>
      <c r="J303" s="37" t="n"/>
      <c r="K303" s="37" t="n"/>
      <c r="L303" s="37" t="n"/>
      <c r="M303" s="37" t="n"/>
      <c r="N303" s="37" t="n"/>
      <c r="O303" s="37" t="n"/>
      <c r="P303" s="37" t="n"/>
      <c r="Q303" s="37" t="n"/>
      <c r="R303" s="37" t="n"/>
      <c r="S303" s="37" t="n"/>
      <c r="T303" s="37" t="n"/>
      <c r="U303" s="37" t="n"/>
      <c r="V303" s="33">
        <f>IF(COUNT(G303:I303)=3,IFERROR(ROUND((G303*Settings!$D$15+H303*Settings!$D$16+I303*Settings!$D$17)/(Settings!$D$15+Settings!$D$16+Settings!$D$17),2),""),"")</f>
        <v/>
      </c>
      <c r="W303" s="33">
        <f>IF(COUNT(J303:L303)=3,IFERROR(ROUND((J303*Settings!$D$15+K303*Settings!$D$16+L303*Settings!$D$17)/(Settings!$D$15+Settings!$D$16+Settings!$D$17),2),""),"")</f>
        <v/>
      </c>
      <c r="X303" s="33">
        <f>IF(COUNT(M303:O303)=3,IFERROR(ROUND((M303*Settings!$D$15+N303*Settings!$D$16+O303*Settings!$D$17)/(Settings!$D$15+Settings!$D$16+Settings!$D$17),2),""),"")</f>
        <v/>
      </c>
      <c r="Y303" s="33">
        <f>IF(COUNT(P303:R303)=3,IFERROR(ROUND((P303*Settings!$D$15+Q303*Settings!$D$16+R303*Settings!$D$17)/(Settings!$D$15+Settings!$D$16+Settings!$D$17),2),""),"")</f>
        <v/>
      </c>
      <c r="Z303" s="33">
        <f>IF(COUNT(S303:U303)=3,IFERROR(ROUND((S303*Settings!$D$15+T303*Settings!$D$16+U303*Settings!$D$17)/(Settings!$D$15+Settings!$D$16+Settings!$D$17),2),""),"")</f>
        <v/>
      </c>
      <c r="AA303" s="34">
        <f>IF(COUNT(V303:Z303)=0,"",ROUND(AVERAGE(V303:Z303),2))</f>
        <v/>
      </c>
      <c r="AB303" s="35">
        <f>IF($A303="","",COUNT(V303:Z303))</f>
        <v/>
      </c>
      <c r="AC303" s="36" t="n"/>
      <c r="AD303" s="35">
        <f>IF(AA303="","",SUMPRODUCT(ISNUMBER($AA$6:$AA$305)*($AA$6:$AA$305&gt;AA303))+SUMPRODUCT(($AA$6:AA303=AA303)*1))</f>
        <v/>
      </c>
      <c r="AE303" s="35">
        <f>IF(AA303="","",SUMPRODUCT(($E$6:$E$305=E303)*ISNUMBER($AA$6:$AA$305)*($AA$6:$AA$305&gt;AA303))+SUMPRODUCT(($E$6:E303=E303)*($AA$6:AA303=AA303)))</f>
        <v/>
      </c>
    </row>
    <row r="304">
      <c r="A304" s="31">
        <f>IF(Submissions!AD300="","",299)</f>
        <v/>
      </c>
      <c r="B304" s="10">
        <f>IF($A304="","",IF(Settings!$B$4="Yes","Submission "&amp;$A304,Submissions!AD300))</f>
        <v/>
      </c>
      <c r="C304" s="31">
        <f>IF($A304="","",IF(Settings!$B$4="Yes","(hidden)",Submissions!AE300))</f>
        <v/>
      </c>
      <c r="D304" s="31">
        <f>IF($A304="","",Submissions!AF300)</f>
        <v/>
      </c>
      <c r="E304" s="31">
        <f>IF($A304="","",Submissions!AG300)</f>
        <v/>
      </c>
      <c r="F304" s="31">
        <f>IF($A304="","",Submissions!AH300)</f>
        <v/>
      </c>
      <c r="G304" s="37" t="n"/>
      <c r="H304" s="37" t="n"/>
      <c r="I304" s="37" t="n"/>
      <c r="J304" s="37" t="n"/>
      <c r="K304" s="37" t="n"/>
      <c r="L304" s="37" t="n"/>
      <c r="M304" s="37" t="n"/>
      <c r="N304" s="37" t="n"/>
      <c r="O304" s="37" t="n"/>
      <c r="P304" s="37" t="n"/>
      <c r="Q304" s="37" t="n"/>
      <c r="R304" s="37" t="n"/>
      <c r="S304" s="37" t="n"/>
      <c r="T304" s="37" t="n"/>
      <c r="U304" s="37" t="n"/>
      <c r="V304" s="33">
        <f>IF(COUNT(G304:I304)=3,IFERROR(ROUND((G304*Settings!$D$15+H304*Settings!$D$16+I304*Settings!$D$17)/(Settings!$D$15+Settings!$D$16+Settings!$D$17),2),""),"")</f>
        <v/>
      </c>
      <c r="W304" s="33">
        <f>IF(COUNT(J304:L304)=3,IFERROR(ROUND((J304*Settings!$D$15+K304*Settings!$D$16+L304*Settings!$D$17)/(Settings!$D$15+Settings!$D$16+Settings!$D$17),2),""),"")</f>
        <v/>
      </c>
      <c r="X304" s="33">
        <f>IF(COUNT(M304:O304)=3,IFERROR(ROUND((M304*Settings!$D$15+N304*Settings!$D$16+O304*Settings!$D$17)/(Settings!$D$15+Settings!$D$16+Settings!$D$17),2),""),"")</f>
        <v/>
      </c>
      <c r="Y304" s="33">
        <f>IF(COUNT(P304:R304)=3,IFERROR(ROUND((P304*Settings!$D$15+Q304*Settings!$D$16+R304*Settings!$D$17)/(Settings!$D$15+Settings!$D$16+Settings!$D$17),2),""),"")</f>
        <v/>
      </c>
      <c r="Z304" s="33">
        <f>IF(COUNT(S304:U304)=3,IFERROR(ROUND((S304*Settings!$D$15+T304*Settings!$D$16+U304*Settings!$D$17)/(Settings!$D$15+Settings!$D$16+Settings!$D$17),2),""),"")</f>
        <v/>
      </c>
      <c r="AA304" s="34">
        <f>IF(COUNT(V304:Z304)=0,"",ROUND(AVERAGE(V304:Z304),2))</f>
        <v/>
      </c>
      <c r="AB304" s="35">
        <f>IF($A304="","",COUNT(V304:Z304))</f>
        <v/>
      </c>
      <c r="AC304" s="36" t="n"/>
      <c r="AD304" s="35">
        <f>IF(AA304="","",SUMPRODUCT(ISNUMBER($AA$6:$AA$305)*($AA$6:$AA$305&gt;AA304))+SUMPRODUCT(($AA$6:AA304=AA304)*1))</f>
        <v/>
      </c>
      <c r="AE304" s="35">
        <f>IF(AA304="","",SUMPRODUCT(($E$6:$E$305=E304)*ISNUMBER($AA$6:$AA$305)*($AA$6:$AA$305&gt;AA304))+SUMPRODUCT(($E$6:E304=E304)*($AA$6:AA304=AA304)))</f>
        <v/>
      </c>
    </row>
    <row r="305">
      <c r="A305" s="31">
        <f>IF(Submissions!AD301="","",300)</f>
        <v/>
      </c>
      <c r="B305" s="10">
        <f>IF($A305="","",IF(Settings!$B$4="Yes","Submission "&amp;$A305,Submissions!AD301))</f>
        <v/>
      </c>
      <c r="C305" s="31">
        <f>IF($A305="","",IF(Settings!$B$4="Yes","(hidden)",Submissions!AE301))</f>
        <v/>
      </c>
      <c r="D305" s="31">
        <f>IF($A305="","",Submissions!AF301)</f>
        <v/>
      </c>
      <c r="E305" s="31">
        <f>IF($A305="","",Submissions!AG301)</f>
        <v/>
      </c>
      <c r="F305" s="31">
        <f>IF($A305="","",Submissions!AH301)</f>
        <v/>
      </c>
      <c r="G305" s="37" t="n"/>
      <c r="H305" s="37" t="n"/>
      <c r="I305" s="37" t="n"/>
      <c r="J305" s="37" t="n"/>
      <c r="K305" s="37" t="n"/>
      <c r="L305" s="37" t="n"/>
      <c r="M305" s="37" t="n"/>
      <c r="N305" s="37" t="n"/>
      <c r="O305" s="37" t="n"/>
      <c r="P305" s="37" t="n"/>
      <c r="Q305" s="37" t="n"/>
      <c r="R305" s="37" t="n"/>
      <c r="S305" s="37" t="n"/>
      <c r="T305" s="37" t="n"/>
      <c r="U305" s="37" t="n"/>
      <c r="V305" s="33">
        <f>IF(COUNT(G305:I305)=3,IFERROR(ROUND((G305*Settings!$D$15+H305*Settings!$D$16+I305*Settings!$D$17)/(Settings!$D$15+Settings!$D$16+Settings!$D$17),2),""),"")</f>
        <v/>
      </c>
      <c r="W305" s="33">
        <f>IF(COUNT(J305:L305)=3,IFERROR(ROUND((J305*Settings!$D$15+K305*Settings!$D$16+L305*Settings!$D$17)/(Settings!$D$15+Settings!$D$16+Settings!$D$17),2),""),"")</f>
        <v/>
      </c>
      <c r="X305" s="33">
        <f>IF(COUNT(M305:O305)=3,IFERROR(ROUND((M305*Settings!$D$15+N305*Settings!$D$16+O305*Settings!$D$17)/(Settings!$D$15+Settings!$D$16+Settings!$D$17),2),""),"")</f>
        <v/>
      </c>
      <c r="Y305" s="33">
        <f>IF(COUNT(P305:R305)=3,IFERROR(ROUND((P305*Settings!$D$15+Q305*Settings!$D$16+R305*Settings!$D$17)/(Settings!$D$15+Settings!$D$16+Settings!$D$17),2),""),"")</f>
        <v/>
      </c>
      <c r="Z305" s="33">
        <f>IF(COUNT(S305:U305)=3,IFERROR(ROUND((S305*Settings!$D$15+T305*Settings!$D$16+U305*Settings!$D$17)/(Settings!$D$15+Settings!$D$16+Settings!$D$17),2),""),"")</f>
        <v/>
      </c>
      <c r="AA305" s="34">
        <f>IF(COUNT(V305:Z305)=0,"",ROUND(AVERAGE(V305:Z305),2))</f>
        <v/>
      </c>
      <c r="AB305" s="35">
        <f>IF($A305="","",COUNT(V305:Z305))</f>
        <v/>
      </c>
      <c r="AC305" s="36" t="n"/>
      <c r="AD305" s="35">
        <f>IF(AA305="","",SUMPRODUCT(ISNUMBER($AA$6:$AA$305)*($AA$6:$AA$305&gt;AA305))+SUMPRODUCT(($AA$6:AA305=AA305)*1))</f>
        <v/>
      </c>
      <c r="AE305" s="35">
        <f>IF(AA305="","",SUMPRODUCT(($E$6:$E$305=E305)*ISNUMBER($AA$6:$AA$305)*($AA$6:$AA$305&gt;AA305))+SUMPRODUCT(($E$6:E305=E305)*($AA$6:AA305=AA305)))</f>
        <v/>
      </c>
    </row>
  </sheetData>
  <mergeCells count="5">
    <mergeCell ref="M4:O4"/>
    <mergeCell ref="S4:U4"/>
    <mergeCell ref="G4:I4"/>
    <mergeCell ref="J4:L4"/>
    <mergeCell ref="P4:R4"/>
  </mergeCells>
  <dataValidations count="16">
    <dataValidation sqref="G6:G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H6:H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I6:I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J6:J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K6:K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L6:L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M6:M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N6:N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O6:O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P6:P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Q6:Q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R6:R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S6:S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T6:T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U6:U305" showDropDown="0" showInputMessage="1" showErrorMessage="1" allowBlank="1" errorTitle="Score" error="Type a whole number from 1 to 5." promptTitle="Score" prompt="A whole number from 1 to 5." type="whole" errorStyle="warning" operator="between">
      <formula1>1</formula1>
      <formula2>5</formula2>
    </dataValidation>
    <dataValidation sqref="AC6:AC305" showDropDown="0" showInputMessage="1" showErrorMessage="1" allowBlank="1" errorTitle="Status" error="Pick a value from the list. Shortlist, Accept, Decline or Waiting." promptTitle="Status" prompt="Shortlist, Accept, Decline or Waiting." type="list" errorStyle="warning">
      <formula1>Lists!$A$2:$A$5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8" customWidth="1" min="3" max="3"/>
    <col width="22" customWidth="1" min="4" max="4"/>
    <col width="16" customWidth="1" min="5" max="5"/>
    <col width="10" customWidth="1" min="6" max="6"/>
    <col width="11" customWidth="1" min="7" max="7"/>
    <col width="13" customWidth="1" min="8" max="8"/>
    <col width="12" customWidth="1" min="9" max="9"/>
    <col width="12" customWidth="1" min="10" max="10"/>
    <col width="11" customWidth="1" min="11" max="11"/>
  </cols>
  <sheetData>
    <row r="1">
      <c r="A1" s="15" t="inlineStr">
        <is>
          <t>Lineup: ranked talks and slots</t>
        </is>
      </c>
    </row>
    <row r="2">
      <c r="A2" s="16" t="inlineStr">
        <is>
          <t>Talks ranked by average score. Type your slots per format in the yellow cells. Names follow the Blind review switch.</t>
        </is>
      </c>
    </row>
    <row r="3">
      <c r="A3" s="26">
        <f>IF(COUNTIF(Submissions!$A$2:$A$301,"EXAMPLE*")&gt;0,"You are looking at EXAMPLE data. Clear the examples on Submissions and Review, and the example slots below, then paste your own.","")</f>
        <v/>
      </c>
    </row>
    <row r="5" ht="30" customHeight="1">
      <c r="A5" s="3" t="inlineStr">
        <is>
          <t>Format</t>
        </is>
      </c>
      <c r="B5" s="27" t="inlineStr">
        <is>
          <t>Slots (you type)</t>
        </is>
      </c>
      <c r="C5" s="3" t="inlineStr">
        <is>
          <t>Talks</t>
        </is>
      </c>
      <c r="D5" s="3" t="inlineStr">
        <is>
          <t>Shortlisted</t>
        </is>
      </c>
      <c r="E5" s="3" t="inlineStr">
        <is>
          <t>Accepted</t>
        </is>
      </c>
      <c r="F5" s="3" t="inlineStr">
        <is>
          <t>Slots left</t>
        </is>
      </c>
      <c r="H5" s="3" t="inlineStr">
        <is>
          <t>Pitched at</t>
        </is>
      </c>
      <c r="I5" s="3" t="inlineStr">
        <is>
          <t>Talks</t>
        </is>
      </c>
      <c r="J5" s="3" t="inlineStr">
        <is>
          <t>Shortlisted</t>
        </is>
      </c>
      <c r="K5" s="3" t="inlineStr">
        <is>
          <t>Accepted</t>
        </is>
      </c>
    </row>
    <row r="6">
      <c r="A6" s="10">
        <f>IF(TRIM(Lists!C2)="","",TRIM(Lists!C2))</f>
        <v/>
      </c>
      <c r="B6" s="32" t="n">
        <v>4</v>
      </c>
      <c r="C6" s="38">
        <f>IF($A6="","",SUMPRODUCT((Review!$E$6:$E$305=$A6)*(Review!$A$6:$A$305&lt;&gt;"")))</f>
        <v/>
      </c>
      <c r="D6" s="38">
        <f>IF($A6="","",SUMPRODUCT((Review!$E$6:$E$305=$A6)*(Review!$AC$6:$AC$305=Lists!$A$2)))</f>
        <v/>
      </c>
      <c r="E6" s="38">
        <f>IF($A6="","",SUMPRODUCT((Review!$E$6:$E$305=$A6)*(Review!$AC$6:$AC$305=Lists!$A$3)))</f>
        <v/>
      </c>
      <c r="F6" s="38">
        <f>IF(OR($A6="",NOT(ISNUMBER($B6))),"",$B6-E6)</f>
        <v/>
      </c>
      <c r="H6" s="10">
        <f>IF(TRIM(Lists!E2)="","",TRIM(Lists!E2))</f>
        <v/>
      </c>
      <c r="I6" s="38">
        <f>IF($H6="","",SUMPRODUCT((Review!$F$6:$F$305=$H6)*(Review!$A$6:$A$305&lt;&gt;"")))</f>
        <v/>
      </c>
      <c r="J6" s="38">
        <f>IF($H6="","",SUMPRODUCT((Review!$F$6:$F$305=$H6)*(Review!$AC$6:$AC$305=Lists!$A$2)))</f>
        <v/>
      </c>
      <c r="K6" s="38">
        <f>IF($H6="","",SUMPRODUCT((Review!$F$6:$F$305=$H6)*(Review!$AC$6:$AC$305=Lists!$A$3)))</f>
        <v/>
      </c>
    </row>
    <row r="7">
      <c r="A7" s="10">
        <f>IF(TRIM(Lists!C3)="","",TRIM(Lists!C3))</f>
        <v/>
      </c>
      <c r="B7" s="32" t="n">
        <v>3</v>
      </c>
      <c r="C7" s="38">
        <f>IF($A7="","",SUMPRODUCT((Review!$E$6:$E$305=$A7)*(Review!$A$6:$A$305&lt;&gt;"")))</f>
        <v/>
      </c>
      <c r="D7" s="38">
        <f>IF($A7="","",SUMPRODUCT((Review!$E$6:$E$305=$A7)*(Review!$AC$6:$AC$305=Lists!$A$2)))</f>
        <v/>
      </c>
      <c r="E7" s="38">
        <f>IF($A7="","",SUMPRODUCT((Review!$E$6:$E$305=$A7)*(Review!$AC$6:$AC$305=Lists!$A$3)))</f>
        <v/>
      </c>
      <c r="F7" s="38">
        <f>IF(OR($A7="",NOT(ISNUMBER($B7))),"",$B7-E7)</f>
        <v/>
      </c>
      <c r="H7" s="10">
        <f>IF(TRIM(Lists!E3)="","",TRIM(Lists!E3))</f>
        <v/>
      </c>
      <c r="I7" s="38">
        <f>IF($H7="","",SUMPRODUCT((Review!$F$6:$F$305=$H7)*(Review!$A$6:$A$305&lt;&gt;"")))</f>
        <v/>
      </c>
      <c r="J7" s="38">
        <f>IF($H7="","",SUMPRODUCT((Review!$F$6:$F$305=$H7)*(Review!$AC$6:$AC$305=Lists!$A$2)))</f>
        <v/>
      </c>
      <c r="K7" s="38">
        <f>IF($H7="","",SUMPRODUCT((Review!$F$6:$F$305=$H7)*(Review!$AC$6:$AC$305=Lists!$A$3)))</f>
        <v/>
      </c>
    </row>
    <row r="8">
      <c r="A8" s="10">
        <f>IF(TRIM(Lists!C4)="","",TRIM(Lists!C4))</f>
        <v/>
      </c>
      <c r="B8" s="32" t="n">
        <v>1</v>
      </c>
      <c r="C8" s="38">
        <f>IF($A8="","",SUMPRODUCT((Review!$E$6:$E$305=$A8)*(Review!$A$6:$A$305&lt;&gt;"")))</f>
        <v/>
      </c>
      <c r="D8" s="38">
        <f>IF($A8="","",SUMPRODUCT((Review!$E$6:$E$305=$A8)*(Review!$AC$6:$AC$305=Lists!$A$2)))</f>
        <v/>
      </c>
      <c r="E8" s="38">
        <f>IF($A8="","",SUMPRODUCT((Review!$E$6:$E$305=$A8)*(Review!$AC$6:$AC$305=Lists!$A$3)))</f>
        <v/>
      </c>
      <c r="F8" s="38">
        <f>IF(OR($A8="",NOT(ISNUMBER($B8))),"",$B8-E8)</f>
        <v/>
      </c>
      <c r="H8" s="10">
        <f>IF(TRIM(Lists!E4)="","",TRIM(Lists!E4))</f>
        <v/>
      </c>
      <c r="I8" s="38">
        <f>IF($H8="","",SUMPRODUCT((Review!$F$6:$F$305=$H8)*(Review!$A$6:$A$305&lt;&gt;"")))</f>
        <v/>
      </c>
      <c r="J8" s="38">
        <f>IF($H8="","",SUMPRODUCT((Review!$F$6:$F$305=$H8)*(Review!$AC$6:$AC$305=Lists!$A$2)))</f>
        <v/>
      </c>
      <c r="K8" s="38">
        <f>IF($H8="","",SUMPRODUCT((Review!$F$6:$F$305=$H8)*(Review!$AC$6:$AC$305=Lists!$A$3)))</f>
        <v/>
      </c>
    </row>
    <row r="9">
      <c r="A9" s="10">
        <f>IF(TRIM(Lists!C5)="","",TRIM(Lists!C5))</f>
        <v/>
      </c>
      <c r="B9" s="32" t="n">
        <v>1</v>
      </c>
      <c r="C9" s="38">
        <f>IF($A9="","",SUMPRODUCT((Review!$E$6:$E$305=$A9)*(Review!$A$6:$A$305&lt;&gt;"")))</f>
        <v/>
      </c>
      <c r="D9" s="38">
        <f>IF($A9="","",SUMPRODUCT((Review!$E$6:$E$305=$A9)*(Review!$AC$6:$AC$305=Lists!$A$2)))</f>
        <v/>
      </c>
      <c r="E9" s="38">
        <f>IF($A9="","",SUMPRODUCT((Review!$E$6:$E$305=$A9)*(Review!$AC$6:$AC$305=Lists!$A$3)))</f>
        <v/>
      </c>
      <c r="F9" s="38">
        <f>IF(OR($A9="",NOT(ISNUMBER($B9))),"",$B9-E9)</f>
        <v/>
      </c>
      <c r="H9" s="10">
        <f>IF(TRIM(Lists!E5)="","",TRIM(Lists!E5))</f>
        <v/>
      </c>
      <c r="I9" s="38">
        <f>IF($H9="","",SUMPRODUCT((Review!$F$6:$F$305=$H9)*(Review!$A$6:$A$305&lt;&gt;"")))</f>
        <v/>
      </c>
      <c r="J9" s="38">
        <f>IF($H9="","",SUMPRODUCT((Review!$F$6:$F$305=$H9)*(Review!$AC$6:$AC$305=Lists!$A$2)))</f>
        <v/>
      </c>
      <c r="K9" s="38">
        <f>IF($H9="","",SUMPRODUCT((Review!$F$6:$F$305=$H9)*(Review!$AC$6:$AC$305=Lists!$A$3)))</f>
        <v/>
      </c>
    </row>
    <row r="10">
      <c r="A10" s="10" t="inlineStr">
        <is>
          <t>All formats</t>
        </is>
      </c>
      <c r="B10" s="24">
        <f>SUM(B6:B9)</f>
        <v/>
      </c>
      <c r="C10" s="38">
        <f>SUM(C6:C9)</f>
        <v/>
      </c>
      <c r="D10" s="38">
        <f>SUM(D6:D9)</f>
        <v/>
      </c>
      <c r="E10" s="38">
        <f>SUM(E6:E9)</f>
        <v/>
      </c>
      <c r="F10" s="38">
        <f>SUM(F6:F9)</f>
        <v/>
      </c>
    </row>
    <row r="11">
      <c r="A11" s="7" t="inlineStr">
        <is>
          <t>Ranked talks</t>
        </is>
      </c>
    </row>
    <row r="12" ht="30" customHeight="1">
      <c r="A12" s="3" t="inlineStr">
        <is>
          <t>Rank</t>
        </is>
      </c>
      <c r="B12" s="3" t="inlineStr">
        <is>
          <t>Speaker</t>
        </is>
      </c>
      <c r="C12" s="3" t="inlineStr">
        <is>
          <t>Talk title</t>
        </is>
      </c>
      <c r="D12" s="3" t="inlineStr">
        <is>
          <t>Format</t>
        </is>
      </c>
      <c r="E12" s="3" t="inlineStr">
        <is>
          <t>Pitched at</t>
        </is>
      </c>
      <c r="F12" s="3" t="inlineStr">
        <is>
          <t>Average</t>
        </is>
      </c>
      <c r="G12" s="3" t="inlineStr">
        <is>
          <t>Reviewers</t>
        </is>
      </c>
      <c r="H12" s="3" t="inlineStr">
        <is>
          <t>Status</t>
        </is>
      </c>
      <c r="I12" s="3" t="inlineStr">
        <is>
          <t>Rank in format</t>
        </is>
      </c>
      <c r="J12" s="3" t="inlineStr">
        <is>
          <t>Inside slots?</t>
        </is>
      </c>
    </row>
    <row r="13">
      <c r="A13" s="38">
        <f>IF(ISNUMBER(MATCH(1,Review!$AD$6:$AD$305,0)),1,"")</f>
        <v/>
      </c>
      <c r="B13" s="10">
        <f>IF($A13="","",INDEX(Review!$B$6:$B$305,MATCH($A13,Review!$AD$6:$AD$305,0))&amp;"")</f>
        <v/>
      </c>
      <c r="C13" s="31">
        <f>IF($A13="","",INDEX(Review!$D$6:$D$305,MATCH($A13,Review!$AD$6:$AD$305,0))&amp;"")</f>
        <v/>
      </c>
      <c r="D13" s="31">
        <f>IF($A13="","",INDEX(Review!$E$6:$E$305,MATCH($A13,Review!$AD$6:$AD$305,0))&amp;"")</f>
        <v/>
      </c>
      <c r="E13" s="31">
        <f>IF($A13="","",INDEX(Review!$F$6:$F$305,MATCH($A13,Review!$AD$6:$AD$305,0))&amp;"")</f>
        <v/>
      </c>
      <c r="F13" s="34">
        <f>IF($A13="","",INDEX(Review!$AA$6:$AA$305,MATCH($A13,Review!$AD$6:$AD$305,0)))</f>
        <v/>
      </c>
      <c r="G13" s="38">
        <f>IF($A13="","",INDEX(Review!$AB$6:$AB$305,MATCH($A13,Review!$AD$6:$AD$305,0)))</f>
        <v/>
      </c>
      <c r="H13" s="38">
        <f>IF($A13="","",INDEX(Review!$AC$6:$AC$305,MATCH($A13,Review!$AD$6:$AD$305,0))&amp;"")</f>
        <v/>
      </c>
      <c r="I13" s="38">
        <f>IF($A13="","",INDEX(Review!$AE$6:$AE$305,MATCH($A13,Review!$AD$6:$AD$305,0)))</f>
        <v/>
      </c>
      <c r="J13" s="38">
        <f>IF($A13="","",IF(ISNUMBER(INDEX($B$6:$B$9,MATCH($D13,$A$6:$A$9,0))),IF($I13&lt;=INDEX($B$6:$B$9,MATCH($D13,$A$6:$A$9,0)),"Yes","No"),""))</f>
        <v/>
      </c>
    </row>
    <row r="14">
      <c r="A14" s="38">
        <f>IF(ISNUMBER(MATCH(2,Review!$AD$6:$AD$305,0)),2,"")</f>
        <v/>
      </c>
      <c r="B14" s="10">
        <f>IF($A14="","",INDEX(Review!$B$6:$B$305,MATCH($A14,Review!$AD$6:$AD$305,0))&amp;"")</f>
        <v/>
      </c>
      <c r="C14" s="31">
        <f>IF($A14="","",INDEX(Review!$D$6:$D$305,MATCH($A14,Review!$AD$6:$AD$305,0))&amp;"")</f>
        <v/>
      </c>
      <c r="D14" s="31">
        <f>IF($A14="","",INDEX(Review!$E$6:$E$305,MATCH($A14,Review!$AD$6:$AD$305,0))&amp;"")</f>
        <v/>
      </c>
      <c r="E14" s="31">
        <f>IF($A14="","",INDEX(Review!$F$6:$F$305,MATCH($A14,Review!$AD$6:$AD$305,0))&amp;"")</f>
        <v/>
      </c>
      <c r="F14" s="34">
        <f>IF($A14="","",INDEX(Review!$AA$6:$AA$305,MATCH($A14,Review!$AD$6:$AD$305,0)))</f>
        <v/>
      </c>
      <c r="G14" s="38">
        <f>IF($A14="","",INDEX(Review!$AB$6:$AB$305,MATCH($A14,Review!$AD$6:$AD$305,0)))</f>
        <v/>
      </c>
      <c r="H14" s="38">
        <f>IF($A14="","",INDEX(Review!$AC$6:$AC$305,MATCH($A14,Review!$AD$6:$AD$305,0))&amp;"")</f>
        <v/>
      </c>
      <c r="I14" s="38">
        <f>IF($A14="","",INDEX(Review!$AE$6:$AE$305,MATCH($A14,Review!$AD$6:$AD$305,0)))</f>
        <v/>
      </c>
      <c r="J14" s="38">
        <f>IF($A14="","",IF(ISNUMBER(INDEX($B$6:$B$9,MATCH($D14,$A$6:$A$9,0))),IF($I14&lt;=INDEX($B$6:$B$9,MATCH($D14,$A$6:$A$9,0)),"Yes","No"),""))</f>
        <v/>
      </c>
    </row>
    <row r="15">
      <c r="A15" s="38">
        <f>IF(ISNUMBER(MATCH(3,Review!$AD$6:$AD$305,0)),3,"")</f>
        <v/>
      </c>
      <c r="B15" s="10">
        <f>IF($A15="","",INDEX(Review!$B$6:$B$305,MATCH($A15,Review!$AD$6:$AD$305,0))&amp;"")</f>
        <v/>
      </c>
      <c r="C15" s="31">
        <f>IF($A15="","",INDEX(Review!$D$6:$D$305,MATCH($A15,Review!$AD$6:$AD$305,0))&amp;"")</f>
        <v/>
      </c>
      <c r="D15" s="31">
        <f>IF($A15="","",INDEX(Review!$E$6:$E$305,MATCH($A15,Review!$AD$6:$AD$305,0))&amp;"")</f>
        <v/>
      </c>
      <c r="E15" s="31">
        <f>IF($A15="","",INDEX(Review!$F$6:$F$305,MATCH($A15,Review!$AD$6:$AD$305,0))&amp;"")</f>
        <v/>
      </c>
      <c r="F15" s="34">
        <f>IF($A15="","",INDEX(Review!$AA$6:$AA$305,MATCH($A15,Review!$AD$6:$AD$305,0)))</f>
        <v/>
      </c>
      <c r="G15" s="38">
        <f>IF($A15="","",INDEX(Review!$AB$6:$AB$305,MATCH($A15,Review!$AD$6:$AD$305,0)))</f>
        <v/>
      </c>
      <c r="H15" s="38">
        <f>IF($A15="","",INDEX(Review!$AC$6:$AC$305,MATCH($A15,Review!$AD$6:$AD$305,0))&amp;"")</f>
        <v/>
      </c>
      <c r="I15" s="38">
        <f>IF($A15="","",INDEX(Review!$AE$6:$AE$305,MATCH($A15,Review!$AD$6:$AD$305,0)))</f>
        <v/>
      </c>
      <c r="J15" s="38">
        <f>IF($A15="","",IF(ISNUMBER(INDEX($B$6:$B$9,MATCH($D15,$A$6:$A$9,0))),IF($I15&lt;=INDEX($B$6:$B$9,MATCH($D15,$A$6:$A$9,0)),"Yes","No"),""))</f>
        <v/>
      </c>
    </row>
    <row r="16">
      <c r="A16" s="38">
        <f>IF(ISNUMBER(MATCH(4,Review!$AD$6:$AD$305,0)),4,"")</f>
        <v/>
      </c>
      <c r="B16" s="10">
        <f>IF($A16="","",INDEX(Review!$B$6:$B$305,MATCH($A16,Review!$AD$6:$AD$305,0))&amp;"")</f>
        <v/>
      </c>
      <c r="C16" s="31">
        <f>IF($A16="","",INDEX(Review!$D$6:$D$305,MATCH($A16,Review!$AD$6:$AD$305,0))&amp;"")</f>
        <v/>
      </c>
      <c r="D16" s="31">
        <f>IF($A16="","",INDEX(Review!$E$6:$E$305,MATCH($A16,Review!$AD$6:$AD$305,0))&amp;"")</f>
        <v/>
      </c>
      <c r="E16" s="31">
        <f>IF($A16="","",INDEX(Review!$F$6:$F$305,MATCH($A16,Review!$AD$6:$AD$305,0))&amp;"")</f>
        <v/>
      </c>
      <c r="F16" s="34">
        <f>IF($A16="","",INDEX(Review!$AA$6:$AA$305,MATCH($A16,Review!$AD$6:$AD$305,0)))</f>
        <v/>
      </c>
      <c r="G16" s="38">
        <f>IF($A16="","",INDEX(Review!$AB$6:$AB$305,MATCH($A16,Review!$AD$6:$AD$305,0)))</f>
        <v/>
      </c>
      <c r="H16" s="38">
        <f>IF($A16="","",INDEX(Review!$AC$6:$AC$305,MATCH($A16,Review!$AD$6:$AD$305,0))&amp;"")</f>
        <v/>
      </c>
      <c r="I16" s="38">
        <f>IF($A16="","",INDEX(Review!$AE$6:$AE$305,MATCH($A16,Review!$AD$6:$AD$305,0)))</f>
        <v/>
      </c>
      <c r="J16" s="38">
        <f>IF($A16="","",IF(ISNUMBER(INDEX($B$6:$B$9,MATCH($D16,$A$6:$A$9,0))),IF($I16&lt;=INDEX($B$6:$B$9,MATCH($D16,$A$6:$A$9,0)),"Yes","No"),""))</f>
        <v/>
      </c>
    </row>
    <row r="17">
      <c r="A17" s="38">
        <f>IF(ISNUMBER(MATCH(5,Review!$AD$6:$AD$305,0)),5,"")</f>
        <v/>
      </c>
      <c r="B17" s="10">
        <f>IF($A17="","",INDEX(Review!$B$6:$B$305,MATCH($A17,Review!$AD$6:$AD$305,0))&amp;"")</f>
        <v/>
      </c>
      <c r="C17" s="31">
        <f>IF($A17="","",INDEX(Review!$D$6:$D$305,MATCH($A17,Review!$AD$6:$AD$305,0))&amp;"")</f>
        <v/>
      </c>
      <c r="D17" s="31">
        <f>IF($A17="","",INDEX(Review!$E$6:$E$305,MATCH($A17,Review!$AD$6:$AD$305,0))&amp;"")</f>
        <v/>
      </c>
      <c r="E17" s="31">
        <f>IF($A17="","",INDEX(Review!$F$6:$F$305,MATCH($A17,Review!$AD$6:$AD$305,0))&amp;"")</f>
        <v/>
      </c>
      <c r="F17" s="34">
        <f>IF($A17="","",INDEX(Review!$AA$6:$AA$305,MATCH($A17,Review!$AD$6:$AD$305,0)))</f>
        <v/>
      </c>
      <c r="G17" s="38">
        <f>IF($A17="","",INDEX(Review!$AB$6:$AB$305,MATCH($A17,Review!$AD$6:$AD$305,0)))</f>
        <v/>
      </c>
      <c r="H17" s="38">
        <f>IF($A17="","",INDEX(Review!$AC$6:$AC$305,MATCH($A17,Review!$AD$6:$AD$305,0))&amp;"")</f>
        <v/>
      </c>
      <c r="I17" s="38">
        <f>IF($A17="","",INDEX(Review!$AE$6:$AE$305,MATCH($A17,Review!$AD$6:$AD$305,0)))</f>
        <v/>
      </c>
      <c r="J17" s="38">
        <f>IF($A17="","",IF(ISNUMBER(INDEX($B$6:$B$9,MATCH($D17,$A$6:$A$9,0))),IF($I17&lt;=INDEX($B$6:$B$9,MATCH($D17,$A$6:$A$9,0)),"Yes","No"),""))</f>
        <v/>
      </c>
    </row>
    <row r="18">
      <c r="A18" s="38">
        <f>IF(ISNUMBER(MATCH(6,Review!$AD$6:$AD$305,0)),6,"")</f>
        <v/>
      </c>
      <c r="B18" s="10">
        <f>IF($A18="","",INDEX(Review!$B$6:$B$305,MATCH($A18,Review!$AD$6:$AD$305,0))&amp;"")</f>
        <v/>
      </c>
      <c r="C18" s="31">
        <f>IF($A18="","",INDEX(Review!$D$6:$D$305,MATCH($A18,Review!$AD$6:$AD$305,0))&amp;"")</f>
        <v/>
      </c>
      <c r="D18" s="31">
        <f>IF($A18="","",INDEX(Review!$E$6:$E$305,MATCH($A18,Review!$AD$6:$AD$305,0))&amp;"")</f>
        <v/>
      </c>
      <c r="E18" s="31">
        <f>IF($A18="","",INDEX(Review!$F$6:$F$305,MATCH($A18,Review!$AD$6:$AD$305,0))&amp;"")</f>
        <v/>
      </c>
      <c r="F18" s="34">
        <f>IF($A18="","",INDEX(Review!$AA$6:$AA$305,MATCH($A18,Review!$AD$6:$AD$305,0)))</f>
        <v/>
      </c>
      <c r="G18" s="38">
        <f>IF($A18="","",INDEX(Review!$AB$6:$AB$305,MATCH($A18,Review!$AD$6:$AD$305,0)))</f>
        <v/>
      </c>
      <c r="H18" s="38">
        <f>IF($A18="","",INDEX(Review!$AC$6:$AC$305,MATCH($A18,Review!$AD$6:$AD$305,0))&amp;"")</f>
        <v/>
      </c>
      <c r="I18" s="38">
        <f>IF($A18="","",INDEX(Review!$AE$6:$AE$305,MATCH($A18,Review!$AD$6:$AD$305,0)))</f>
        <v/>
      </c>
      <c r="J18" s="38">
        <f>IF($A18="","",IF(ISNUMBER(INDEX($B$6:$B$9,MATCH($D18,$A$6:$A$9,0))),IF($I18&lt;=INDEX($B$6:$B$9,MATCH($D18,$A$6:$A$9,0)),"Yes","No"),""))</f>
        <v/>
      </c>
    </row>
    <row r="19">
      <c r="A19" s="38">
        <f>IF(ISNUMBER(MATCH(7,Review!$AD$6:$AD$305,0)),7,"")</f>
        <v/>
      </c>
      <c r="B19" s="10">
        <f>IF($A19="","",INDEX(Review!$B$6:$B$305,MATCH($A19,Review!$AD$6:$AD$305,0))&amp;"")</f>
        <v/>
      </c>
      <c r="C19" s="31">
        <f>IF($A19="","",INDEX(Review!$D$6:$D$305,MATCH($A19,Review!$AD$6:$AD$305,0))&amp;"")</f>
        <v/>
      </c>
      <c r="D19" s="31">
        <f>IF($A19="","",INDEX(Review!$E$6:$E$305,MATCH($A19,Review!$AD$6:$AD$305,0))&amp;"")</f>
        <v/>
      </c>
      <c r="E19" s="31">
        <f>IF($A19="","",INDEX(Review!$F$6:$F$305,MATCH($A19,Review!$AD$6:$AD$305,0))&amp;"")</f>
        <v/>
      </c>
      <c r="F19" s="34">
        <f>IF($A19="","",INDEX(Review!$AA$6:$AA$305,MATCH($A19,Review!$AD$6:$AD$305,0)))</f>
        <v/>
      </c>
      <c r="G19" s="38">
        <f>IF($A19="","",INDEX(Review!$AB$6:$AB$305,MATCH($A19,Review!$AD$6:$AD$305,0)))</f>
        <v/>
      </c>
      <c r="H19" s="38">
        <f>IF($A19="","",INDEX(Review!$AC$6:$AC$305,MATCH($A19,Review!$AD$6:$AD$305,0))&amp;"")</f>
        <v/>
      </c>
      <c r="I19" s="38">
        <f>IF($A19="","",INDEX(Review!$AE$6:$AE$305,MATCH($A19,Review!$AD$6:$AD$305,0)))</f>
        <v/>
      </c>
      <c r="J19" s="38">
        <f>IF($A19="","",IF(ISNUMBER(INDEX($B$6:$B$9,MATCH($D19,$A$6:$A$9,0))),IF($I19&lt;=INDEX($B$6:$B$9,MATCH($D19,$A$6:$A$9,0)),"Yes","No"),""))</f>
        <v/>
      </c>
    </row>
    <row r="20">
      <c r="A20" s="38">
        <f>IF(ISNUMBER(MATCH(8,Review!$AD$6:$AD$305,0)),8,"")</f>
        <v/>
      </c>
      <c r="B20" s="10">
        <f>IF($A20="","",INDEX(Review!$B$6:$B$305,MATCH($A20,Review!$AD$6:$AD$305,0))&amp;"")</f>
        <v/>
      </c>
      <c r="C20" s="31">
        <f>IF($A20="","",INDEX(Review!$D$6:$D$305,MATCH($A20,Review!$AD$6:$AD$305,0))&amp;"")</f>
        <v/>
      </c>
      <c r="D20" s="31">
        <f>IF($A20="","",INDEX(Review!$E$6:$E$305,MATCH($A20,Review!$AD$6:$AD$305,0))&amp;"")</f>
        <v/>
      </c>
      <c r="E20" s="31">
        <f>IF($A20="","",INDEX(Review!$F$6:$F$305,MATCH($A20,Review!$AD$6:$AD$305,0))&amp;"")</f>
        <v/>
      </c>
      <c r="F20" s="34">
        <f>IF($A20="","",INDEX(Review!$AA$6:$AA$305,MATCH($A20,Review!$AD$6:$AD$305,0)))</f>
        <v/>
      </c>
      <c r="G20" s="38">
        <f>IF($A20="","",INDEX(Review!$AB$6:$AB$305,MATCH($A20,Review!$AD$6:$AD$305,0)))</f>
        <v/>
      </c>
      <c r="H20" s="38">
        <f>IF($A20="","",INDEX(Review!$AC$6:$AC$305,MATCH($A20,Review!$AD$6:$AD$305,0))&amp;"")</f>
        <v/>
      </c>
      <c r="I20" s="38">
        <f>IF($A20="","",INDEX(Review!$AE$6:$AE$305,MATCH($A20,Review!$AD$6:$AD$305,0)))</f>
        <v/>
      </c>
      <c r="J20" s="38">
        <f>IF($A20="","",IF(ISNUMBER(INDEX($B$6:$B$9,MATCH($D20,$A$6:$A$9,0))),IF($I20&lt;=INDEX($B$6:$B$9,MATCH($D20,$A$6:$A$9,0)),"Yes","No"),""))</f>
        <v/>
      </c>
    </row>
    <row r="21">
      <c r="A21" s="38">
        <f>IF(ISNUMBER(MATCH(9,Review!$AD$6:$AD$305,0)),9,"")</f>
        <v/>
      </c>
      <c r="B21" s="10">
        <f>IF($A21="","",INDEX(Review!$B$6:$B$305,MATCH($A21,Review!$AD$6:$AD$305,0))&amp;"")</f>
        <v/>
      </c>
      <c r="C21" s="31">
        <f>IF($A21="","",INDEX(Review!$D$6:$D$305,MATCH($A21,Review!$AD$6:$AD$305,0))&amp;"")</f>
        <v/>
      </c>
      <c r="D21" s="31">
        <f>IF($A21="","",INDEX(Review!$E$6:$E$305,MATCH($A21,Review!$AD$6:$AD$305,0))&amp;"")</f>
        <v/>
      </c>
      <c r="E21" s="31">
        <f>IF($A21="","",INDEX(Review!$F$6:$F$305,MATCH($A21,Review!$AD$6:$AD$305,0))&amp;"")</f>
        <v/>
      </c>
      <c r="F21" s="34">
        <f>IF($A21="","",INDEX(Review!$AA$6:$AA$305,MATCH($A21,Review!$AD$6:$AD$305,0)))</f>
        <v/>
      </c>
      <c r="G21" s="38">
        <f>IF($A21="","",INDEX(Review!$AB$6:$AB$305,MATCH($A21,Review!$AD$6:$AD$305,0)))</f>
        <v/>
      </c>
      <c r="H21" s="38">
        <f>IF($A21="","",INDEX(Review!$AC$6:$AC$305,MATCH($A21,Review!$AD$6:$AD$305,0))&amp;"")</f>
        <v/>
      </c>
      <c r="I21" s="38">
        <f>IF($A21="","",INDEX(Review!$AE$6:$AE$305,MATCH($A21,Review!$AD$6:$AD$305,0)))</f>
        <v/>
      </c>
      <c r="J21" s="38">
        <f>IF($A21="","",IF(ISNUMBER(INDEX($B$6:$B$9,MATCH($D21,$A$6:$A$9,0))),IF($I21&lt;=INDEX($B$6:$B$9,MATCH($D21,$A$6:$A$9,0)),"Yes","No"),""))</f>
        <v/>
      </c>
    </row>
    <row r="22">
      <c r="A22" s="38">
        <f>IF(ISNUMBER(MATCH(10,Review!$AD$6:$AD$305,0)),10,"")</f>
        <v/>
      </c>
      <c r="B22" s="10">
        <f>IF($A22="","",INDEX(Review!$B$6:$B$305,MATCH($A22,Review!$AD$6:$AD$305,0))&amp;"")</f>
        <v/>
      </c>
      <c r="C22" s="31">
        <f>IF($A22="","",INDEX(Review!$D$6:$D$305,MATCH($A22,Review!$AD$6:$AD$305,0))&amp;"")</f>
        <v/>
      </c>
      <c r="D22" s="31">
        <f>IF($A22="","",INDEX(Review!$E$6:$E$305,MATCH($A22,Review!$AD$6:$AD$305,0))&amp;"")</f>
        <v/>
      </c>
      <c r="E22" s="31">
        <f>IF($A22="","",INDEX(Review!$F$6:$F$305,MATCH($A22,Review!$AD$6:$AD$305,0))&amp;"")</f>
        <v/>
      </c>
      <c r="F22" s="34">
        <f>IF($A22="","",INDEX(Review!$AA$6:$AA$305,MATCH($A22,Review!$AD$6:$AD$305,0)))</f>
        <v/>
      </c>
      <c r="G22" s="38">
        <f>IF($A22="","",INDEX(Review!$AB$6:$AB$305,MATCH($A22,Review!$AD$6:$AD$305,0)))</f>
        <v/>
      </c>
      <c r="H22" s="38">
        <f>IF($A22="","",INDEX(Review!$AC$6:$AC$305,MATCH($A22,Review!$AD$6:$AD$305,0))&amp;"")</f>
        <v/>
      </c>
      <c r="I22" s="38">
        <f>IF($A22="","",INDEX(Review!$AE$6:$AE$305,MATCH($A22,Review!$AD$6:$AD$305,0)))</f>
        <v/>
      </c>
      <c r="J22" s="38">
        <f>IF($A22="","",IF(ISNUMBER(INDEX($B$6:$B$9,MATCH($D22,$A$6:$A$9,0))),IF($I22&lt;=INDEX($B$6:$B$9,MATCH($D22,$A$6:$A$9,0)),"Yes","No"),""))</f>
        <v/>
      </c>
    </row>
    <row r="23">
      <c r="A23" s="38">
        <f>IF(ISNUMBER(MATCH(11,Review!$AD$6:$AD$305,0)),11,"")</f>
        <v/>
      </c>
      <c r="B23" s="10">
        <f>IF($A23="","",INDEX(Review!$B$6:$B$305,MATCH($A23,Review!$AD$6:$AD$305,0))&amp;"")</f>
        <v/>
      </c>
      <c r="C23" s="31">
        <f>IF($A23="","",INDEX(Review!$D$6:$D$305,MATCH($A23,Review!$AD$6:$AD$305,0))&amp;"")</f>
        <v/>
      </c>
      <c r="D23" s="31">
        <f>IF($A23="","",INDEX(Review!$E$6:$E$305,MATCH($A23,Review!$AD$6:$AD$305,0))&amp;"")</f>
        <v/>
      </c>
      <c r="E23" s="31">
        <f>IF($A23="","",INDEX(Review!$F$6:$F$305,MATCH($A23,Review!$AD$6:$AD$305,0))&amp;"")</f>
        <v/>
      </c>
      <c r="F23" s="34">
        <f>IF($A23="","",INDEX(Review!$AA$6:$AA$305,MATCH($A23,Review!$AD$6:$AD$305,0)))</f>
        <v/>
      </c>
      <c r="G23" s="38">
        <f>IF($A23="","",INDEX(Review!$AB$6:$AB$305,MATCH($A23,Review!$AD$6:$AD$305,0)))</f>
        <v/>
      </c>
      <c r="H23" s="38">
        <f>IF($A23="","",INDEX(Review!$AC$6:$AC$305,MATCH($A23,Review!$AD$6:$AD$305,0))&amp;"")</f>
        <v/>
      </c>
      <c r="I23" s="38">
        <f>IF($A23="","",INDEX(Review!$AE$6:$AE$305,MATCH($A23,Review!$AD$6:$AD$305,0)))</f>
        <v/>
      </c>
      <c r="J23" s="38">
        <f>IF($A23="","",IF(ISNUMBER(INDEX($B$6:$B$9,MATCH($D23,$A$6:$A$9,0))),IF($I23&lt;=INDEX($B$6:$B$9,MATCH($D23,$A$6:$A$9,0)),"Yes","No"),""))</f>
        <v/>
      </c>
    </row>
    <row r="24">
      <c r="A24" s="38">
        <f>IF(ISNUMBER(MATCH(12,Review!$AD$6:$AD$305,0)),12,"")</f>
        <v/>
      </c>
      <c r="B24" s="10">
        <f>IF($A24="","",INDEX(Review!$B$6:$B$305,MATCH($A24,Review!$AD$6:$AD$305,0))&amp;"")</f>
        <v/>
      </c>
      <c r="C24" s="31">
        <f>IF($A24="","",INDEX(Review!$D$6:$D$305,MATCH($A24,Review!$AD$6:$AD$305,0))&amp;"")</f>
        <v/>
      </c>
      <c r="D24" s="31">
        <f>IF($A24="","",INDEX(Review!$E$6:$E$305,MATCH($A24,Review!$AD$6:$AD$305,0))&amp;"")</f>
        <v/>
      </c>
      <c r="E24" s="31">
        <f>IF($A24="","",INDEX(Review!$F$6:$F$305,MATCH($A24,Review!$AD$6:$AD$305,0))&amp;"")</f>
        <v/>
      </c>
      <c r="F24" s="34">
        <f>IF($A24="","",INDEX(Review!$AA$6:$AA$305,MATCH($A24,Review!$AD$6:$AD$305,0)))</f>
        <v/>
      </c>
      <c r="G24" s="38">
        <f>IF($A24="","",INDEX(Review!$AB$6:$AB$305,MATCH($A24,Review!$AD$6:$AD$305,0)))</f>
        <v/>
      </c>
      <c r="H24" s="38">
        <f>IF($A24="","",INDEX(Review!$AC$6:$AC$305,MATCH($A24,Review!$AD$6:$AD$305,0))&amp;"")</f>
        <v/>
      </c>
      <c r="I24" s="38">
        <f>IF($A24="","",INDEX(Review!$AE$6:$AE$305,MATCH($A24,Review!$AD$6:$AD$305,0)))</f>
        <v/>
      </c>
      <c r="J24" s="38">
        <f>IF($A24="","",IF(ISNUMBER(INDEX($B$6:$B$9,MATCH($D24,$A$6:$A$9,0))),IF($I24&lt;=INDEX($B$6:$B$9,MATCH($D24,$A$6:$A$9,0)),"Yes","No"),""))</f>
        <v/>
      </c>
    </row>
    <row r="25">
      <c r="A25" s="38">
        <f>IF(ISNUMBER(MATCH(13,Review!$AD$6:$AD$305,0)),13,"")</f>
        <v/>
      </c>
      <c r="B25" s="10">
        <f>IF($A25="","",INDEX(Review!$B$6:$B$305,MATCH($A25,Review!$AD$6:$AD$305,0))&amp;"")</f>
        <v/>
      </c>
      <c r="C25" s="31">
        <f>IF($A25="","",INDEX(Review!$D$6:$D$305,MATCH($A25,Review!$AD$6:$AD$305,0))&amp;"")</f>
        <v/>
      </c>
      <c r="D25" s="31">
        <f>IF($A25="","",INDEX(Review!$E$6:$E$305,MATCH($A25,Review!$AD$6:$AD$305,0))&amp;"")</f>
        <v/>
      </c>
      <c r="E25" s="31">
        <f>IF($A25="","",INDEX(Review!$F$6:$F$305,MATCH($A25,Review!$AD$6:$AD$305,0))&amp;"")</f>
        <v/>
      </c>
      <c r="F25" s="34">
        <f>IF($A25="","",INDEX(Review!$AA$6:$AA$305,MATCH($A25,Review!$AD$6:$AD$305,0)))</f>
        <v/>
      </c>
      <c r="G25" s="38">
        <f>IF($A25="","",INDEX(Review!$AB$6:$AB$305,MATCH($A25,Review!$AD$6:$AD$305,0)))</f>
        <v/>
      </c>
      <c r="H25" s="38">
        <f>IF($A25="","",INDEX(Review!$AC$6:$AC$305,MATCH($A25,Review!$AD$6:$AD$305,0))&amp;"")</f>
        <v/>
      </c>
      <c r="I25" s="38">
        <f>IF($A25="","",INDEX(Review!$AE$6:$AE$305,MATCH($A25,Review!$AD$6:$AD$305,0)))</f>
        <v/>
      </c>
      <c r="J25" s="38">
        <f>IF($A25="","",IF(ISNUMBER(INDEX($B$6:$B$9,MATCH($D25,$A$6:$A$9,0))),IF($I25&lt;=INDEX($B$6:$B$9,MATCH($D25,$A$6:$A$9,0)),"Yes","No"),""))</f>
        <v/>
      </c>
    </row>
    <row r="26">
      <c r="A26" s="38">
        <f>IF(ISNUMBER(MATCH(14,Review!$AD$6:$AD$305,0)),14,"")</f>
        <v/>
      </c>
      <c r="B26" s="10">
        <f>IF($A26="","",INDEX(Review!$B$6:$B$305,MATCH($A26,Review!$AD$6:$AD$305,0))&amp;"")</f>
        <v/>
      </c>
      <c r="C26" s="31">
        <f>IF($A26="","",INDEX(Review!$D$6:$D$305,MATCH($A26,Review!$AD$6:$AD$305,0))&amp;"")</f>
        <v/>
      </c>
      <c r="D26" s="31">
        <f>IF($A26="","",INDEX(Review!$E$6:$E$305,MATCH($A26,Review!$AD$6:$AD$305,0))&amp;"")</f>
        <v/>
      </c>
      <c r="E26" s="31">
        <f>IF($A26="","",INDEX(Review!$F$6:$F$305,MATCH($A26,Review!$AD$6:$AD$305,0))&amp;"")</f>
        <v/>
      </c>
      <c r="F26" s="34">
        <f>IF($A26="","",INDEX(Review!$AA$6:$AA$305,MATCH($A26,Review!$AD$6:$AD$305,0)))</f>
        <v/>
      </c>
      <c r="G26" s="38">
        <f>IF($A26="","",INDEX(Review!$AB$6:$AB$305,MATCH($A26,Review!$AD$6:$AD$305,0)))</f>
        <v/>
      </c>
      <c r="H26" s="38">
        <f>IF($A26="","",INDEX(Review!$AC$6:$AC$305,MATCH($A26,Review!$AD$6:$AD$305,0))&amp;"")</f>
        <v/>
      </c>
      <c r="I26" s="38">
        <f>IF($A26="","",INDEX(Review!$AE$6:$AE$305,MATCH($A26,Review!$AD$6:$AD$305,0)))</f>
        <v/>
      </c>
      <c r="J26" s="38">
        <f>IF($A26="","",IF(ISNUMBER(INDEX($B$6:$B$9,MATCH($D26,$A$6:$A$9,0))),IF($I26&lt;=INDEX($B$6:$B$9,MATCH($D26,$A$6:$A$9,0)),"Yes","No"),""))</f>
        <v/>
      </c>
    </row>
    <row r="27">
      <c r="A27" s="38">
        <f>IF(ISNUMBER(MATCH(15,Review!$AD$6:$AD$305,0)),15,"")</f>
        <v/>
      </c>
      <c r="B27" s="10">
        <f>IF($A27="","",INDEX(Review!$B$6:$B$305,MATCH($A27,Review!$AD$6:$AD$305,0))&amp;"")</f>
        <v/>
      </c>
      <c r="C27" s="31">
        <f>IF($A27="","",INDEX(Review!$D$6:$D$305,MATCH($A27,Review!$AD$6:$AD$305,0))&amp;"")</f>
        <v/>
      </c>
      <c r="D27" s="31">
        <f>IF($A27="","",INDEX(Review!$E$6:$E$305,MATCH($A27,Review!$AD$6:$AD$305,0))&amp;"")</f>
        <v/>
      </c>
      <c r="E27" s="31">
        <f>IF($A27="","",INDEX(Review!$F$6:$F$305,MATCH($A27,Review!$AD$6:$AD$305,0))&amp;"")</f>
        <v/>
      </c>
      <c r="F27" s="34">
        <f>IF($A27="","",INDEX(Review!$AA$6:$AA$305,MATCH($A27,Review!$AD$6:$AD$305,0)))</f>
        <v/>
      </c>
      <c r="G27" s="38">
        <f>IF($A27="","",INDEX(Review!$AB$6:$AB$305,MATCH($A27,Review!$AD$6:$AD$305,0)))</f>
        <v/>
      </c>
      <c r="H27" s="38">
        <f>IF($A27="","",INDEX(Review!$AC$6:$AC$305,MATCH($A27,Review!$AD$6:$AD$305,0))&amp;"")</f>
        <v/>
      </c>
      <c r="I27" s="38">
        <f>IF($A27="","",INDEX(Review!$AE$6:$AE$305,MATCH($A27,Review!$AD$6:$AD$305,0)))</f>
        <v/>
      </c>
      <c r="J27" s="38">
        <f>IF($A27="","",IF(ISNUMBER(INDEX($B$6:$B$9,MATCH($D27,$A$6:$A$9,0))),IF($I27&lt;=INDEX($B$6:$B$9,MATCH($D27,$A$6:$A$9,0)),"Yes","No"),""))</f>
        <v/>
      </c>
    </row>
    <row r="28">
      <c r="A28" s="38">
        <f>IF(ISNUMBER(MATCH(16,Review!$AD$6:$AD$305,0)),16,"")</f>
        <v/>
      </c>
      <c r="B28" s="10">
        <f>IF($A28="","",INDEX(Review!$B$6:$B$305,MATCH($A28,Review!$AD$6:$AD$305,0))&amp;"")</f>
        <v/>
      </c>
      <c r="C28" s="31">
        <f>IF($A28="","",INDEX(Review!$D$6:$D$305,MATCH($A28,Review!$AD$6:$AD$305,0))&amp;"")</f>
        <v/>
      </c>
      <c r="D28" s="31">
        <f>IF($A28="","",INDEX(Review!$E$6:$E$305,MATCH($A28,Review!$AD$6:$AD$305,0))&amp;"")</f>
        <v/>
      </c>
      <c r="E28" s="31">
        <f>IF($A28="","",INDEX(Review!$F$6:$F$305,MATCH($A28,Review!$AD$6:$AD$305,0))&amp;"")</f>
        <v/>
      </c>
      <c r="F28" s="34">
        <f>IF($A28="","",INDEX(Review!$AA$6:$AA$305,MATCH($A28,Review!$AD$6:$AD$305,0)))</f>
        <v/>
      </c>
      <c r="G28" s="38">
        <f>IF($A28="","",INDEX(Review!$AB$6:$AB$305,MATCH($A28,Review!$AD$6:$AD$305,0)))</f>
        <v/>
      </c>
      <c r="H28" s="38">
        <f>IF($A28="","",INDEX(Review!$AC$6:$AC$305,MATCH($A28,Review!$AD$6:$AD$305,0))&amp;"")</f>
        <v/>
      </c>
      <c r="I28" s="38">
        <f>IF($A28="","",INDEX(Review!$AE$6:$AE$305,MATCH($A28,Review!$AD$6:$AD$305,0)))</f>
        <v/>
      </c>
      <c r="J28" s="38">
        <f>IF($A28="","",IF(ISNUMBER(INDEX($B$6:$B$9,MATCH($D28,$A$6:$A$9,0))),IF($I28&lt;=INDEX($B$6:$B$9,MATCH($D28,$A$6:$A$9,0)),"Yes","No"),""))</f>
        <v/>
      </c>
    </row>
    <row r="29">
      <c r="A29" s="38">
        <f>IF(ISNUMBER(MATCH(17,Review!$AD$6:$AD$305,0)),17,"")</f>
        <v/>
      </c>
      <c r="B29" s="10">
        <f>IF($A29="","",INDEX(Review!$B$6:$B$305,MATCH($A29,Review!$AD$6:$AD$305,0))&amp;"")</f>
        <v/>
      </c>
      <c r="C29" s="31">
        <f>IF($A29="","",INDEX(Review!$D$6:$D$305,MATCH($A29,Review!$AD$6:$AD$305,0))&amp;"")</f>
        <v/>
      </c>
      <c r="D29" s="31">
        <f>IF($A29="","",INDEX(Review!$E$6:$E$305,MATCH($A29,Review!$AD$6:$AD$305,0))&amp;"")</f>
        <v/>
      </c>
      <c r="E29" s="31">
        <f>IF($A29="","",INDEX(Review!$F$6:$F$305,MATCH($A29,Review!$AD$6:$AD$305,0))&amp;"")</f>
        <v/>
      </c>
      <c r="F29" s="34">
        <f>IF($A29="","",INDEX(Review!$AA$6:$AA$305,MATCH($A29,Review!$AD$6:$AD$305,0)))</f>
        <v/>
      </c>
      <c r="G29" s="38">
        <f>IF($A29="","",INDEX(Review!$AB$6:$AB$305,MATCH($A29,Review!$AD$6:$AD$305,0)))</f>
        <v/>
      </c>
      <c r="H29" s="38">
        <f>IF($A29="","",INDEX(Review!$AC$6:$AC$305,MATCH($A29,Review!$AD$6:$AD$305,0))&amp;"")</f>
        <v/>
      </c>
      <c r="I29" s="38">
        <f>IF($A29="","",INDEX(Review!$AE$6:$AE$305,MATCH($A29,Review!$AD$6:$AD$305,0)))</f>
        <v/>
      </c>
      <c r="J29" s="38">
        <f>IF($A29="","",IF(ISNUMBER(INDEX($B$6:$B$9,MATCH($D29,$A$6:$A$9,0))),IF($I29&lt;=INDEX($B$6:$B$9,MATCH($D29,$A$6:$A$9,0)),"Yes","No"),""))</f>
        <v/>
      </c>
    </row>
    <row r="30">
      <c r="A30" s="38">
        <f>IF(ISNUMBER(MATCH(18,Review!$AD$6:$AD$305,0)),18,"")</f>
        <v/>
      </c>
      <c r="B30" s="10">
        <f>IF($A30="","",INDEX(Review!$B$6:$B$305,MATCH($A30,Review!$AD$6:$AD$305,0))&amp;"")</f>
        <v/>
      </c>
      <c r="C30" s="31">
        <f>IF($A30="","",INDEX(Review!$D$6:$D$305,MATCH($A30,Review!$AD$6:$AD$305,0))&amp;"")</f>
        <v/>
      </c>
      <c r="D30" s="31">
        <f>IF($A30="","",INDEX(Review!$E$6:$E$305,MATCH($A30,Review!$AD$6:$AD$305,0))&amp;"")</f>
        <v/>
      </c>
      <c r="E30" s="31">
        <f>IF($A30="","",INDEX(Review!$F$6:$F$305,MATCH($A30,Review!$AD$6:$AD$305,0))&amp;"")</f>
        <v/>
      </c>
      <c r="F30" s="34">
        <f>IF($A30="","",INDEX(Review!$AA$6:$AA$305,MATCH($A30,Review!$AD$6:$AD$305,0)))</f>
        <v/>
      </c>
      <c r="G30" s="38">
        <f>IF($A30="","",INDEX(Review!$AB$6:$AB$305,MATCH($A30,Review!$AD$6:$AD$305,0)))</f>
        <v/>
      </c>
      <c r="H30" s="38">
        <f>IF($A30="","",INDEX(Review!$AC$6:$AC$305,MATCH($A30,Review!$AD$6:$AD$305,0))&amp;"")</f>
        <v/>
      </c>
      <c r="I30" s="38">
        <f>IF($A30="","",INDEX(Review!$AE$6:$AE$305,MATCH($A30,Review!$AD$6:$AD$305,0)))</f>
        <v/>
      </c>
      <c r="J30" s="38">
        <f>IF($A30="","",IF(ISNUMBER(INDEX($B$6:$B$9,MATCH($D30,$A$6:$A$9,0))),IF($I30&lt;=INDEX($B$6:$B$9,MATCH($D30,$A$6:$A$9,0)),"Yes","No"),""))</f>
        <v/>
      </c>
    </row>
    <row r="31">
      <c r="A31" s="38">
        <f>IF(ISNUMBER(MATCH(19,Review!$AD$6:$AD$305,0)),19,"")</f>
        <v/>
      </c>
      <c r="B31" s="10">
        <f>IF($A31="","",INDEX(Review!$B$6:$B$305,MATCH($A31,Review!$AD$6:$AD$305,0))&amp;"")</f>
        <v/>
      </c>
      <c r="C31" s="31">
        <f>IF($A31="","",INDEX(Review!$D$6:$D$305,MATCH($A31,Review!$AD$6:$AD$305,0))&amp;"")</f>
        <v/>
      </c>
      <c r="D31" s="31">
        <f>IF($A31="","",INDEX(Review!$E$6:$E$305,MATCH($A31,Review!$AD$6:$AD$305,0))&amp;"")</f>
        <v/>
      </c>
      <c r="E31" s="31">
        <f>IF($A31="","",INDEX(Review!$F$6:$F$305,MATCH($A31,Review!$AD$6:$AD$305,0))&amp;"")</f>
        <v/>
      </c>
      <c r="F31" s="34">
        <f>IF($A31="","",INDEX(Review!$AA$6:$AA$305,MATCH($A31,Review!$AD$6:$AD$305,0)))</f>
        <v/>
      </c>
      <c r="G31" s="38">
        <f>IF($A31="","",INDEX(Review!$AB$6:$AB$305,MATCH($A31,Review!$AD$6:$AD$305,0)))</f>
        <v/>
      </c>
      <c r="H31" s="38">
        <f>IF($A31="","",INDEX(Review!$AC$6:$AC$305,MATCH($A31,Review!$AD$6:$AD$305,0))&amp;"")</f>
        <v/>
      </c>
      <c r="I31" s="38">
        <f>IF($A31="","",INDEX(Review!$AE$6:$AE$305,MATCH($A31,Review!$AD$6:$AD$305,0)))</f>
        <v/>
      </c>
      <c r="J31" s="38">
        <f>IF($A31="","",IF(ISNUMBER(INDEX($B$6:$B$9,MATCH($D31,$A$6:$A$9,0))),IF($I31&lt;=INDEX($B$6:$B$9,MATCH($D31,$A$6:$A$9,0)),"Yes","No"),""))</f>
        <v/>
      </c>
    </row>
    <row r="32">
      <c r="A32" s="38">
        <f>IF(ISNUMBER(MATCH(20,Review!$AD$6:$AD$305,0)),20,"")</f>
        <v/>
      </c>
      <c r="B32" s="10">
        <f>IF($A32="","",INDEX(Review!$B$6:$B$305,MATCH($A32,Review!$AD$6:$AD$305,0))&amp;"")</f>
        <v/>
      </c>
      <c r="C32" s="31">
        <f>IF($A32="","",INDEX(Review!$D$6:$D$305,MATCH($A32,Review!$AD$6:$AD$305,0))&amp;"")</f>
        <v/>
      </c>
      <c r="D32" s="31">
        <f>IF($A32="","",INDEX(Review!$E$6:$E$305,MATCH($A32,Review!$AD$6:$AD$305,0))&amp;"")</f>
        <v/>
      </c>
      <c r="E32" s="31">
        <f>IF($A32="","",INDEX(Review!$F$6:$F$305,MATCH($A32,Review!$AD$6:$AD$305,0))&amp;"")</f>
        <v/>
      </c>
      <c r="F32" s="34">
        <f>IF($A32="","",INDEX(Review!$AA$6:$AA$305,MATCH($A32,Review!$AD$6:$AD$305,0)))</f>
        <v/>
      </c>
      <c r="G32" s="38">
        <f>IF($A32="","",INDEX(Review!$AB$6:$AB$305,MATCH($A32,Review!$AD$6:$AD$305,0)))</f>
        <v/>
      </c>
      <c r="H32" s="38">
        <f>IF($A32="","",INDEX(Review!$AC$6:$AC$305,MATCH($A32,Review!$AD$6:$AD$305,0))&amp;"")</f>
        <v/>
      </c>
      <c r="I32" s="38">
        <f>IF($A32="","",INDEX(Review!$AE$6:$AE$305,MATCH($A32,Review!$AD$6:$AD$305,0)))</f>
        <v/>
      </c>
      <c r="J32" s="38">
        <f>IF($A32="","",IF(ISNUMBER(INDEX($B$6:$B$9,MATCH($D32,$A$6:$A$9,0))),IF($I32&lt;=INDEX($B$6:$B$9,MATCH($D32,$A$6:$A$9,0)),"Yes","No"),""))</f>
        <v/>
      </c>
    </row>
    <row r="33">
      <c r="A33" s="38">
        <f>IF(ISNUMBER(MATCH(21,Review!$AD$6:$AD$305,0)),21,"")</f>
        <v/>
      </c>
      <c r="B33" s="10">
        <f>IF($A33="","",INDEX(Review!$B$6:$B$305,MATCH($A33,Review!$AD$6:$AD$305,0))&amp;"")</f>
        <v/>
      </c>
      <c r="C33" s="31">
        <f>IF($A33="","",INDEX(Review!$D$6:$D$305,MATCH($A33,Review!$AD$6:$AD$305,0))&amp;"")</f>
        <v/>
      </c>
      <c r="D33" s="31">
        <f>IF($A33="","",INDEX(Review!$E$6:$E$305,MATCH($A33,Review!$AD$6:$AD$305,0))&amp;"")</f>
        <v/>
      </c>
      <c r="E33" s="31">
        <f>IF($A33="","",INDEX(Review!$F$6:$F$305,MATCH($A33,Review!$AD$6:$AD$305,0))&amp;"")</f>
        <v/>
      </c>
      <c r="F33" s="34">
        <f>IF($A33="","",INDEX(Review!$AA$6:$AA$305,MATCH($A33,Review!$AD$6:$AD$305,0)))</f>
        <v/>
      </c>
      <c r="G33" s="38">
        <f>IF($A33="","",INDEX(Review!$AB$6:$AB$305,MATCH($A33,Review!$AD$6:$AD$305,0)))</f>
        <v/>
      </c>
      <c r="H33" s="38">
        <f>IF($A33="","",INDEX(Review!$AC$6:$AC$305,MATCH($A33,Review!$AD$6:$AD$305,0))&amp;"")</f>
        <v/>
      </c>
      <c r="I33" s="38">
        <f>IF($A33="","",INDEX(Review!$AE$6:$AE$305,MATCH($A33,Review!$AD$6:$AD$305,0)))</f>
        <v/>
      </c>
      <c r="J33" s="38">
        <f>IF($A33="","",IF(ISNUMBER(INDEX($B$6:$B$9,MATCH($D33,$A$6:$A$9,0))),IF($I33&lt;=INDEX($B$6:$B$9,MATCH($D33,$A$6:$A$9,0)),"Yes","No"),""))</f>
        <v/>
      </c>
    </row>
    <row r="34">
      <c r="A34" s="38">
        <f>IF(ISNUMBER(MATCH(22,Review!$AD$6:$AD$305,0)),22,"")</f>
        <v/>
      </c>
      <c r="B34" s="10">
        <f>IF($A34="","",INDEX(Review!$B$6:$B$305,MATCH($A34,Review!$AD$6:$AD$305,0))&amp;"")</f>
        <v/>
      </c>
      <c r="C34" s="31">
        <f>IF($A34="","",INDEX(Review!$D$6:$D$305,MATCH($A34,Review!$AD$6:$AD$305,0))&amp;"")</f>
        <v/>
      </c>
      <c r="D34" s="31">
        <f>IF($A34="","",INDEX(Review!$E$6:$E$305,MATCH($A34,Review!$AD$6:$AD$305,0))&amp;"")</f>
        <v/>
      </c>
      <c r="E34" s="31">
        <f>IF($A34="","",INDEX(Review!$F$6:$F$305,MATCH($A34,Review!$AD$6:$AD$305,0))&amp;"")</f>
        <v/>
      </c>
      <c r="F34" s="34">
        <f>IF($A34="","",INDEX(Review!$AA$6:$AA$305,MATCH($A34,Review!$AD$6:$AD$305,0)))</f>
        <v/>
      </c>
      <c r="G34" s="38">
        <f>IF($A34="","",INDEX(Review!$AB$6:$AB$305,MATCH($A34,Review!$AD$6:$AD$305,0)))</f>
        <v/>
      </c>
      <c r="H34" s="38">
        <f>IF($A34="","",INDEX(Review!$AC$6:$AC$305,MATCH($A34,Review!$AD$6:$AD$305,0))&amp;"")</f>
        <v/>
      </c>
      <c r="I34" s="38">
        <f>IF($A34="","",INDEX(Review!$AE$6:$AE$305,MATCH($A34,Review!$AD$6:$AD$305,0)))</f>
        <v/>
      </c>
      <c r="J34" s="38">
        <f>IF($A34="","",IF(ISNUMBER(INDEX($B$6:$B$9,MATCH($D34,$A$6:$A$9,0))),IF($I34&lt;=INDEX($B$6:$B$9,MATCH($D34,$A$6:$A$9,0)),"Yes","No"),""))</f>
        <v/>
      </c>
    </row>
    <row r="35">
      <c r="A35" s="38">
        <f>IF(ISNUMBER(MATCH(23,Review!$AD$6:$AD$305,0)),23,"")</f>
        <v/>
      </c>
      <c r="B35" s="10">
        <f>IF($A35="","",INDEX(Review!$B$6:$B$305,MATCH($A35,Review!$AD$6:$AD$305,0))&amp;"")</f>
        <v/>
      </c>
      <c r="C35" s="31">
        <f>IF($A35="","",INDEX(Review!$D$6:$D$305,MATCH($A35,Review!$AD$6:$AD$305,0))&amp;"")</f>
        <v/>
      </c>
      <c r="D35" s="31">
        <f>IF($A35="","",INDEX(Review!$E$6:$E$305,MATCH($A35,Review!$AD$6:$AD$305,0))&amp;"")</f>
        <v/>
      </c>
      <c r="E35" s="31">
        <f>IF($A35="","",INDEX(Review!$F$6:$F$305,MATCH($A35,Review!$AD$6:$AD$305,0))&amp;"")</f>
        <v/>
      </c>
      <c r="F35" s="34">
        <f>IF($A35="","",INDEX(Review!$AA$6:$AA$305,MATCH($A35,Review!$AD$6:$AD$305,0)))</f>
        <v/>
      </c>
      <c r="G35" s="38">
        <f>IF($A35="","",INDEX(Review!$AB$6:$AB$305,MATCH($A35,Review!$AD$6:$AD$305,0)))</f>
        <v/>
      </c>
      <c r="H35" s="38">
        <f>IF($A35="","",INDEX(Review!$AC$6:$AC$305,MATCH($A35,Review!$AD$6:$AD$305,0))&amp;"")</f>
        <v/>
      </c>
      <c r="I35" s="38">
        <f>IF($A35="","",INDEX(Review!$AE$6:$AE$305,MATCH($A35,Review!$AD$6:$AD$305,0)))</f>
        <v/>
      </c>
      <c r="J35" s="38">
        <f>IF($A35="","",IF(ISNUMBER(INDEX($B$6:$B$9,MATCH($D35,$A$6:$A$9,0))),IF($I35&lt;=INDEX($B$6:$B$9,MATCH($D35,$A$6:$A$9,0)),"Yes","No"),""))</f>
        <v/>
      </c>
    </row>
    <row r="36">
      <c r="A36" s="38">
        <f>IF(ISNUMBER(MATCH(24,Review!$AD$6:$AD$305,0)),24,"")</f>
        <v/>
      </c>
      <c r="B36" s="10">
        <f>IF($A36="","",INDEX(Review!$B$6:$B$305,MATCH($A36,Review!$AD$6:$AD$305,0))&amp;"")</f>
        <v/>
      </c>
      <c r="C36" s="31">
        <f>IF($A36="","",INDEX(Review!$D$6:$D$305,MATCH($A36,Review!$AD$6:$AD$305,0))&amp;"")</f>
        <v/>
      </c>
      <c r="D36" s="31">
        <f>IF($A36="","",INDEX(Review!$E$6:$E$305,MATCH($A36,Review!$AD$6:$AD$305,0))&amp;"")</f>
        <v/>
      </c>
      <c r="E36" s="31">
        <f>IF($A36="","",INDEX(Review!$F$6:$F$305,MATCH($A36,Review!$AD$6:$AD$305,0))&amp;"")</f>
        <v/>
      </c>
      <c r="F36" s="34">
        <f>IF($A36="","",INDEX(Review!$AA$6:$AA$305,MATCH($A36,Review!$AD$6:$AD$305,0)))</f>
        <v/>
      </c>
      <c r="G36" s="38">
        <f>IF($A36="","",INDEX(Review!$AB$6:$AB$305,MATCH($A36,Review!$AD$6:$AD$305,0)))</f>
        <v/>
      </c>
      <c r="H36" s="38">
        <f>IF($A36="","",INDEX(Review!$AC$6:$AC$305,MATCH($A36,Review!$AD$6:$AD$305,0))&amp;"")</f>
        <v/>
      </c>
      <c r="I36" s="38">
        <f>IF($A36="","",INDEX(Review!$AE$6:$AE$305,MATCH($A36,Review!$AD$6:$AD$305,0)))</f>
        <v/>
      </c>
      <c r="J36" s="38">
        <f>IF($A36="","",IF(ISNUMBER(INDEX($B$6:$B$9,MATCH($D36,$A$6:$A$9,0))),IF($I36&lt;=INDEX($B$6:$B$9,MATCH($D36,$A$6:$A$9,0)),"Yes","No"),""))</f>
        <v/>
      </c>
    </row>
    <row r="37">
      <c r="A37" s="38">
        <f>IF(ISNUMBER(MATCH(25,Review!$AD$6:$AD$305,0)),25,"")</f>
        <v/>
      </c>
      <c r="B37" s="10">
        <f>IF($A37="","",INDEX(Review!$B$6:$B$305,MATCH($A37,Review!$AD$6:$AD$305,0))&amp;"")</f>
        <v/>
      </c>
      <c r="C37" s="31">
        <f>IF($A37="","",INDEX(Review!$D$6:$D$305,MATCH($A37,Review!$AD$6:$AD$305,0))&amp;"")</f>
        <v/>
      </c>
      <c r="D37" s="31">
        <f>IF($A37="","",INDEX(Review!$E$6:$E$305,MATCH($A37,Review!$AD$6:$AD$305,0))&amp;"")</f>
        <v/>
      </c>
      <c r="E37" s="31">
        <f>IF($A37="","",INDEX(Review!$F$6:$F$305,MATCH($A37,Review!$AD$6:$AD$305,0))&amp;"")</f>
        <v/>
      </c>
      <c r="F37" s="34">
        <f>IF($A37="","",INDEX(Review!$AA$6:$AA$305,MATCH($A37,Review!$AD$6:$AD$305,0)))</f>
        <v/>
      </c>
      <c r="G37" s="38">
        <f>IF($A37="","",INDEX(Review!$AB$6:$AB$305,MATCH($A37,Review!$AD$6:$AD$305,0)))</f>
        <v/>
      </c>
      <c r="H37" s="38">
        <f>IF($A37="","",INDEX(Review!$AC$6:$AC$305,MATCH($A37,Review!$AD$6:$AD$305,0))&amp;"")</f>
        <v/>
      </c>
      <c r="I37" s="38">
        <f>IF($A37="","",INDEX(Review!$AE$6:$AE$305,MATCH($A37,Review!$AD$6:$AD$305,0)))</f>
        <v/>
      </c>
      <c r="J37" s="38">
        <f>IF($A37="","",IF(ISNUMBER(INDEX($B$6:$B$9,MATCH($D37,$A$6:$A$9,0))),IF($I37&lt;=INDEX($B$6:$B$9,MATCH($D37,$A$6:$A$9,0)),"Yes","No"),""))</f>
        <v/>
      </c>
    </row>
    <row r="38">
      <c r="A38" s="38">
        <f>IF(ISNUMBER(MATCH(26,Review!$AD$6:$AD$305,0)),26,"")</f>
        <v/>
      </c>
      <c r="B38" s="10">
        <f>IF($A38="","",INDEX(Review!$B$6:$B$305,MATCH($A38,Review!$AD$6:$AD$305,0))&amp;"")</f>
        <v/>
      </c>
      <c r="C38" s="31">
        <f>IF($A38="","",INDEX(Review!$D$6:$D$305,MATCH($A38,Review!$AD$6:$AD$305,0))&amp;"")</f>
        <v/>
      </c>
      <c r="D38" s="31">
        <f>IF($A38="","",INDEX(Review!$E$6:$E$305,MATCH($A38,Review!$AD$6:$AD$305,0))&amp;"")</f>
        <v/>
      </c>
      <c r="E38" s="31">
        <f>IF($A38="","",INDEX(Review!$F$6:$F$305,MATCH($A38,Review!$AD$6:$AD$305,0))&amp;"")</f>
        <v/>
      </c>
      <c r="F38" s="34">
        <f>IF($A38="","",INDEX(Review!$AA$6:$AA$305,MATCH($A38,Review!$AD$6:$AD$305,0)))</f>
        <v/>
      </c>
      <c r="G38" s="38">
        <f>IF($A38="","",INDEX(Review!$AB$6:$AB$305,MATCH($A38,Review!$AD$6:$AD$305,0)))</f>
        <v/>
      </c>
      <c r="H38" s="38">
        <f>IF($A38="","",INDEX(Review!$AC$6:$AC$305,MATCH($A38,Review!$AD$6:$AD$305,0))&amp;"")</f>
        <v/>
      </c>
      <c r="I38" s="38">
        <f>IF($A38="","",INDEX(Review!$AE$6:$AE$305,MATCH($A38,Review!$AD$6:$AD$305,0)))</f>
        <v/>
      </c>
      <c r="J38" s="38">
        <f>IF($A38="","",IF(ISNUMBER(INDEX($B$6:$B$9,MATCH($D38,$A$6:$A$9,0))),IF($I38&lt;=INDEX($B$6:$B$9,MATCH($D38,$A$6:$A$9,0)),"Yes","No"),""))</f>
        <v/>
      </c>
    </row>
    <row r="39">
      <c r="A39" s="38">
        <f>IF(ISNUMBER(MATCH(27,Review!$AD$6:$AD$305,0)),27,"")</f>
        <v/>
      </c>
      <c r="B39" s="10">
        <f>IF($A39="","",INDEX(Review!$B$6:$B$305,MATCH($A39,Review!$AD$6:$AD$305,0))&amp;"")</f>
        <v/>
      </c>
      <c r="C39" s="31">
        <f>IF($A39="","",INDEX(Review!$D$6:$D$305,MATCH($A39,Review!$AD$6:$AD$305,0))&amp;"")</f>
        <v/>
      </c>
      <c r="D39" s="31">
        <f>IF($A39="","",INDEX(Review!$E$6:$E$305,MATCH($A39,Review!$AD$6:$AD$305,0))&amp;"")</f>
        <v/>
      </c>
      <c r="E39" s="31">
        <f>IF($A39="","",INDEX(Review!$F$6:$F$305,MATCH($A39,Review!$AD$6:$AD$305,0))&amp;"")</f>
        <v/>
      </c>
      <c r="F39" s="34">
        <f>IF($A39="","",INDEX(Review!$AA$6:$AA$305,MATCH($A39,Review!$AD$6:$AD$305,0)))</f>
        <v/>
      </c>
      <c r="G39" s="38">
        <f>IF($A39="","",INDEX(Review!$AB$6:$AB$305,MATCH($A39,Review!$AD$6:$AD$305,0)))</f>
        <v/>
      </c>
      <c r="H39" s="38">
        <f>IF($A39="","",INDEX(Review!$AC$6:$AC$305,MATCH($A39,Review!$AD$6:$AD$305,0))&amp;"")</f>
        <v/>
      </c>
      <c r="I39" s="38">
        <f>IF($A39="","",INDEX(Review!$AE$6:$AE$305,MATCH($A39,Review!$AD$6:$AD$305,0)))</f>
        <v/>
      </c>
      <c r="J39" s="38">
        <f>IF($A39="","",IF(ISNUMBER(INDEX($B$6:$B$9,MATCH($D39,$A$6:$A$9,0))),IF($I39&lt;=INDEX($B$6:$B$9,MATCH($D39,$A$6:$A$9,0)),"Yes","No"),""))</f>
        <v/>
      </c>
    </row>
    <row r="40">
      <c r="A40" s="38">
        <f>IF(ISNUMBER(MATCH(28,Review!$AD$6:$AD$305,0)),28,"")</f>
        <v/>
      </c>
      <c r="B40" s="10">
        <f>IF($A40="","",INDEX(Review!$B$6:$B$305,MATCH($A40,Review!$AD$6:$AD$305,0))&amp;"")</f>
        <v/>
      </c>
      <c r="C40" s="31">
        <f>IF($A40="","",INDEX(Review!$D$6:$D$305,MATCH($A40,Review!$AD$6:$AD$305,0))&amp;"")</f>
        <v/>
      </c>
      <c r="D40" s="31">
        <f>IF($A40="","",INDEX(Review!$E$6:$E$305,MATCH($A40,Review!$AD$6:$AD$305,0))&amp;"")</f>
        <v/>
      </c>
      <c r="E40" s="31">
        <f>IF($A40="","",INDEX(Review!$F$6:$F$305,MATCH($A40,Review!$AD$6:$AD$305,0))&amp;"")</f>
        <v/>
      </c>
      <c r="F40" s="34">
        <f>IF($A40="","",INDEX(Review!$AA$6:$AA$305,MATCH($A40,Review!$AD$6:$AD$305,0)))</f>
        <v/>
      </c>
      <c r="G40" s="38">
        <f>IF($A40="","",INDEX(Review!$AB$6:$AB$305,MATCH($A40,Review!$AD$6:$AD$305,0)))</f>
        <v/>
      </c>
      <c r="H40" s="38">
        <f>IF($A40="","",INDEX(Review!$AC$6:$AC$305,MATCH($A40,Review!$AD$6:$AD$305,0))&amp;"")</f>
        <v/>
      </c>
      <c r="I40" s="38">
        <f>IF($A40="","",INDEX(Review!$AE$6:$AE$305,MATCH($A40,Review!$AD$6:$AD$305,0)))</f>
        <v/>
      </c>
      <c r="J40" s="38">
        <f>IF($A40="","",IF(ISNUMBER(INDEX($B$6:$B$9,MATCH($D40,$A$6:$A$9,0))),IF($I40&lt;=INDEX($B$6:$B$9,MATCH($D40,$A$6:$A$9,0)),"Yes","No"),""))</f>
        <v/>
      </c>
    </row>
    <row r="41">
      <c r="A41" s="38">
        <f>IF(ISNUMBER(MATCH(29,Review!$AD$6:$AD$305,0)),29,"")</f>
        <v/>
      </c>
      <c r="B41" s="10">
        <f>IF($A41="","",INDEX(Review!$B$6:$B$305,MATCH($A41,Review!$AD$6:$AD$305,0))&amp;"")</f>
        <v/>
      </c>
      <c r="C41" s="31">
        <f>IF($A41="","",INDEX(Review!$D$6:$D$305,MATCH($A41,Review!$AD$6:$AD$305,0))&amp;"")</f>
        <v/>
      </c>
      <c r="D41" s="31">
        <f>IF($A41="","",INDEX(Review!$E$6:$E$305,MATCH($A41,Review!$AD$6:$AD$305,0))&amp;"")</f>
        <v/>
      </c>
      <c r="E41" s="31">
        <f>IF($A41="","",INDEX(Review!$F$6:$F$305,MATCH($A41,Review!$AD$6:$AD$305,0))&amp;"")</f>
        <v/>
      </c>
      <c r="F41" s="34">
        <f>IF($A41="","",INDEX(Review!$AA$6:$AA$305,MATCH($A41,Review!$AD$6:$AD$305,0)))</f>
        <v/>
      </c>
      <c r="G41" s="38">
        <f>IF($A41="","",INDEX(Review!$AB$6:$AB$305,MATCH($A41,Review!$AD$6:$AD$305,0)))</f>
        <v/>
      </c>
      <c r="H41" s="38">
        <f>IF($A41="","",INDEX(Review!$AC$6:$AC$305,MATCH($A41,Review!$AD$6:$AD$305,0))&amp;"")</f>
        <v/>
      </c>
      <c r="I41" s="38">
        <f>IF($A41="","",INDEX(Review!$AE$6:$AE$305,MATCH($A41,Review!$AD$6:$AD$305,0)))</f>
        <v/>
      </c>
      <c r="J41" s="38">
        <f>IF($A41="","",IF(ISNUMBER(INDEX($B$6:$B$9,MATCH($D41,$A$6:$A$9,0))),IF($I41&lt;=INDEX($B$6:$B$9,MATCH($D41,$A$6:$A$9,0)),"Yes","No"),""))</f>
        <v/>
      </c>
    </row>
    <row r="42">
      <c r="A42" s="38">
        <f>IF(ISNUMBER(MATCH(30,Review!$AD$6:$AD$305,0)),30,"")</f>
        <v/>
      </c>
      <c r="B42" s="10">
        <f>IF($A42="","",INDEX(Review!$B$6:$B$305,MATCH($A42,Review!$AD$6:$AD$305,0))&amp;"")</f>
        <v/>
      </c>
      <c r="C42" s="31">
        <f>IF($A42="","",INDEX(Review!$D$6:$D$305,MATCH($A42,Review!$AD$6:$AD$305,0))&amp;"")</f>
        <v/>
      </c>
      <c r="D42" s="31">
        <f>IF($A42="","",INDEX(Review!$E$6:$E$305,MATCH($A42,Review!$AD$6:$AD$305,0))&amp;"")</f>
        <v/>
      </c>
      <c r="E42" s="31">
        <f>IF($A42="","",INDEX(Review!$F$6:$F$305,MATCH($A42,Review!$AD$6:$AD$305,0))&amp;"")</f>
        <v/>
      </c>
      <c r="F42" s="34">
        <f>IF($A42="","",INDEX(Review!$AA$6:$AA$305,MATCH($A42,Review!$AD$6:$AD$305,0)))</f>
        <v/>
      </c>
      <c r="G42" s="38">
        <f>IF($A42="","",INDEX(Review!$AB$6:$AB$305,MATCH($A42,Review!$AD$6:$AD$305,0)))</f>
        <v/>
      </c>
      <c r="H42" s="38">
        <f>IF($A42="","",INDEX(Review!$AC$6:$AC$305,MATCH($A42,Review!$AD$6:$AD$305,0))&amp;"")</f>
        <v/>
      </c>
      <c r="I42" s="38">
        <f>IF($A42="","",INDEX(Review!$AE$6:$AE$305,MATCH($A42,Review!$AD$6:$AD$305,0)))</f>
        <v/>
      </c>
      <c r="J42" s="38">
        <f>IF($A42="","",IF(ISNUMBER(INDEX($B$6:$B$9,MATCH($D42,$A$6:$A$9,0))),IF($I42&lt;=INDEX($B$6:$B$9,MATCH($D42,$A$6:$A$9,0)),"Yes","No"),""))</f>
        <v/>
      </c>
    </row>
    <row r="43">
      <c r="A43" s="38">
        <f>IF(ISNUMBER(MATCH(31,Review!$AD$6:$AD$305,0)),31,"")</f>
        <v/>
      </c>
      <c r="B43" s="10">
        <f>IF($A43="","",INDEX(Review!$B$6:$B$305,MATCH($A43,Review!$AD$6:$AD$305,0))&amp;"")</f>
        <v/>
      </c>
      <c r="C43" s="31">
        <f>IF($A43="","",INDEX(Review!$D$6:$D$305,MATCH($A43,Review!$AD$6:$AD$305,0))&amp;"")</f>
        <v/>
      </c>
      <c r="D43" s="31">
        <f>IF($A43="","",INDEX(Review!$E$6:$E$305,MATCH($A43,Review!$AD$6:$AD$305,0))&amp;"")</f>
        <v/>
      </c>
      <c r="E43" s="31">
        <f>IF($A43="","",INDEX(Review!$F$6:$F$305,MATCH($A43,Review!$AD$6:$AD$305,0))&amp;"")</f>
        <v/>
      </c>
      <c r="F43" s="34">
        <f>IF($A43="","",INDEX(Review!$AA$6:$AA$305,MATCH($A43,Review!$AD$6:$AD$305,0)))</f>
        <v/>
      </c>
      <c r="G43" s="38">
        <f>IF($A43="","",INDEX(Review!$AB$6:$AB$305,MATCH($A43,Review!$AD$6:$AD$305,0)))</f>
        <v/>
      </c>
      <c r="H43" s="38">
        <f>IF($A43="","",INDEX(Review!$AC$6:$AC$305,MATCH($A43,Review!$AD$6:$AD$305,0))&amp;"")</f>
        <v/>
      </c>
      <c r="I43" s="38">
        <f>IF($A43="","",INDEX(Review!$AE$6:$AE$305,MATCH($A43,Review!$AD$6:$AD$305,0)))</f>
        <v/>
      </c>
      <c r="J43" s="38">
        <f>IF($A43="","",IF(ISNUMBER(INDEX($B$6:$B$9,MATCH($D43,$A$6:$A$9,0))),IF($I43&lt;=INDEX($B$6:$B$9,MATCH($D43,$A$6:$A$9,0)),"Yes","No"),""))</f>
        <v/>
      </c>
    </row>
    <row r="44">
      <c r="A44" s="38">
        <f>IF(ISNUMBER(MATCH(32,Review!$AD$6:$AD$305,0)),32,"")</f>
        <v/>
      </c>
      <c r="B44" s="10">
        <f>IF($A44="","",INDEX(Review!$B$6:$B$305,MATCH($A44,Review!$AD$6:$AD$305,0))&amp;"")</f>
        <v/>
      </c>
      <c r="C44" s="31">
        <f>IF($A44="","",INDEX(Review!$D$6:$D$305,MATCH($A44,Review!$AD$6:$AD$305,0))&amp;"")</f>
        <v/>
      </c>
      <c r="D44" s="31">
        <f>IF($A44="","",INDEX(Review!$E$6:$E$305,MATCH($A44,Review!$AD$6:$AD$305,0))&amp;"")</f>
        <v/>
      </c>
      <c r="E44" s="31">
        <f>IF($A44="","",INDEX(Review!$F$6:$F$305,MATCH($A44,Review!$AD$6:$AD$305,0))&amp;"")</f>
        <v/>
      </c>
      <c r="F44" s="34">
        <f>IF($A44="","",INDEX(Review!$AA$6:$AA$305,MATCH($A44,Review!$AD$6:$AD$305,0)))</f>
        <v/>
      </c>
      <c r="G44" s="38">
        <f>IF($A44="","",INDEX(Review!$AB$6:$AB$305,MATCH($A44,Review!$AD$6:$AD$305,0)))</f>
        <v/>
      </c>
      <c r="H44" s="38">
        <f>IF($A44="","",INDEX(Review!$AC$6:$AC$305,MATCH($A44,Review!$AD$6:$AD$305,0))&amp;"")</f>
        <v/>
      </c>
      <c r="I44" s="38">
        <f>IF($A44="","",INDEX(Review!$AE$6:$AE$305,MATCH($A44,Review!$AD$6:$AD$305,0)))</f>
        <v/>
      </c>
      <c r="J44" s="38">
        <f>IF($A44="","",IF(ISNUMBER(INDEX($B$6:$B$9,MATCH($D44,$A$6:$A$9,0))),IF($I44&lt;=INDEX($B$6:$B$9,MATCH($D44,$A$6:$A$9,0)),"Yes","No"),""))</f>
        <v/>
      </c>
    </row>
    <row r="45">
      <c r="A45" s="38">
        <f>IF(ISNUMBER(MATCH(33,Review!$AD$6:$AD$305,0)),33,"")</f>
        <v/>
      </c>
      <c r="B45" s="10">
        <f>IF($A45="","",INDEX(Review!$B$6:$B$305,MATCH($A45,Review!$AD$6:$AD$305,0))&amp;"")</f>
        <v/>
      </c>
      <c r="C45" s="31">
        <f>IF($A45="","",INDEX(Review!$D$6:$D$305,MATCH($A45,Review!$AD$6:$AD$305,0))&amp;"")</f>
        <v/>
      </c>
      <c r="D45" s="31">
        <f>IF($A45="","",INDEX(Review!$E$6:$E$305,MATCH($A45,Review!$AD$6:$AD$305,0))&amp;"")</f>
        <v/>
      </c>
      <c r="E45" s="31">
        <f>IF($A45="","",INDEX(Review!$F$6:$F$305,MATCH($A45,Review!$AD$6:$AD$305,0))&amp;"")</f>
        <v/>
      </c>
      <c r="F45" s="34">
        <f>IF($A45="","",INDEX(Review!$AA$6:$AA$305,MATCH($A45,Review!$AD$6:$AD$305,0)))</f>
        <v/>
      </c>
      <c r="G45" s="38">
        <f>IF($A45="","",INDEX(Review!$AB$6:$AB$305,MATCH($A45,Review!$AD$6:$AD$305,0)))</f>
        <v/>
      </c>
      <c r="H45" s="38">
        <f>IF($A45="","",INDEX(Review!$AC$6:$AC$305,MATCH($A45,Review!$AD$6:$AD$305,0))&amp;"")</f>
        <v/>
      </c>
      <c r="I45" s="38">
        <f>IF($A45="","",INDEX(Review!$AE$6:$AE$305,MATCH($A45,Review!$AD$6:$AD$305,0)))</f>
        <v/>
      </c>
      <c r="J45" s="38">
        <f>IF($A45="","",IF(ISNUMBER(INDEX($B$6:$B$9,MATCH($D45,$A$6:$A$9,0))),IF($I45&lt;=INDEX($B$6:$B$9,MATCH($D45,$A$6:$A$9,0)),"Yes","No"),""))</f>
        <v/>
      </c>
    </row>
    <row r="46">
      <c r="A46" s="38">
        <f>IF(ISNUMBER(MATCH(34,Review!$AD$6:$AD$305,0)),34,"")</f>
        <v/>
      </c>
      <c r="B46" s="10">
        <f>IF($A46="","",INDEX(Review!$B$6:$B$305,MATCH($A46,Review!$AD$6:$AD$305,0))&amp;"")</f>
        <v/>
      </c>
      <c r="C46" s="31">
        <f>IF($A46="","",INDEX(Review!$D$6:$D$305,MATCH($A46,Review!$AD$6:$AD$305,0))&amp;"")</f>
        <v/>
      </c>
      <c r="D46" s="31">
        <f>IF($A46="","",INDEX(Review!$E$6:$E$305,MATCH($A46,Review!$AD$6:$AD$305,0))&amp;"")</f>
        <v/>
      </c>
      <c r="E46" s="31">
        <f>IF($A46="","",INDEX(Review!$F$6:$F$305,MATCH($A46,Review!$AD$6:$AD$305,0))&amp;"")</f>
        <v/>
      </c>
      <c r="F46" s="34">
        <f>IF($A46="","",INDEX(Review!$AA$6:$AA$305,MATCH($A46,Review!$AD$6:$AD$305,0)))</f>
        <v/>
      </c>
      <c r="G46" s="38">
        <f>IF($A46="","",INDEX(Review!$AB$6:$AB$305,MATCH($A46,Review!$AD$6:$AD$305,0)))</f>
        <v/>
      </c>
      <c r="H46" s="38">
        <f>IF($A46="","",INDEX(Review!$AC$6:$AC$305,MATCH($A46,Review!$AD$6:$AD$305,0))&amp;"")</f>
        <v/>
      </c>
      <c r="I46" s="38">
        <f>IF($A46="","",INDEX(Review!$AE$6:$AE$305,MATCH($A46,Review!$AD$6:$AD$305,0)))</f>
        <v/>
      </c>
      <c r="J46" s="38">
        <f>IF($A46="","",IF(ISNUMBER(INDEX($B$6:$B$9,MATCH($D46,$A$6:$A$9,0))),IF($I46&lt;=INDEX($B$6:$B$9,MATCH($D46,$A$6:$A$9,0)),"Yes","No"),""))</f>
        <v/>
      </c>
    </row>
    <row r="47">
      <c r="A47" s="38">
        <f>IF(ISNUMBER(MATCH(35,Review!$AD$6:$AD$305,0)),35,"")</f>
        <v/>
      </c>
      <c r="B47" s="10">
        <f>IF($A47="","",INDEX(Review!$B$6:$B$305,MATCH($A47,Review!$AD$6:$AD$305,0))&amp;"")</f>
        <v/>
      </c>
      <c r="C47" s="31">
        <f>IF($A47="","",INDEX(Review!$D$6:$D$305,MATCH($A47,Review!$AD$6:$AD$305,0))&amp;"")</f>
        <v/>
      </c>
      <c r="D47" s="31">
        <f>IF($A47="","",INDEX(Review!$E$6:$E$305,MATCH($A47,Review!$AD$6:$AD$305,0))&amp;"")</f>
        <v/>
      </c>
      <c r="E47" s="31">
        <f>IF($A47="","",INDEX(Review!$F$6:$F$305,MATCH($A47,Review!$AD$6:$AD$305,0))&amp;"")</f>
        <v/>
      </c>
      <c r="F47" s="34">
        <f>IF($A47="","",INDEX(Review!$AA$6:$AA$305,MATCH($A47,Review!$AD$6:$AD$305,0)))</f>
        <v/>
      </c>
      <c r="G47" s="38">
        <f>IF($A47="","",INDEX(Review!$AB$6:$AB$305,MATCH($A47,Review!$AD$6:$AD$305,0)))</f>
        <v/>
      </c>
      <c r="H47" s="38">
        <f>IF($A47="","",INDEX(Review!$AC$6:$AC$305,MATCH($A47,Review!$AD$6:$AD$305,0))&amp;"")</f>
        <v/>
      </c>
      <c r="I47" s="38">
        <f>IF($A47="","",INDEX(Review!$AE$6:$AE$305,MATCH($A47,Review!$AD$6:$AD$305,0)))</f>
        <v/>
      </c>
      <c r="J47" s="38">
        <f>IF($A47="","",IF(ISNUMBER(INDEX($B$6:$B$9,MATCH($D47,$A$6:$A$9,0))),IF($I47&lt;=INDEX($B$6:$B$9,MATCH($D47,$A$6:$A$9,0)),"Yes","No"),""))</f>
        <v/>
      </c>
    </row>
    <row r="48">
      <c r="A48" s="38">
        <f>IF(ISNUMBER(MATCH(36,Review!$AD$6:$AD$305,0)),36,"")</f>
        <v/>
      </c>
      <c r="B48" s="10">
        <f>IF($A48="","",INDEX(Review!$B$6:$B$305,MATCH($A48,Review!$AD$6:$AD$305,0))&amp;"")</f>
        <v/>
      </c>
      <c r="C48" s="31">
        <f>IF($A48="","",INDEX(Review!$D$6:$D$305,MATCH($A48,Review!$AD$6:$AD$305,0))&amp;"")</f>
        <v/>
      </c>
      <c r="D48" s="31">
        <f>IF($A48="","",INDEX(Review!$E$6:$E$305,MATCH($A48,Review!$AD$6:$AD$305,0))&amp;"")</f>
        <v/>
      </c>
      <c r="E48" s="31">
        <f>IF($A48="","",INDEX(Review!$F$6:$F$305,MATCH($A48,Review!$AD$6:$AD$305,0))&amp;"")</f>
        <v/>
      </c>
      <c r="F48" s="34">
        <f>IF($A48="","",INDEX(Review!$AA$6:$AA$305,MATCH($A48,Review!$AD$6:$AD$305,0)))</f>
        <v/>
      </c>
      <c r="G48" s="38">
        <f>IF($A48="","",INDEX(Review!$AB$6:$AB$305,MATCH($A48,Review!$AD$6:$AD$305,0)))</f>
        <v/>
      </c>
      <c r="H48" s="38">
        <f>IF($A48="","",INDEX(Review!$AC$6:$AC$305,MATCH($A48,Review!$AD$6:$AD$305,0))&amp;"")</f>
        <v/>
      </c>
      <c r="I48" s="38">
        <f>IF($A48="","",INDEX(Review!$AE$6:$AE$305,MATCH($A48,Review!$AD$6:$AD$305,0)))</f>
        <v/>
      </c>
      <c r="J48" s="38">
        <f>IF($A48="","",IF(ISNUMBER(INDEX($B$6:$B$9,MATCH($D48,$A$6:$A$9,0))),IF($I48&lt;=INDEX($B$6:$B$9,MATCH($D48,$A$6:$A$9,0)),"Yes","No"),""))</f>
        <v/>
      </c>
    </row>
    <row r="49">
      <c r="A49" s="38">
        <f>IF(ISNUMBER(MATCH(37,Review!$AD$6:$AD$305,0)),37,"")</f>
        <v/>
      </c>
      <c r="B49" s="10">
        <f>IF($A49="","",INDEX(Review!$B$6:$B$305,MATCH($A49,Review!$AD$6:$AD$305,0))&amp;"")</f>
        <v/>
      </c>
      <c r="C49" s="31">
        <f>IF($A49="","",INDEX(Review!$D$6:$D$305,MATCH($A49,Review!$AD$6:$AD$305,0))&amp;"")</f>
        <v/>
      </c>
      <c r="D49" s="31">
        <f>IF($A49="","",INDEX(Review!$E$6:$E$305,MATCH($A49,Review!$AD$6:$AD$305,0))&amp;"")</f>
        <v/>
      </c>
      <c r="E49" s="31">
        <f>IF($A49="","",INDEX(Review!$F$6:$F$305,MATCH($A49,Review!$AD$6:$AD$305,0))&amp;"")</f>
        <v/>
      </c>
      <c r="F49" s="34">
        <f>IF($A49="","",INDEX(Review!$AA$6:$AA$305,MATCH($A49,Review!$AD$6:$AD$305,0)))</f>
        <v/>
      </c>
      <c r="G49" s="38">
        <f>IF($A49="","",INDEX(Review!$AB$6:$AB$305,MATCH($A49,Review!$AD$6:$AD$305,0)))</f>
        <v/>
      </c>
      <c r="H49" s="38">
        <f>IF($A49="","",INDEX(Review!$AC$6:$AC$305,MATCH($A49,Review!$AD$6:$AD$305,0))&amp;"")</f>
        <v/>
      </c>
      <c r="I49" s="38">
        <f>IF($A49="","",INDEX(Review!$AE$6:$AE$305,MATCH($A49,Review!$AD$6:$AD$305,0)))</f>
        <v/>
      </c>
      <c r="J49" s="38">
        <f>IF($A49="","",IF(ISNUMBER(INDEX($B$6:$B$9,MATCH($D49,$A$6:$A$9,0))),IF($I49&lt;=INDEX($B$6:$B$9,MATCH($D49,$A$6:$A$9,0)),"Yes","No"),""))</f>
        <v/>
      </c>
    </row>
    <row r="50">
      <c r="A50" s="38">
        <f>IF(ISNUMBER(MATCH(38,Review!$AD$6:$AD$305,0)),38,"")</f>
        <v/>
      </c>
      <c r="B50" s="10">
        <f>IF($A50="","",INDEX(Review!$B$6:$B$305,MATCH($A50,Review!$AD$6:$AD$305,0))&amp;"")</f>
        <v/>
      </c>
      <c r="C50" s="31">
        <f>IF($A50="","",INDEX(Review!$D$6:$D$305,MATCH($A50,Review!$AD$6:$AD$305,0))&amp;"")</f>
        <v/>
      </c>
      <c r="D50" s="31">
        <f>IF($A50="","",INDEX(Review!$E$6:$E$305,MATCH($A50,Review!$AD$6:$AD$305,0))&amp;"")</f>
        <v/>
      </c>
      <c r="E50" s="31">
        <f>IF($A50="","",INDEX(Review!$F$6:$F$305,MATCH($A50,Review!$AD$6:$AD$305,0))&amp;"")</f>
        <v/>
      </c>
      <c r="F50" s="34">
        <f>IF($A50="","",INDEX(Review!$AA$6:$AA$305,MATCH($A50,Review!$AD$6:$AD$305,0)))</f>
        <v/>
      </c>
      <c r="G50" s="38">
        <f>IF($A50="","",INDEX(Review!$AB$6:$AB$305,MATCH($A50,Review!$AD$6:$AD$305,0)))</f>
        <v/>
      </c>
      <c r="H50" s="38">
        <f>IF($A50="","",INDEX(Review!$AC$6:$AC$305,MATCH($A50,Review!$AD$6:$AD$305,0))&amp;"")</f>
        <v/>
      </c>
      <c r="I50" s="38">
        <f>IF($A50="","",INDEX(Review!$AE$6:$AE$305,MATCH($A50,Review!$AD$6:$AD$305,0)))</f>
        <v/>
      </c>
      <c r="J50" s="38">
        <f>IF($A50="","",IF(ISNUMBER(INDEX($B$6:$B$9,MATCH($D50,$A$6:$A$9,0))),IF($I50&lt;=INDEX($B$6:$B$9,MATCH($D50,$A$6:$A$9,0)),"Yes","No"),""))</f>
        <v/>
      </c>
    </row>
    <row r="51">
      <c r="A51" s="38">
        <f>IF(ISNUMBER(MATCH(39,Review!$AD$6:$AD$305,0)),39,"")</f>
        <v/>
      </c>
      <c r="B51" s="10">
        <f>IF($A51="","",INDEX(Review!$B$6:$B$305,MATCH($A51,Review!$AD$6:$AD$305,0))&amp;"")</f>
        <v/>
      </c>
      <c r="C51" s="31">
        <f>IF($A51="","",INDEX(Review!$D$6:$D$305,MATCH($A51,Review!$AD$6:$AD$305,0))&amp;"")</f>
        <v/>
      </c>
      <c r="D51" s="31">
        <f>IF($A51="","",INDEX(Review!$E$6:$E$305,MATCH($A51,Review!$AD$6:$AD$305,0))&amp;"")</f>
        <v/>
      </c>
      <c r="E51" s="31">
        <f>IF($A51="","",INDEX(Review!$F$6:$F$305,MATCH($A51,Review!$AD$6:$AD$305,0))&amp;"")</f>
        <v/>
      </c>
      <c r="F51" s="34">
        <f>IF($A51="","",INDEX(Review!$AA$6:$AA$305,MATCH($A51,Review!$AD$6:$AD$305,0)))</f>
        <v/>
      </c>
      <c r="G51" s="38">
        <f>IF($A51="","",INDEX(Review!$AB$6:$AB$305,MATCH($A51,Review!$AD$6:$AD$305,0)))</f>
        <v/>
      </c>
      <c r="H51" s="38">
        <f>IF($A51="","",INDEX(Review!$AC$6:$AC$305,MATCH($A51,Review!$AD$6:$AD$305,0))&amp;"")</f>
        <v/>
      </c>
      <c r="I51" s="38">
        <f>IF($A51="","",INDEX(Review!$AE$6:$AE$305,MATCH($A51,Review!$AD$6:$AD$305,0)))</f>
        <v/>
      </c>
      <c r="J51" s="38">
        <f>IF($A51="","",IF(ISNUMBER(INDEX($B$6:$B$9,MATCH($D51,$A$6:$A$9,0))),IF($I51&lt;=INDEX($B$6:$B$9,MATCH($D51,$A$6:$A$9,0)),"Yes","No"),""))</f>
        <v/>
      </c>
    </row>
    <row r="52">
      <c r="A52" s="38">
        <f>IF(ISNUMBER(MATCH(40,Review!$AD$6:$AD$305,0)),40,"")</f>
        <v/>
      </c>
      <c r="B52" s="10">
        <f>IF($A52="","",INDEX(Review!$B$6:$B$305,MATCH($A52,Review!$AD$6:$AD$305,0))&amp;"")</f>
        <v/>
      </c>
      <c r="C52" s="31">
        <f>IF($A52="","",INDEX(Review!$D$6:$D$305,MATCH($A52,Review!$AD$6:$AD$305,0))&amp;"")</f>
        <v/>
      </c>
      <c r="D52" s="31">
        <f>IF($A52="","",INDEX(Review!$E$6:$E$305,MATCH($A52,Review!$AD$6:$AD$305,0))&amp;"")</f>
        <v/>
      </c>
      <c r="E52" s="31">
        <f>IF($A52="","",INDEX(Review!$F$6:$F$305,MATCH($A52,Review!$AD$6:$AD$305,0))&amp;"")</f>
        <v/>
      </c>
      <c r="F52" s="34">
        <f>IF($A52="","",INDEX(Review!$AA$6:$AA$305,MATCH($A52,Review!$AD$6:$AD$305,0)))</f>
        <v/>
      </c>
      <c r="G52" s="38">
        <f>IF($A52="","",INDEX(Review!$AB$6:$AB$305,MATCH($A52,Review!$AD$6:$AD$305,0)))</f>
        <v/>
      </c>
      <c r="H52" s="38">
        <f>IF($A52="","",INDEX(Review!$AC$6:$AC$305,MATCH($A52,Review!$AD$6:$AD$305,0))&amp;"")</f>
        <v/>
      </c>
      <c r="I52" s="38">
        <f>IF($A52="","",INDEX(Review!$AE$6:$AE$305,MATCH($A52,Review!$AD$6:$AD$305,0)))</f>
        <v/>
      </c>
      <c r="J52" s="38">
        <f>IF($A52="","",IF(ISNUMBER(INDEX($B$6:$B$9,MATCH($D52,$A$6:$A$9,0))),IF($I52&lt;=INDEX($B$6:$B$9,MATCH($D52,$A$6:$A$9,0)),"Yes","No"),""))</f>
        <v/>
      </c>
    </row>
    <row r="53">
      <c r="A53" s="38">
        <f>IF(ISNUMBER(MATCH(41,Review!$AD$6:$AD$305,0)),41,"")</f>
        <v/>
      </c>
      <c r="B53" s="10">
        <f>IF($A53="","",INDEX(Review!$B$6:$B$305,MATCH($A53,Review!$AD$6:$AD$305,0))&amp;"")</f>
        <v/>
      </c>
      <c r="C53" s="31">
        <f>IF($A53="","",INDEX(Review!$D$6:$D$305,MATCH($A53,Review!$AD$6:$AD$305,0))&amp;"")</f>
        <v/>
      </c>
      <c r="D53" s="31">
        <f>IF($A53="","",INDEX(Review!$E$6:$E$305,MATCH($A53,Review!$AD$6:$AD$305,0))&amp;"")</f>
        <v/>
      </c>
      <c r="E53" s="31">
        <f>IF($A53="","",INDEX(Review!$F$6:$F$305,MATCH($A53,Review!$AD$6:$AD$305,0))&amp;"")</f>
        <v/>
      </c>
      <c r="F53" s="34">
        <f>IF($A53="","",INDEX(Review!$AA$6:$AA$305,MATCH($A53,Review!$AD$6:$AD$305,0)))</f>
        <v/>
      </c>
      <c r="G53" s="38">
        <f>IF($A53="","",INDEX(Review!$AB$6:$AB$305,MATCH($A53,Review!$AD$6:$AD$305,0)))</f>
        <v/>
      </c>
      <c r="H53" s="38">
        <f>IF($A53="","",INDEX(Review!$AC$6:$AC$305,MATCH($A53,Review!$AD$6:$AD$305,0))&amp;"")</f>
        <v/>
      </c>
      <c r="I53" s="38">
        <f>IF($A53="","",INDEX(Review!$AE$6:$AE$305,MATCH($A53,Review!$AD$6:$AD$305,0)))</f>
        <v/>
      </c>
      <c r="J53" s="38">
        <f>IF($A53="","",IF(ISNUMBER(INDEX($B$6:$B$9,MATCH($D53,$A$6:$A$9,0))),IF($I53&lt;=INDEX($B$6:$B$9,MATCH($D53,$A$6:$A$9,0)),"Yes","No"),""))</f>
        <v/>
      </c>
    </row>
    <row r="54">
      <c r="A54" s="38">
        <f>IF(ISNUMBER(MATCH(42,Review!$AD$6:$AD$305,0)),42,"")</f>
        <v/>
      </c>
      <c r="B54" s="10">
        <f>IF($A54="","",INDEX(Review!$B$6:$B$305,MATCH($A54,Review!$AD$6:$AD$305,0))&amp;"")</f>
        <v/>
      </c>
      <c r="C54" s="31">
        <f>IF($A54="","",INDEX(Review!$D$6:$D$305,MATCH($A54,Review!$AD$6:$AD$305,0))&amp;"")</f>
        <v/>
      </c>
      <c r="D54" s="31">
        <f>IF($A54="","",INDEX(Review!$E$6:$E$305,MATCH($A54,Review!$AD$6:$AD$305,0))&amp;"")</f>
        <v/>
      </c>
      <c r="E54" s="31">
        <f>IF($A54="","",INDEX(Review!$F$6:$F$305,MATCH($A54,Review!$AD$6:$AD$305,0))&amp;"")</f>
        <v/>
      </c>
      <c r="F54" s="34">
        <f>IF($A54="","",INDEX(Review!$AA$6:$AA$305,MATCH($A54,Review!$AD$6:$AD$305,0)))</f>
        <v/>
      </c>
      <c r="G54" s="38">
        <f>IF($A54="","",INDEX(Review!$AB$6:$AB$305,MATCH($A54,Review!$AD$6:$AD$305,0)))</f>
        <v/>
      </c>
      <c r="H54" s="38">
        <f>IF($A54="","",INDEX(Review!$AC$6:$AC$305,MATCH($A54,Review!$AD$6:$AD$305,0))&amp;"")</f>
        <v/>
      </c>
      <c r="I54" s="38">
        <f>IF($A54="","",INDEX(Review!$AE$6:$AE$305,MATCH($A54,Review!$AD$6:$AD$305,0)))</f>
        <v/>
      </c>
      <c r="J54" s="38">
        <f>IF($A54="","",IF(ISNUMBER(INDEX($B$6:$B$9,MATCH($D54,$A$6:$A$9,0))),IF($I54&lt;=INDEX($B$6:$B$9,MATCH($D54,$A$6:$A$9,0)),"Yes","No"),""))</f>
        <v/>
      </c>
    </row>
    <row r="55">
      <c r="A55" s="38">
        <f>IF(ISNUMBER(MATCH(43,Review!$AD$6:$AD$305,0)),43,"")</f>
        <v/>
      </c>
      <c r="B55" s="10">
        <f>IF($A55="","",INDEX(Review!$B$6:$B$305,MATCH($A55,Review!$AD$6:$AD$305,0))&amp;"")</f>
        <v/>
      </c>
      <c r="C55" s="31">
        <f>IF($A55="","",INDEX(Review!$D$6:$D$305,MATCH($A55,Review!$AD$6:$AD$305,0))&amp;"")</f>
        <v/>
      </c>
      <c r="D55" s="31">
        <f>IF($A55="","",INDEX(Review!$E$6:$E$305,MATCH($A55,Review!$AD$6:$AD$305,0))&amp;"")</f>
        <v/>
      </c>
      <c r="E55" s="31">
        <f>IF($A55="","",INDEX(Review!$F$6:$F$305,MATCH($A55,Review!$AD$6:$AD$305,0))&amp;"")</f>
        <v/>
      </c>
      <c r="F55" s="34">
        <f>IF($A55="","",INDEX(Review!$AA$6:$AA$305,MATCH($A55,Review!$AD$6:$AD$305,0)))</f>
        <v/>
      </c>
      <c r="G55" s="38">
        <f>IF($A55="","",INDEX(Review!$AB$6:$AB$305,MATCH($A55,Review!$AD$6:$AD$305,0)))</f>
        <v/>
      </c>
      <c r="H55" s="38">
        <f>IF($A55="","",INDEX(Review!$AC$6:$AC$305,MATCH($A55,Review!$AD$6:$AD$305,0))&amp;"")</f>
        <v/>
      </c>
      <c r="I55" s="38">
        <f>IF($A55="","",INDEX(Review!$AE$6:$AE$305,MATCH($A55,Review!$AD$6:$AD$305,0)))</f>
        <v/>
      </c>
      <c r="J55" s="38">
        <f>IF($A55="","",IF(ISNUMBER(INDEX($B$6:$B$9,MATCH($D55,$A$6:$A$9,0))),IF($I55&lt;=INDEX($B$6:$B$9,MATCH($D55,$A$6:$A$9,0)),"Yes","No"),""))</f>
        <v/>
      </c>
    </row>
    <row r="56">
      <c r="A56" s="38">
        <f>IF(ISNUMBER(MATCH(44,Review!$AD$6:$AD$305,0)),44,"")</f>
        <v/>
      </c>
      <c r="B56" s="10">
        <f>IF($A56="","",INDEX(Review!$B$6:$B$305,MATCH($A56,Review!$AD$6:$AD$305,0))&amp;"")</f>
        <v/>
      </c>
      <c r="C56" s="31">
        <f>IF($A56="","",INDEX(Review!$D$6:$D$305,MATCH($A56,Review!$AD$6:$AD$305,0))&amp;"")</f>
        <v/>
      </c>
      <c r="D56" s="31">
        <f>IF($A56="","",INDEX(Review!$E$6:$E$305,MATCH($A56,Review!$AD$6:$AD$305,0))&amp;"")</f>
        <v/>
      </c>
      <c r="E56" s="31">
        <f>IF($A56="","",INDEX(Review!$F$6:$F$305,MATCH($A56,Review!$AD$6:$AD$305,0))&amp;"")</f>
        <v/>
      </c>
      <c r="F56" s="34">
        <f>IF($A56="","",INDEX(Review!$AA$6:$AA$305,MATCH($A56,Review!$AD$6:$AD$305,0)))</f>
        <v/>
      </c>
      <c r="G56" s="38">
        <f>IF($A56="","",INDEX(Review!$AB$6:$AB$305,MATCH($A56,Review!$AD$6:$AD$305,0)))</f>
        <v/>
      </c>
      <c r="H56" s="38">
        <f>IF($A56="","",INDEX(Review!$AC$6:$AC$305,MATCH($A56,Review!$AD$6:$AD$305,0))&amp;"")</f>
        <v/>
      </c>
      <c r="I56" s="38">
        <f>IF($A56="","",INDEX(Review!$AE$6:$AE$305,MATCH($A56,Review!$AD$6:$AD$305,0)))</f>
        <v/>
      </c>
      <c r="J56" s="38">
        <f>IF($A56="","",IF(ISNUMBER(INDEX($B$6:$B$9,MATCH($D56,$A$6:$A$9,0))),IF($I56&lt;=INDEX($B$6:$B$9,MATCH($D56,$A$6:$A$9,0)),"Yes","No"),""))</f>
        <v/>
      </c>
    </row>
    <row r="57">
      <c r="A57" s="38">
        <f>IF(ISNUMBER(MATCH(45,Review!$AD$6:$AD$305,0)),45,"")</f>
        <v/>
      </c>
      <c r="B57" s="10">
        <f>IF($A57="","",INDEX(Review!$B$6:$B$305,MATCH($A57,Review!$AD$6:$AD$305,0))&amp;"")</f>
        <v/>
      </c>
      <c r="C57" s="31">
        <f>IF($A57="","",INDEX(Review!$D$6:$D$305,MATCH($A57,Review!$AD$6:$AD$305,0))&amp;"")</f>
        <v/>
      </c>
      <c r="D57" s="31">
        <f>IF($A57="","",INDEX(Review!$E$6:$E$305,MATCH($A57,Review!$AD$6:$AD$305,0))&amp;"")</f>
        <v/>
      </c>
      <c r="E57" s="31">
        <f>IF($A57="","",INDEX(Review!$F$6:$F$305,MATCH($A57,Review!$AD$6:$AD$305,0))&amp;"")</f>
        <v/>
      </c>
      <c r="F57" s="34">
        <f>IF($A57="","",INDEX(Review!$AA$6:$AA$305,MATCH($A57,Review!$AD$6:$AD$305,0)))</f>
        <v/>
      </c>
      <c r="G57" s="38">
        <f>IF($A57="","",INDEX(Review!$AB$6:$AB$305,MATCH($A57,Review!$AD$6:$AD$305,0)))</f>
        <v/>
      </c>
      <c r="H57" s="38">
        <f>IF($A57="","",INDEX(Review!$AC$6:$AC$305,MATCH($A57,Review!$AD$6:$AD$305,0))&amp;"")</f>
        <v/>
      </c>
      <c r="I57" s="38">
        <f>IF($A57="","",INDEX(Review!$AE$6:$AE$305,MATCH($A57,Review!$AD$6:$AD$305,0)))</f>
        <v/>
      </c>
      <c r="J57" s="38">
        <f>IF($A57="","",IF(ISNUMBER(INDEX($B$6:$B$9,MATCH($D57,$A$6:$A$9,0))),IF($I57&lt;=INDEX($B$6:$B$9,MATCH($D57,$A$6:$A$9,0)),"Yes","No"),""))</f>
        <v/>
      </c>
    </row>
    <row r="58">
      <c r="A58" s="38">
        <f>IF(ISNUMBER(MATCH(46,Review!$AD$6:$AD$305,0)),46,"")</f>
        <v/>
      </c>
      <c r="B58" s="10">
        <f>IF($A58="","",INDEX(Review!$B$6:$B$305,MATCH($A58,Review!$AD$6:$AD$305,0))&amp;"")</f>
        <v/>
      </c>
      <c r="C58" s="31">
        <f>IF($A58="","",INDEX(Review!$D$6:$D$305,MATCH($A58,Review!$AD$6:$AD$305,0))&amp;"")</f>
        <v/>
      </c>
      <c r="D58" s="31">
        <f>IF($A58="","",INDEX(Review!$E$6:$E$305,MATCH($A58,Review!$AD$6:$AD$305,0))&amp;"")</f>
        <v/>
      </c>
      <c r="E58" s="31">
        <f>IF($A58="","",INDEX(Review!$F$6:$F$305,MATCH($A58,Review!$AD$6:$AD$305,0))&amp;"")</f>
        <v/>
      </c>
      <c r="F58" s="34">
        <f>IF($A58="","",INDEX(Review!$AA$6:$AA$305,MATCH($A58,Review!$AD$6:$AD$305,0)))</f>
        <v/>
      </c>
      <c r="G58" s="38">
        <f>IF($A58="","",INDEX(Review!$AB$6:$AB$305,MATCH($A58,Review!$AD$6:$AD$305,0)))</f>
        <v/>
      </c>
      <c r="H58" s="38">
        <f>IF($A58="","",INDEX(Review!$AC$6:$AC$305,MATCH($A58,Review!$AD$6:$AD$305,0))&amp;"")</f>
        <v/>
      </c>
      <c r="I58" s="38">
        <f>IF($A58="","",INDEX(Review!$AE$6:$AE$305,MATCH($A58,Review!$AD$6:$AD$305,0)))</f>
        <v/>
      </c>
      <c r="J58" s="38">
        <f>IF($A58="","",IF(ISNUMBER(INDEX($B$6:$B$9,MATCH($D58,$A$6:$A$9,0))),IF($I58&lt;=INDEX($B$6:$B$9,MATCH($D58,$A$6:$A$9,0)),"Yes","No"),""))</f>
        <v/>
      </c>
    </row>
    <row r="59">
      <c r="A59" s="38">
        <f>IF(ISNUMBER(MATCH(47,Review!$AD$6:$AD$305,0)),47,"")</f>
        <v/>
      </c>
      <c r="B59" s="10">
        <f>IF($A59="","",INDEX(Review!$B$6:$B$305,MATCH($A59,Review!$AD$6:$AD$305,0))&amp;"")</f>
        <v/>
      </c>
      <c r="C59" s="31">
        <f>IF($A59="","",INDEX(Review!$D$6:$D$305,MATCH($A59,Review!$AD$6:$AD$305,0))&amp;"")</f>
        <v/>
      </c>
      <c r="D59" s="31">
        <f>IF($A59="","",INDEX(Review!$E$6:$E$305,MATCH($A59,Review!$AD$6:$AD$305,0))&amp;"")</f>
        <v/>
      </c>
      <c r="E59" s="31">
        <f>IF($A59="","",INDEX(Review!$F$6:$F$305,MATCH($A59,Review!$AD$6:$AD$305,0))&amp;"")</f>
        <v/>
      </c>
      <c r="F59" s="34">
        <f>IF($A59="","",INDEX(Review!$AA$6:$AA$305,MATCH($A59,Review!$AD$6:$AD$305,0)))</f>
        <v/>
      </c>
      <c r="G59" s="38">
        <f>IF($A59="","",INDEX(Review!$AB$6:$AB$305,MATCH($A59,Review!$AD$6:$AD$305,0)))</f>
        <v/>
      </c>
      <c r="H59" s="38">
        <f>IF($A59="","",INDEX(Review!$AC$6:$AC$305,MATCH($A59,Review!$AD$6:$AD$305,0))&amp;"")</f>
        <v/>
      </c>
      <c r="I59" s="38">
        <f>IF($A59="","",INDEX(Review!$AE$6:$AE$305,MATCH($A59,Review!$AD$6:$AD$305,0)))</f>
        <v/>
      </c>
      <c r="J59" s="38">
        <f>IF($A59="","",IF(ISNUMBER(INDEX($B$6:$B$9,MATCH($D59,$A$6:$A$9,0))),IF($I59&lt;=INDEX($B$6:$B$9,MATCH($D59,$A$6:$A$9,0)),"Yes","No"),""))</f>
        <v/>
      </c>
    </row>
    <row r="60">
      <c r="A60" s="38">
        <f>IF(ISNUMBER(MATCH(48,Review!$AD$6:$AD$305,0)),48,"")</f>
        <v/>
      </c>
      <c r="B60" s="10">
        <f>IF($A60="","",INDEX(Review!$B$6:$B$305,MATCH($A60,Review!$AD$6:$AD$305,0))&amp;"")</f>
        <v/>
      </c>
      <c r="C60" s="31">
        <f>IF($A60="","",INDEX(Review!$D$6:$D$305,MATCH($A60,Review!$AD$6:$AD$305,0))&amp;"")</f>
        <v/>
      </c>
      <c r="D60" s="31">
        <f>IF($A60="","",INDEX(Review!$E$6:$E$305,MATCH($A60,Review!$AD$6:$AD$305,0))&amp;"")</f>
        <v/>
      </c>
      <c r="E60" s="31">
        <f>IF($A60="","",INDEX(Review!$F$6:$F$305,MATCH($A60,Review!$AD$6:$AD$305,0))&amp;"")</f>
        <v/>
      </c>
      <c r="F60" s="34">
        <f>IF($A60="","",INDEX(Review!$AA$6:$AA$305,MATCH($A60,Review!$AD$6:$AD$305,0)))</f>
        <v/>
      </c>
      <c r="G60" s="38">
        <f>IF($A60="","",INDEX(Review!$AB$6:$AB$305,MATCH($A60,Review!$AD$6:$AD$305,0)))</f>
        <v/>
      </c>
      <c r="H60" s="38">
        <f>IF($A60="","",INDEX(Review!$AC$6:$AC$305,MATCH($A60,Review!$AD$6:$AD$305,0))&amp;"")</f>
        <v/>
      </c>
      <c r="I60" s="38">
        <f>IF($A60="","",INDEX(Review!$AE$6:$AE$305,MATCH($A60,Review!$AD$6:$AD$305,0)))</f>
        <v/>
      </c>
      <c r="J60" s="38">
        <f>IF($A60="","",IF(ISNUMBER(INDEX($B$6:$B$9,MATCH($D60,$A$6:$A$9,0))),IF($I60&lt;=INDEX($B$6:$B$9,MATCH($D60,$A$6:$A$9,0)),"Yes","No"),""))</f>
        <v/>
      </c>
    </row>
    <row r="61">
      <c r="A61" s="38">
        <f>IF(ISNUMBER(MATCH(49,Review!$AD$6:$AD$305,0)),49,"")</f>
        <v/>
      </c>
      <c r="B61" s="10">
        <f>IF($A61="","",INDEX(Review!$B$6:$B$305,MATCH($A61,Review!$AD$6:$AD$305,0))&amp;"")</f>
        <v/>
      </c>
      <c r="C61" s="31">
        <f>IF($A61="","",INDEX(Review!$D$6:$D$305,MATCH($A61,Review!$AD$6:$AD$305,0))&amp;"")</f>
        <v/>
      </c>
      <c r="D61" s="31">
        <f>IF($A61="","",INDEX(Review!$E$6:$E$305,MATCH($A61,Review!$AD$6:$AD$305,0))&amp;"")</f>
        <v/>
      </c>
      <c r="E61" s="31">
        <f>IF($A61="","",INDEX(Review!$F$6:$F$305,MATCH($A61,Review!$AD$6:$AD$305,0))&amp;"")</f>
        <v/>
      </c>
      <c r="F61" s="34">
        <f>IF($A61="","",INDEX(Review!$AA$6:$AA$305,MATCH($A61,Review!$AD$6:$AD$305,0)))</f>
        <v/>
      </c>
      <c r="G61" s="38">
        <f>IF($A61="","",INDEX(Review!$AB$6:$AB$305,MATCH($A61,Review!$AD$6:$AD$305,0)))</f>
        <v/>
      </c>
      <c r="H61" s="38">
        <f>IF($A61="","",INDEX(Review!$AC$6:$AC$305,MATCH($A61,Review!$AD$6:$AD$305,0))&amp;"")</f>
        <v/>
      </c>
      <c r="I61" s="38">
        <f>IF($A61="","",INDEX(Review!$AE$6:$AE$305,MATCH($A61,Review!$AD$6:$AD$305,0)))</f>
        <v/>
      </c>
      <c r="J61" s="38">
        <f>IF($A61="","",IF(ISNUMBER(INDEX($B$6:$B$9,MATCH($D61,$A$6:$A$9,0))),IF($I61&lt;=INDEX($B$6:$B$9,MATCH($D61,$A$6:$A$9,0)),"Yes","No"),""))</f>
        <v/>
      </c>
    </row>
    <row r="62">
      <c r="A62" s="38">
        <f>IF(ISNUMBER(MATCH(50,Review!$AD$6:$AD$305,0)),50,"")</f>
        <v/>
      </c>
      <c r="B62" s="10">
        <f>IF($A62="","",INDEX(Review!$B$6:$B$305,MATCH($A62,Review!$AD$6:$AD$305,0))&amp;"")</f>
        <v/>
      </c>
      <c r="C62" s="31">
        <f>IF($A62="","",INDEX(Review!$D$6:$D$305,MATCH($A62,Review!$AD$6:$AD$305,0))&amp;"")</f>
        <v/>
      </c>
      <c r="D62" s="31">
        <f>IF($A62="","",INDEX(Review!$E$6:$E$305,MATCH($A62,Review!$AD$6:$AD$305,0))&amp;"")</f>
        <v/>
      </c>
      <c r="E62" s="31">
        <f>IF($A62="","",INDEX(Review!$F$6:$F$305,MATCH($A62,Review!$AD$6:$AD$305,0))&amp;"")</f>
        <v/>
      </c>
      <c r="F62" s="34">
        <f>IF($A62="","",INDEX(Review!$AA$6:$AA$305,MATCH($A62,Review!$AD$6:$AD$305,0)))</f>
        <v/>
      </c>
      <c r="G62" s="38">
        <f>IF($A62="","",INDEX(Review!$AB$6:$AB$305,MATCH($A62,Review!$AD$6:$AD$305,0)))</f>
        <v/>
      </c>
      <c r="H62" s="38">
        <f>IF($A62="","",INDEX(Review!$AC$6:$AC$305,MATCH($A62,Review!$AD$6:$AD$305,0))&amp;"")</f>
        <v/>
      </c>
      <c r="I62" s="38">
        <f>IF($A62="","",INDEX(Review!$AE$6:$AE$305,MATCH($A62,Review!$AD$6:$AD$305,0)))</f>
        <v/>
      </c>
      <c r="J62" s="38">
        <f>IF($A62="","",IF(ISNUMBER(INDEX($B$6:$B$9,MATCH($D62,$A$6:$A$9,0))),IF($I62&lt;=INDEX($B$6:$B$9,MATCH($D62,$A$6:$A$9,0)),"Yes","No"),""))</f>
        <v/>
      </c>
    </row>
    <row r="63">
      <c r="A63" s="38">
        <f>IF(ISNUMBER(MATCH(51,Review!$AD$6:$AD$305,0)),51,"")</f>
        <v/>
      </c>
      <c r="B63" s="10">
        <f>IF($A63="","",INDEX(Review!$B$6:$B$305,MATCH($A63,Review!$AD$6:$AD$305,0))&amp;"")</f>
        <v/>
      </c>
      <c r="C63" s="31">
        <f>IF($A63="","",INDEX(Review!$D$6:$D$305,MATCH($A63,Review!$AD$6:$AD$305,0))&amp;"")</f>
        <v/>
      </c>
      <c r="D63" s="31">
        <f>IF($A63="","",INDEX(Review!$E$6:$E$305,MATCH($A63,Review!$AD$6:$AD$305,0))&amp;"")</f>
        <v/>
      </c>
      <c r="E63" s="31">
        <f>IF($A63="","",INDEX(Review!$F$6:$F$305,MATCH($A63,Review!$AD$6:$AD$305,0))&amp;"")</f>
        <v/>
      </c>
      <c r="F63" s="34">
        <f>IF($A63="","",INDEX(Review!$AA$6:$AA$305,MATCH($A63,Review!$AD$6:$AD$305,0)))</f>
        <v/>
      </c>
      <c r="G63" s="38">
        <f>IF($A63="","",INDEX(Review!$AB$6:$AB$305,MATCH($A63,Review!$AD$6:$AD$305,0)))</f>
        <v/>
      </c>
      <c r="H63" s="38">
        <f>IF($A63="","",INDEX(Review!$AC$6:$AC$305,MATCH($A63,Review!$AD$6:$AD$305,0))&amp;"")</f>
        <v/>
      </c>
      <c r="I63" s="38">
        <f>IF($A63="","",INDEX(Review!$AE$6:$AE$305,MATCH($A63,Review!$AD$6:$AD$305,0)))</f>
        <v/>
      </c>
      <c r="J63" s="38">
        <f>IF($A63="","",IF(ISNUMBER(INDEX($B$6:$B$9,MATCH($D63,$A$6:$A$9,0))),IF($I63&lt;=INDEX($B$6:$B$9,MATCH($D63,$A$6:$A$9,0)),"Yes","No"),""))</f>
        <v/>
      </c>
    </row>
    <row r="64">
      <c r="A64" s="38">
        <f>IF(ISNUMBER(MATCH(52,Review!$AD$6:$AD$305,0)),52,"")</f>
        <v/>
      </c>
      <c r="B64" s="10">
        <f>IF($A64="","",INDEX(Review!$B$6:$B$305,MATCH($A64,Review!$AD$6:$AD$305,0))&amp;"")</f>
        <v/>
      </c>
      <c r="C64" s="31">
        <f>IF($A64="","",INDEX(Review!$D$6:$D$305,MATCH($A64,Review!$AD$6:$AD$305,0))&amp;"")</f>
        <v/>
      </c>
      <c r="D64" s="31">
        <f>IF($A64="","",INDEX(Review!$E$6:$E$305,MATCH($A64,Review!$AD$6:$AD$305,0))&amp;"")</f>
        <v/>
      </c>
      <c r="E64" s="31">
        <f>IF($A64="","",INDEX(Review!$F$6:$F$305,MATCH($A64,Review!$AD$6:$AD$305,0))&amp;"")</f>
        <v/>
      </c>
      <c r="F64" s="34">
        <f>IF($A64="","",INDEX(Review!$AA$6:$AA$305,MATCH($A64,Review!$AD$6:$AD$305,0)))</f>
        <v/>
      </c>
      <c r="G64" s="38">
        <f>IF($A64="","",INDEX(Review!$AB$6:$AB$305,MATCH($A64,Review!$AD$6:$AD$305,0)))</f>
        <v/>
      </c>
      <c r="H64" s="38">
        <f>IF($A64="","",INDEX(Review!$AC$6:$AC$305,MATCH($A64,Review!$AD$6:$AD$305,0))&amp;"")</f>
        <v/>
      </c>
      <c r="I64" s="38">
        <f>IF($A64="","",INDEX(Review!$AE$6:$AE$305,MATCH($A64,Review!$AD$6:$AD$305,0)))</f>
        <v/>
      </c>
      <c r="J64" s="38">
        <f>IF($A64="","",IF(ISNUMBER(INDEX($B$6:$B$9,MATCH($D64,$A$6:$A$9,0))),IF($I64&lt;=INDEX($B$6:$B$9,MATCH($D64,$A$6:$A$9,0)),"Yes","No"),""))</f>
        <v/>
      </c>
    </row>
    <row r="65">
      <c r="A65" s="38">
        <f>IF(ISNUMBER(MATCH(53,Review!$AD$6:$AD$305,0)),53,"")</f>
        <v/>
      </c>
      <c r="B65" s="10">
        <f>IF($A65="","",INDEX(Review!$B$6:$B$305,MATCH($A65,Review!$AD$6:$AD$305,0))&amp;"")</f>
        <v/>
      </c>
      <c r="C65" s="31">
        <f>IF($A65="","",INDEX(Review!$D$6:$D$305,MATCH($A65,Review!$AD$6:$AD$305,0))&amp;"")</f>
        <v/>
      </c>
      <c r="D65" s="31">
        <f>IF($A65="","",INDEX(Review!$E$6:$E$305,MATCH($A65,Review!$AD$6:$AD$305,0))&amp;"")</f>
        <v/>
      </c>
      <c r="E65" s="31">
        <f>IF($A65="","",INDEX(Review!$F$6:$F$305,MATCH($A65,Review!$AD$6:$AD$305,0))&amp;"")</f>
        <v/>
      </c>
      <c r="F65" s="34">
        <f>IF($A65="","",INDEX(Review!$AA$6:$AA$305,MATCH($A65,Review!$AD$6:$AD$305,0)))</f>
        <v/>
      </c>
      <c r="G65" s="38">
        <f>IF($A65="","",INDEX(Review!$AB$6:$AB$305,MATCH($A65,Review!$AD$6:$AD$305,0)))</f>
        <v/>
      </c>
      <c r="H65" s="38">
        <f>IF($A65="","",INDEX(Review!$AC$6:$AC$305,MATCH($A65,Review!$AD$6:$AD$305,0))&amp;"")</f>
        <v/>
      </c>
      <c r="I65" s="38">
        <f>IF($A65="","",INDEX(Review!$AE$6:$AE$305,MATCH($A65,Review!$AD$6:$AD$305,0)))</f>
        <v/>
      </c>
      <c r="J65" s="38">
        <f>IF($A65="","",IF(ISNUMBER(INDEX($B$6:$B$9,MATCH($D65,$A$6:$A$9,0))),IF($I65&lt;=INDEX($B$6:$B$9,MATCH($D65,$A$6:$A$9,0)),"Yes","No"),""))</f>
        <v/>
      </c>
    </row>
    <row r="66">
      <c r="A66" s="38">
        <f>IF(ISNUMBER(MATCH(54,Review!$AD$6:$AD$305,0)),54,"")</f>
        <v/>
      </c>
      <c r="B66" s="10">
        <f>IF($A66="","",INDEX(Review!$B$6:$B$305,MATCH($A66,Review!$AD$6:$AD$305,0))&amp;"")</f>
        <v/>
      </c>
      <c r="C66" s="31">
        <f>IF($A66="","",INDEX(Review!$D$6:$D$305,MATCH($A66,Review!$AD$6:$AD$305,0))&amp;"")</f>
        <v/>
      </c>
      <c r="D66" s="31">
        <f>IF($A66="","",INDEX(Review!$E$6:$E$305,MATCH($A66,Review!$AD$6:$AD$305,0))&amp;"")</f>
        <v/>
      </c>
      <c r="E66" s="31">
        <f>IF($A66="","",INDEX(Review!$F$6:$F$305,MATCH($A66,Review!$AD$6:$AD$305,0))&amp;"")</f>
        <v/>
      </c>
      <c r="F66" s="34">
        <f>IF($A66="","",INDEX(Review!$AA$6:$AA$305,MATCH($A66,Review!$AD$6:$AD$305,0)))</f>
        <v/>
      </c>
      <c r="G66" s="38">
        <f>IF($A66="","",INDEX(Review!$AB$6:$AB$305,MATCH($A66,Review!$AD$6:$AD$305,0)))</f>
        <v/>
      </c>
      <c r="H66" s="38">
        <f>IF($A66="","",INDEX(Review!$AC$6:$AC$305,MATCH($A66,Review!$AD$6:$AD$305,0))&amp;"")</f>
        <v/>
      </c>
      <c r="I66" s="38">
        <f>IF($A66="","",INDEX(Review!$AE$6:$AE$305,MATCH($A66,Review!$AD$6:$AD$305,0)))</f>
        <v/>
      </c>
      <c r="J66" s="38">
        <f>IF($A66="","",IF(ISNUMBER(INDEX($B$6:$B$9,MATCH($D66,$A$6:$A$9,0))),IF($I66&lt;=INDEX($B$6:$B$9,MATCH($D66,$A$6:$A$9,0)),"Yes","No"),""))</f>
        <v/>
      </c>
    </row>
    <row r="67">
      <c r="A67" s="38">
        <f>IF(ISNUMBER(MATCH(55,Review!$AD$6:$AD$305,0)),55,"")</f>
        <v/>
      </c>
      <c r="B67" s="10">
        <f>IF($A67="","",INDEX(Review!$B$6:$B$305,MATCH($A67,Review!$AD$6:$AD$305,0))&amp;"")</f>
        <v/>
      </c>
      <c r="C67" s="31">
        <f>IF($A67="","",INDEX(Review!$D$6:$D$305,MATCH($A67,Review!$AD$6:$AD$305,0))&amp;"")</f>
        <v/>
      </c>
      <c r="D67" s="31">
        <f>IF($A67="","",INDEX(Review!$E$6:$E$305,MATCH($A67,Review!$AD$6:$AD$305,0))&amp;"")</f>
        <v/>
      </c>
      <c r="E67" s="31">
        <f>IF($A67="","",INDEX(Review!$F$6:$F$305,MATCH($A67,Review!$AD$6:$AD$305,0))&amp;"")</f>
        <v/>
      </c>
      <c r="F67" s="34">
        <f>IF($A67="","",INDEX(Review!$AA$6:$AA$305,MATCH($A67,Review!$AD$6:$AD$305,0)))</f>
        <v/>
      </c>
      <c r="G67" s="38">
        <f>IF($A67="","",INDEX(Review!$AB$6:$AB$305,MATCH($A67,Review!$AD$6:$AD$305,0)))</f>
        <v/>
      </c>
      <c r="H67" s="38">
        <f>IF($A67="","",INDEX(Review!$AC$6:$AC$305,MATCH($A67,Review!$AD$6:$AD$305,0))&amp;"")</f>
        <v/>
      </c>
      <c r="I67" s="38">
        <f>IF($A67="","",INDEX(Review!$AE$6:$AE$305,MATCH($A67,Review!$AD$6:$AD$305,0)))</f>
        <v/>
      </c>
      <c r="J67" s="38">
        <f>IF($A67="","",IF(ISNUMBER(INDEX($B$6:$B$9,MATCH($D67,$A$6:$A$9,0))),IF($I67&lt;=INDEX($B$6:$B$9,MATCH($D67,$A$6:$A$9,0)),"Yes","No"),""))</f>
        <v/>
      </c>
    </row>
    <row r="68">
      <c r="A68" s="38">
        <f>IF(ISNUMBER(MATCH(56,Review!$AD$6:$AD$305,0)),56,"")</f>
        <v/>
      </c>
      <c r="B68" s="10">
        <f>IF($A68="","",INDEX(Review!$B$6:$B$305,MATCH($A68,Review!$AD$6:$AD$305,0))&amp;"")</f>
        <v/>
      </c>
      <c r="C68" s="31">
        <f>IF($A68="","",INDEX(Review!$D$6:$D$305,MATCH($A68,Review!$AD$6:$AD$305,0))&amp;"")</f>
        <v/>
      </c>
      <c r="D68" s="31">
        <f>IF($A68="","",INDEX(Review!$E$6:$E$305,MATCH($A68,Review!$AD$6:$AD$305,0))&amp;"")</f>
        <v/>
      </c>
      <c r="E68" s="31">
        <f>IF($A68="","",INDEX(Review!$F$6:$F$305,MATCH($A68,Review!$AD$6:$AD$305,0))&amp;"")</f>
        <v/>
      </c>
      <c r="F68" s="34">
        <f>IF($A68="","",INDEX(Review!$AA$6:$AA$305,MATCH($A68,Review!$AD$6:$AD$305,0)))</f>
        <v/>
      </c>
      <c r="G68" s="38">
        <f>IF($A68="","",INDEX(Review!$AB$6:$AB$305,MATCH($A68,Review!$AD$6:$AD$305,0)))</f>
        <v/>
      </c>
      <c r="H68" s="38">
        <f>IF($A68="","",INDEX(Review!$AC$6:$AC$305,MATCH($A68,Review!$AD$6:$AD$305,0))&amp;"")</f>
        <v/>
      </c>
      <c r="I68" s="38">
        <f>IF($A68="","",INDEX(Review!$AE$6:$AE$305,MATCH($A68,Review!$AD$6:$AD$305,0)))</f>
        <v/>
      </c>
      <c r="J68" s="38">
        <f>IF($A68="","",IF(ISNUMBER(INDEX($B$6:$B$9,MATCH($D68,$A$6:$A$9,0))),IF($I68&lt;=INDEX($B$6:$B$9,MATCH($D68,$A$6:$A$9,0)),"Yes","No"),""))</f>
        <v/>
      </c>
    </row>
    <row r="69">
      <c r="A69" s="38">
        <f>IF(ISNUMBER(MATCH(57,Review!$AD$6:$AD$305,0)),57,"")</f>
        <v/>
      </c>
      <c r="B69" s="10">
        <f>IF($A69="","",INDEX(Review!$B$6:$B$305,MATCH($A69,Review!$AD$6:$AD$305,0))&amp;"")</f>
        <v/>
      </c>
      <c r="C69" s="31">
        <f>IF($A69="","",INDEX(Review!$D$6:$D$305,MATCH($A69,Review!$AD$6:$AD$305,0))&amp;"")</f>
        <v/>
      </c>
      <c r="D69" s="31">
        <f>IF($A69="","",INDEX(Review!$E$6:$E$305,MATCH($A69,Review!$AD$6:$AD$305,0))&amp;"")</f>
        <v/>
      </c>
      <c r="E69" s="31">
        <f>IF($A69="","",INDEX(Review!$F$6:$F$305,MATCH($A69,Review!$AD$6:$AD$305,0))&amp;"")</f>
        <v/>
      </c>
      <c r="F69" s="34">
        <f>IF($A69="","",INDEX(Review!$AA$6:$AA$305,MATCH($A69,Review!$AD$6:$AD$305,0)))</f>
        <v/>
      </c>
      <c r="G69" s="38">
        <f>IF($A69="","",INDEX(Review!$AB$6:$AB$305,MATCH($A69,Review!$AD$6:$AD$305,0)))</f>
        <v/>
      </c>
      <c r="H69" s="38">
        <f>IF($A69="","",INDEX(Review!$AC$6:$AC$305,MATCH($A69,Review!$AD$6:$AD$305,0))&amp;"")</f>
        <v/>
      </c>
      <c r="I69" s="38">
        <f>IF($A69="","",INDEX(Review!$AE$6:$AE$305,MATCH($A69,Review!$AD$6:$AD$305,0)))</f>
        <v/>
      </c>
      <c r="J69" s="38">
        <f>IF($A69="","",IF(ISNUMBER(INDEX($B$6:$B$9,MATCH($D69,$A$6:$A$9,0))),IF($I69&lt;=INDEX($B$6:$B$9,MATCH($D69,$A$6:$A$9,0)),"Yes","No"),""))</f>
        <v/>
      </c>
    </row>
    <row r="70">
      <c r="A70" s="38">
        <f>IF(ISNUMBER(MATCH(58,Review!$AD$6:$AD$305,0)),58,"")</f>
        <v/>
      </c>
      <c r="B70" s="10">
        <f>IF($A70="","",INDEX(Review!$B$6:$B$305,MATCH($A70,Review!$AD$6:$AD$305,0))&amp;"")</f>
        <v/>
      </c>
      <c r="C70" s="31">
        <f>IF($A70="","",INDEX(Review!$D$6:$D$305,MATCH($A70,Review!$AD$6:$AD$305,0))&amp;"")</f>
        <v/>
      </c>
      <c r="D70" s="31">
        <f>IF($A70="","",INDEX(Review!$E$6:$E$305,MATCH($A70,Review!$AD$6:$AD$305,0))&amp;"")</f>
        <v/>
      </c>
      <c r="E70" s="31">
        <f>IF($A70="","",INDEX(Review!$F$6:$F$305,MATCH($A70,Review!$AD$6:$AD$305,0))&amp;"")</f>
        <v/>
      </c>
      <c r="F70" s="34">
        <f>IF($A70="","",INDEX(Review!$AA$6:$AA$305,MATCH($A70,Review!$AD$6:$AD$305,0)))</f>
        <v/>
      </c>
      <c r="G70" s="38">
        <f>IF($A70="","",INDEX(Review!$AB$6:$AB$305,MATCH($A70,Review!$AD$6:$AD$305,0)))</f>
        <v/>
      </c>
      <c r="H70" s="38">
        <f>IF($A70="","",INDEX(Review!$AC$6:$AC$305,MATCH($A70,Review!$AD$6:$AD$305,0))&amp;"")</f>
        <v/>
      </c>
      <c r="I70" s="38">
        <f>IF($A70="","",INDEX(Review!$AE$6:$AE$305,MATCH($A70,Review!$AD$6:$AD$305,0)))</f>
        <v/>
      </c>
      <c r="J70" s="38">
        <f>IF($A70="","",IF(ISNUMBER(INDEX($B$6:$B$9,MATCH($D70,$A$6:$A$9,0))),IF($I70&lt;=INDEX($B$6:$B$9,MATCH($D70,$A$6:$A$9,0)),"Yes","No"),""))</f>
        <v/>
      </c>
    </row>
    <row r="71">
      <c r="A71" s="38">
        <f>IF(ISNUMBER(MATCH(59,Review!$AD$6:$AD$305,0)),59,"")</f>
        <v/>
      </c>
      <c r="B71" s="10">
        <f>IF($A71="","",INDEX(Review!$B$6:$B$305,MATCH($A71,Review!$AD$6:$AD$305,0))&amp;"")</f>
        <v/>
      </c>
      <c r="C71" s="31">
        <f>IF($A71="","",INDEX(Review!$D$6:$D$305,MATCH($A71,Review!$AD$6:$AD$305,0))&amp;"")</f>
        <v/>
      </c>
      <c r="D71" s="31">
        <f>IF($A71="","",INDEX(Review!$E$6:$E$305,MATCH($A71,Review!$AD$6:$AD$305,0))&amp;"")</f>
        <v/>
      </c>
      <c r="E71" s="31">
        <f>IF($A71="","",INDEX(Review!$F$6:$F$305,MATCH($A71,Review!$AD$6:$AD$305,0))&amp;"")</f>
        <v/>
      </c>
      <c r="F71" s="34">
        <f>IF($A71="","",INDEX(Review!$AA$6:$AA$305,MATCH($A71,Review!$AD$6:$AD$305,0)))</f>
        <v/>
      </c>
      <c r="G71" s="38">
        <f>IF($A71="","",INDEX(Review!$AB$6:$AB$305,MATCH($A71,Review!$AD$6:$AD$305,0)))</f>
        <v/>
      </c>
      <c r="H71" s="38">
        <f>IF($A71="","",INDEX(Review!$AC$6:$AC$305,MATCH($A71,Review!$AD$6:$AD$305,0))&amp;"")</f>
        <v/>
      </c>
      <c r="I71" s="38">
        <f>IF($A71="","",INDEX(Review!$AE$6:$AE$305,MATCH($A71,Review!$AD$6:$AD$305,0)))</f>
        <v/>
      </c>
      <c r="J71" s="38">
        <f>IF($A71="","",IF(ISNUMBER(INDEX($B$6:$B$9,MATCH($D71,$A$6:$A$9,0))),IF($I71&lt;=INDEX($B$6:$B$9,MATCH($D71,$A$6:$A$9,0)),"Yes","No"),""))</f>
        <v/>
      </c>
    </row>
    <row r="72">
      <c r="A72" s="38">
        <f>IF(ISNUMBER(MATCH(60,Review!$AD$6:$AD$305,0)),60,"")</f>
        <v/>
      </c>
      <c r="B72" s="10">
        <f>IF($A72="","",INDEX(Review!$B$6:$B$305,MATCH($A72,Review!$AD$6:$AD$305,0))&amp;"")</f>
        <v/>
      </c>
      <c r="C72" s="31">
        <f>IF($A72="","",INDEX(Review!$D$6:$D$305,MATCH($A72,Review!$AD$6:$AD$305,0))&amp;"")</f>
        <v/>
      </c>
      <c r="D72" s="31">
        <f>IF($A72="","",INDEX(Review!$E$6:$E$305,MATCH($A72,Review!$AD$6:$AD$305,0))&amp;"")</f>
        <v/>
      </c>
      <c r="E72" s="31">
        <f>IF($A72="","",INDEX(Review!$F$6:$F$305,MATCH($A72,Review!$AD$6:$AD$305,0))&amp;"")</f>
        <v/>
      </c>
      <c r="F72" s="34">
        <f>IF($A72="","",INDEX(Review!$AA$6:$AA$305,MATCH($A72,Review!$AD$6:$AD$305,0)))</f>
        <v/>
      </c>
      <c r="G72" s="38">
        <f>IF($A72="","",INDEX(Review!$AB$6:$AB$305,MATCH($A72,Review!$AD$6:$AD$305,0)))</f>
        <v/>
      </c>
      <c r="H72" s="38">
        <f>IF($A72="","",INDEX(Review!$AC$6:$AC$305,MATCH($A72,Review!$AD$6:$AD$305,0))&amp;"")</f>
        <v/>
      </c>
      <c r="I72" s="38">
        <f>IF($A72="","",INDEX(Review!$AE$6:$AE$305,MATCH($A72,Review!$AD$6:$AD$305,0)))</f>
        <v/>
      </c>
      <c r="J72" s="38">
        <f>IF($A72="","",IF(ISNUMBER(INDEX($B$6:$B$9,MATCH($D72,$A$6:$A$9,0))),IF($I72&lt;=INDEX($B$6:$B$9,MATCH($D72,$A$6:$A$9,0)),"Yes","No"),""))</f>
        <v/>
      </c>
    </row>
    <row r="74">
      <c r="A74" s="14" t="inlineStr">
        <is>
          <t>Yellow = you type or pick. Grey = worked out for you. Talks with no complete reviewer score stay off this list.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5B83D"/>
    <outlinePr summaryBelow="1" summaryRight="1"/>
    <pageSetUpPr/>
  </sheetPr>
  <dimension ref="A1:AH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2" customWidth="1" min="29" max="29"/>
    <col width="24" customWidth="1" min="30" max="30"/>
    <col width="24" customWidth="1" min="31" max="31"/>
    <col width="24" customWidth="1" min="32" max="32"/>
    <col width="24" customWidth="1" min="33" max="33"/>
    <col width="24" customWidth="1" min="34" max="34"/>
  </cols>
  <sheetData>
    <row r="1" ht="62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Full name</t>
        </is>
      </c>
      <c r="E1" s="3" t="inlineStr">
        <is>
          <t>Email</t>
        </is>
      </c>
      <c r="F1" s="3" t="inlineStr">
        <is>
          <t>Job title</t>
        </is>
      </c>
      <c r="G1" s="3" t="inlineStr">
        <is>
          <t>Company or organisation</t>
        </is>
      </c>
      <c r="H1" s="3" t="inlineStr">
        <is>
          <t>Speaker bio</t>
        </is>
      </c>
      <c r="I1" s="3" t="inlineStr">
        <is>
          <t>A talk you've given before</t>
        </is>
      </c>
      <c r="J1" s="3" t="inlineStr">
        <is>
          <t>Headshot</t>
        </is>
      </c>
      <c r="K1" s="3" t="inlineStr">
        <is>
          <t>source</t>
        </is>
      </c>
      <c r="L1" s="3" t="inlineStr">
        <is>
          <t>Talk title</t>
        </is>
      </c>
      <c r="M1" s="3" t="inlineStr">
        <is>
          <t>Abstract</t>
        </is>
      </c>
      <c r="N1" s="3" t="inlineStr">
        <is>
          <t>Slides or a talk outline (optional)</t>
        </is>
      </c>
      <c r="O1" s="3" t="inlineStr">
        <is>
          <t>Session format</t>
        </is>
      </c>
      <c r="P1" s="3" t="inlineStr">
        <is>
          <t>How should we set the room up?</t>
        </is>
      </c>
      <c r="Q1" s="3" t="inlineStr">
        <is>
          <t>Who is it pitched at?</t>
        </is>
      </c>
      <c r="R1" s="3" t="inlineStr">
        <is>
          <t>AV or accessibility needs</t>
        </is>
      </c>
      <c r="S1" s="3" t="inlineStr">
        <is>
          <t>Do you need travel support?</t>
        </is>
      </c>
      <c r="T1" s="3" t="inlineStr">
        <is>
          <t>Where would you travel from?</t>
        </is>
      </c>
      <c r="U1" s="3" t="inlineStr">
        <is>
          <t>Form version</t>
        </is>
      </c>
      <c r="V1" s="3" t="n"/>
      <c r="W1" s="3" t="n"/>
      <c r="X1" s="3" t="n"/>
      <c r="Y1" s="3" t="n"/>
      <c r="Z1" s="3" t="n"/>
      <c r="AA1" s="3" t="n"/>
      <c r="AB1" s="3" t="n"/>
      <c r="AC1" s="39" t="n"/>
      <c r="AD1" s="30" t="inlineStr">
        <is>
          <t>Name (worked out)</t>
        </is>
      </c>
      <c r="AE1" s="30" t="inlineStr">
        <is>
          <t>Company (worked out)</t>
        </is>
      </c>
      <c r="AF1" s="30" t="inlineStr">
        <is>
          <t>Talk title (worked out)</t>
        </is>
      </c>
      <c r="AG1" s="30" t="inlineStr">
        <is>
          <t>Session format (worked out)</t>
        </is>
      </c>
      <c r="AH1" s="30" t="inlineStr">
        <is>
          <t>Pitched at (worked out)</t>
        </is>
      </c>
    </row>
    <row r="2">
      <c r="A2" s="40" t="inlineStr">
        <is>
          <t>EXAMPLE-01 (delete me)</t>
        </is>
      </c>
      <c r="B2" s="40" t="inlineStr">
        <is>
          <t>2026-10-01T12:10:00.000Z</t>
        </is>
      </c>
      <c r="C2" s="40" t="inlineStr">
        <is>
          <t>2026-10-01T12:03:00.000Z</t>
        </is>
      </c>
      <c r="D2" s="40" t="inlineStr">
        <is>
          <t>Dana Reyes</t>
        </is>
      </c>
      <c r="E2" s="40" t="inlineStr">
        <is>
          <t>dana@example.com</t>
        </is>
      </c>
      <c r="F2" s="40" t="inlineStr">
        <is>
          <t>Staff Engineer</t>
        </is>
      </c>
      <c r="G2" s="40" t="inlineStr">
        <is>
          <t>Acme Cloud</t>
        </is>
      </c>
      <c r="H2" s="40" t="inlineStr">
        <is>
          <t>Third-person bio goes here.</t>
        </is>
      </c>
      <c r="I2" s="40" t="inlineStr">
        <is>
          <t>https://example.com/talk</t>
        </is>
      </c>
      <c r="J2" s="40" t="inlineStr">
        <is>
          <t>headshot.jpg</t>
        </is>
      </c>
      <c r="K2" s="40" t="inlineStr">
        <is>
          <t>newsletter</t>
        </is>
      </c>
      <c r="L2" s="40" t="inlineStr">
        <is>
          <t>Shipping faster without breaking things</t>
        </is>
      </c>
      <c r="M2" s="40" t="inlineStr">
        <is>
          <t>An abstract of 150 to 250 words goes here.</t>
        </is>
      </c>
      <c r="N2" s="40" t="n"/>
      <c r="O2" s="40" t="inlineStr">
        <is>
          <t>Talk (30 min)</t>
        </is>
      </c>
      <c r="P2" s="40" t="n"/>
      <c r="Q2" s="40" t="inlineStr">
        <is>
          <t>Intermediate</t>
        </is>
      </c>
      <c r="R2" s="40" t="n"/>
      <c r="S2" s="40" t="inlineStr">
        <is>
          <t>No, I'm covered</t>
        </is>
      </c>
      <c r="T2" s="40" t="n"/>
      <c r="U2" s="40" t="n">
        <v>1</v>
      </c>
      <c r="AC2" s="41" t="n"/>
      <c r="AD2" s="42">
        <f>IFERROR(TRIM(INDEX($A2:$AB2,MATCH(Lists!$J$2,$A$1:$AB$1,0))&amp;""),"")</f>
        <v/>
      </c>
      <c r="AE2" s="42">
        <f>IFERROR(TRIM(INDEX($A2:$AB2,MATCH(Lists!$J$3,$A$1:$AB$1,0))&amp;""),"")</f>
        <v/>
      </c>
      <c r="AF2" s="42">
        <f>IFERROR(TRIM(INDEX($A2:$AB2,MATCH(Lists!$J$4,$A$1:$AB$1,0))&amp;""),"")</f>
        <v/>
      </c>
      <c r="AG2" s="42">
        <f>IFERROR(TRIM(INDEX($A2:$AB2,MATCH(Lists!$J$5,$A$1:$AB$1,0))&amp;""),"")</f>
        <v/>
      </c>
      <c r="AH2" s="42">
        <f>IFERROR(TRIM(INDEX($A2:$AB2,MATCH(Lists!$J$6,$A$1:$AB$1,0))&amp;""),"")</f>
        <v/>
      </c>
    </row>
    <row r="3">
      <c r="A3" s="40" t="inlineStr">
        <is>
          <t>EXAMPLE-02 (delete me)</t>
        </is>
      </c>
      <c r="B3" s="40" t="inlineStr">
        <is>
          <t>2026-10-02T12:11:00.000Z</t>
        </is>
      </c>
      <c r="C3" s="40" t="inlineStr">
        <is>
          <t>2026-10-02T12:04:00.000Z</t>
        </is>
      </c>
      <c r="D3" s="40" t="inlineStr">
        <is>
          <t>Omar Lind</t>
        </is>
      </c>
      <c r="E3" s="40" t="inlineStr">
        <is>
          <t>omar@example.com</t>
        </is>
      </c>
      <c r="F3" s="40" t="inlineStr">
        <is>
          <t>Developer</t>
        </is>
      </c>
      <c r="G3" s="40" t="inlineStr">
        <is>
          <t>Northwind</t>
        </is>
      </c>
      <c r="H3" s="40" t="inlineStr">
        <is>
          <t>Third-person bio goes here.</t>
        </is>
      </c>
      <c r="I3" s="40" t="inlineStr">
        <is>
          <t>https://example.com/talk</t>
        </is>
      </c>
      <c r="J3" s="40" t="inlineStr">
        <is>
          <t>headshot.jpg</t>
        </is>
      </c>
      <c r="K3" s="40" t="n"/>
      <c r="L3" s="40" t="inlineStr">
        <is>
          <t>Five tiny automations</t>
        </is>
      </c>
      <c r="M3" s="40" t="inlineStr">
        <is>
          <t>An abstract of 150 to 250 words goes here.</t>
        </is>
      </c>
      <c r="N3" s="40" t="n"/>
      <c r="O3" s="40" t="inlineStr">
        <is>
          <t>Lightning talk (10 min)</t>
        </is>
      </c>
      <c r="P3" s="40" t="n"/>
      <c r="Q3" s="40" t="inlineStr">
        <is>
          <t>Beginners</t>
        </is>
      </c>
      <c r="R3" s="40" t="n"/>
      <c r="S3" s="40" t="inlineStr">
        <is>
          <t>No, I'm covered</t>
        </is>
      </c>
      <c r="T3" s="40" t="n"/>
      <c r="U3" s="40" t="n">
        <v>1</v>
      </c>
      <c r="AC3" s="41" t="n"/>
      <c r="AD3" s="42">
        <f>IFERROR(TRIM(INDEX($A3:$AB3,MATCH(Lists!$J$2,$A$1:$AB$1,0))&amp;""),"")</f>
        <v/>
      </c>
      <c r="AE3" s="42">
        <f>IFERROR(TRIM(INDEX($A3:$AB3,MATCH(Lists!$J$3,$A$1:$AB$1,0))&amp;""),"")</f>
        <v/>
      </c>
      <c r="AF3" s="42">
        <f>IFERROR(TRIM(INDEX($A3:$AB3,MATCH(Lists!$J$4,$A$1:$AB$1,0))&amp;""),"")</f>
        <v/>
      </c>
      <c r="AG3" s="42">
        <f>IFERROR(TRIM(INDEX($A3:$AB3,MATCH(Lists!$J$5,$A$1:$AB$1,0))&amp;""),"")</f>
        <v/>
      </c>
      <c r="AH3" s="42">
        <f>IFERROR(TRIM(INDEX($A3:$AB3,MATCH(Lists!$J$6,$A$1:$AB$1,0))&amp;""),"")</f>
        <v/>
      </c>
    </row>
    <row r="4">
      <c r="A4" s="40" t="inlineStr">
        <is>
          <t>EXAMPLE-03 (delete me)</t>
        </is>
      </c>
      <c r="B4" s="40" t="inlineStr">
        <is>
          <t>2026-10-03T12:12:00.000Z</t>
        </is>
      </c>
      <c r="C4" s="40" t="inlineStr">
        <is>
          <t>2026-10-03T12:05:00.000Z</t>
        </is>
      </c>
      <c r="D4" s="40" t="inlineStr">
        <is>
          <t>Priya Das</t>
        </is>
      </c>
      <c r="E4" s="40" t="inlineStr">
        <is>
          <t>priya@example.com</t>
        </is>
      </c>
      <c r="F4" s="40" t="inlineStr">
        <is>
          <t>Founder</t>
        </is>
      </c>
      <c r="G4" s="40" t="inlineStr">
        <is>
          <t>Bluebird Labs</t>
        </is>
      </c>
      <c r="H4" s="40" t="inlineStr">
        <is>
          <t>Third-person bio goes here.</t>
        </is>
      </c>
      <c r="I4" s="40" t="inlineStr">
        <is>
          <t>https://example.com/talk</t>
        </is>
      </c>
      <c r="J4" s="40" t="inlineStr">
        <is>
          <t>headshot.jpg</t>
        </is>
      </c>
      <c r="K4" s="40" t="inlineStr">
        <is>
          <t>friend</t>
        </is>
      </c>
      <c r="L4" s="40" t="inlineStr">
        <is>
          <t>Hands-on: build a form workflow</t>
        </is>
      </c>
      <c r="M4" s="40" t="inlineStr">
        <is>
          <t>An abstract of 150 to 250 words goes here.</t>
        </is>
      </c>
      <c r="N4" s="40" t="n"/>
      <c r="O4" s="40" t="inlineStr">
        <is>
          <t>Workshop (90 min)</t>
        </is>
      </c>
      <c r="P4" s="40" t="inlineStr">
        <is>
          <t>Tables and power</t>
        </is>
      </c>
      <c r="Q4" s="40" t="inlineStr">
        <is>
          <t>Intermediate</t>
        </is>
      </c>
      <c r="R4" s="40" t="n"/>
      <c r="S4" s="40" t="inlineStr">
        <is>
          <t>No, I'm covered</t>
        </is>
      </c>
      <c r="T4" s="40" t="n"/>
      <c r="U4" s="40" t="n">
        <v>1</v>
      </c>
      <c r="AC4" s="41" t="n"/>
      <c r="AD4" s="42">
        <f>IFERROR(TRIM(INDEX($A4:$AB4,MATCH(Lists!$J$2,$A$1:$AB$1,0))&amp;""),"")</f>
        <v/>
      </c>
      <c r="AE4" s="42">
        <f>IFERROR(TRIM(INDEX($A4:$AB4,MATCH(Lists!$J$3,$A$1:$AB$1,0))&amp;""),"")</f>
        <v/>
      </c>
      <c r="AF4" s="42">
        <f>IFERROR(TRIM(INDEX($A4:$AB4,MATCH(Lists!$J$4,$A$1:$AB$1,0))&amp;""),"")</f>
        <v/>
      </c>
      <c r="AG4" s="42">
        <f>IFERROR(TRIM(INDEX($A4:$AB4,MATCH(Lists!$J$5,$A$1:$AB$1,0))&amp;""),"")</f>
        <v/>
      </c>
      <c r="AH4" s="42">
        <f>IFERROR(TRIM(INDEX($A4:$AB4,MATCH(Lists!$J$6,$A$1:$AB$1,0))&amp;""),"")</f>
        <v/>
      </c>
    </row>
    <row r="5">
      <c r="A5" s="40" t="inlineStr">
        <is>
          <t>EXAMPLE-04 (delete me)</t>
        </is>
      </c>
      <c r="B5" s="40" t="inlineStr">
        <is>
          <t>2026-10-04T12:13:00.000Z</t>
        </is>
      </c>
      <c r="C5" s="40" t="inlineStr">
        <is>
          <t>2026-10-04T12:06:00.000Z</t>
        </is>
      </c>
      <c r="D5" s="40" t="inlineStr">
        <is>
          <t>Leo Park</t>
        </is>
      </c>
      <c r="E5" s="40" t="inlineStr">
        <is>
          <t>leo@example.com</t>
        </is>
      </c>
      <c r="F5" s="40" t="inlineStr">
        <is>
          <t>Organiser</t>
        </is>
      </c>
      <c r="G5" s="40" t="inlineStr">
        <is>
          <t>Fieldwork</t>
        </is>
      </c>
      <c r="H5" s="40" t="inlineStr">
        <is>
          <t>Third-person bio goes here.</t>
        </is>
      </c>
      <c r="I5" s="40" t="inlineStr">
        <is>
          <t>https://example.com/talk</t>
        </is>
      </c>
      <c r="J5" s="40" t="inlineStr">
        <is>
          <t>headshot.jpg</t>
        </is>
      </c>
      <c r="K5" s="40" t="inlineStr">
        <is>
          <t>newsletter</t>
        </is>
      </c>
      <c r="L5" s="40" t="inlineStr">
        <is>
          <t>Running events in small teams</t>
        </is>
      </c>
      <c r="M5" s="40" t="inlineStr">
        <is>
          <t>An abstract of 150 to 250 words goes here.</t>
        </is>
      </c>
      <c r="N5" s="40" t="n"/>
      <c r="O5" s="40" t="inlineStr">
        <is>
          <t>Panel</t>
        </is>
      </c>
      <c r="P5" s="40" t="n"/>
      <c r="Q5" s="40" t="inlineStr">
        <is>
          <t>Anyone, really</t>
        </is>
      </c>
      <c r="R5" s="40" t="n"/>
      <c r="S5" s="40" t="inlineStr">
        <is>
          <t>No, I'm covered</t>
        </is>
      </c>
      <c r="T5" s="40" t="n"/>
      <c r="U5" s="40" t="n">
        <v>1</v>
      </c>
      <c r="AC5" s="41" t="n"/>
      <c r="AD5" s="42">
        <f>IFERROR(TRIM(INDEX($A5:$AB5,MATCH(Lists!$J$2,$A$1:$AB$1,0))&amp;""),"")</f>
        <v/>
      </c>
      <c r="AE5" s="42">
        <f>IFERROR(TRIM(INDEX($A5:$AB5,MATCH(Lists!$J$3,$A$1:$AB$1,0))&amp;""),"")</f>
        <v/>
      </c>
      <c r="AF5" s="42">
        <f>IFERROR(TRIM(INDEX($A5:$AB5,MATCH(Lists!$J$4,$A$1:$AB$1,0))&amp;""),"")</f>
        <v/>
      </c>
      <c r="AG5" s="42">
        <f>IFERROR(TRIM(INDEX($A5:$AB5,MATCH(Lists!$J$5,$A$1:$AB$1,0))&amp;""),"")</f>
        <v/>
      </c>
      <c r="AH5" s="42">
        <f>IFERROR(TRIM(INDEX($A5:$AB5,MATCH(Lists!$J$6,$A$1:$AB$1,0))&amp;""),"")</f>
        <v/>
      </c>
    </row>
    <row r="6">
      <c r="A6" s="40" t="inlineStr">
        <is>
          <t>EXAMPLE-05 (delete me)</t>
        </is>
      </c>
      <c r="B6" s="40" t="inlineStr">
        <is>
          <t>2026-10-05T12:14:00.000Z</t>
        </is>
      </c>
      <c r="C6" s="40" t="inlineStr">
        <is>
          <t>2026-10-05T12:07:00.000Z</t>
        </is>
      </c>
      <c r="D6" s="40" t="inlineStr">
        <is>
          <t>Mia Okafor</t>
        </is>
      </c>
      <c r="E6" s="40" t="inlineStr">
        <is>
          <t>mia@example.com</t>
        </is>
      </c>
      <c r="F6" s="40" t="inlineStr">
        <is>
          <t>Product Manager</t>
        </is>
      </c>
      <c r="G6" s="40" t="inlineStr">
        <is>
          <t>Tidepool</t>
        </is>
      </c>
      <c r="H6" s="40" t="inlineStr">
        <is>
          <t>Third-person bio goes here.</t>
        </is>
      </c>
      <c r="I6" s="40" t="inlineStr">
        <is>
          <t>https://example.com/talk</t>
        </is>
      </c>
      <c r="J6" s="40" t="inlineStr">
        <is>
          <t>headshot.jpg</t>
        </is>
      </c>
      <c r="K6" s="40" t="n"/>
      <c r="L6" s="40" t="inlineStr">
        <is>
          <t>What we learned from 500 sign-ups</t>
        </is>
      </c>
      <c r="M6" s="40" t="inlineStr">
        <is>
          <t>An abstract of 150 to 250 words goes here.</t>
        </is>
      </c>
      <c r="N6" s="40" t="n"/>
      <c r="O6" s="40" t="inlineStr">
        <is>
          <t>Talk (30 min)</t>
        </is>
      </c>
      <c r="P6" s="40" t="n"/>
      <c r="Q6" s="40" t="inlineStr">
        <is>
          <t>Beginners</t>
        </is>
      </c>
      <c r="R6" s="40" t="n"/>
      <c r="S6" s="40" t="inlineStr">
        <is>
          <t>No, I'm covered</t>
        </is>
      </c>
      <c r="T6" s="40" t="n"/>
      <c r="U6" s="40" t="n">
        <v>1</v>
      </c>
      <c r="AC6" s="41" t="n"/>
      <c r="AD6" s="42">
        <f>IFERROR(TRIM(INDEX($A6:$AB6,MATCH(Lists!$J$2,$A$1:$AB$1,0))&amp;""),"")</f>
        <v/>
      </c>
      <c r="AE6" s="42">
        <f>IFERROR(TRIM(INDEX($A6:$AB6,MATCH(Lists!$J$3,$A$1:$AB$1,0))&amp;""),"")</f>
        <v/>
      </c>
      <c r="AF6" s="42">
        <f>IFERROR(TRIM(INDEX($A6:$AB6,MATCH(Lists!$J$4,$A$1:$AB$1,0))&amp;""),"")</f>
        <v/>
      </c>
      <c r="AG6" s="42">
        <f>IFERROR(TRIM(INDEX($A6:$AB6,MATCH(Lists!$J$5,$A$1:$AB$1,0))&amp;""),"")</f>
        <v/>
      </c>
      <c r="AH6" s="42">
        <f>IFERROR(TRIM(INDEX($A6:$AB6,MATCH(Lists!$J$6,$A$1:$AB$1,0))&amp;""),"")</f>
        <v/>
      </c>
    </row>
    <row r="7">
      <c r="A7" s="40" t="inlineStr">
        <is>
          <t>EXAMPLE-06 (delete me)</t>
        </is>
      </c>
      <c r="B7" s="40" t="inlineStr">
        <is>
          <t>2026-10-06T12:15:00.000Z</t>
        </is>
      </c>
      <c r="C7" s="40" t="inlineStr">
        <is>
          <t>2026-10-06T12:08:00.000Z</t>
        </is>
      </c>
      <c r="D7" s="40" t="inlineStr">
        <is>
          <t>Sam Ito</t>
        </is>
      </c>
      <c r="E7" s="40" t="inlineStr">
        <is>
          <t>sam@example.com</t>
        </is>
      </c>
      <c r="F7" s="40" t="inlineStr">
        <is>
          <t>Designer</t>
        </is>
      </c>
      <c r="G7" s="40" t="inlineStr">
        <is>
          <t>Harbor Co</t>
        </is>
      </c>
      <c r="H7" s="40" t="inlineStr">
        <is>
          <t>Third-person bio goes here.</t>
        </is>
      </c>
      <c r="I7" s="40" t="inlineStr">
        <is>
          <t>https://example.com/talk</t>
        </is>
      </c>
      <c r="J7" s="40" t="inlineStr">
        <is>
          <t>headshot.jpg</t>
        </is>
      </c>
      <c r="K7" s="40" t="inlineStr">
        <is>
          <t>friend</t>
        </is>
      </c>
      <c r="L7" s="40" t="inlineStr">
        <is>
          <t>Designing for the back row</t>
        </is>
      </c>
      <c r="M7" s="40" t="inlineStr">
        <is>
          <t>An abstract of 150 to 250 words goes here.</t>
        </is>
      </c>
      <c r="N7" s="40" t="n"/>
      <c r="O7" s="40" t="inlineStr">
        <is>
          <t>Talk (30 min)</t>
        </is>
      </c>
      <c r="P7" s="40" t="n"/>
      <c r="Q7" s="40" t="inlineStr">
        <is>
          <t>Advanced</t>
        </is>
      </c>
      <c r="R7" s="40" t="n"/>
      <c r="S7" s="40" t="inlineStr">
        <is>
          <t>No, I'm covered</t>
        </is>
      </c>
      <c r="T7" s="40" t="n"/>
      <c r="U7" s="40" t="n">
        <v>1</v>
      </c>
      <c r="AC7" s="41" t="n"/>
      <c r="AD7" s="42">
        <f>IFERROR(TRIM(INDEX($A7:$AB7,MATCH(Lists!$J$2,$A$1:$AB$1,0))&amp;""),"")</f>
        <v/>
      </c>
      <c r="AE7" s="42">
        <f>IFERROR(TRIM(INDEX($A7:$AB7,MATCH(Lists!$J$3,$A$1:$AB$1,0))&amp;""),"")</f>
        <v/>
      </c>
      <c r="AF7" s="42">
        <f>IFERROR(TRIM(INDEX($A7:$AB7,MATCH(Lists!$J$4,$A$1:$AB$1,0))&amp;""),"")</f>
        <v/>
      </c>
      <c r="AG7" s="42">
        <f>IFERROR(TRIM(INDEX($A7:$AB7,MATCH(Lists!$J$5,$A$1:$AB$1,0))&amp;""),"")</f>
        <v/>
      </c>
      <c r="AH7" s="42">
        <f>IFERROR(TRIM(INDEX($A7:$AB7,MATCH(Lists!$J$6,$A$1:$AB$1,0))&amp;""),"")</f>
        <v/>
      </c>
    </row>
    <row r="8">
      <c r="A8" s="40" t="inlineStr">
        <is>
          <t>EXAMPLE-07 (delete me)</t>
        </is>
      </c>
      <c r="B8" s="40" t="inlineStr">
        <is>
          <t>2026-10-07T12:16:00.000Z</t>
        </is>
      </c>
      <c r="C8" s="40" t="inlineStr">
        <is>
          <t>2026-10-07T12:09:00.000Z</t>
        </is>
      </c>
      <c r="D8" s="40" t="inlineStr">
        <is>
          <t>Ruth Bell</t>
        </is>
      </c>
      <c r="E8" s="40" t="inlineStr">
        <is>
          <t>ruth@example.com</t>
        </is>
      </c>
      <c r="F8" s="40" t="inlineStr">
        <is>
          <t>Writer</t>
        </is>
      </c>
      <c r="G8" s="40" t="inlineStr">
        <is>
          <t>Greenfield</t>
        </is>
      </c>
      <c r="H8" s="40" t="inlineStr">
        <is>
          <t>Third-person bio goes here.</t>
        </is>
      </c>
      <c r="I8" s="40" t="inlineStr">
        <is>
          <t>https://example.com/talk</t>
        </is>
      </c>
      <c r="J8" s="40" t="inlineStr">
        <is>
          <t>headshot.jpg</t>
        </is>
      </c>
      <c r="K8" s="40" t="inlineStr">
        <is>
          <t>newsletter</t>
        </is>
      </c>
      <c r="L8" s="40" t="inlineStr">
        <is>
          <t>Slides that say less</t>
        </is>
      </c>
      <c r="M8" s="40" t="inlineStr">
        <is>
          <t>An abstract of 150 to 250 words goes here.</t>
        </is>
      </c>
      <c r="N8" s="40" t="n"/>
      <c r="O8" s="40" t="inlineStr">
        <is>
          <t>Lightning talk (10 min)</t>
        </is>
      </c>
      <c r="P8" s="40" t="n"/>
      <c r="Q8" s="40" t="inlineStr">
        <is>
          <t>Anyone, really</t>
        </is>
      </c>
      <c r="R8" s="40" t="n"/>
      <c r="S8" s="40" t="inlineStr">
        <is>
          <t>No, I'm covered</t>
        </is>
      </c>
      <c r="T8" s="40" t="n"/>
      <c r="U8" s="40" t="n">
        <v>1</v>
      </c>
      <c r="AC8" s="41" t="n"/>
      <c r="AD8" s="42">
        <f>IFERROR(TRIM(INDEX($A8:$AB8,MATCH(Lists!$J$2,$A$1:$AB$1,0))&amp;""),"")</f>
        <v/>
      </c>
      <c r="AE8" s="42">
        <f>IFERROR(TRIM(INDEX($A8:$AB8,MATCH(Lists!$J$3,$A$1:$AB$1,0))&amp;""),"")</f>
        <v/>
      </c>
      <c r="AF8" s="42">
        <f>IFERROR(TRIM(INDEX($A8:$AB8,MATCH(Lists!$J$4,$A$1:$AB$1,0))&amp;""),"")</f>
        <v/>
      </c>
      <c r="AG8" s="42">
        <f>IFERROR(TRIM(INDEX($A8:$AB8,MATCH(Lists!$J$5,$A$1:$AB$1,0))&amp;""),"")</f>
        <v/>
      </c>
      <c r="AH8" s="42">
        <f>IFERROR(TRIM(INDEX($A8:$AB8,MATCH(Lists!$J$6,$A$1:$AB$1,0))&amp;""),"")</f>
        <v/>
      </c>
    </row>
    <row r="9">
      <c r="A9" s="40" t="inlineStr">
        <is>
          <t>EXAMPLE-08 (delete me)</t>
        </is>
      </c>
      <c r="B9" s="40" t="inlineStr">
        <is>
          <t>2026-10-08T12:17:00.000Z</t>
        </is>
      </c>
      <c r="C9" s="40" t="inlineStr">
        <is>
          <t>2026-10-08T12:10:00.000Z</t>
        </is>
      </c>
      <c r="D9" s="40" t="inlineStr">
        <is>
          <t>Tariq Nasser</t>
        </is>
      </c>
      <c r="E9" s="40" t="inlineStr">
        <is>
          <t>tariq@example.com</t>
        </is>
      </c>
      <c r="F9" s="40" t="inlineStr">
        <is>
          <t>Consultant</t>
        </is>
      </c>
      <c r="G9" s="40" t="inlineStr">
        <is>
          <t>Pinecone</t>
        </is>
      </c>
      <c r="H9" s="40" t="inlineStr">
        <is>
          <t>Third-person bio goes here.</t>
        </is>
      </c>
      <c r="I9" s="40" t="inlineStr">
        <is>
          <t>https://example.com/talk</t>
        </is>
      </c>
      <c r="J9" s="40" t="inlineStr">
        <is>
          <t>headshot.jpg</t>
        </is>
      </c>
      <c r="K9" s="40" t="n"/>
      <c r="L9" s="40" t="inlineStr">
        <is>
          <t>Pricing a workshop</t>
        </is>
      </c>
      <c r="M9" s="40" t="inlineStr">
        <is>
          <t>An abstract of 150 to 250 words goes here.</t>
        </is>
      </c>
      <c r="N9" s="40" t="n"/>
      <c r="O9" s="40" t="inlineStr">
        <is>
          <t>Workshop (90 min)</t>
        </is>
      </c>
      <c r="P9" s="40" t="inlineStr">
        <is>
          <t>Tables and power</t>
        </is>
      </c>
      <c r="Q9" s="40" t="inlineStr">
        <is>
          <t>Beginners</t>
        </is>
      </c>
      <c r="R9" s="40" t="n"/>
      <c r="S9" s="40" t="inlineStr">
        <is>
          <t>No, I'm covered</t>
        </is>
      </c>
      <c r="T9" s="40" t="n"/>
      <c r="U9" s="40" t="n">
        <v>1</v>
      </c>
      <c r="AC9" s="41" t="n"/>
      <c r="AD9" s="42">
        <f>IFERROR(TRIM(INDEX($A9:$AB9,MATCH(Lists!$J$2,$A$1:$AB$1,0))&amp;""),"")</f>
        <v/>
      </c>
      <c r="AE9" s="42">
        <f>IFERROR(TRIM(INDEX($A9:$AB9,MATCH(Lists!$J$3,$A$1:$AB$1,0))&amp;""),"")</f>
        <v/>
      </c>
      <c r="AF9" s="42">
        <f>IFERROR(TRIM(INDEX($A9:$AB9,MATCH(Lists!$J$4,$A$1:$AB$1,0))&amp;""),"")</f>
        <v/>
      </c>
      <c r="AG9" s="42">
        <f>IFERROR(TRIM(INDEX($A9:$AB9,MATCH(Lists!$J$5,$A$1:$AB$1,0))&amp;""),"")</f>
        <v/>
      </c>
      <c r="AH9" s="42">
        <f>IFERROR(TRIM(INDEX($A9:$AB9,MATCH(Lists!$J$6,$A$1:$AB$1,0))&amp;""),"")</f>
        <v/>
      </c>
    </row>
    <row r="10">
      <c r="A10" s="40" t="inlineStr">
        <is>
          <t>EXAMPLE-09 (delete me)</t>
        </is>
      </c>
      <c r="B10" s="40" t="inlineStr">
        <is>
          <t>2026-10-09T12:18:00.000Z</t>
        </is>
      </c>
      <c r="C10" s="40" t="inlineStr">
        <is>
          <t>2026-10-09T12:11:00.000Z</t>
        </is>
      </c>
      <c r="D10" s="40" t="inlineStr">
        <is>
          <t>Elena Voss</t>
        </is>
      </c>
      <c r="E10" s="40" t="inlineStr">
        <is>
          <t>elena@example.com</t>
        </is>
      </c>
      <c r="F10" s="40" t="inlineStr">
        <is>
          <t>Community Lead</t>
        </is>
      </c>
      <c r="G10" s="40" t="inlineStr">
        <is>
          <t>Skylark</t>
        </is>
      </c>
      <c r="H10" s="40" t="inlineStr">
        <is>
          <t>Third-person bio goes here.</t>
        </is>
      </c>
      <c r="I10" s="40" t="inlineStr">
        <is>
          <t>https://example.com/talk</t>
        </is>
      </c>
      <c r="J10" s="40" t="inlineStr">
        <is>
          <t>headshot.jpg</t>
        </is>
      </c>
      <c r="K10" s="40" t="inlineStr">
        <is>
          <t>friend</t>
        </is>
      </c>
      <c r="L10" s="40" t="inlineStr">
        <is>
          <t>Hallway track tricks</t>
        </is>
      </c>
      <c r="M10" s="40" t="inlineStr">
        <is>
          <t>An abstract of 150 to 250 words goes here.</t>
        </is>
      </c>
      <c r="N10" s="40" t="n"/>
      <c r="O10" s="40" t="inlineStr">
        <is>
          <t>Talk (30 min)</t>
        </is>
      </c>
      <c r="P10" s="40" t="n"/>
      <c r="Q10" s="40" t="inlineStr">
        <is>
          <t>Intermediate</t>
        </is>
      </c>
      <c r="R10" s="40" t="n"/>
      <c r="S10" s="40" t="inlineStr">
        <is>
          <t>No, I'm covered</t>
        </is>
      </c>
      <c r="T10" s="40" t="n"/>
      <c r="U10" s="40" t="n">
        <v>1</v>
      </c>
      <c r="AC10" s="41" t="n"/>
      <c r="AD10" s="42">
        <f>IFERROR(TRIM(INDEX($A10:$AB10,MATCH(Lists!$J$2,$A$1:$AB$1,0))&amp;""),"")</f>
        <v/>
      </c>
      <c r="AE10" s="42">
        <f>IFERROR(TRIM(INDEX($A10:$AB10,MATCH(Lists!$J$3,$A$1:$AB$1,0))&amp;""),"")</f>
        <v/>
      </c>
      <c r="AF10" s="42">
        <f>IFERROR(TRIM(INDEX($A10:$AB10,MATCH(Lists!$J$4,$A$1:$AB$1,0))&amp;""),"")</f>
        <v/>
      </c>
      <c r="AG10" s="42">
        <f>IFERROR(TRIM(INDEX($A10:$AB10,MATCH(Lists!$J$5,$A$1:$AB$1,0))&amp;""),"")</f>
        <v/>
      </c>
      <c r="AH10" s="42">
        <f>IFERROR(TRIM(INDEX($A10:$AB10,MATCH(Lists!$J$6,$A$1:$AB$1,0))&amp;""),"")</f>
        <v/>
      </c>
    </row>
    <row r="11">
      <c r="A11" s="40" t="inlineStr">
        <is>
          <t>EXAMPLE-10 (delete me)</t>
        </is>
      </c>
      <c r="B11" s="40" t="inlineStr">
        <is>
          <t>2026-10-10T12:19:00.000Z</t>
        </is>
      </c>
      <c r="C11" s="40" t="inlineStr">
        <is>
          <t>2026-10-10T12:12:00.000Z</t>
        </is>
      </c>
      <c r="D11" s="40" t="inlineStr">
        <is>
          <t>Jack Moreno</t>
        </is>
      </c>
      <c r="E11" s="40" t="inlineStr">
        <is>
          <t>jack@example.com</t>
        </is>
      </c>
      <c r="F11" s="40" t="inlineStr">
        <is>
          <t>Engineer</t>
        </is>
      </c>
      <c r="G11" s="40" t="inlineStr">
        <is>
          <t>Sunrise</t>
        </is>
      </c>
      <c r="H11" s="40" t="inlineStr">
        <is>
          <t>Third-person bio goes here.</t>
        </is>
      </c>
      <c r="I11" s="40" t="inlineStr">
        <is>
          <t>https://example.com/talk</t>
        </is>
      </c>
      <c r="J11" s="40" t="inlineStr">
        <is>
          <t>headshot.jpg</t>
        </is>
      </c>
      <c r="K11" s="40" t="inlineStr">
        <is>
          <t>newsletter</t>
        </is>
      </c>
      <c r="L11" s="40" t="inlineStr">
        <is>
          <t>A talk nobody has scored yet</t>
        </is>
      </c>
      <c r="M11" s="40" t="inlineStr">
        <is>
          <t>An abstract of 150 to 250 words goes here.</t>
        </is>
      </c>
      <c r="N11" s="40" t="n"/>
      <c r="O11" s="40" t="inlineStr">
        <is>
          <t>Panel</t>
        </is>
      </c>
      <c r="P11" s="40" t="n"/>
      <c r="Q11" s="40" t="inlineStr">
        <is>
          <t>Advanced</t>
        </is>
      </c>
      <c r="R11" s="40" t="n"/>
      <c r="S11" s="40" t="inlineStr">
        <is>
          <t>No, I'm covered</t>
        </is>
      </c>
      <c r="T11" s="40" t="n"/>
      <c r="U11" s="40" t="n">
        <v>1</v>
      </c>
      <c r="AC11" s="41" t="n"/>
      <c r="AD11" s="42">
        <f>IFERROR(TRIM(INDEX($A11:$AB11,MATCH(Lists!$J$2,$A$1:$AB$1,0))&amp;""),"")</f>
        <v/>
      </c>
      <c r="AE11" s="42">
        <f>IFERROR(TRIM(INDEX($A11:$AB11,MATCH(Lists!$J$3,$A$1:$AB$1,0))&amp;""),"")</f>
        <v/>
      </c>
      <c r="AF11" s="42">
        <f>IFERROR(TRIM(INDEX($A11:$AB11,MATCH(Lists!$J$4,$A$1:$AB$1,0))&amp;""),"")</f>
        <v/>
      </c>
      <c r="AG11" s="42">
        <f>IFERROR(TRIM(INDEX($A11:$AB11,MATCH(Lists!$J$5,$A$1:$AB$1,0))&amp;""),"")</f>
        <v/>
      </c>
      <c r="AH11" s="42">
        <f>IFERROR(TRIM(INDEX($A11:$AB11,MATCH(Lists!$J$6,$A$1:$AB$1,0))&amp;""),"")</f>
        <v/>
      </c>
    </row>
    <row r="12">
      <c r="AC12" s="41" t="n"/>
      <c r="AD12" s="42">
        <f>IFERROR(TRIM(INDEX($A12:$AB12,MATCH(Lists!$J$2,$A$1:$AB$1,0))&amp;""),"")</f>
        <v/>
      </c>
      <c r="AE12" s="42">
        <f>IFERROR(TRIM(INDEX($A12:$AB12,MATCH(Lists!$J$3,$A$1:$AB$1,0))&amp;""),"")</f>
        <v/>
      </c>
      <c r="AF12" s="42">
        <f>IFERROR(TRIM(INDEX($A12:$AB12,MATCH(Lists!$J$4,$A$1:$AB$1,0))&amp;""),"")</f>
        <v/>
      </c>
      <c r="AG12" s="42">
        <f>IFERROR(TRIM(INDEX($A12:$AB12,MATCH(Lists!$J$5,$A$1:$AB$1,0))&amp;""),"")</f>
        <v/>
      </c>
      <c r="AH12" s="42">
        <f>IFERROR(TRIM(INDEX($A12:$AB12,MATCH(Lists!$J$6,$A$1:$AB$1,0))&amp;""),"")</f>
        <v/>
      </c>
    </row>
    <row r="13">
      <c r="AC13" s="41" t="n"/>
      <c r="AD13" s="42">
        <f>IFERROR(TRIM(INDEX($A13:$AB13,MATCH(Lists!$J$2,$A$1:$AB$1,0))&amp;""),"")</f>
        <v/>
      </c>
      <c r="AE13" s="42">
        <f>IFERROR(TRIM(INDEX($A13:$AB13,MATCH(Lists!$J$3,$A$1:$AB$1,0))&amp;""),"")</f>
        <v/>
      </c>
      <c r="AF13" s="42">
        <f>IFERROR(TRIM(INDEX($A13:$AB13,MATCH(Lists!$J$4,$A$1:$AB$1,0))&amp;""),"")</f>
        <v/>
      </c>
      <c r="AG13" s="42">
        <f>IFERROR(TRIM(INDEX($A13:$AB13,MATCH(Lists!$J$5,$A$1:$AB$1,0))&amp;""),"")</f>
        <v/>
      </c>
      <c r="AH13" s="42">
        <f>IFERROR(TRIM(INDEX($A13:$AB13,MATCH(Lists!$J$6,$A$1:$AB$1,0))&amp;""),"")</f>
        <v/>
      </c>
    </row>
    <row r="14">
      <c r="AC14" s="41" t="n"/>
      <c r="AD14" s="42">
        <f>IFERROR(TRIM(INDEX($A14:$AB14,MATCH(Lists!$J$2,$A$1:$AB$1,0))&amp;""),"")</f>
        <v/>
      </c>
      <c r="AE14" s="42">
        <f>IFERROR(TRIM(INDEX($A14:$AB14,MATCH(Lists!$J$3,$A$1:$AB$1,0))&amp;""),"")</f>
        <v/>
      </c>
      <c r="AF14" s="42">
        <f>IFERROR(TRIM(INDEX($A14:$AB14,MATCH(Lists!$J$4,$A$1:$AB$1,0))&amp;""),"")</f>
        <v/>
      </c>
      <c r="AG14" s="42">
        <f>IFERROR(TRIM(INDEX($A14:$AB14,MATCH(Lists!$J$5,$A$1:$AB$1,0))&amp;""),"")</f>
        <v/>
      </c>
      <c r="AH14" s="42">
        <f>IFERROR(TRIM(INDEX($A14:$AB14,MATCH(Lists!$J$6,$A$1:$AB$1,0))&amp;""),"")</f>
        <v/>
      </c>
    </row>
    <row r="15">
      <c r="AC15" s="41" t="n"/>
      <c r="AD15" s="42">
        <f>IFERROR(TRIM(INDEX($A15:$AB15,MATCH(Lists!$J$2,$A$1:$AB$1,0))&amp;""),"")</f>
        <v/>
      </c>
      <c r="AE15" s="42">
        <f>IFERROR(TRIM(INDEX($A15:$AB15,MATCH(Lists!$J$3,$A$1:$AB$1,0))&amp;""),"")</f>
        <v/>
      </c>
      <c r="AF15" s="42">
        <f>IFERROR(TRIM(INDEX($A15:$AB15,MATCH(Lists!$J$4,$A$1:$AB$1,0))&amp;""),"")</f>
        <v/>
      </c>
      <c r="AG15" s="42">
        <f>IFERROR(TRIM(INDEX($A15:$AB15,MATCH(Lists!$J$5,$A$1:$AB$1,0))&amp;""),"")</f>
        <v/>
      </c>
      <c r="AH15" s="42">
        <f>IFERROR(TRIM(INDEX($A15:$AB15,MATCH(Lists!$J$6,$A$1:$AB$1,0))&amp;""),"")</f>
        <v/>
      </c>
    </row>
    <row r="16">
      <c r="AC16" s="41" t="n"/>
      <c r="AD16" s="42">
        <f>IFERROR(TRIM(INDEX($A16:$AB16,MATCH(Lists!$J$2,$A$1:$AB$1,0))&amp;""),"")</f>
        <v/>
      </c>
      <c r="AE16" s="42">
        <f>IFERROR(TRIM(INDEX($A16:$AB16,MATCH(Lists!$J$3,$A$1:$AB$1,0))&amp;""),"")</f>
        <v/>
      </c>
      <c r="AF16" s="42">
        <f>IFERROR(TRIM(INDEX($A16:$AB16,MATCH(Lists!$J$4,$A$1:$AB$1,0))&amp;""),"")</f>
        <v/>
      </c>
      <c r="AG16" s="42">
        <f>IFERROR(TRIM(INDEX($A16:$AB16,MATCH(Lists!$J$5,$A$1:$AB$1,0))&amp;""),"")</f>
        <v/>
      </c>
      <c r="AH16" s="42">
        <f>IFERROR(TRIM(INDEX($A16:$AB16,MATCH(Lists!$J$6,$A$1:$AB$1,0))&amp;""),"")</f>
        <v/>
      </c>
    </row>
    <row r="17">
      <c r="AC17" s="41" t="n"/>
      <c r="AD17" s="42">
        <f>IFERROR(TRIM(INDEX($A17:$AB17,MATCH(Lists!$J$2,$A$1:$AB$1,0))&amp;""),"")</f>
        <v/>
      </c>
      <c r="AE17" s="42">
        <f>IFERROR(TRIM(INDEX($A17:$AB17,MATCH(Lists!$J$3,$A$1:$AB$1,0))&amp;""),"")</f>
        <v/>
      </c>
      <c r="AF17" s="42">
        <f>IFERROR(TRIM(INDEX($A17:$AB17,MATCH(Lists!$J$4,$A$1:$AB$1,0))&amp;""),"")</f>
        <v/>
      </c>
      <c r="AG17" s="42">
        <f>IFERROR(TRIM(INDEX($A17:$AB17,MATCH(Lists!$J$5,$A$1:$AB$1,0))&amp;""),"")</f>
        <v/>
      </c>
      <c r="AH17" s="42">
        <f>IFERROR(TRIM(INDEX($A17:$AB17,MATCH(Lists!$J$6,$A$1:$AB$1,0))&amp;""),"")</f>
        <v/>
      </c>
    </row>
    <row r="18">
      <c r="AC18" s="41" t="n"/>
      <c r="AD18" s="42">
        <f>IFERROR(TRIM(INDEX($A18:$AB18,MATCH(Lists!$J$2,$A$1:$AB$1,0))&amp;""),"")</f>
        <v/>
      </c>
      <c r="AE18" s="42">
        <f>IFERROR(TRIM(INDEX($A18:$AB18,MATCH(Lists!$J$3,$A$1:$AB$1,0))&amp;""),"")</f>
        <v/>
      </c>
      <c r="AF18" s="42">
        <f>IFERROR(TRIM(INDEX($A18:$AB18,MATCH(Lists!$J$4,$A$1:$AB$1,0))&amp;""),"")</f>
        <v/>
      </c>
      <c r="AG18" s="42">
        <f>IFERROR(TRIM(INDEX($A18:$AB18,MATCH(Lists!$J$5,$A$1:$AB$1,0))&amp;""),"")</f>
        <v/>
      </c>
      <c r="AH18" s="42">
        <f>IFERROR(TRIM(INDEX($A18:$AB18,MATCH(Lists!$J$6,$A$1:$AB$1,0))&amp;""),"")</f>
        <v/>
      </c>
    </row>
    <row r="19">
      <c r="AC19" s="41" t="n"/>
      <c r="AD19" s="42">
        <f>IFERROR(TRIM(INDEX($A19:$AB19,MATCH(Lists!$J$2,$A$1:$AB$1,0))&amp;""),"")</f>
        <v/>
      </c>
      <c r="AE19" s="42">
        <f>IFERROR(TRIM(INDEX($A19:$AB19,MATCH(Lists!$J$3,$A$1:$AB$1,0))&amp;""),"")</f>
        <v/>
      </c>
      <c r="AF19" s="42">
        <f>IFERROR(TRIM(INDEX($A19:$AB19,MATCH(Lists!$J$4,$A$1:$AB$1,0))&amp;""),"")</f>
        <v/>
      </c>
      <c r="AG19" s="42">
        <f>IFERROR(TRIM(INDEX($A19:$AB19,MATCH(Lists!$J$5,$A$1:$AB$1,0))&amp;""),"")</f>
        <v/>
      </c>
      <c r="AH19" s="42">
        <f>IFERROR(TRIM(INDEX($A19:$AB19,MATCH(Lists!$J$6,$A$1:$AB$1,0))&amp;""),"")</f>
        <v/>
      </c>
    </row>
    <row r="20">
      <c r="AC20" s="41" t="n"/>
      <c r="AD20" s="42">
        <f>IFERROR(TRIM(INDEX($A20:$AB20,MATCH(Lists!$J$2,$A$1:$AB$1,0))&amp;""),"")</f>
        <v/>
      </c>
      <c r="AE20" s="42">
        <f>IFERROR(TRIM(INDEX($A20:$AB20,MATCH(Lists!$J$3,$A$1:$AB$1,0))&amp;""),"")</f>
        <v/>
      </c>
      <c r="AF20" s="42">
        <f>IFERROR(TRIM(INDEX($A20:$AB20,MATCH(Lists!$J$4,$A$1:$AB$1,0))&amp;""),"")</f>
        <v/>
      </c>
      <c r="AG20" s="42">
        <f>IFERROR(TRIM(INDEX($A20:$AB20,MATCH(Lists!$J$5,$A$1:$AB$1,0))&amp;""),"")</f>
        <v/>
      </c>
      <c r="AH20" s="42">
        <f>IFERROR(TRIM(INDEX($A20:$AB20,MATCH(Lists!$J$6,$A$1:$AB$1,0))&amp;""),"")</f>
        <v/>
      </c>
    </row>
    <row r="21">
      <c r="AC21" s="41" t="n"/>
      <c r="AD21" s="42">
        <f>IFERROR(TRIM(INDEX($A21:$AB21,MATCH(Lists!$J$2,$A$1:$AB$1,0))&amp;""),"")</f>
        <v/>
      </c>
      <c r="AE21" s="42">
        <f>IFERROR(TRIM(INDEX($A21:$AB21,MATCH(Lists!$J$3,$A$1:$AB$1,0))&amp;""),"")</f>
        <v/>
      </c>
      <c r="AF21" s="42">
        <f>IFERROR(TRIM(INDEX($A21:$AB21,MATCH(Lists!$J$4,$A$1:$AB$1,0))&amp;""),"")</f>
        <v/>
      </c>
      <c r="AG21" s="42">
        <f>IFERROR(TRIM(INDEX($A21:$AB21,MATCH(Lists!$J$5,$A$1:$AB$1,0))&amp;""),"")</f>
        <v/>
      </c>
      <c r="AH21" s="42">
        <f>IFERROR(TRIM(INDEX($A21:$AB21,MATCH(Lists!$J$6,$A$1:$AB$1,0))&amp;""),"")</f>
        <v/>
      </c>
    </row>
    <row r="22">
      <c r="AC22" s="41" t="n"/>
      <c r="AD22" s="42">
        <f>IFERROR(TRIM(INDEX($A22:$AB22,MATCH(Lists!$J$2,$A$1:$AB$1,0))&amp;""),"")</f>
        <v/>
      </c>
      <c r="AE22" s="42">
        <f>IFERROR(TRIM(INDEX($A22:$AB22,MATCH(Lists!$J$3,$A$1:$AB$1,0))&amp;""),"")</f>
        <v/>
      </c>
      <c r="AF22" s="42">
        <f>IFERROR(TRIM(INDEX($A22:$AB22,MATCH(Lists!$J$4,$A$1:$AB$1,0))&amp;""),"")</f>
        <v/>
      </c>
      <c r="AG22" s="42">
        <f>IFERROR(TRIM(INDEX($A22:$AB22,MATCH(Lists!$J$5,$A$1:$AB$1,0))&amp;""),"")</f>
        <v/>
      </c>
      <c r="AH22" s="42">
        <f>IFERROR(TRIM(INDEX($A22:$AB22,MATCH(Lists!$J$6,$A$1:$AB$1,0))&amp;""),"")</f>
        <v/>
      </c>
    </row>
    <row r="23">
      <c r="AC23" s="41" t="n"/>
      <c r="AD23" s="42">
        <f>IFERROR(TRIM(INDEX($A23:$AB23,MATCH(Lists!$J$2,$A$1:$AB$1,0))&amp;""),"")</f>
        <v/>
      </c>
      <c r="AE23" s="42">
        <f>IFERROR(TRIM(INDEX($A23:$AB23,MATCH(Lists!$J$3,$A$1:$AB$1,0))&amp;""),"")</f>
        <v/>
      </c>
      <c r="AF23" s="42">
        <f>IFERROR(TRIM(INDEX($A23:$AB23,MATCH(Lists!$J$4,$A$1:$AB$1,0))&amp;""),"")</f>
        <v/>
      </c>
      <c r="AG23" s="42">
        <f>IFERROR(TRIM(INDEX($A23:$AB23,MATCH(Lists!$J$5,$A$1:$AB$1,0))&amp;""),"")</f>
        <v/>
      </c>
      <c r="AH23" s="42">
        <f>IFERROR(TRIM(INDEX($A23:$AB23,MATCH(Lists!$J$6,$A$1:$AB$1,0))&amp;""),"")</f>
        <v/>
      </c>
    </row>
    <row r="24">
      <c r="AC24" s="41" t="n"/>
      <c r="AD24" s="42">
        <f>IFERROR(TRIM(INDEX($A24:$AB24,MATCH(Lists!$J$2,$A$1:$AB$1,0))&amp;""),"")</f>
        <v/>
      </c>
      <c r="AE24" s="42">
        <f>IFERROR(TRIM(INDEX($A24:$AB24,MATCH(Lists!$J$3,$A$1:$AB$1,0))&amp;""),"")</f>
        <v/>
      </c>
      <c r="AF24" s="42">
        <f>IFERROR(TRIM(INDEX($A24:$AB24,MATCH(Lists!$J$4,$A$1:$AB$1,0))&amp;""),"")</f>
        <v/>
      </c>
      <c r="AG24" s="42">
        <f>IFERROR(TRIM(INDEX($A24:$AB24,MATCH(Lists!$J$5,$A$1:$AB$1,0))&amp;""),"")</f>
        <v/>
      </c>
      <c r="AH24" s="42">
        <f>IFERROR(TRIM(INDEX($A24:$AB24,MATCH(Lists!$J$6,$A$1:$AB$1,0))&amp;""),"")</f>
        <v/>
      </c>
    </row>
    <row r="25">
      <c r="AC25" s="41" t="n"/>
      <c r="AD25" s="42">
        <f>IFERROR(TRIM(INDEX($A25:$AB25,MATCH(Lists!$J$2,$A$1:$AB$1,0))&amp;""),"")</f>
        <v/>
      </c>
      <c r="AE25" s="42">
        <f>IFERROR(TRIM(INDEX($A25:$AB25,MATCH(Lists!$J$3,$A$1:$AB$1,0))&amp;""),"")</f>
        <v/>
      </c>
      <c r="AF25" s="42">
        <f>IFERROR(TRIM(INDEX($A25:$AB25,MATCH(Lists!$J$4,$A$1:$AB$1,0))&amp;""),"")</f>
        <v/>
      </c>
      <c r="AG25" s="42">
        <f>IFERROR(TRIM(INDEX($A25:$AB25,MATCH(Lists!$J$5,$A$1:$AB$1,0))&amp;""),"")</f>
        <v/>
      </c>
      <c r="AH25" s="42">
        <f>IFERROR(TRIM(INDEX($A25:$AB25,MATCH(Lists!$J$6,$A$1:$AB$1,0))&amp;""),"")</f>
        <v/>
      </c>
    </row>
    <row r="26">
      <c r="AC26" s="41" t="n"/>
      <c r="AD26" s="42">
        <f>IFERROR(TRIM(INDEX($A26:$AB26,MATCH(Lists!$J$2,$A$1:$AB$1,0))&amp;""),"")</f>
        <v/>
      </c>
      <c r="AE26" s="42">
        <f>IFERROR(TRIM(INDEX($A26:$AB26,MATCH(Lists!$J$3,$A$1:$AB$1,0))&amp;""),"")</f>
        <v/>
      </c>
      <c r="AF26" s="42">
        <f>IFERROR(TRIM(INDEX($A26:$AB26,MATCH(Lists!$J$4,$A$1:$AB$1,0))&amp;""),"")</f>
        <v/>
      </c>
      <c r="AG26" s="42">
        <f>IFERROR(TRIM(INDEX($A26:$AB26,MATCH(Lists!$J$5,$A$1:$AB$1,0))&amp;""),"")</f>
        <v/>
      </c>
      <c r="AH26" s="42">
        <f>IFERROR(TRIM(INDEX($A26:$AB26,MATCH(Lists!$J$6,$A$1:$AB$1,0))&amp;""),"")</f>
        <v/>
      </c>
    </row>
    <row r="27">
      <c r="AC27" s="41" t="n"/>
      <c r="AD27" s="42">
        <f>IFERROR(TRIM(INDEX($A27:$AB27,MATCH(Lists!$J$2,$A$1:$AB$1,0))&amp;""),"")</f>
        <v/>
      </c>
      <c r="AE27" s="42">
        <f>IFERROR(TRIM(INDEX($A27:$AB27,MATCH(Lists!$J$3,$A$1:$AB$1,0))&amp;""),"")</f>
        <v/>
      </c>
      <c r="AF27" s="42">
        <f>IFERROR(TRIM(INDEX($A27:$AB27,MATCH(Lists!$J$4,$A$1:$AB$1,0))&amp;""),"")</f>
        <v/>
      </c>
      <c r="AG27" s="42">
        <f>IFERROR(TRIM(INDEX($A27:$AB27,MATCH(Lists!$J$5,$A$1:$AB$1,0))&amp;""),"")</f>
        <v/>
      </c>
      <c r="AH27" s="42">
        <f>IFERROR(TRIM(INDEX($A27:$AB27,MATCH(Lists!$J$6,$A$1:$AB$1,0))&amp;""),"")</f>
        <v/>
      </c>
    </row>
    <row r="28">
      <c r="AC28" s="41" t="n"/>
      <c r="AD28" s="42">
        <f>IFERROR(TRIM(INDEX($A28:$AB28,MATCH(Lists!$J$2,$A$1:$AB$1,0))&amp;""),"")</f>
        <v/>
      </c>
      <c r="AE28" s="42">
        <f>IFERROR(TRIM(INDEX($A28:$AB28,MATCH(Lists!$J$3,$A$1:$AB$1,0))&amp;""),"")</f>
        <v/>
      </c>
      <c r="AF28" s="42">
        <f>IFERROR(TRIM(INDEX($A28:$AB28,MATCH(Lists!$J$4,$A$1:$AB$1,0))&amp;""),"")</f>
        <v/>
      </c>
      <c r="AG28" s="42">
        <f>IFERROR(TRIM(INDEX($A28:$AB28,MATCH(Lists!$J$5,$A$1:$AB$1,0))&amp;""),"")</f>
        <v/>
      </c>
      <c r="AH28" s="42">
        <f>IFERROR(TRIM(INDEX($A28:$AB28,MATCH(Lists!$J$6,$A$1:$AB$1,0))&amp;""),"")</f>
        <v/>
      </c>
    </row>
    <row r="29">
      <c r="AC29" s="41" t="n"/>
      <c r="AD29" s="42">
        <f>IFERROR(TRIM(INDEX($A29:$AB29,MATCH(Lists!$J$2,$A$1:$AB$1,0))&amp;""),"")</f>
        <v/>
      </c>
      <c r="AE29" s="42">
        <f>IFERROR(TRIM(INDEX($A29:$AB29,MATCH(Lists!$J$3,$A$1:$AB$1,0))&amp;""),"")</f>
        <v/>
      </c>
      <c r="AF29" s="42">
        <f>IFERROR(TRIM(INDEX($A29:$AB29,MATCH(Lists!$J$4,$A$1:$AB$1,0))&amp;""),"")</f>
        <v/>
      </c>
      <c r="AG29" s="42">
        <f>IFERROR(TRIM(INDEX($A29:$AB29,MATCH(Lists!$J$5,$A$1:$AB$1,0))&amp;""),"")</f>
        <v/>
      </c>
      <c r="AH29" s="42">
        <f>IFERROR(TRIM(INDEX($A29:$AB29,MATCH(Lists!$J$6,$A$1:$AB$1,0))&amp;""),"")</f>
        <v/>
      </c>
    </row>
    <row r="30">
      <c r="AC30" s="41" t="n"/>
      <c r="AD30" s="42">
        <f>IFERROR(TRIM(INDEX($A30:$AB30,MATCH(Lists!$J$2,$A$1:$AB$1,0))&amp;""),"")</f>
        <v/>
      </c>
      <c r="AE30" s="42">
        <f>IFERROR(TRIM(INDEX($A30:$AB30,MATCH(Lists!$J$3,$A$1:$AB$1,0))&amp;""),"")</f>
        <v/>
      </c>
      <c r="AF30" s="42">
        <f>IFERROR(TRIM(INDEX($A30:$AB30,MATCH(Lists!$J$4,$A$1:$AB$1,0))&amp;""),"")</f>
        <v/>
      </c>
      <c r="AG30" s="42">
        <f>IFERROR(TRIM(INDEX($A30:$AB30,MATCH(Lists!$J$5,$A$1:$AB$1,0))&amp;""),"")</f>
        <v/>
      </c>
      <c r="AH30" s="42">
        <f>IFERROR(TRIM(INDEX($A30:$AB30,MATCH(Lists!$J$6,$A$1:$AB$1,0))&amp;""),"")</f>
        <v/>
      </c>
    </row>
    <row r="31">
      <c r="AC31" s="41" t="n"/>
      <c r="AD31" s="42">
        <f>IFERROR(TRIM(INDEX($A31:$AB31,MATCH(Lists!$J$2,$A$1:$AB$1,0))&amp;""),"")</f>
        <v/>
      </c>
      <c r="AE31" s="42">
        <f>IFERROR(TRIM(INDEX($A31:$AB31,MATCH(Lists!$J$3,$A$1:$AB$1,0))&amp;""),"")</f>
        <v/>
      </c>
      <c r="AF31" s="42">
        <f>IFERROR(TRIM(INDEX($A31:$AB31,MATCH(Lists!$J$4,$A$1:$AB$1,0))&amp;""),"")</f>
        <v/>
      </c>
      <c r="AG31" s="42">
        <f>IFERROR(TRIM(INDEX($A31:$AB31,MATCH(Lists!$J$5,$A$1:$AB$1,0))&amp;""),"")</f>
        <v/>
      </c>
      <c r="AH31" s="42">
        <f>IFERROR(TRIM(INDEX($A31:$AB31,MATCH(Lists!$J$6,$A$1:$AB$1,0))&amp;""),"")</f>
        <v/>
      </c>
    </row>
    <row r="32">
      <c r="AC32" s="41" t="n"/>
      <c r="AD32" s="42">
        <f>IFERROR(TRIM(INDEX($A32:$AB32,MATCH(Lists!$J$2,$A$1:$AB$1,0))&amp;""),"")</f>
        <v/>
      </c>
      <c r="AE32" s="42">
        <f>IFERROR(TRIM(INDEX($A32:$AB32,MATCH(Lists!$J$3,$A$1:$AB$1,0))&amp;""),"")</f>
        <v/>
      </c>
      <c r="AF32" s="42">
        <f>IFERROR(TRIM(INDEX($A32:$AB32,MATCH(Lists!$J$4,$A$1:$AB$1,0))&amp;""),"")</f>
        <v/>
      </c>
      <c r="AG32" s="42">
        <f>IFERROR(TRIM(INDEX($A32:$AB32,MATCH(Lists!$J$5,$A$1:$AB$1,0))&amp;""),"")</f>
        <v/>
      </c>
      <c r="AH32" s="42">
        <f>IFERROR(TRIM(INDEX($A32:$AB32,MATCH(Lists!$J$6,$A$1:$AB$1,0))&amp;""),"")</f>
        <v/>
      </c>
    </row>
    <row r="33">
      <c r="AC33" s="41" t="n"/>
      <c r="AD33" s="42">
        <f>IFERROR(TRIM(INDEX($A33:$AB33,MATCH(Lists!$J$2,$A$1:$AB$1,0))&amp;""),"")</f>
        <v/>
      </c>
      <c r="AE33" s="42">
        <f>IFERROR(TRIM(INDEX($A33:$AB33,MATCH(Lists!$J$3,$A$1:$AB$1,0))&amp;""),"")</f>
        <v/>
      </c>
      <c r="AF33" s="42">
        <f>IFERROR(TRIM(INDEX($A33:$AB33,MATCH(Lists!$J$4,$A$1:$AB$1,0))&amp;""),"")</f>
        <v/>
      </c>
      <c r="AG33" s="42">
        <f>IFERROR(TRIM(INDEX($A33:$AB33,MATCH(Lists!$J$5,$A$1:$AB$1,0))&amp;""),"")</f>
        <v/>
      </c>
      <c r="AH33" s="42">
        <f>IFERROR(TRIM(INDEX($A33:$AB33,MATCH(Lists!$J$6,$A$1:$AB$1,0))&amp;""),"")</f>
        <v/>
      </c>
    </row>
    <row r="34">
      <c r="AC34" s="41" t="n"/>
      <c r="AD34" s="42">
        <f>IFERROR(TRIM(INDEX($A34:$AB34,MATCH(Lists!$J$2,$A$1:$AB$1,0))&amp;""),"")</f>
        <v/>
      </c>
      <c r="AE34" s="42">
        <f>IFERROR(TRIM(INDEX($A34:$AB34,MATCH(Lists!$J$3,$A$1:$AB$1,0))&amp;""),"")</f>
        <v/>
      </c>
      <c r="AF34" s="42">
        <f>IFERROR(TRIM(INDEX($A34:$AB34,MATCH(Lists!$J$4,$A$1:$AB$1,0))&amp;""),"")</f>
        <v/>
      </c>
      <c r="AG34" s="42">
        <f>IFERROR(TRIM(INDEX($A34:$AB34,MATCH(Lists!$J$5,$A$1:$AB$1,0))&amp;""),"")</f>
        <v/>
      </c>
      <c r="AH34" s="42">
        <f>IFERROR(TRIM(INDEX($A34:$AB34,MATCH(Lists!$J$6,$A$1:$AB$1,0))&amp;""),"")</f>
        <v/>
      </c>
    </row>
    <row r="35">
      <c r="AC35" s="41" t="n"/>
      <c r="AD35" s="42">
        <f>IFERROR(TRIM(INDEX($A35:$AB35,MATCH(Lists!$J$2,$A$1:$AB$1,0))&amp;""),"")</f>
        <v/>
      </c>
      <c r="AE35" s="42">
        <f>IFERROR(TRIM(INDEX($A35:$AB35,MATCH(Lists!$J$3,$A$1:$AB$1,0))&amp;""),"")</f>
        <v/>
      </c>
      <c r="AF35" s="42">
        <f>IFERROR(TRIM(INDEX($A35:$AB35,MATCH(Lists!$J$4,$A$1:$AB$1,0))&amp;""),"")</f>
        <v/>
      </c>
      <c r="AG35" s="42">
        <f>IFERROR(TRIM(INDEX($A35:$AB35,MATCH(Lists!$J$5,$A$1:$AB$1,0))&amp;""),"")</f>
        <v/>
      </c>
      <c r="AH35" s="42">
        <f>IFERROR(TRIM(INDEX($A35:$AB35,MATCH(Lists!$J$6,$A$1:$AB$1,0))&amp;""),"")</f>
        <v/>
      </c>
    </row>
    <row r="36">
      <c r="AC36" s="41" t="n"/>
      <c r="AD36" s="42">
        <f>IFERROR(TRIM(INDEX($A36:$AB36,MATCH(Lists!$J$2,$A$1:$AB$1,0))&amp;""),"")</f>
        <v/>
      </c>
      <c r="AE36" s="42">
        <f>IFERROR(TRIM(INDEX($A36:$AB36,MATCH(Lists!$J$3,$A$1:$AB$1,0))&amp;""),"")</f>
        <v/>
      </c>
      <c r="AF36" s="42">
        <f>IFERROR(TRIM(INDEX($A36:$AB36,MATCH(Lists!$J$4,$A$1:$AB$1,0))&amp;""),"")</f>
        <v/>
      </c>
      <c r="AG36" s="42">
        <f>IFERROR(TRIM(INDEX($A36:$AB36,MATCH(Lists!$J$5,$A$1:$AB$1,0))&amp;""),"")</f>
        <v/>
      </c>
      <c r="AH36" s="42">
        <f>IFERROR(TRIM(INDEX($A36:$AB36,MATCH(Lists!$J$6,$A$1:$AB$1,0))&amp;""),"")</f>
        <v/>
      </c>
    </row>
    <row r="37">
      <c r="AC37" s="41" t="n"/>
      <c r="AD37" s="42">
        <f>IFERROR(TRIM(INDEX($A37:$AB37,MATCH(Lists!$J$2,$A$1:$AB$1,0))&amp;""),"")</f>
        <v/>
      </c>
      <c r="AE37" s="42">
        <f>IFERROR(TRIM(INDEX($A37:$AB37,MATCH(Lists!$J$3,$A$1:$AB$1,0))&amp;""),"")</f>
        <v/>
      </c>
      <c r="AF37" s="42">
        <f>IFERROR(TRIM(INDEX($A37:$AB37,MATCH(Lists!$J$4,$A$1:$AB$1,0))&amp;""),"")</f>
        <v/>
      </c>
      <c r="AG37" s="42">
        <f>IFERROR(TRIM(INDEX($A37:$AB37,MATCH(Lists!$J$5,$A$1:$AB$1,0))&amp;""),"")</f>
        <v/>
      </c>
      <c r="AH37" s="42">
        <f>IFERROR(TRIM(INDEX($A37:$AB37,MATCH(Lists!$J$6,$A$1:$AB$1,0))&amp;""),"")</f>
        <v/>
      </c>
    </row>
    <row r="38">
      <c r="AC38" s="41" t="n"/>
      <c r="AD38" s="42">
        <f>IFERROR(TRIM(INDEX($A38:$AB38,MATCH(Lists!$J$2,$A$1:$AB$1,0))&amp;""),"")</f>
        <v/>
      </c>
      <c r="AE38" s="42">
        <f>IFERROR(TRIM(INDEX($A38:$AB38,MATCH(Lists!$J$3,$A$1:$AB$1,0))&amp;""),"")</f>
        <v/>
      </c>
      <c r="AF38" s="42">
        <f>IFERROR(TRIM(INDEX($A38:$AB38,MATCH(Lists!$J$4,$A$1:$AB$1,0))&amp;""),"")</f>
        <v/>
      </c>
      <c r="AG38" s="42">
        <f>IFERROR(TRIM(INDEX($A38:$AB38,MATCH(Lists!$J$5,$A$1:$AB$1,0))&amp;""),"")</f>
        <v/>
      </c>
      <c r="AH38" s="42">
        <f>IFERROR(TRIM(INDEX($A38:$AB38,MATCH(Lists!$J$6,$A$1:$AB$1,0))&amp;""),"")</f>
        <v/>
      </c>
    </row>
    <row r="39">
      <c r="AC39" s="41" t="n"/>
      <c r="AD39" s="42">
        <f>IFERROR(TRIM(INDEX($A39:$AB39,MATCH(Lists!$J$2,$A$1:$AB$1,0))&amp;""),"")</f>
        <v/>
      </c>
      <c r="AE39" s="42">
        <f>IFERROR(TRIM(INDEX($A39:$AB39,MATCH(Lists!$J$3,$A$1:$AB$1,0))&amp;""),"")</f>
        <v/>
      </c>
      <c r="AF39" s="42">
        <f>IFERROR(TRIM(INDEX($A39:$AB39,MATCH(Lists!$J$4,$A$1:$AB$1,0))&amp;""),"")</f>
        <v/>
      </c>
      <c r="AG39" s="42">
        <f>IFERROR(TRIM(INDEX($A39:$AB39,MATCH(Lists!$J$5,$A$1:$AB$1,0))&amp;""),"")</f>
        <v/>
      </c>
      <c r="AH39" s="42">
        <f>IFERROR(TRIM(INDEX($A39:$AB39,MATCH(Lists!$J$6,$A$1:$AB$1,0))&amp;""),"")</f>
        <v/>
      </c>
    </row>
    <row r="40">
      <c r="AC40" s="41" t="n"/>
      <c r="AD40" s="42">
        <f>IFERROR(TRIM(INDEX($A40:$AB40,MATCH(Lists!$J$2,$A$1:$AB$1,0))&amp;""),"")</f>
        <v/>
      </c>
      <c r="AE40" s="42">
        <f>IFERROR(TRIM(INDEX($A40:$AB40,MATCH(Lists!$J$3,$A$1:$AB$1,0))&amp;""),"")</f>
        <v/>
      </c>
      <c r="AF40" s="42">
        <f>IFERROR(TRIM(INDEX($A40:$AB40,MATCH(Lists!$J$4,$A$1:$AB$1,0))&amp;""),"")</f>
        <v/>
      </c>
      <c r="AG40" s="42">
        <f>IFERROR(TRIM(INDEX($A40:$AB40,MATCH(Lists!$J$5,$A$1:$AB$1,0))&amp;""),"")</f>
        <v/>
      </c>
      <c r="AH40" s="42">
        <f>IFERROR(TRIM(INDEX($A40:$AB40,MATCH(Lists!$J$6,$A$1:$AB$1,0))&amp;""),"")</f>
        <v/>
      </c>
    </row>
    <row r="41">
      <c r="AC41" s="41" t="n"/>
      <c r="AD41" s="42">
        <f>IFERROR(TRIM(INDEX($A41:$AB41,MATCH(Lists!$J$2,$A$1:$AB$1,0))&amp;""),"")</f>
        <v/>
      </c>
      <c r="AE41" s="42">
        <f>IFERROR(TRIM(INDEX($A41:$AB41,MATCH(Lists!$J$3,$A$1:$AB$1,0))&amp;""),"")</f>
        <v/>
      </c>
      <c r="AF41" s="42">
        <f>IFERROR(TRIM(INDEX($A41:$AB41,MATCH(Lists!$J$4,$A$1:$AB$1,0))&amp;""),"")</f>
        <v/>
      </c>
      <c r="AG41" s="42">
        <f>IFERROR(TRIM(INDEX($A41:$AB41,MATCH(Lists!$J$5,$A$1:$AB$1,0))&amp;""),"")</f>
        <v/>
      </c>
      <c r="AH41" s="42">
        <f>IFERROR(TRIM(INDEX($A41:$AB41,MATCH(Lists!$J$6,$A$1:$AB$1,0))&amp;""),"")</f>
        <v/>
      </c>
    </row>
    <row r="42">
      <c r="AC42" s="41" t="n"/>
      <c r="AD42" s="42">
        <f>IFERROR(TRIM(INDEX($A42:$AB42,MATCH(Lists!$J$2,$A$1:$AB$1,0))&amp;""),"")</f>
        <v/>
      </c>
      <c r="AE42" s="42">
        <f>IFERROR(TRIM(INDEX($A42:$AB42,MATCH(Lists!$J$3,$A$1:$AB$1,0))&amp;""),"")</f>
        <v/>
      </c>
      <c r="AF42" s="42">
        <f>IFERROR(TRIM(INDEX($A42:$AB42,MATCH(Lists!$J$4,$A$1:$AB$1,0))&amp;""),"")</f>
        <v/>
      </c>
      <c r="AG42" s="42">
        <f>IFERROR(TRIM(INDEX($A42:$AB42,MATCH(Lists!$J$5,$A$1:$AB$1,0))&amp;""),"")</f>
        <v/>
      </c>
      <c r="AH42" s="42">
        <f>IFERROR(TRIM(INDEX($A42:$AB42,MATCH(Lists!$J$6,$A$1:$AB$1,0))&amp;""),"")</f>
        <v/>
      </c>
    </row>
    <row r="43">
      <c r="AC43" s="41" t="n"/>
      <c r="AD43" s="42">
        <f>IFERROR(TRIM(INDEX($A43:$AB43,MATCH(Lists!$J$2,$A$1:$AB$1,0))&amp;""),"")</f>
        <v/>
      </c>
      <c r="AE43" s="42">
        <f>IFERROR(TRIM(INDEX($A43:$AB43,MATCH(Lists!$J$3,$A$1:$AB$1,0))&amp;""),"")</f>
        <v/>
      </c>
      <c r="AF43" s="42">
        <f>IFERROR(TRIM(INDEX($A43:$AB43,MATCH(Lists!$J$4,$A$1:$AB$1,0))&amp;""),"")</f>
        <v/>
      </c>
      <c r="AG43" s="42">
        <f>IFERROR(TRIM(INDEX($A43:$AB43,MATCH(Lists!$J$5,$A$1:$AB$1,0))&amp;""),"")</f>
        <v/>
      </c>
      <c r="AH43" s="42">
        <f>IFERROR(TRIM(INDEX($A43:$AB43,MATCH(Lists!$J$6,$A$1:$AB$1,0))&amp;""),"")</f>
        <v/>
      </c>
    </row>
    <row r="44">
      <c r="AC44" s="41" t="n"/>
      <c r="AD44" s="42">
        <f>IFERROR(TRIM(INDEX($A44:$AB44,MATCH(Lists!$J$2,$A$1:$AB$1,0))&amp;""),"")</f>
        <v/>
      </c>
      <c r="AE44" s="42">
        <f>IFERROR(TRIM(INDEX($A44:$AB44,MATCH(Lists!$J$3,$A$1:$AB$1,0))&amp;""),"")</f>
        <v/>
      </c>
      <c r="AF44" s="42">
        <f>IFERROR(TRIM(INDEX($A44:$AB44,MATCH(Lists!$J$4,$A$1:$AB$1,0))&amp;""),"")</f>
        <v/>
      </c>
      <c r="AG44" s="42">
        <f>IFERROR(TRIM(INDEX($A44:$AB44,MATCH(Lists!$J$5,$A$1:$AB$1,0))&amp;""),"")</f>
        <v/>
      </c>
      <c r="AH44" s="42">
        <f>IFERROR(TRIM(INDEX($A44:$AB44,MATCH(Lists!$J$6,$A$1:$AB$1,0))&amp;""),"")</f>
        <v/>
      </c>
    </row>
    <row r="45">
      <c r="AC45" s="41" t="n"/>
      <c r="AD45" s="42">
        <f>IFERROR(TRIM(INDEX($A45:$AB45,MATCH(Lists!$J$2,$A$1:$AB$1,0))&amp;""),"")</f>
        <v/>
      </c>
      <c r="AE45" s="42">
        <f>IFERROR(TRIM(INDEX($A45:$AB45,MATCH(Lists!$J$3,$A$1:$AB$1,0))&amp;""),"")</f>
        <v/>
      </c>
      <c r="AF45" s="42">
        <f>IFERROR(TRIM(INDEX($A45:$AB45,MATCH(Lists!$J$4,$A$1:$AB$1,0))&amp;""),"")</f>
        <v/>
      </c>
      <c r="AG45" s="42">
        <f>IFERROR(TRIM(INDEX($A45:$AB45,MATCH(Lists!$J$5,$A$1:$AB$1,0))&amp;""),"")</f>
        <v/>
      </c>
      <c r="AH45" s="42">
        <f>IFERROR(TRIM(INDEX($A45:$AB45,MATCH(Lists!$J$6,$A$1:$AB$1,0))&amp;""),"")</f>
        <v/>
      </c>
    </row>
    <row r="46">
      <c r="AC46" s="41" t="n"/>
      <c r="AD46" s="42">
        <f>IFERROR(TRIM(INDEX($A46:$AB46,MATCH(Lists!$J$2,$A$1:$AB$1,0))&amp;""),"")</f>
        <v/>
      </c>
      <c r="AE46" s="42">
        <f>IFERROR(TRIM(INDEX($A46:$AB46,MATCH(Lists!$J$3,$A$1:$AB$1,0))&amp;""),"")</f>
        <v/>
      </c>
      <c r="AF46" s="42">
        <f>IFERROR(TRIM(INDEX($A46:$AB46,MATCH(Lists!$J$4,$A$1:$AB$1,0))&amp;""),"")</f>
        <v/>
      </c>
      <c r="AG46" s="42">
        <f>IFERROR(TRIM(INDEX($A46:$AB46,MATCH(Lists!$J$5,$A$1:$AB$1,0))&amp;""),"")</f>
        <v/>
      </c>
      <c r="AH46" s="42">
        <f>IFERROR(TRIM(INDEX($A46:$AB46,MATCH(Lists!$J$6,$A$1:$AB$1,0))&amp;""),"")</f>
        <v/>
      </c>
    </row>
    <row r="47">
      <c r="AC47" s="41" t="n"/>
      <c r="AD47" s="42">
        <f>IFERROR(TRIM(INDEX($A47:$AB47,MATCH(Lists!$J$2,$A$1:$AB$1,0))&amp;""),"")</f>
        <v/>
      </c>
      <c r="AE47" s="42">
        <f>IFERROR(TRIM(INDEX($A47:$AB47,MATCH(Lists!$J$3,$A$1:$AB$1,0))&amp;""),"")</f>
        <v/>
      </c>
      <c r="AF47" s="42">
        <f>IFERROR(TRIM(INDEX($A47:$AB47,MATCH(Lists!$J$4,$A$1:$AB$1,0))&amp;""),"")</f>
        <v/>
      </c>
      <c r="AG47" s="42">
        <f>IFERROR(TRIM(INDEX($A47:$AB47,MATCH(Lists!$J$5,$A$1:$AB$1,0))&amp;""),"")</f>
        <v/>
      </c>
      <c r="AH47" s="42">
        <f>IFERROR(TRIM(INDEX($A47:$AB47,MATCH(Lists!$J$6,$A$1:$AB$1,0))&amp;""),"")</f>
        <v/>
      </c>
    </row>
    <row r="48">
      <c r="AC48" s="41" t="n"/>
      <c r="AD48" s="42">
        <f>IFERROR(TRIM(INDEX($A48:$AB48,MATCH(Lists!$J$2,$A$1:$AB$1,0))&amp;""),"")</f>
        <v/>
      </c>
      <c r="AE48" s="42">
        <f>IFERROR(TRIM(INDEX($A48:$AB48,MATCH(Lists!$J$3,$A$1:$AB$1,0))&amp;""),"")</f>
        <v/>
      </c>
      <c r="AF48" s="42">
        <f>IFERROR(TRIM(INDEX($A48:$AB48,MATCH(Lists!$J$4,$A$1:$AB$1,0))&amp;""),"")</f>
        <v/>
      </c>
      <c r="AG48" s="42">
        <f>IFERROR(TRIM(INDEX($A48:$AB48,MATCH(Lists!$J$5,$A$1:$AB$1,0))&amp;""),"")</f>
        <v/>
      </c>
      <c r="AH48" s="42">
        <f>IFERROR(TRIM(INDEX($A48:$AB48,MATCH(Lists!$J$6,$A$1:$AB$1,0))&amp;""),"")</f>
        <v/>
      </c>
    </row>
    <row r="49">
      <c r="AC49" s="41" t="n"/>
      <c r="AD49" s="42">
        <f>IFERROR(TRIM(INDEX($A49:$AB49,MATCH(Lists!$J$2,$A$1:$AB$1,0))&amp;""),"")</f>
        <v/>
      </c>
      <c r="AE49" s="42">
        <f>IFERROR(TRIM(INDEX($A49:$AB49,MATCH(Lists!$J$3,$A$1:$AB$1,0))&amp;""),"")</f>
        <v/>
      </c>
      <c r="AF49" s="42">
        <f>IFERROR(TRIM(INDEX($A49:$AB49,MATCH(Lists!$J$4,$A$1:$AB$1,0))&amp;""),"")</f>
        <v/>
      </c>
      <c r="AG49" s="42">
        <f>IFERROR(TRIM(INDEX($A49:$AB49,MATCH(Lists!$J$5,$A$1:$AB$1,0))&amp;""),"")</f>
        <v/>
      </c>
      <c r="AH49" s="42">
        <f>IFERROR(TRIM(INDEX($A49:$AB49,MATCH(Lists!$J$6,$A$1:$AB$1,0))&amp;""),"")</f>
        <v/>
      </c>
    </row>
    <row r="50">
      <c r="AC50" s="41" t="n"/>
      <c r="AD50" s="42">
        <f>IFERROR(TRIM(INDEX($A50:$AB50,MATCH(Lists!$J$2,$A$1:$AB$1,0))&amp;""),"")</f>
        <v/>
      </c>
      <c r="AE50" s="42">
        <f>IFERROR(TRIM(INDEX($A50:$AB50,MATCH(Lists!$J$3,$A$1:$AB$1,0))&amp;""),"")</f>
        <v/>
      </c>
      <c r="AF50" s="42">
        <f>IFERROR(TRIM(INDEX($A50:$AB50,MATCH(Lists!$J$4,$A$1:$AB$1,0))&amp;""),"")</f>
        <v/>
      </c>
      <c r="AG50" s="42">
        <f>IFERROR(TRIM(INDEX($A50:$AB50,MATCH(Lists!$J$5,$A$1:$AB$1,0))&amp;""),"")</f>
        <v/>
      </c>
      <c r="AH50" s="42">
        <f>IFERROR(TRIM(INDEX($A50:$AB50,MATCH(Lists!$J$6,$A$1:$AB$1,0))&amp;""),"")</f>
        <v/>
      </c>
    </row>
    <row r="51">
      <c r="AC51" s="41" t="n"/>
      <c r="AD51" s="42">
        <f>IFERROR(TRIM(INDEX($A51:$AB51,MATCH(Lists!$J$2,$A$1:$AB$1,0))&amp;""),"")</f>
        <v/>
      </c>
      <c r="AE51" s="42">
        <f>IFERROR(TRIM(INDEX($A51:$AB51,MATCH(Lists!$J$3,$A$1:$AB$1,0))&amp;""),"")</f>
        <v/>
      </c>
      <c r="AF51" s="42">
        <f>IFERROR(TRIM(INDEX($A51:$AB51,MATCH(Lists!$J$4,$A$1:$AB$1,0))&amp;""),"")</f>
        <v/>
      </c>
      <c r="AG51" s="42">
        <f>IFERROR(TRIM(INDEX($A51:$AB51,MATCH(Lists!$J$5,$A$1:$AB$1,0))&amp;""),"")</f>
        <v/>
      </c>
      <c r="AH51" s="42">
        <f>IFERROR(TRIM(INDEX($A51:$AB51,MATCH(Lists!$J$6,$A$1:$AB$1,0))&amp;""),"")</f>
        <v/>
      </c>
    </row>
    <row r="52">
      <c r="AC52" s="41" t="n"/>
      <c r="AD52" s="42">
        <f>IFERROR(TRIM(INDEX($A52:$AB52,MATCH(Lists!$J$2,$A$1:$AB$1,0))&amp;""),"")</f>
        <v/>
      </c>
      <c r="AE52" s="42">
        <f>IFERROR(TRIM(INDEX($A52:$AB52,MATCH(Lists!$J$3,$A$1:$AB$1,0))&amp;""),"")</f>
        <v/>
      </c>
      <c r="AF52" s="42">
        <f>IFERROR(TRIM(INDEX($A52:$AB52,MATCH(Lists!$J$4,$A$1:$AB$1,0))&amp;""),"")</f>
        <v/>
      </c>
      <c r="AG52" s="42">
        <f>IFERROR(TRIM(INDEX($A52:$AB52,MATCH(Lists!$J$5,$A$1:$AB$1,0))&amp;""),"")</f>
        <v/>
      </c>
      <c r="AH52" s="42">
        <f>IFERROR(TRIM(INDEX($A52:$AB52,MATCH(Lists!$J$6,$A$1:$AB$1,0))&amp;""),"")</f>
        <v/>
      </c>
    </row>
    <row r="53">
      <c r="AC53" s="41" t="n"/>
      <c r="AD53" s="42">
        <f>IFERROR(TRIM(INDEX($A53:$AB53,MATCH(Lists!$J$2,$A$1:$AB$1,0))&amp;""),"")</f>
        <v/>
      </c>
      <c r="AE53" s="42">
        <f>IFERROR(TRIM(INDEX($A53:$AB53,MATCH(Lists!$J$3,$A$1:$AB$1,0))&amp;""),"")</f>
        <v/>
      </c>
      <c r="AF53" s="42">
        <f>IFERROR(TRIM(INDEX($A53:$AB53,MATCH(Lists!$J$4,$A$1:$AB$1,0))&amp;""),"")</f>
        <v/>
      </c>
      <c r="AG53" s="42">
        <f>IFERROR(TRIM(INDEX($A53:$AB53,MATCH(Lists!$J$5,$A$1:$AB$1,0))&amp;""),"")</f>
        <v/>
      </c>
      <c r="AH53" s="42">
        <f>IFERROR(TRIM(INDEX($A53:$AB53,MATCH(Lists!$J$6,$A$1:$AB$1,0))&amp;""),"")</f>
        <v/>
      </c>
    </row>
    <row r="54">
      <c r="AC54" s="41" t="n"/>
      <c r="AD54" s="42">
        <f>IFERROR(TRIM(INDEX($A54:$AB54,MATCH(Lists!$J$2,$A$1:$AB$1,0))&amp;""),"")</f>
        <v/>
      </c>
      <c r="AE54" s="42">
        <f>IFERROR(TRIM(INDEX($A54:$AB54,MATCH(Lists!$J$3,$A$1:$AB$1,0))&amp;""),"")</f>
        <v/>
      </c>
      <c r="AF54" s="42">
        <f>IFERROR(TRIM(INDEX($A54:$AB54,MATCH(Lists!$J$4,$A$1:$AB$1,0))&amp;""),"")</f>
        <v/>
      </c>
      <c r="AG54" s="42">
        <f>IFERROR(TRIM(INDEX($A54:$AB54,MATCH(Lists!$J$5,$A$1:$AB$1,0))&amp;""),"")</f>
        <v/>
      </c>
      <c r="AH54" s="42">
        <f>IFERROR(TRIM(INDEX($A54:$AB54,MATCH(Lists!$J$6,$A$1:$AB$1,0))&amp;""),"")</f>
        <v/>
      </c>
    </row>
    <row r="55">
      <c r="AC55" s="41" t="n"/>
      <c r="AD55" s="42">
        <f>IFERROR(TRIM(INDEX($A55:$AB55,MATCH(Lists!$J$2,$A$1:$AB$1,0))&amp;""),"")</f>
        <v/>
      </c>
      <c r="AE55" s="42">
        <f>IFERROR(TRIM(INDEX($A55:$AB55,MATCH(Lists!$J$3,$A$1:$AB$1,0))&amp;""),"")</f>
        <v/>
      </c>
      <c r="AF55" s="42">
        <f>IFERROR(TRIM(INDEX($A55:$AB55,MATCH(Lists!$J$4,$A$1:$AB$1,0))&amp;""),"")</f>
        <v/>
      </c>
      <c r="AG55" s="42">
        <f>IFERROR(TRIM(INDEX($A55:$AB55,MATCH(Lists!$J$5,$A$1:$AB$1,0))&amp;""),"")</f>
        <v/>
      </c>
      <c r="AH55" s="42">
        <f>IFERROR(TRIM(INDEX($A55:$AB55,MATCH(Lists!$J$6,$A$1:$AB$1,0))&amp;""),"")</f>
        <v/>
      </c>
    </row>
    <row r="56">
      <c r="AC56" s="41" t="n"/>
      <c r="AD56" s="42">
        <f>IFERROR(TRIM(INDEX($A56:$AB56,MATCH(Lists!$J$2,$A$1:$AB$1,0))&amp;""),"")</f>
        <v/>
      </c>
      <c r="AE56" s="42">
        <f>IFERROR(TRIM(INDEX($A56:$AB56,MATCH(Lists!$J$3,$A$1:$AB$1,0))&amp;""),"")</f>
        <v/>
      </c>
      <c r="AF56" s="42">
        <f>IFERROR(TRIM(INDEX($A56:$AB56,MATCH(Lists!$J$4,$A$1:$AB$1,0))&amp;""),"")</f>
        <v/>
      </c>
      <c r="AG56" s="42">
        <f>IFERROR(TRIM(INDEX($A56:$AB56,MATCH(Lists!$J$5,$A$1:$AB$1,0))&amp;""),"")</f>
        <v/>
      </c>
      <c r="AH56" s="42">
        <f>IFERROR(TRIM(INDEX($A56:$AB56,MATCH(Lists!$J$6,$A$1:$AB$1,0))&amp;""),"")</f>
        <v/>
      </c>
    </row>
    <row r="57">
      <c r="AC57" s="41" t="n"/>
      <c r="AD57" s="42">
        <f>IFERROR(TRIM(INDEX($A57:$AB57,MATCH(Lists!$J$2,$A$1:$AB$1,0))&amp;""),"")</f>
        <v/>
      </c>
      <c r="AE57" s="42">
        <f>IFERROR(TRIM(INDEX($A57:$AB57,MATCH(Lists!$J$3,$A$1:$AB$1,0))&amp;""),"")</f>
        <v/>
      </c>
      <c r="AF57" s="42">
        <f>IFERROR(TRIM(INDEX($A57:$AB57,MATCH(Lists!$J$4,$A$1:$AB$1,0))&amp;""),"")</f>
        <v/>
      </c>
      <c r="AG57" s="42">
        <f>IFERROR(TRIM(INDEX($A57:$AB57,MATCH(Lists!$J$5,$A$1:$AB$1,0))&amp;""),"")</f>
        <v/>
      </c>
      <c r="AH57" s="42">
        <f>IFERROR(TRIM(INDEX($A57:$AB57,MATCH(Lists!$J$6,$A$1:$AB$1,0))&amp;""),"")</f>
        <v/>
      </c>
    </row>
    <row r="58">
      <c r="AC58" s="41" t="n"/>
      <c r="AD58" s="42">
        <f>IFERROR(TRIM(INDEX($A58:$AB58,MATCH(Lists!$J$2,$A$1:$AB$1,0))&amp;""),"")</f>
        <v/>
      </c>
      <c r="AE58" s="42">
        <f>IFERROR(TRIM(INDEX($A58:$AB58,MATCH(Lists!$J$3,$A$1:$AB$1,0))&amp;""),"")</f>
        <v/>
      </c>
      <c r="AF58" s="42">
        <f>IFERROR(TRIM(INDEX($A58:$AB58,MATCH(Lists!$J$4,$A$1:$AB$1,0))&amp;""),"")</f>
        <v/>
      </c>
      <c r="AG58" s="42">
        <f>IFERROR(TRIM(INDEX($A58:$AB58,MATCH(Lists!$J$5,$A$1:$AB$1,0))&amp;""),"")</f>
        <v/>
      </c>
      <c r="AH58" s="42">
        <f>IFERROR(TRIM(INDEX($A58:$AB58,MATCH(Lists!$J$6,$A$1:$AB$1,0))&amp;""),"")</f>
        <v/>
      </c>
    </row>
    <row r="59">
      <c r="AC59" s="41" t="n"/>
      <c r="AD59" s="42">
        <f>IFERROR(TRIM(INDEX($A59:$AB59,MATCH(Lists!$J$2,$A$1:$AB$1,0))&amp;""),"")</f>
        <v/>
      </c>
      <c r="AE59" s="42">
        <f>IFERROR(TRIM(INDEX($A59:$AB59,MATCH(Lists!$J$3,$A$1:$AB$1,0))&amp;""),"")</f>
        <v/>
      </c>
      <c r="AF59" s="42">
        <f>IFERROR(TRIM(INDEX($A59:$AB59,MATCH(Lists!$J$4,$A$1:$AB$1,0))&amp;""),"")</f>
        <v/>
      </c>
      <c r="AG59" s="42">
        <f>IFERROR(TRIM(INDEX($A59:$AB59,MATCH(Lists!$J$5,$A$1:$AB$1,0))&amp;""),"")</f>
        <v/>
      </c>
      <c r="AH59" s="42">
        <f>IFERROR(TRIM(INDEX($A59:$AB59,MATCH(Lists!$J$6,$A$1:$AB$1,0))&amp;""),"")</f>
        <v/>
      </c>
    </row>
    <row r="60">
      <c r="AC60" s="41" t="n"/>
      <c r="AD60" s="42">
        <f>IFERROR(TRIM(INDEX($A60:$AB60,MATCH(Lists!$J$2,$A$1:$AB$1,0))&amp;""),"")</f>
        <v/>
      </c>
      <c r="AE60" s="42">
        <f>IFERROR(TRIM(INDEX($A60:$AB60,MATCH(Lists!$J$3,$A$1:$AB$1,0))&amp;""),"")</f>
        <v/>
      </c>
      <c r="AF60" s="42">
        <f>IFERROR(TRIM(INDEX($A60:$AB60,MATCH(Lists!$J$4,$A$1:$AB$1,0))&amp;""),"")</f>
        <v/>
      </c>
      <c r="AG60" s="42">
        <f>IFERROR(TRIM(INDEX($A60:$AB60,MATCH(Lists!$J$5,$A$1:$AB$1,0))&amp;""),"")</f>
        <v/>
      </c>
      <c r="AH60" s="42">
        <f>IFERROR(TRIM(INDEX($A60:$AB60,MATCH(Lists!$J$6,$A$1:$AB$1,0))&amp;""),"")</f>
        <v/>
      </c>
    </row>
    <row r="61">
      <c r="AC61" s="41" t="n"/>
      <c r="AD61" s="42">
        <f>IFERROR(TRIM(INDEX($A61:$AB61,MATCH(Lists!$J$2,$A$1:$AB$1,0))&amp;""),"")</f>
        <v/>
      </c>
      <c r="AE61" s="42">
        <f>IFERROR(TRIM(INDEX($A61:$AB61,MATCH(Lists!$J$3,$A$1:$AB$1,0))&amp;""),"")</f>
        <v/>
      </c>
      <c r="AF61" s="42">
        <f>IFERROR(TRIM(INDEX($A61:$AB61,MATCH(Lists!$J$4,$A$1:$AB$1,0))&amp;""),"")</f>
        <v/>
      </c>
      <c r="AG61" s="42">
        <f>IFERROR(TRIM(INDEX($A61:$AB61,MATCH(Lists!$J$5,$A$1:$AB$1,0))&amp;""),"")</f>
        <v/>
      </c>
      <c r="AH61" s="42">
        <f>IFERROR(TRIM(INDEX($A61:$AB61,MATCH(Lists!$J$6,$A$1:$AB$1,0))&amp;""),"")</f>
        <v/>
      </c>
    </row>
    <row r="62">
      <c r="AC62" s="41" t="n"/>
      <c r="AD62" s="42">
        <f>IFERROR(TRIM(INDEX($A62:$AB62,MATCH(Lists!$J$2,$A$1:$AB$1,0))&amp;""),"")</f>
        <v/>
      </c>
      <c r="AE62" s="42">
        <f>IFERROR(TRIM(INDEX($A62:$AB62,MATCH(Lists!$J$3,$A$1:$AB$1,0))&amp;""),"")</f>
        <v/>
      </c>
      <c r="AF62" s="42">
        <f>IFERROR(TRIM(INDEX($A62:$AB62,MATCH(Lists!$J$4,$A$1:$AB$1,0))&amp;""),"")</f>
        <v/>
      </c>
      <c r="AG62" s="42">
        <f>IFERROR(TRIM(INDEX($A62:$AB62,MATCH(Lists!$J$5,$A$1:$AB$1,0))&amp;""),"")</f>
        <v/>
      </c>
      <c r="AH62" s="42">
        <f>IFERROR(TRIM(INDEX($A62:$AB62,MATCH(Lists!$J$6,$A$1:$AB$1,0))&amp;""),"")</f>
        <v/>
      </c>
    </row>
    <row r="63">
      <c r="AC63" s="41" t="n"/>
      <c r="AD63" s="42">
        <f>IFERROR(TRIM(INDEX($A63:$AB63,MATCH(Lists!$J$2,$A$1:$AB$1,0))&amp;""),"")</f>
        <v/>
      </c>
      <c r="AE63" s="42">
        <f>IFERROR(TRIM(INDEX($A63:$AB63,MATCH(Lists!$J$3,$A$1:$AB$1,0))&amp;""),"")</f>
        <v/>
      </c>
      <c r="AF63" s="42">
        <f>IFERROR(TRIM(INDEX($A63:$AB63,MATCH(Lists!$J$4,$A$1:$AB$1,0))&amp;""),"")</f>
        <v/>
      </c>
      <c r="AG63" s="42">
        <f>IFERROR(TRIM(INDEX($A63:$AB63,MATCH(Lists!$J$5,$A$1:$AB$1,0))&amp;""),"")</f>
        <v/>
      </c>
      <c r="AH63" s="42">
        <f>IFERROR(TRIM(INDEX($A63:$AB63,MATCH(Lists!$J$6,$A$1:$AB$1,0))&amp;""),"")</f>
        <v/>
      </c>
    </row>
    <row r="64">
      <c r="AC64" s="41" t="n"/>
      <c r="AD64" s="42">
        <f>IFERROR(TRIM(INDEX($A64:$AB64,MATCH(Lists!$J$2,$A$1:$AB$1,0))&amp;""),"")</f>
        <v/>
      </c>
      <c r="AE64" s="42">
        <f>IFERROR(TRIM(INDEX($A64:$AB64,MATCH(Lists!$J$3,$A$1:$AB$1,0))&amp;""),"")</f>
        <v/>
      </c>
      <c r="AF64" s="42">
        <f>IFERROR(TRIM(INDEX($A64:$AB64,MATCH(Lists!$J$4,$A$1:$AB$1,0))&amp;""),"")</f>
        <v/>
      </c>
      <c r="AG64" s="42">
        <f>IFERROR(TRIM(INDEX($A64:$AB64,MATCH(Lists!$J$5,$A$1:$AB$1,0))&amp;""),"")</f>
        <v/>
      </c>
      <c r="AH64" s="42">
        <f>IFERROR(TRIM(INDEX($A64:$AB64,MATCH(Lists!$J$6,$A$1:$AB$1,0))&amp;""),"")</f>
        <v/>
      </c>
    </row>
    <row r="65">
      <c r="AC65" s="41" t="n"/>
      <c r="AD65" s="42">
        <f>IFERROR(TRIM(INDEX($A65:$AB65,MATCH(Lists!$J$2,$A$1:$AB$1,0))&amp;""),"")</f>
        <v/>
      </c>
      <c r="AE65" s="42">
        <f>IFERROR(TRIM(INDEX($A65:$AB65,MATCH(Lists!$J$3,$A$1:$AB$1,0))&amp;""),"")</f>
        <v/>
      </c>
      <c r="AF65" s="42">
        <f>IFERROR(TRIM(INDEX($A65:$AB65,MATCH(Lists!$J$4,$A$1:$AB$1,0))&amp;""),"")</f>
        <v/>
      </c>
      <c r="AG65" s="42">
        <f>IFERROR(TRIM(INDEX($A65:$AB65,MATCH(Lists!$J$5,$A$1:$AB$1,0))&amp;""),"")</f>
        <v/>
      </c>
      <c r="AH65" s="42">
        <f>IFERROR(TRIM(INDEX($A65:$AB65,MATCH(Lists!$J$6,$A$1:$AB$1,0))&amp;""),"")</f>
        <v/>
      </c>
    </row>
    <row r="66">
      <c r="AC66" s="41" t="n"/>
      <c r="AD66" s="42">
        <f>IFERROR(TRIM(INDEX($A66:$AB66,MATCH(Lists!$J$2,$A$1:$AB$1,0))&amp;""),"")</f>
        <v/>
      </c>
      <c r="AE66" s="42">
        <f>IFERROR(TRIM(INDEX($A66:$AB66,MATCH(Lists!$J$3,$A$1:$AB$1,0))&amp;""),"")</f>
        <v/>
      </c>
      <c r="AF66" s="42">
        <f>IFERROR(TRIM(INDEX($A66:$AB66,MATCH(Lists!$J$4,$A$1:$AB$1,0))&amp;""),"")</f>
        <v/>
      </c>
      <c r="AG66" s="42">
        <f>IFERROR(TRIM(INDEX($A66:$AB66,MATCH(Lists!$J$5,$A$1:$AB$1,0))&amp;""),"")</f>
        <v/>
      </c>
      <c r="AH66" s="42">
        <f>IFERROR(TRIM(INDEX($A66:$AB66,MATCH(Lists!$J$6,$A$1:$AB$1,0))&amp;""),"")</f>
        <v/>
      </c>
    </row>
    <row r="67">
      <c r="AC67" s="41" t="n"/>
      <c r="AD67" s="42">
        <f>IFERROR(TRIM(INDEX($A67:$AB67,MATCH(Lists!$J$2,$A$1:$AB$1,0))&amp;""),"")</f>
        <v/>
      </c>
      <c r="AE67" s="42">
        <f>IFERROR(TRIM(INDEX($A67:$AB67,MATCH(Lists!$J$3,$A$1:$AB$1,0))&amp;""),"")</f>
        <v/>
      </c>
      <c r="AF67" s="42">
        <f>IFERROR(TRIM(INDEX($A67:$AB67,MATCH(Lists!$J$4,$A$1:$AB$1,0))&amp;""),"")</f>
        <v/>
      </c>
      <c r="AG67" s="42">
        <f>IFERROR(TRIM(INDEX($A67:$AB67,MATCH(Lists!$J$5,$A$1:$AB$1,0))&amp;""),"")</f>
        <v/>
      </c>
      <c r="AH67" s="42">
        <f>IFERROR(TRIM(INDEX($A67:$AB67,MATCH(Lists!$J$6,$A$1:$AB$1,0))&amp;""),"")</f>
        <v/>
      </c>
    </row>
    <row r="68">
      <c r="AC68" s="41" t="n"/>
      <c r="AD68" s="42">
        <f>IFERROR(TRIM(INDEX($A68:$AB68,MATCH(Lists!$J$2,$A$1:$AB$1,0))&amp;""),"")</f>
        <v/>
      </c>
      <c r="AE68" s="42">
        <f>IFERROR(TRIM(INDEX($A68:$AB68,MATCH(Lists!$J$3,$A$1:$AB$1,0))&amp;""),"")</f>
        <v/>
      </c>
      <c r="AF68" s="42">
        <f>IFERROR(TRIM(INDEX($A68:$AB68,MATCH(Lists!$J$4,$A$1:$AB$1,0))&amp;""),"")</f>
        <v/>
      </c>
      <c r="AG68" s="42">
        <f>IFERROR(TRIM(INDEX($A68:$AB68,MATCH(Lists!$J$5,$A$1:$AB$1,0))&amp;""),"")</f>
        <v/>
      </c>
      <c r="AH68" s="42">
        <f>IFERROR(TRIM(INDEX($A68:$AB68,MATCH(Lists!$J$6,$A$1:$AB$1,0))&amp;""),"")</f>
        <v/>
      </c>
    </row>
    <row r="69">
      <c r="AC69" s="41" t="n"/>
      <c r="AD69" s="42">
        <f>IFERROR(TRIM(INDEX($A69:$AB69,MATCH(Lists!$J$2,$A$1:$AB$1,0))&amp;""),"")</f>
        <v/>
      </c>
      <c r="AE69" s="42">
        <f>IFERROR(TRIM(INDEX($A69:$AB69,MATCH(Lists!$J$3,$A$1:$AB$1,0))&amp;""),"")</f>
        <v/>
      </c>
      <c r="AF69" s="42">
        <f>IFERROR(TRIM(INDEX($A69:$AB69,MATCH(Lists!$J$4,$A$1:$AB$1,0))&amp;""),"")</f>
        <v/>
      </c>
      <c r="AG69" s="42">
        <f>IFERROR(TRIM(INDEX($A69:$AB69,MATCH(Lists!$J$5,$A$1:$AB$1,0))&amp;""),"")</f>
        <v/>
      </c>
      <c r="AH69" s="42">
        <f>IFERROR(TRIM(INDEX($A69:$AB69,MATCH(Lists!$J$6,$A$1:$AB$1,0))&amp;""),"")</f>
        <v/>
      </c>
    </row>
    <row r="70">
      <c r="AC70" s="41" t="n"/>
      <c r="AD70" s="42">
        <f>IFERROR(TRIM(INDEX($A70:$AB70,MATCH(Lists!$J$2,$A$1:$AB$1,0))&amp;""),"")</f>
        <v/>
      </c>
      <c r="AE70" s="42">
        <f>IFERROR(TRIM(INDEX($A70:$AB70,MATCH(Lists!$J$3,$A$1:$AB$1,0))&amp;""),"")</f>
        <v/>
      </c>
      <c r="AF70" s="42">
        <f>IFERROR(TRIM(INDEX($A70:$AB70,MATCH(Lists!$J$4,$A$1:$AB$1,0))&amp;""),"")</f>
        <v/>
      </c>
      <c r="AG70" s="42">
        <f>IFERROR(TRIM(INDEX($A70:$AB70,MATCH(Lists!$J$5,$A$1:$AB$1,0))&amp;""),"")</f>
        <v/>
      </c>
      <c r="AH70" s="42">
        <f>IFERROR(TRIM(INDEX($A70:$AB70,MATCH(Lists!$J$6,$A$1:$AB$1,0))&amp;""),"")</f>
        <v/>
      </c>
    </row>
    <row r="71">
      <c r="AC71" s="41" t="n"/>
      <c r="AD71" s="42">
        <f>IFERROR(TRIM(INDEX($A71:$AB71,MATCH(Lists!$J$2,$A$1:$AB$1,0))&amp;""),"")</f>
        <v/>
      </c>
      <c r="AE71" s="42">
        <f>IFERROR(TRIM(INDEX($A71:$AB71,MATCH(Lists!$J$3,$A$1:$AB$1,0))&amp;""),"")</f>
        <v/>
      </c>
      <c r="AF71" s="42">
        <f>IFERROR(TRIM(INDEX($A71:$AB71,MATCH(Lists!$J$4,$A$1:$AB$1,0))&amp;""),"")</f>
        <v/>
      </c>
      <c r="AG71" s="42">
        <f>IFERROR(TRIM(INDEX($A71:$AB71,MATCH(Lists!$J$5,$A$1:$AB$1,0))&amp;""),"")</f>
        <v/>
      </c>
      <c r="AH71" s="42">
        <f>IFERROR(TRIM(INDEX($A71:$AB71,MATCH(Lists!$J$6,$A$1:$AB$1,0))&amp;""),"")</f>
        <v/>
      </c>
    </row>
    <row r="72">
      <c r="AC72" s="41" t="n"/>
      <c r="AD72" s="42">
        <f>IFERROR(TRIM(INDEX($A72:$AB72,MATCH(Lists!$J$2,$A$1:$AB$1,0))&amp;""),"")</f>
        <v/>
      </c>
      <c r="AE72" s="42">
        <f>IFERROR(TRIM(INDEX($A72:$AB72,MATCH(Lists!$J$3,$A$1:$AB$1,0))&amp;""),"")</f>
        <v/>
      </c>
      <c r="AF72" s="42">
        <f>IFERROR(TRIM(INDEX($A72:$AB72,MATCH(Lists!$J$4,$A$1:$AB$1,0))&amp;""),"")</f>
        <v/>
      </c>
      <c r="AG72" s="42">
        <f>IFERROR(TRIM(INDEX($A72:$AB72,MATCH(Lists!$J$5,$A$1:$AB$1,0))&amp;""),"")</f>
        <v/>
      </c>
      <c r="AH72" s="42">
        <f>IFERROR(TRIM(INDEX($A72:$AB72,MATCH(Lists!$J$6,$A$1:$AB$1,0))&amp;""),"")</f>
        <v/>
      </c>
    </row>
    <row r="73">
      <c r="AC73" s="41" t="n"/>
      <c r="AD73" s="42">
        <f>IFERROR(TRIM(INDEX($A73:$AB73,MATCH(Lists!$J$2,$A$1:$AB$1,0))&amp;""),"")</f>
        <v/>
      </c>
      <c r="AE73" s="42">
        <f>IFERROR(TRIM(INDEX($A73:$AB73,MATCH(Lists!$J$3,$A$1:$AB$1,0))&amp;""),"")</f>
        <v/>
      </c>
      <c r="AF73" s="42">
        <f>IFERROR(TRIM(INDEX($A73:$AB73,MATCH(Lists!$J$4,$A$1:$AB$1,0))&amp;""),"")</f>
        <v/>
      </c>
      <c r="AG73" s="42">
        <f>IFERROR(TRIM(INDEX($A73:$AB73,MATCH(Lists!$J$5,$A$1:$AB$1,0))&amp;""),"")</f>
        <v/>
      </c>
      <c r="AH73" s="42">
        <f>IFERROR(TRIM(INDEX($A73:$AB73,MATCH(Lists!$J$6,$A$1:$AB$1,0))&amp;""),"")</f>
        <v/>
      </c>
    </row>
    <row r="74">
      <c r="AC74" s="41" t="n"/>
      <c r="AD74" s="42">
        <f>IFERROR(TRIM(INDEX($A74:$AB74,MATCH(Lists!$J$2,$A$1:$AB$1,0))&amp;""),"")</f>
        <v/>
      </c>
      <c r="AE74" s="42">
        <f>IFERROR(TRIM(INDEX($A74:$AB74,MATCH(Lists!$J$3,$A$1:$AB$1,0))&amp;""),"")</f>
        <v/>
      </c>
      <c r="AF74" s="42">
        <f>IFERROR(TRIM(INDEX($A74:$AB74,MATCH(Lists!$J$4,$A$1:$AB$1,0))&amp;""),"")</f>
        <v/>
      </c>
      <c r="AG74" s="42">
        <f>IFERROR(TRIM(INDEX($A74:$AB74,MATCH(Lists!$J$5,$A$1:$AB$1,0))&amp;""),"")</f>
        <v/>
      </c>
      <c r="AH74" s="42">
        <f>IFERROR(TRIM(INDEX($A74:$AB74,MATCH(Lists!$J$6,$A$1:$AB$1,0))&amp;""),"")</f>
        <v/>
      </c>
    </row>
    <row r="75">
      <c r="AC75" s="41" t="n"/>
      <c r="AD75" s="42">
        <f>IFERROR(TRIM(INDEX($A75:$AB75,MATCH(Lists!$J$2,$A$1:$AB$1,0))&amp;""),"")</f>
        <v/>
      </c>
      <c r="AE75" s="42">
        <f>IFERROR(TRIM(INDEX($A75:$AB75,MATCH(Lists!$J$3,$A$1:$AB$1,0))&amp;""),"")</f>
        <v/>
      </c>
      <c r="AF75" s="42">
        <f>IFERROR(TRIM(INDEX($A75:$AB75,MATCH(Lists!$J$4,$A$1:$AB$1,0))&amp;""),"")</f>
        <v/>
      </c>
      <c r="AG75" s="42">
        <f>IFERROR(TRIM(INDEX($A75:$AB75,MATCH(Lists!$J$5,$A$1:$AB$1,0))&amp;""),"")</f>
        <v/>
      </c>
      <c r="AH75" s="42">
        <f>IFERROR(TRIM(INDEX($A75:$AB75,MATCH(Lists!$J$6,$A$1:$AB$1,0))&amp;""),"")</f>
        <v/>
      </c>
    </row>
    <row r="76">
      <c r="AC76" s="41" t="n"/>
      <c r="AD76" s="42">
        <f>IFERROR(TRIM(INDEX($A76:$AB76,MATCH(Lists!$J$2,$A$1:$AB$1,0))&amp;""),"")</f>
        <v/>
      </c>
      <c r="AE76" s="42">
        <f>IFERROR(TRIM(INDEX($A76:$AB76,MATCH(Lists!$J$3,$A$1:$AB$1,0))&amp;""),"")</f>
        <v/>
      </c>
      <c r="AF76" s="42">
        <f>IFERROR(TRIM(INDEX($A76:$AB76,MATCH(Lists!$J$4,$A$1:$AB$1,0))&amp;""),"")</f>
        <v/>
      </c>
      <c r="AG76" s="42">
        <f>IFERROR(TRIM(INDEX($A76:$AB76,MATCH(Lists!$J$5,$A$1:$AB$1,0))&amp;""),"")</f>
        <v/>
      </c>
      <c r="AH76" s="42">
        <f>IFERROR(TRIM(INDEX($A76:$AB76,MATCH(Lists!$J$6,$A$1:$AB$1,0))&amp;""),"")</f>
        <v/>
      </c>
    </row>
    <row r="77">
      <c r="AC77" s="41" t="n"/>
      <c r="AD77" s="42">
        <f>IFERROR(TRIM(INDEX($A77:$AB77,MATCH(Lists!$J$2,$A$1:$AB$1,0))&amp;""),"")</f>
        <v/>
      </c>
      <c r="AE77" s="42">
        <f>IFERROR(TRIM(INDEX($A77:$AB77,MATCH(Lists!$J$3,$A$1:$AB$1,0))&amp;""),"")</f>
        <v/>
      </c>
      <c r="AF77" s="42">
        <f>IFERROR(TRIM(INDEX($A77:$AB77,MATCH(Lists!$J$4,$A$1:$AB$1,0))&amp;""),"")</f>
        <v/>
      </c>
      <c r="AG77" s="42">
        <f>IFERROR(TRIM(INDEX($A77:$AB77,MATCH(Lists!$J$5,$A$1:$AB$1,0))&amp;""),"")</f>
        <v/>
      </c>
      <c r="AH77" s="42">
        <f>IFERROR(TRIM(INDEX($A77:$AB77,MATCH(Lists!$J$6,$A$1:$AB$1,0))&amp;""),"")</f>
        <v/>
      </c>
    </row>
    <row r="78">
      <c r="AC78" s="41" t="n"/>
      <c r="AD78" s="42">
        <f>IFERROR(TRIM(INDEX($A78:$AB78,MATCH(Lists!$J$2,$A$1:$AB$1,0))&amp;""),"")</f>
        <v/>
      </c>
      <c r="AE78" s="42">
        <f>IFERROR(TRIM(INDEX($A78:$AB78,MATCH(Lists!$J$3,$A$1:$AB$1,0))&amp;""),"")</f>
        <v/>
      </c>
      <c r="AF78" s="42">
        <f>IFERROR(TRIM(INDEX($A78:$AB78,MATCH(Lists!$J$4,$A$1:$AB$1,0))&amp;""),"")</f>
        <v/>
      </c>
      <c r="AG78" s="42">
        <f>IFERROR(TRIM(INDEX($A78:$AB78,MATCH(Lists!$J$5,$A$1:$AB$1,0))&amp;""),"")</f>
        <v/>
      </c>
      <c r="AH78" s="42">
        <f>IFERROR(TRIM(INDEX($A78:$AB78,MATCH(Lists!$J$6,$A$1:$AB$1,0))&amp;""),"")</f>
        <v/>
      </c>
    </row>
    <row r="79">
      <c r="AC79" s="41" t="n"/>
      <c r="AD79" s="42">
        <f>IFERROR(TRIM(INDEX($A79:$AB79,MATCH(Lists!$J$2,$A$1:$AB$1,0))&amp;""),"")</f>
        <v/>
      </c>
      <c r="AE79" s="42">
        <f>IFERROR(TRIM(INDEX($A79:$AB79,MATCH(Lists!$J$3,$A$1:$AB$1,0))&amp;""),"")</f>
        <v/>
      </c>
      <c r="AF79" s="42">
        <f>IFERROR(TRIM(INDEX($A79:$AB79,MATCH(Lists!$J$4,$A$1:$AB$1,0))&amp;""),"")</f>
        <v/>
      </c>
      <c r="AG79" s="42">
        <f>IFERROR(TRIM(INDEX($A79:$AB79,MATCH(Lists!$J$5,$A$1:$AB$1,0))&amp;""),"")</f>
        <v/>
      </c>
      <c r="AH79" s="42">
        <f>IFERROR(TRIM(INDEX($A79:$AB79,MATCH(Lists!$J$6,$A$1:$AB$1,0))&amp;""),"")</f>
        <v/>
      </c>
    </row>
    <row r="80">
      <c r="AC80" s="41" t="n"/>
      <c r="AD80" s="42">
        <f>IFERROR(TRIM(INDEX($A80:$AB80,MATCH(Lists!$J$2,$A$1:$AB$1,0))&amp;""),"")</f>
        <v/>
      </c>
      <c r="AE80" s="42">
        <f>IFERROR(TRIM(INDEX($A80:$AB80,MATCH(Lists!$J$3,$A$1:$AB$1,0))&amp;""),"")</f>
        <v/>
      </c>
      <c r="AF80" s="42">
        <f>IFERROR(TRIM(INDEX($A80:$AB80,MATCH(Lists!$J$4,$A$1:$AB$1,0))&amp;""),"")</f>
        <v/>
      </c>
      <c r="AG80" s="42">
        <f>IFERROR(TRIM(INDEX($A80:$AB80,MATCH(Lists!$J$5,$A$1:$AB$1,0))&amp;""),"")</f>
        <v/>
      </c>
      <c r="AH80" s="42">
        <f>IFERROR(TRIM(INDEX($A80:$AB80,MATCH(Lists!$J$6,$A$1:$AB$1,0))&amp;""),"")</f>
        <v/>
      </c>
    </row>
    <row r="81">
      <c r="AC81" s="41" t="n"/>
      <c r="AD81" s="42">
        <f>IFERROR(TRIM(INDEX($A81:$AB81,MATCH(Lists!$J$2,$A$1:$AB$1,0))&amp;""),"")</f>
        <v/>
      </c>
      <c r="AE81" s="42">
        <f>IFERROR(TRIM(INDEX($A81:$AB81,MATCH(Lists!$J$3,$A$1:$AB$1,0))&amp;""),"")</f>
        <v/>
      </c>
      <c r="AF81" s="42">
        <f>IFERROR(TRIM(INDEX($A81:$AB81,MATCH(Lists!$J$4,$A$1:$AB$1,0))&amp;""),"")</f>
        <v/>
      </c>
      <c r="AG81" s="42">
        <f>IFERROR(TRIM(INDEX($A81:$AB81,MATCH(Lists!$J$5,$A$1:$AB$1,0))&amp;""),"")</f>
        <v/>
      </c>
      <c r="AH81" s="42">
        <f>IFERROR(TRIM(INDEX($A81:$AB81,MATCH(Lists!$J$6,$A$1:$AB$1,0))&amp;""),"")</f>
        <v/>
      </c>
    </row>
    <row r="82">
      <c r="AC82" s="41" t="n"/>
      <c r="AD82" s="42">
        <f>IFERROR(TRIM(INDEX($A82:$AB82,MATCH(Lists!$J$2,$A$1:$AB$1,0))&amp;""),"")</f>
        <v/>
      </c>
      <c r="AE82" s="42">
        <f>IFERROR(TRIM(INDEX($A82:$AB82,MATCH(Lists!$J$3,$A$1:$AB$1,0))&amp;""),"")</f>
        <v/>
      </c>
      <c r="AF82" s="42">
        <f>IFERROR(TRIM(INDEX($A82:$AB82,MATCH(Lists!$J$4,$A$1:$AB$1,0))&amp;""),"")</f>
        <v/>
      </c>
      <c r="AG82" s="42">
        <f>IFERROR(TRIM(INDEX($A82:$AB82,MATCH(Lists!$J$5,$A$1:$AB$1,0))&amp;""),"")</f>
        <v/>
      </c>
      <c r="AH82" s="42">
        <f>IFERROR(TRIM(INDEX($A82:$AB82,MATCH(Lists!$J$6,$A$1:$AB$1,0))&amp;""),"")</f>
        <v/>
      </c>
    </row>
    <row r="83">
      <c r="AC83" s="41" t="n"/>
      <c r="AD83" s="42">
        <f>IFERROR(TRIM(INDEX($A83:$AB83,MATCH(Lists!$J$2,$A$1:$AB$1,0))&amp;""),"")</f>
        <v/>
      </c>
      <c r="AE83" s="42">
        <f>IFERROR(TRIM(INDEX($A83:$AB83,MATCH(Lists!$J$3,$A$1:$AB$1,0))&amp;""),"")</f>
        <v/>
      </c>
      <c r="AF83" s="42">
        <f>IFERROR(TRIM(INDEX($A83:$AB83,MATCH(Lists!$J$4,$A$1:$AB$1,0))&amp;""),"")</f>
        <v/>
      </c>
      <c r="AG83" s="42">
        <f>IFERROR(TRIM(INDEX($A83:$AB83,MATCH(Lists!$J$5,$A$1:$AB$1,0))&amp;""),"")</f>
        <v/>
      </c>
      <c r="AH83" s="42">
        <f>IFERROR(TRIM(INDEX($A83:$AB83,MATCH(Lists!$J$6,$A$1:$AB$1,0))&amp;""),"")</f>
        <v/>
      </c>
    </row>
    <row r="84">
      <c r="AC84" s="41" t="n"/>
      <c r="AD84" s="42">
        <f>IFERROR(TRIM(INDEX($A84:$AB84,MATCH(Lists!$J$2,$A$1:$AB$1,0))&amp;""),"")</f>
        <v/>
      </c>
      <c r="AE84" s="42">
        <f>IFERROR(TRIM(INDEX($A84:$AB84,MATCH(Lists!$J$3,$A$1:$AB$1,0))&amp;""),"")</f>
        <v/>
      </c>
      <c r="AF84" s="42">
        <f>IFERROR(TRIM(INDEX($A84:$AB84,MATCH(Lists!$J$4,$A$1:$AB$1,0))&amp;""),"")</f>
        <v/>
      </c>
      <c r="AG84" s="42">
        <f>IFERROR(TRIM(INDEX($A84:$AB84,MATCH(Lists!$J$5,$A$1:$AB$1,0))&amp;""),"")</f>
        <v/>
      </c>
      <c r="AH84" s="42">
        <f>IFERROR(TRIM(INDEX($A84:$AB84,MATCH(Lists!$J$6,$A$1:$AB$1,0))&amp;""),"")</f>
        <v/>
      </c>
    </row>
    <row r="85">
      <c r="AC85" s="41" t="n"/>
      <c r="AD85" s="42">
        <f>IFERROR(TRIM(INDEX($A85:$AB85,MATCH(Lists!$J$2,$A$1:$AB$1,0))&amp;""),"")</f>
        <v/>
      </c>
      <c r="AE85" s="42">
        <f>IFERROR(TRIM(INDEX($A85:$AB85,MATCH(Lists!$J$3,$A$1:$AB$1,0))&amp;""),"")</f>
        <v/>
      </c>
      <c r="AF85" s="42">
        <f>IFERROR(TRIM(INDEX($A85:$AB85,MATCH(Lists!$J$4,$A$1:$AB$1,0))&amp;""),"")</f>
        <v/>
      </c>
      <c r="AG85" s="42">
        <f>IFERROR(TRIM(INDEX($A85:$AB85,MATCH(Lists!$J$5,$A$1:$AB$1,0))&amp;""),"")</f>
        <v/>
      </c>
      <c r="AH85" s="42">
        <f>IFERROR(TRIM(INDEX($A85:$AB85,MATCH(Lists!$J$6,$A$1:$AB$1,0))&amp;""),"")</f>
        <v/>
      </c>
    </row>
    <row r="86">
      <c r="AC86" s="41" t="n"/>
      <c r="AD86" s="42">
        <f>IFERROR(TRIM(INDEX($A86:$AB86,MATCH(Lists!$J$2,$A$1:$AB$1,0))&amp;""),"")</f>
        <v/>
      </c>
      <c r="AE86" s="42">
        <f>IFERROR(TRIM(INDEX($A86:$AB86,MATCH(Lists!$J$3,$A$1:$AB$1,0))&amp;""),"")</f>
        <v/>
      </c>
      <c r="AF86" s="42">
        <f>IFERROR(TRIM(INDEX($A86:$AB86,MATCH(Lists!$J$4,$A$1:$AB$1,0))&amp;""),"")</f>
        <v/>
      </c>
      <c r="AG86" s="42">
        <f>IFERROR(TRIM(INDEX($A86:$AB86,MATCH(Lists!$J$5,$A$1:$AB$1,0))&amp;""),"")</f>
        <v/>
      </c>
      <c r="AH86" s="42">
        <f>IFERROR(TRIM(INDEX($A86:$AB86,MATCH(Lists!$J$6,$A$1:$AB$1,0))&amp;""),"")</f>
        <v/>
      </c>
    </row>
    <row r="87">
      <c r="AC87" s="41" t="n"/>
      <c r="AD87" s="42">
        <f>IFERROR(TRIM(INDEX($A87:$AB87,MATCH(Lists!$J$2,$A$1:$AB$1,0))&amp;""),"")</f>
        <v/>
      </c>
      <c r="AE87" s="42">
        <f>IFERROR(TRIM(INDEX($A87:$AB87,MATCH(Lists!$J$3,$A$1:$AB$1,0))&amp;""),"")</f>
        <v/>
      </c>
      <c r="AF87" s="42">
        <f>IFERROR(TRIM(INDEX($A87:$AB87,MATCH(Lists!$J$4,$A$1:$AB$1,0))&amp;""),"")</f>
        <v/>
      </c>
      <c r="AG87" s="42">
        <f>IFERROR(TRIM(INDEX($A87:$AB87,MATCH(Lists!$J$5,$A$1:$AB$1,0))&amp;""),"")</f>
        <v/>
      </c>
      <c r="AH87" s="42">
        <f>IFERROR(TRIM(INDEX($A87:$AB87,MATCH(Lists!$J$6,$A$1:$AB$1,0))&amp;""),"")</f>
        <v/>
      </c>
    </row>
    <row r="88">
      <c r="AC88" s="41" t="n"/>
      <c r="AD88" s="42">
        <f>IFERROR(TRIM(INDEX($A88:$AB88,MATCH(Lists!$J$2,$A$1:$AB$1,0))&amp;""),"")</f>
        <v/>
      </c>
      <c r="AE88" s="42">
        <f>IFERROR(TRIM(INDEX($A88:$AB88,MATCH(Lists!$J$3,$A$1:$AB$1,0))&amp;""),"")</f>
        <v/>
      </c>
      <c r="AF88" s="42">
        <f>IFERROR(TRIM(INDEX($A88:$AB88,MATCH(Lists!$J$4,$A$1:$AB$1,0))&amp;""),"")</f>
        <v/>
      </c>
      <c r="AG88" s="42">
        <f>IFERROR(TRIM(INDEX($A88:$AB88,MATCH(Lists!$J$5,$A$1:$AB$1,0))&amp;""),"")</f>
        <v/>
      </c>
      <c r="AH88" s="42">
        <f>IFERROR(TRIM(INDEX($A88:$AB88,MATCH(Lists!$J$6,$A$1:$AB$1,0))&amp;""),"")</f>
        <v/>
      </c>
    </row>
    <row r="89">
      <c r="AC89" s="41" t="n"/>
      <c r="AD89" s="42">
        <f>IFERROR(TRIM(INDEX($A89:$AB89,MATCH(Lists!$J$2,$A$1:$AB$1,0))&amp;""),"")</f>
        <v/>
      </c>
      <c r="AE89" s="42">
        <f>IFERROR(TRIM(INDEX($A89:$AB89,MATCH(Lists!$J$3,$A$1:$AB$1,0))&amp;""),"")</f>
        <v/>
      </c>
      <c r="AF89" s="42">
        <f>IFERROR(TRIM(INDEX($A89:$AB89,MATCH(Lists!$J$4,$A$1:$AB$1,0))&amp;""),"")</f>
        <v/>
      </c>
      <c r="AG89" s="42">
        <f>IFERROR(TRIM(INDEX($A89:$AB89,MATCH(Lists!$J$5,$A$1:$AB$1,0))&amp;""),"")</f>
        <v/>
      </c>
      <c r="AH89" s="42">
        <f>IFERROR(TRIM(INDEX($A89:$AB89,MATCH(Lists!$J$6,$A$1:$AB$1,0))&amp;""),"")</f>
        <v/>
      </c>
    </row>
    <row r="90">
      <c r="AC90" s="41" t="n"/>
      <c r="AD90" s="42">
        <f>IFERROR(TRIM(INDEX($A90:$AB90,MATCH(Lists!$J$2,$A$1:$AB$1,0))&amp;""),"")</f>
        <v/>
      </c>
      <c r="AE90" s="42">
        <f>IFERROR(TRIM(INDEX($A90:$AB90,MATCH(Lists!$J$3,$A$1:$AB$1,0))&amp;""),"")</f>
        <v/>
      </c>
      <c r="AF90" s="42">
        <f>IFERROR(TRIM(INDEX($A90:$AB90,MATCH(Lists!$J$4,$A$1:$AB$1,0))&amp;""),"")</f>
        <v/>
      </c>
      <c r="AG90" s="42">
        <f>IFERROR(TRIM(INDEX($A90:$AB90,MATCH(Lists!$J$5,$A$1:$AB$1,0))&amp;""),"")</f>
        <v/>
      </c>
      <c r="AH90" s="42">
        <f>IFERROR(TRIM(INDEX($A90:$AB90,MATCH(Lists!$J$6,$A$1:$AB$1,0))&amp;""),"")</f>
        <v/>
      </c>
    </row>
    <row r="91">
      <c r="AC91" s="41" t="n"/>
      <c r="AD91" s="42">
        <f>IFERROR(TRIM(INDEX($A91:$AB91,MATCH(Lists!$J$2,$A$1:$AB$1,0))&amp;""),"")</f>
        <v/>
      </c>
      <c r="AE91" s="42">
        <f>IFERROR(TRIM(INDEX($A91:$AB91,MATCH(Lists!$J$3,$A$1:$AB$1,0))&amp;""),"")</f>
        <v/>
      </c>
      <c r="AF91" s="42">
        <f>IFERROR(TRIM(INDEX($A91:$AB91,MATCH(Lists!$J$4,$A$1:$AB$1,0))&amp;""),"")</f>
        <v/>
      </c>
      <c r="AG91" s="42">
        <f>IFERROR(TRIM(INDEX($A91:$AB91,MATCH(Lists!$J$5,$A$1:$AB$1,0))&amp;""),"")</f>
        <v/>
      </c>
      <c r="AH91" s="42">
        <f>IFERROR(TRIM(INDEX($A91:$AB91,MATCH(Lists!$J$6,$A$1:$AB$1,0))&amp;""),"")</f>
        <v/>
      </c>
    </row>
    <row r="92">
      <c r="AC92" s="41" t="n"/>
      <c r="AD92" s="42">
        <f>IFERROR(TRIM(INDEX($A92:$AB92,MATCH(Lists!$J$2,$A$1:$AB$1,0))&amp;""),"")</f>
        <v/>
      </c>
      <c r="AE92" s="42">
        <f>IFERROR(TRIM(INDEX($A92:$AB92,MATCH(Lists!$J$3,$A$1:$AB$1,0))&amp;""),"")</f>
        <v/>
      </c>
      <c r="AF92" s="42">
        <f>IFERROR(TRIM(INDEX($A92:$AB92,MATCH(Lists!$J$4,$A$1:$AB$1,0))&amp;""),"")</f>
        <v/>
      </c>
      <c r="AG92" s="42">
        <f>IFERROR(TRIM(INDEX($A92:$AB92,MATCH(Lists!$J$5,$A$1:$AB$1,0))&amp;""),"")</f>
        <v/>
      </c>
      <c r="AH92" s="42">
        <f>IFERROR(TRIM(INDEX($A92:$AB92,MATCH(Lists!$J$6,$A$1:$AB$1,0))&amp;""),"")</f>
        <v/>
      </c>
    </row>
    <row r="93">
      <c r="AC93" s="41" t="n"/>
      <c r="AD93" s="42">
        <f>IFERROR(TRIM(INDEX($A93:$AB93,MATCH(Lists!$J$2,$A$1:$AB$1,0))&amp;""),"")</f>
        <v/>
      </c>
      <c r="AE93" s="42">
        <f>IFERROR(TRIM(INDEX($A93:$AB93,MATCH(Lists!$J$3,$A$1:$AB$1,0))&amp;""),"")</f>
        <v/>
      </c>
      <c r="AF93" s="42">
        <f>IFERROR(TRIM(INDEX($A93:$AB93,MATCH(Lists!$J$4,$A$1:$AB$1,0))&amp;""),"")</f>
        <v/>
      </c>
      <c r="AG93" s="42">
        <f>IFERROR(TRIM(INDEX($A93:$AB93,MATCH(Lists!$J$5,$A$1:$AB$1,0))&amp;""),"")</f>
        <v/>
      </c>
      <c r="AH93" s="42">
        <f>IFERROR(TRIM(INDEX($A93:$AB93,MATCH(Lists!$J$6,$A$1:$AB$1,0))&amp;""),"")</f>
        <v/>
      </c>
    </row>
    <row r="94">
      <c r="AC94" s="41" t="n"/>
      <c r="AD94" s="42">
        <f>IFERROR(TRIM(INDEX($A94:$AB94,MATCH(Lists!$J$2,$A$1:$AB$1,0))&amp;""),"")</f>
        <v/>
      </c>
      <c r="AE94" s="42">
        <f>IFERROR(TRIM(INDEX($A94:$AB94,MATCH(Lists!$J$3,$A$1:$AB$1,0))&amp;""),"")</f>
        <v/>
      </c>
      <c r="AF94" s="42">
        <f>IFERROR(TRIM(INDEX($A94:$AB94,MATCH(Lists!$J$4,$A$1:$AB$1,0))&amp;""),"")</f>
        <v/>
      </c>
      <c r="AG94" s="42">
        <f>IFERROR(TRIM(INDEX($A94:$AB94,MATCH(Lists!$J$5,$A$1:$AB$1,0))&amp;""),"")</f>
        <v/>
      </c>
      <c r="AH94" s="42">
        <f>IFERROR(TRIM(INDEX($A94:$AB94,MATCH(Lists!$J$6,$A$1:$AB$1,0))&amp;""),"")</f>
        <v/>
      </c>
    </row>
    <row r="95">
      <c r="AC95" s="41" t="n"/>
      <c r="AD95" s="42">
        <f>IFERROR(TRIM(INDEX($A95:$AB95,MATCH(Lists!$J$2,$A$1:$AB$1,0))&amp;""),"")</f>
        <v/>
      </c>
      <c r="AE95" s="42">
        <f>IFERROR(TRIM(INDEX($A95:$AB95,MATCH(Lists!$J$3,$A$1:$AB$1,0))&amp;""),"")</f>
        <v/>
      </c>
      <c r="AF95" s="42">
        <f>IFERROR(TRIM(INDEX($A95:$AB95,MATCH(Lists!$J$4,$A$1:$AB$1,0))&amp;""),"")</f>
        <v/>
      </c>
      <c r="AG95" s="42">
        <f>IFERROR(TRIM(INDEX($A95:$AB95,MATCH(Lists!$J$5,$A$1:$AB$1,0))&amp;""),"")</f>
        <v/>
      </c>
      <c r="AH95" s="42">
        <f>IFERROR(TRIM(INDEX($A95:$AB95,MATCH(Lists!$J$6,$A$1:$AB$1,0))&amp;""),"")</f>
        <v/>
      </c>
    </row>
    <row r="96">
      <c r="AC96" s="41" t="n"/>
      <c r="AD96" s="42">
        <f>IFERROR(TRIM(INDEX($A96:$AB96,MATCH(Lists!$J$2,$A$1:$AB$1,0))&amp;""),"")</f>
        <v/>
      </c>
      <c r="AE96" s="42">
        <f>IFERROR(TRIM(INDEX($A96:$AB96,MATCH(Lists!$J$3,$A$1:$AB$1,0))&amp;""),"")</f>
        <v/>
      </c>
      <c r="AF96" s="42">
        <f>IFERROR(TRIM(INDEX($A96:$AB96,MATCH(Lists!$J$4,$A$1:$AB$1,0))&amp;""),"")</f>
        <v/>
      </c>
      <c r="AG96" s="42">
        <f>IFERROR(TRIM(INDEX($A96:$AB96,MATCH(Lists!$J$5,$A$1:$AB$1,0))&amp;""),"")</f>
        <v/>
      </c>
      <c r="AH96" s="42">
        <f>IFERROR(TRIM(INDEX($A96:$AB96,MATCH(Lists!$J$6,$A$1:$AB$1,0))&amp;""),"")</f>
        <v/>
      </c>
    </row>
    <row r="97">
      <c r="AC97" s="41" t="n"/>
      <c r="AD97" s="42">
        <f>IFERROR(TRIM(INDEX($A97:$AB97,MATCH(Lists!$J$2,$A$1:$AB$1,0))&amp;""),"")</f>
        <v/>
      </c>
      <c r="AE97" s="42">
        <f>IFERROR(TRIM(INDEX($A97:$AB97,MATCH(Lists!$J$3,$A$1:$AB$1,0))&amp;""),"")</f>
        <v/>
      </c>
      <c r="AF97" s="42">
        <f>IFERROR(TRIM(INDEX($A97:$AB97,MATCH(Lists!$J$4,$A$1:$AB$1,0))&amp;""),"")</f>
        <v/>
      </c>
      <c r="AG97" s="42">
        <f>IFERROR(TRIM(INDEX($A97:$AB97,MATCH(Lists!$J$5,$A$1:$AB$1,0))&amp;""),"")</f>
        <v/>
      </c>
      <c r="AH97" s="42">
        <f>IFERROR(TRIM(INDEX($A97:$AB97,MATCH(Lists!$J$6,$A$1:$AB$1,0))&amp;""),"")</f>
        <v/>
      </c>
    </row>
    <row r="98">
      <c r="AC98" s="41" t="n"/>
      <c r="AD98" s="42">
        <f>IFERROR(TRIM(INDEX($A98:$AB98,MATCH(Lists!$J$2,$A$1:$AB$1,0))&amp;""),"")</f>
        <v/>
      </c>
      <c r="AE98" s="42">
        <f>IFERROR(TRIM(INDEX($A98:$AB98,MATCH(Lists!$J$3,$A$1:$AB$1,0))&amp;""),"")</f>
        <v/>
      </c>
      <c r="AF98" s="42">
        <f>IFERROR(TRIM(INDEX($A98:$AB98,MATCH(Lists!$J$4,$A$1:$AB$1,0))&amp;""),"")</f>
        <v/>
      </c>
      <c r="AG98" s="42">
        <f>IFERROR(TRIM(INDEX($A98:$AB98,MATCH(Lists!$J$5,$A$1:$AB$1,0))&amp;""),"")</f>
        <v/>
      </c>
      <c r="AH98" s="42">
        <f>IFERROR(TRIM(INDEX($A98:$AB98,MATCH(Lists!$J$6,$A$1:$AB$1,0))&amp;""),"")</f>
        <v/>
      </c>
    </row>
    <row r="99">
      <c r="AC99" s="41" t="n"/>
      <c r="AD99" s="42">
        <f>IFERROR(TRIM(INDEX($A99:$AB99,MATCH(Lists!$J$2,$A$1:$AB$1,0))&amp;""),"")</f>
        <v/>
      </c>
      <c r="AE99" s="42">
        <f>IFERROR(TRIM(INDEX($A99:$AB99,MATCH(Lists!$J$3,$A$1:$AB$1,0))&amp;""),"")</f>
        <v/>
      </c>
      <c r="AF99" s="42">
        <f>IFERROR(TRIM(INDEX($A99:$AB99,MATCH(Lists!$J$4,$A$1:$AB$1,0))&amp;""),"")</f>
        <v/>
      </c>
      <c r="AG99" s="42">
        <f>IFERROR(TRIM(INDEX($A99:$AB99,MATCH(Lists!$J$5,$A$1:$AB$1,0))&amp;""),"")</f>
        <v/>
      </c>
      <c r="AH99" s="42">
        <f>IFERROR(TRIM(INDEX($A99:$AB99,MATCH(Lists!$J$6,$A$1:$AB$1,0))&amp;""),"")</f>
        <v/>
      </c>
    </row>
    <row r="100">
      <c r="AC100" s="41" t="n"/>
      <c r="AD100" s="42">
        <f>IFERROR(TRIM(INDEX($A100:$AB100,MATCH(Lists!$J$2,$A$1:$AB$1,0))&amp;""),"")</f>
        <v/>
      </c>
      <c r="AE100" s="42">
        <f>IFERROR(TRIM(INDEX($A100:$AB100,MATCH(Lists!$J$3,$A$1:$AB$1,0))&amp;""),"")</f>
        <v/>
      </c>
      <c r="AF100" s="42">
        <f>IFERROR(TRIM(INDEX($A100:$AB100,MATCH(Lists!$J$4,$A$1:$AB$1,0))&amp;""),"")</f>
        <v/>
      </c>
      <c r="AG100" s="42">
        <f>IFERROR(TRIM(INDEX($A100:$AB100,MATCH(Lists!$J$5,$A$1:$AB$1,0))&amp;""),"")</f>
        <v/>
      </c>
      <c r="AH100" s="42">
        <f>IFERROR(TRIM(INDEX($A100:$AB100,MATCH(Lists!$J$6,$A$1:$AB$1,0))&amp;""),"")</f>
        <v/>
      </c>
    </row>
    <row r="101">
      <c r="AC101" s="41" t="n"/>
      <c r="AD101" s="42">
        <f>IFERROR(TRIM(INDEX($A101:$AB101,MATCH(Lists!$J$2,$A$1:$AB$1,0))&amp;""),"")</f>
        <v/>
      </c>
      <c r="AE101" s="42">
        <f>IFERROR(TRIM(INDEX($A101:$AB101,MATCH(Lists!$J$3,$A$1:$AB$1,0))&amp;""),"")</f>
        <v/>
      </c>
      <c r="AF101" s="42">
        <f>IFERROR(TRIM(INDEX($A101:$AB101,MATCH(Lists!$J$4,$A$1:$AB$1,0))&amp;""),"")</f>
        <v/>
      </c>
      <c r="AG101" s="42">
        <f>IFERROR(TRIM(INDEX($A101:$AB101,MATCH(Lists!$J$5,$A$1:$AB$1,0))&amp;""),"")</f>
        <v/>
      </c>
      <c r="AH101" s="42">
        <f>IFERROR(TRIM(INDEX($A101:$AB101,MATCH(Lists!$J$6,$A$1:$AB$1,0))&amp;""),"")</f>
        <v/>
      </c>
    </row>
    <row r="102">
      <c r="AC102" s="41" t="n"/>
      <c r="AD102" s="42">
        <f>IFERROR(TRIM(INDEX($A102:$AB102,MATCH(Lists!$J$2,$A$1:$AB$1,0))&amp;""),"")</f>
        <v/>
      </c>
      <c r="AE102" s="42">
        <f>IFERROR(TRIM(INDEX($A102:$AB102,MATCH(Lists!$J$3,$A$1:$AB$1,0))&amp;""),"")</f>
        <v/>
      </c>
      <c r="AF102" s="42">
        <f>IFERROR(TRIM(INDEX($A102:$AB102,MATCH(Lists!$J$4,$A$1:$AB$1,0))&amp;""),"")</f>
        <v/>
      </c>
      <c r="AG102" s="42">
        <f>IFERROR(TRIM(INDEX($A102:$AB102,MATCH(Lists!$J$5,$A$1:$AB$1,0))&amp;""),"")</f>
        <v/>
      </c>
      <c r="AH102" s="42">
        <f>IFERROR(TRIM(INDEX($A102:$AB102,MATCH(Lists!$J$6,$A$1:$AB$1,0))&amp;""),"")</f>
        <v/>
      </c>
    </row>
    <row r="103">
      <c r="AC103" s="41" t="n"/>
      <c r="AD103" s="42">
        <f>IFERROR(TRIM(INDEX($A103:$AB103,MATCH(Lists!$J$2,$A$1:$AB$1,0))&amp;""),"")</f>
        <v/>
      </c>
      <c r="AE103" s="42">
        <f>IFERROR(TRIM(INDEX($A103:$AB103,MATCH(Lists!$J$3,$A$1:$AB$1,0))&amp;""),"")</f>
        <v/>
      </c>
      <c r="AF103" s="42">
        <f>IFERROR(TRIM(INDEX($A103:$AB103,MATCH(Lists!$J$4,$A$1:$AB$1,0))&amp;""),"")</f>
        <v/>
      </c>
      <c r="AG103" s="42">
        <f>IFERROR(TRIM(INDEX($A103:$AB103,MATCH(Lists!$J$5,$A$1:$AB$1,0))&amp;""),"")</f>
        <v/>
      </c>
      <c r="AH103" s="42">
        <f>IFERROR(TRIM(INDEX($A103:$AB103,MATCH(Lists!$J$6,$A$1:$AB$1,0))&amp;""),"")</f>
        <v/>
      </c>
    </row>
    <row r="104">
      <c r="AC104" s="41" t="n"/>
      <c r="AD104" s="42">
        <f>IFERROR(TRIM(INDEX($A104:$AB104,MATCH(Lists!$J$2,$A$1:$AB$1,0))&amp;""),"")</f>
        <v/>
      </c>
      <c r="AE104" s="42">
        <f>IFERROR(TRIM(INDEX($A104:$AB104,MATCH(Lists!$J$3,$A$1:$AB$1,0))&amp;""),"")</f>
        <v/>
      </c>
      <c r="AF104" s="42">
        <f>IFERROR(TRIM(INDEX($A104:$AB104,MATCH(Lists!$J$4,$A$1:$AB$1,0))&amp;""),"")</f>
        <v/>
      </c>
      <c r="AG104" s="42">
        <f>IFERROR(TRIM(INDEX($A104:$AB104,MATCH(Lists!$J$5,$A$1:$AB$1,0))&amp;""),"")</f>
        <v/>
      </c>
      <c r="AH104" s="42">
        <f>IFERROR(TRIM(INDEX($A104:$AB104,MATCH(Lists!$J$6,$A$1:$AB$1,0))&amp;""),"")</f>
        <v/>
      </c>
    </row>
    <row r="105">
      <c r="AC105" s="41" t="n"/>
      <c r="AD105" s="42">
        <f>IFERROR(TRIM(INDEX($A105:$AB105,MATCH(Lists!$J$2,$A$1:$AB$1,0))&amp;""),"")</f>
        <v/>
      </c>
      <c r="AE105" s="42">
        <f>IFERROR(TRIM(INDEX($A105:$AB105,MATCH(Lists!$J$3,$A$1:$AB$1,0))&amp;""),"")</f>
        <v/>
      </c>
      <c r="AF105" s="42">
        <f>IFERROR(TRIM(INDEX($A105:$AB105,MATCH(Lists!$J$4,$A$1:$AB$1,0))&amp;""),"")</f>
        <v/>
      </c>
      <c r="AG105" s="42">
        <f>IFERROR(TRIM(INDEX($A105:$AB105,MATCH(Lists!$J$5,$A$1:$AB$1,0))&amp;""),"")</f>
        <v/>
      </c>
      <c r="AH105" s="42">
        <f>IFERROR(TRIM(INDEX($A105:$AB105,MATCH(Lists!$J$6,$A$1:$AB$1,0))&amp;""),"")</f>
        <v/>
      </c>
    </row>
    <row r="106">
      <c r="AC106" s="41" t="n"/>
      <c r="AD106" s="42">
        <f>IFERROR(TRIM(INDEX($A106:$AB106,MATCH(Lists!$J$2,$A$1:$AB$1,0))&amp;""),"")</f>
        <v/>
      </c>
      <c r="AE106" s="42">
        <f>IFERROR(TRIM(INDEX($A106:$AB106,MATCH(Lists!$J$3,$A$1:$AB$1,0))&amp;""),"")</f>
        <v/>
      </c>
      <c r="AF106" s="42">
        <f>IFERROR(TRIM(INDEX($A106:$AB106,MATCH(Lists!$J$4,$A$1:$AB$1,0))&amp;""),"")</f>
        <v/>
      </c>
      <c r="AG106" s="42">
        <f>IFERROR(TRIM(INDEX($A106:$AB106,MATCH(Lists!$J$5,$A$1:$AB$1,0))&amp;""),"")</f>
        <v/>
      </c>
      <c r="AH106" s="42">
        <f>IFERROR(TRIM(INDEX($A106:$AB106,MATCH(Lists!$J$6,$A$1:$AB$1,0))&amp;""),"")</f>
        <v/>
      </c>
    </row>
    <row r="107">
      <c r="AC107" s="41" t="n"/>
      <c r="AD107" s="42">
        <f>IFERROR(TRIM(INDEX($A107:$AB107,MATCH(Lists!$J$2,$A$1:$AB$1,0))&amp;""),"")</f>
        <v/>
      </c>
      <c r="AE107" s="42">
        <f>IFERROR(TRIM(INDEX($A107:$AB107,MATCH(Lists!$J$3,$A$1:$AB$1,0))&amp;""),"")</f>
        <v/>
      </c>
      <c r="AF107" s="42">
        <f>IFERROR(TRIM(INDEX($A107:$AB107,MATCH(Lists!$J$4,$A$1:$AB$1,0))&amp;""),"")</f>
        <v/>
      </c>
      <c r="AG107" s="42">
        <f>IFERROR(TRIM(INDEX($A107:$AB107,MATCH(Lists!$J$5,$A$1:$AB$1,0))&amp;""),"")</f>
        <v/>
      </c>
      <c r="AH107" s="42">
        <f>IFERROR(TRIM(INDEX($A107:$AB107,MATCH(Lists!$J$6,$A$1:$AB$1,0))&amp;""),"")</f>
        <v/>
      </c>
    </row>
    <row r="108">
      <c r="AC108" s="41" t="n"/>
      <c r="AD108" s="42">
        <f>IFERROR(TRIM(INDEX($A108:$AB108,MATCH(Lists!$J$2,$A$1:$AB$1,0))&amp;""),"")</f>
        <v/>
      </c>
      <c r="AE108" s="42">
        <f>IFERROR(TRIM(INDEX($A108:$AB108,MATCH(Lists!$J$3,$A$1:$AB$1,0))&amp;""),"")</f>
        <v/>
      </c>
      <c r="AF108" s="42">
        <f>IFERROR(TRIM(INDEX($A108:$AB108,MATCH(Lists!$J$4,$A$1:$AB$1,0))&amp;""),"")</f>
        <v/>
      </c>
      <c r="AG108" s="42">
        <f>IFERROR(TRIM(INDEX($A108:$AB108,MATCH(Lists!$J$5,$A$1:$AB$1,0))&amp;""),"")</f>
        <v/>
      </c>
      <c r="AH108" s="42">
        <f>IFERROR(TRIM(INDEX($A108:$AB108,MATCH(Lists!$J$6,$A$1:$AB$1,0))&amp;""),"")</f>
        <v/>
      </c>
    </row>
    <row r="109">
      <c r="AC109" s="41" t="n"/>
      <c r="AD109" s="42">
        <f>IFERROR(TRIM(INDEX($A109:$AB109,MATCH(Lists!$J$2,$A$1:$AB$1,0))&amp;""),"")</f>
        <v/>
      </c>
      <c r="AE109" s="42">
        <f>IFERROR(TRIM(INDEX($A109:$AB109,MATCH(Lists!$J$3,$A$1:$AB$1,0))&amp;""),"")</f>
        <v/>
      </c>
      <c r="AF109" s="42">
        <f>IFERROR(TRIM(INDEX($A109:$AB109,MATCH(Lists!$J$4,$A$1:$AB$1,0))&amp;""),"")</f>
        <v/>
      </c>
      <c r="AG109" s="42">
        <f>IFERROR(TRIM(INDEX($A109:$AB109,MATCH(Lists!$J$5,$A$1:$AB$1,0))&amp;""),"")</f>
        <v/>
      </c>
      <c r="AH109" s="42">
        <f>IFERROR(TRIM(INDEX($A109:$AB109,MATCH(Lists!$J$6,$A$1:$AB$1,0))&amp;""),"")</f>
        <v/>
      </c>
    </row>
    <row r="110">
      <c r="AC110" s="41" t="n"/>
      <c r="AD110" s="42">
        <f>IFERROR(TRIM(INDEX($A110:$AB110,MATCH(Lists!$J$2,$A$1:$AB$1,0))&amp;""),"")</f>
        <v/>
      </c>
      <c r="AE110" s="42">
        <f>IFERROR(TRIM(INDEX($A110:$AB110,MATCH(Lists!$J$3,$A$1:$AB$1,0))&amp;""),"")</f>
        <v/>
      </c>
      <c r="AF110" s="42">
        <f>IFERROR(TRIM(INDEX($A110:$AB110,MATCH(Lists!$J$4,$A$1:$AB$1,0))&amp;""),"")</f>
        <v/>
      </c>
      <c r="AG110" s="42">
        <f>IFERROR(TRIM(INDEX($A110:$AB110,MATCH(Lists!$J$5,$A$1:$AB$1,0))&amp;""),"")</f>
        <v/>
      </c>
      <c r="AH110" s="42">
        <f>IFERROR(TRIM(INDEX($A110:$AB110,MATCH(Lists!$J$6,$A$1:$AB$1,0))&amp;""),"")</f>
        <v/>
      </c>
    </row>
    <row r="111">
      <c r="AC111" s="41" t="n"/>
      <c r="AD111" s="42">
        <f>IFERROR(TRIM(INDEX($A111:$AB111,MATCH(Lists!$J$2,$A$1:$AB$1,0))&amp;""),"")</f>
        <v/>
      </c>
      <c r="AE111" s="42">
        <f>IFERROR(TRIM(INDEX($A111:$AB111,MATCH(Lists!$J$3,$A$1:$AB$1,0))&amp;""),"")</f>
        <v/>
      </c>
      <c r="AF111" s="42">
        <f>IFERROR(TRIM(INDEX($A111:$AB111,MATCH(Lists!$J$4,$A$1:$AB$1,0))&amp;""),"")</f>
        <v/>
      </c>
      <c r="AG111" s="42">
        <f>IFERROR(TRIM(INDEX($A111:$AB111,MATCH(Lists!$J$5,$A$1:$AB$1,0))&amp;""),"")</f>
        <v/>
      </c>
      <c r="AH111" s="42">
        <f>IFERROR(TRIM(INDEX($A111:$AB111,MATCH(Lists!$J$6,$A$1:$AB$1,0))&amp;""),"")</f>
        <v/>
      </c>
    </row>
    <row r="112">
      <c r="AC112" s="41" t="n"/>
      <c r="AD112" s="42">
        <f>IFERROR(TRIM(INDEX($A112:$AB112,MATCH(Lists!$J$2,$A$1:$AB$1,0))&amp;""),"")</f>
        <v/>
      </c>
      <c r="AE112" s="42">
        <f>IFERROR(TRIM(INDEX($A112:$AB112,MATCH(Lists!$J$3,$A$1:$AB$1,0))&amp;""),"")</f>
        <v/>
      </c>
      <c r="AF112" s="42">
        <f>IFERROR(TRIM(INDEX($A112:$AB112,MATCH(Lists!$J$4,$A$1:$AB$1,0))&amp;""),"")</f>
        <v/>
      </c>
      <c r="AG112" s="42">
        <f>IFERROR(TRIM(INDEX($A112:$AB112,MATCH(Lists!$J$5,$A$1:$AB$1,0))&amp;""),"")</f>
        <v/>
      </c>
      <c r="AH112" s="42">
        <f>IFERROR(TRIM(INDEX($A112:$AB112,MATCH(Lists!$J$6,$A$1:$AB$1,0))&amp;""),"")</f>
        <v/>
      </c>
    </row>
    <row r="113">
      <c r="AC113" s="41" t="n"/>
      <c r="AD113" s="42">
        <f>IFERROR(TRIM(INDEX($A113:$AB113,MATCH(Lists!$J$2,$A$1:$AB$1,0))&amp;""),"")</f>
        <v/>
      </c>
      <c r="AE113" s="42">
        <f>IFERROR(TRIM(INDEX($A113:$AB113,MATCH(Lists!$J$3,$A$1:$AB$1,0))&amp;""),"")</f>
        <v/>
      </c>
      <c r="AF113" s="42">
        <f>IFERROR(TRIM(INDEX($A113:$AB113,MATCH(Lists!$J$4,$A$1:$AB$1,0))&amp;""),"")</f>
        <v/>
      </c>
      <c r="AG113" s="42">
        <f>IFERROR(TRIM(INDEX($A113:$AB113,MATCH(Lists!$J$5,$A$1:$AB$1,0))&amp;""),"")</f>
        <v/>
      </c>
      <c r="AH113" s="42">
        <f>IFERROR(TRIM(INDEX($A113:$AB113,MATCH(Lists!$J$6,$A$1:$AB$1,0))&amp;""),"")</f>
        <v/>
      </c>
    </row>
    <row r="114">
      <c r="AC114" s="41" t="n"/>
      <c r="AD114" s="42">
        <f>IFERROR(TRIM(INDEX($A114:$AB114,MATCH(Lists!$J$2,$A$1:$AB$1,0))&amp;""),"")</f>
        <v/>
      </c>
      <c r="AE114" s="42">
        <f>IFERROR(TRIM(INDEX($A114:$AB114,MATCH(Lists!$J$3,$A$1:$AB$1,0))&amp;""),"")</f>
        <v/>
      </c>
      <c r="AF114" s="42">
        <f>IFERROR(TRIM(INDEX($A114:$AB114,MATCH(Lists!$J$4,$A$1:$AB$1,0))&amp;""),"")</f>
        <v/>
      </c>
      <c r="AG114" s="42">
        <f>IFERROR(TRIM(INDEX($A114:$AB114,MATCH(Lists!$J$5,$A$1:$AB$1,0))&amp;""),"")</f>
        <v/>
      </c>
      <c r="AH114" s="42">
        <f>IFERROR(TRIM(INDEX($A114:$AB114,MATCH(Lists!$J$6,$A$1:$AB$1,0))&amp;""),"")</f>
        <v/>
      </c>
    </row>
    <row r="115">
      <c r="AC115" s="41" t="n"/>
      <c r="AD115" s="42">
        <f>IFERROR(TRIM(INDEX($A115:$AB115,MATCH(Lists!$J$2,$A$1:$AB$1,0))&amp;""),"")</f>
        <v/>
      </c>
      <c r="AE115" s="42">
        <f>IFERROR(TRIM(INDEX($A115:$AB115,MATCH(Lists!$J$3,$A$1:$AB$1,0))&amp;""),"")</f>
        <v/>
      </c>
      <c r="AF115" s="42">
        <f>IFERROR(TRIM(INDEX($A115:$AB115,MATCH(Lists!$J$4,$A$1:$AB$1,0))&amp;""),"")</f>
        <v/>
      </c>
      <c r="AG115" s="42">
        <f>IFERROR(TRIM(INDEX($A115:$AB115,MATCH(Lists!$J$5,$A$1:$AB$1,0))&amp;""),"")</f>
        <v/>
      </c>
      <c r="AH115" s="42">
        <f>IFERROR(TRIM(INDEX($A115:$AB115,MATCH(Lists!$J$6,$A$1:$AB$1,0))&amp;""),"")</f>
        <v/>
      </c>
    </row>
    <row r="116">
      <c r="AC116" s="41" t="n"/>
      <c r="AD116" s="42">
        <f>IFERROR(TRIM(INDEX($A116:$AB116,MATCH(Lists!$J$2,$A$1:$AB$1,0))&amp;""),"")</f>
        <v/>
      </c>
      <c r="AE116" s="42">
        <f>IFERROR(TRIM(INDEX($A116:$AB116,MATCH(Lists!$J$3,$A$1:$AB$1,0))&amp;""),"")</f>
        <v/>
      </c>
      <c r="AF116" s="42">
        <f>IFERROR(TRIM(INDEX($A116:$AB116,MATCH(Lists!$J$4,$A$1:$AB$1,0))&amp;""),"")</f>
        <v/>
      </c>
      <c r="AG116" s="42">
        <f>IFERROR(TRIM(INDEX($A116:$AB116,MATCH(Lists!$J$5,$A$1:$AB$1,0))&amp;""),"")</f>
        <v/>
      </c>
      <c r="AH116" s="42">
        <f>IFERROR(TRIM(INDEX($A116:$AB116,MATCH(Lists!$J$6,$A$1:$AB$1,0))&amp;""),"")</f>
        <v/>
      </c>
    </row>
    <row r="117">
      <c r="AC117" s="41" t="n"/>
      <c r="AD117" s="42">
        <f>IFERROR(TRIM(INDEX($A117:$AB117,MATCH(Lists!$J$2,$A$1:$AB$1,0))&amp;""),"")</f>
        <v/>
      </c>
      <c r="AE117" s="42">
        <f>IFERROR(TRIM(INDEX($A117:$AB117,MATCH(Lists!$J$3,$A$1:$AB$1,0))&amp;""),"")</f>
        <v/>
      </c>
      <c r="AF117" s="42">
        <f>IFERROR(TRIM(INDEX($A117:$AB117,MATCH(Lists!$J$4,$A$1:$AB$1,0))&amp;""),"")</f>
        <v/>
      </c>
      <c r="AG117" s="42">
        <f>IFERROR(TRIM(INDEX($A117:$AB117,MATCH(Lists!$J$5,$A$1:$AB$1,0))&amp;""),"")</f>
        <v/>
      </c>
      <c r="AH117" s="42">
        <f>IFERROR(TRIM(INDEX($A117:$AB117,MATCH(Lists!$J$6,$A$1:$AB$1,0))&amp;""),"")</f>
        <v/>
      </c>
    </row>
    <row r="118">
      <c r="AC118" s="41" t="n"/>
      <c r="AD118" s="42">
        <f>IFERROR(TRIM(INDEX($A118:$AB118,MATCH(Lists!$J$2,$A$1:$AB$1,0))&amp;""),"")</f>
        <v/>
      </c>
      <c r="AE118" s="42">
        <f>IFERROR(TRIM(INDEX($A118:$AB118,MATCH(Lists!$J$3,$A$1:$AB$1,0))&amp;""),"")</f>
        <v/>
      </c>
      <c r="AF118" s="42">
        <f>IFERROR(TRIM(INDEX($A118:$AB118,MATCH(Lists!$J$4,$A$1:$AB$1,0))&amp;""),"")</f>
        <v/>
      </c>
      <c r="AG118" s="42">
        <f>IFERROR(TRIM(INDEX($A118:$AB118,MATCH(Lists!$J$5,$A$1:$AB$1,0))&amp;""),"")</f>
        <v/>
      </c>
      <c r="AH118" s="42">
        <f>IFERROR(TRIM(INDEX($A118:$AB118,MATCH(Lists!$J$6,$A$1:$AB$1,0))&amp;""),"")</f>
        <v/>
      </c>
    </row>
    <row r="119">
      <c r="AC119" s="41" t="n"/>
      <c r="AD119" s="42">
        <f>IFERROR(TRIM(INDEX($A119:$AB119,MATCH(Lists!$J$2,$A$1:$AB$1,0))&amp;""),"")</f>
        <v/>
      </c>
      <c r="AE119" s="42">
        <f>IFERROR(TRIM(INDEX($A119:$AB119,MATCH(Lists!$J$3,$A$1:$AB$1,0))&amp;""),"")</f>
        <v/>
      </c>
      <c r="AF119" s="42">
        <f>IFERROR(TRIM(INDEX($A119:$AB119,MATCH(Lists!$J$4,$A$1:$AB$1,0))&amp;""),"")</f>
        <v/>
      </c>
      <c r="AG119" s="42">
        <f>IFERROR(TRIM(INDEX($A119:$AB119,MATCH(Lists!$J$5,$A$1:$AB$1,0))&amp;""),"")</f>
        <v/>
      </c>
      <c r="AH119" s="42">
        <f>IFERROR(TRIM(INDEX($A119:$AB119,MATCH(Lists!$J$6,$A$1:$AB$1,0))&amp;""),"")</f>
        <v/>
      </c>
    </row>
    <row r="120">
      <c r="AC120" s="41" t="n"/>
      <c r="AD120" s="42">
        <f>IFERROR(TRIM(INDEX($A120:$AB120,MATCH(Lists!$J$2,$A$1:$AB$1,0))&amp;""),"")</f>
        <v/>
      </c>
      <c r="AE120" s="42">
        <f>IFERROR(TRIM(INDEX($A120:$AB120,MATCH(Lists!$J$3,$A$1:$AB$1,0))&amp;""),"")</f>
        <v/>
      </c>
      <c r="AF120" s="42">
        <f>IFERROR(TRIM(INDEX($A120:$AB120,MATCH(Lists!$J$4,$A$1:$AB$1,0))&amp;""),"")</f>
        <v/>
      </c>
      <c r="AG120" s="42">
        <f>IFERROR(TRIM(INDEX($A120:$AB120,MATCH(Lists!$J$5,$A$1:$AB$1,0))&amp;""),"")</f>
        <v/>
      </c>
      <c r="AH120" s="42">
        <f>IFERROR(TRIM(INDEX($A120:$AB120,MATCH(Lists!$J$6,$A$1:$AB$1,0))&amp;""),"")</f>
        <v/>
      </c>
    </row>
    <row r="121">
      <c r="AC121" s="41" t="n"/>
      <c r="AD121" s="42">
        <f>IFERROR(TRIM(INDEX($A121:$AB121,MATCH(Lists!$J$2,$A$1:$AB$1,0))&amp;""),"")</f>
        <v/>
      </c>
      <c r="AE121" s="42">
        <f>IFERROR(TRIM(INDEX($A121:$AB121,MATCH(Lists!$J$3,$A$1:$AB$1,0))&amp;""),"")</f>
        <v/>
      </c>
      <c r="AF121" s="42">
        <f>IFERROR(TRIM(INDEX($A121:$AB121,MATCH(Lists!$J$4,$A$1:$AB$1,0))&amp;""),"")</f>
        <v/>
      </c>
      <c r="AG121" s="42">
        <f>IFERROR(TRIM(INDEX($A121:$AB121,MATCH(Lists!$J$5,$A$1:$AB$1,0))&amp;""),"")</f>
        <v/>
      </c>
      <c r="AH121" s="42">
        <f>IFERROR(TRIM(INDEX($A121:$AB121,MATCH(Lists!$J$6,$A$1:$AB$1,0))&amp;""),"")</f>
        <v/>
      </c>
    </row>
    <row r="122">
      <c r="AC122" s="41" t="n"/>
      <c r="AD122" s="42">
        <f>IFERROR(TRIM(INDEX($A122:$AB122,MATCH(Lists!$J$2,$A$1:$AB$1,0))&amp;""),"")</f>
        <v/>
      </c>
      <c r="AE122" s="42">
        <f>IFERROR(TRIM(INDEX($A122:$AB122,MATCH(Lists!$J$3,$A$1:$AB$1,0))&amp;""),"")</f>
        <v/>
      </c>
      <c r="AF122" s="42">
        <f>IFERROR(TRIM(INDEX($A122:$AB122,MATCH(Lists!$J$4,$A$1:$AB$1,0))&amp;""),"")</f>
        <v/>
      </c>
      <c r="AG122" s="42">
        <f>IFERROR(TRIM(INDEX($A122:$AB122,MATCH(Lists!$J$5,$A$1:$AB$1,0))&amp;""),"")</f>
        <v/>
      </c>
      <c r="AH122" s="42">
        <f>IFERROR(TRIM(INDEX($A122:$AB122,MATCH(Lists!$J$6,$A$1:$AB$1,0))&amp;""),"")</f>
        <v/>
      </c>
    </row>
    <row r="123">
      <c r="AC123" s="41" t="n"/>
      <c r="AD123" s="42">
        <f>IFERROR(TRIM(INDEX($A123:$AB123,MATCH(Lists!$J$2,$A$1:$AB$1,0))&amp;""),"")</f>
        <v/>
      </c>
      <c r="AE123" s="42">
        <f>IFERROR(TRIM(INDEX($A123:$AB123,MATCH(Lists!$J$3,$A$1:$AB$1,0))&amp;""),"")</f>
        <v/>
      </c>
      <c r="AF123" s="42">
        <f>IFERROR(TRIM(INDEX($A123:$AB123,MATCH(Lists!$J$4,$A$1:$AB$1,0))&amp;""),"")</f>
        <v/>
      </c>
      <c r="AG123" s="42">
        <f>IFERROR(TRIM(INDEX($A123:$AB123,MATCH(Lists!$J$5,$A$1:$AB$1,0))&amp;""),"")</f>
        <v/>
      </c>
      <c r="AH123" s="42">
        <f>IFERROR(TRIM(INDEX($A123:$AB123,MATCH(Lists!$J$6,$A$1:$AB$1,0))&amp;""),"")</f>
        <v/>
      </c>
    </row>
    <row r="124">
      <c r="AC124" s="41" t="n"/>
      <c r="AD124" s="42">
        <f>IFERROR(TRIM(INDEX($A124:$AB124,MATCH(Lists!$J$2,$A$1:$AB$1,0))&amp;""),"")</f>
        <v/>
      </c>
      <c r="AE124" s="42">
        <f>IFERROR(TRIM(INDEX($A124:$AB124,MATCH(Lists!$J$3,$A$1:$AB$1,0))&amp;""),"")</f>
        <v/>
      </c>
      <c r="AF124" s="42">
        <f>IFERROR(TRIM(INDEX($A124:$AB124,MATCH(Lists!$J$4,$A$1:$AB$1,0))&amp;""),"")</f>
        <v/>
      </c>
      <c r="AG124" s="42">
        <f>IFERROR(TRIM(INDEX($A124:$AB124,MATCH(Lists!$J$5,$A$1:$AB$1,0))&amp;""),"")</f>
        <v/>
      </c>
      <c r="AH124" s="42">
        <f>IFERROR(TRIM(INDEX($A124:$AB124,MATCH(Lists!$J$6,$A$1:$AB$1,0))&amp;""),"")</f>
        <v/>
      </c>
    </row>
    <row r="125">
      <c r="AC125" s="41" t="n"/>
      <c r="AD125" s="42">
        <f>IFERROR(TRIM(INDEX($A125:$AB125,MATCH(Lists!$J$2,$A$1:$AB$1,0))&amp;""),"")</f>
        <v/>
      </c>
      <c r="AE125" s="42">
        <f>IFERROR(TRIM(INDEX($A125:$AB125,MATCH(Lists!$J$3,$A$1:$AB$1,0))&amp;""),"")</f>
        <v/>
      </c>
      <c r="AF125" s="42">
        <f>IFERROR(TRIM(INDEX($A125:$AB125,MATCH(Lists!$J$4,$A$1:$AB$1,0))&amp;""),"")</f>
        <v/>
      </c>
      <c r="AG125" s="42">
        <f>IFERROR(TRIM(INDEX($A125:$AB125,MATCH(Lists!$J$5,$A$1:$AB$1,0))&amp;""),"")</f>
        <v/>
      </c>
      <c r="AH125" s="42">
        <f>IFERROR(TRIM(INDEX($A125:$AB125,MATCH(Lists!$J$6,$A$1:$AB$1,0))&amp;""),"")</f>
        <v/>
      </c>
    </row>
    <row r="126">
      <c r="AC126" s="41" t="n"/>
      <c r="AD126" s="42">
        <f>IFERROR(TRIM(INDEX($A126:$AB126,MATCH(Lists!$J$2,$A$1:$AB$1,0))&amp;""),"")</f>
        <v/>
      </c>
      <c r="AE126" s="42">
        <f>IFERROR(TRIM(INDEX($A126:$AB126,MATCH(Lists!$J$3,$A$1:$AB$1,0))&amp;""),"")</f>
        <v/>
      </c>
      <c r="AF126" s="42">
        <f>IFERROR(TRIM(INDEX($A126:$AB126,MATCH(Lists!$J$4,$A$1:$AB$1,0))&amp;""),"")</f>
        <v/>
      </c>
      <c r="AG126" s="42">
        <f>IFERROR(TRIM(INDEX($A126:$AB126,MATCH(Lists!$J$5,$A$1:$AB$1,0))&amp;""),"")</f>
        <v/>
      </c>
      <c r="AH126" s="42">
        <f>IFERROR(TRIM(INDEX($A126:$AB126,MATCH(Lists!$J$6,$A$1:$AB$1,0))&amp;""),"")</f>
        <v/>
      </c>
    </row>
    <row r="127">
      <c r="AC127" s="41" t="n"/>
      <c r="AD127" s="42">
        <f>IFERROR(TRIM(INDEX($A127:$AB127,MATCH(Lists!$J$2,$A$1:$AB$1,0))&amp;""),"")</f>
        <v/>
      </c>
      <c r="AE127" s="42">
        <f>IFERROR(TRIM(INDEX($A127:$AB127,MATCH(Lists!$J$3,$A$1:$AB$1,0))&amp;""),"")</f>
        <v/>
      </c>
      <c r="AF127" s="42">
        <f>IFERROR(TRIM(INDEX($A127:$AB127,MATCH(Lists!$J$4,$A$1:$AB$1,0))&amp;""),"")</f>
        <v/>
      </c>
      <c r="AG127" s="42">
        <f>IFERROR(TRIM(INDEX($A127:$AB127,MATCH(Lists!$J$5,$A$1:$AB$1,0))&amp;""),"")</f>
        <v/>
      </c>
      <c r="AH127" s="42">
        <f>IFERROR(TRIM(INDEX($A127:$AB127,MATCH(Lists!$J$6,$A$1:$AB$1,0))&amp;""),"")</f>
        <v/>
      </c>
    </row>
    <row r="128">
      <c r="AC128" s="41" t="n"/>
      <c r="AD128" s="42">
        <f>IFERROR(TRIM(INDEX($A128:$AB128,MATCH(Lists!$J$2,$A$1:$AB$1,0))&amp;""),"")</f>
        <v/>
      </c>
      <c r="AE128" s="42">
        <f>IFERROR(TRIM(INDEX($A128:$AB128,MATCH(Lists!$J$3,$A$1:$AB$1,0))&amp;""),"")</f>
        <v/>
      </c>
      <c r="AF128" s="42">
        <f>IFERROR(TRIM(INDEX($A128:$AB128,MATCH(Lists!$J$4,$A$1:$AB$1,0))&amp;""),"")</f>
        <v/>
      </c>
      <c r="AG128" s="42">
        <f>IFERROR(TRIM(INDEX($A128:$AB128,MATCH(Lists!$J$5,$A$1:$AB$1,0))&amp;""),"")</f>
        <v/>
      </c>
      <c r="AH128" s="42">
        <f>IFERROR(TRIM(INDEX($A128:$AB128,MATCH(Lists!$J$6,$A$1:$AB$1,0))&amp;""),"")</f>
        <v/>
      </c>
    </row>
    <row r="129">
      <c r="AC129" s="41" t="n"/>
      <c r="AD129" s="42">
        <f>IFERROR(TRIM(INDEX($A129:$AB129,MATCH(Lists!$J$2,$A$1:$AB$1,0))&amp;""),"")</f>
        <v/>
      </c>
      <c r="AE129" s="42">
        <f>IFERROR(TRIM(INDEX($A129:$AB129,MATCH(Lists!$J$3,$A$1:$AB$1,0))&amp;""),"")</f>
        <v/>
      </c>
      <c r="AF129" s="42">
        <f>IFERROR(TRIM(INDEX($A129:$AB129,MATCH(Lists!$J$4,$A$1:$AB$1,0))&amp;""),"")</f>
        <v/>
      </c>
      <c r="AG129" s="42">
        <f>IFERROR(TRIM(INDEX($A129:$AB129,MATCH(Lists!$J$5,$A$1:$AB$1,0))&amp;""),"")</f>
        <v/>
      </c>
      <c r="AH129" s="42">
        <f>IFERROR(TRIM(INDEX($A129:$AB129,MATCH(Lists!$J$6,$A$1:$AB$1,0))&amp;""),"")</f>
        <v/>
      </c>
    </row>
    <row r="130">
      <c r="AC130" s="41" t="n"/>
      <c r="AD130" s="42">
        <f>IFERROR(TRIM(INDEX($A130:$AB130,MATCH(Lists!$J$2,$A$1:$AB$1,0))&amp;""),"")</f>
        <v/>
      </c>
      <c r="AE130" s="42">
        <f>IFERROR(TRIM(INDEX($A130:$AB130,MATCH(Lists!$J$3,$A$1:$AB$1,0))&amp;""),"")</f>
        <v/>
      </c>
      <c r="AF130" s="42">
        <f>IFERROR(TRIM(INDEX($A130:$AB130,MATCH(Lists!$J$4,$A$1:$AB$1,0))&amp;""),"")</f>
        <v/>
      </c>
      <c r="AG130" s="42">
        <f>IFERROR(TRIM(INDEX($A130:$AB130,MATCH(Lists!$J$5,$A$1:$AB$1,0))&amp;""),"")</f>
        <v/>
      </c>
      <c r="AH130" s="42">
        <f>IFERROR(TRIM(INDEX($A130:$AB130,MATCH(Lists!$J$6,$A$1:$AB$1,0))&amp;""),"")</f>
        <v/>
      </c>
    </row>
    <row r="131">
      <c r="AC131" s="41" t="n"/>
      <c r="AD131" s="42">
        <f>IFERROR(TRIM(INDEX($A131:$AB131,MATCH(Lists!$J$2,$A$1:$AB$1,0))&amp;""),"")</f>
        <v/>
      </c>
      <c r="AE131" s="42">
        <f>IFERROR(TRIM(INDEX($A131:$AB131,MATCH(Lists!$J$3,$A$1:$AB$1,0))&amp;""),"")</f>
        <v/>
      </c>
      <c r="AF131" s="42">
        <f>IFERROR(TRIM(INDEX($A131:$AB131,MATCH(Lists!$J$4,$A$1:$AB$1,0))&amp;""),"")</f>
        <v/>
      </c>
      <c r="AG131" s="42">
        <f>IFERROR(TRIM(INDEX($A131:$AB131,MATCH(Lists!$J$5,$A$1:$AB$1,0))&amp;""),"")</f>
        <v/>
      </c>
      <c r="AH131" s="42">
        <f>IFERROR(TRIM(INDEX($A131:$AB131,MATCH(Lists!$J$6,$A$1:$AB$1,0))&amp;""),"")</f>
        <v/>
      </c>
    </row>
    <row r="132">
      <c r="AC132" s="41" t="n"/>
      <c r="AD132" s="42">
        <f>IFERROR(TRIM(INDEX($A132:$AB132,MATCH(Lists!$J$2,$A$1:$AB$1,0))&amp;""),"")</f>
        <v/>
      </c>
      <c r="AE132" s="42">
        <f>IFERROR(TRIM(INDEX($A132:$AB132,MATCH(Lists!$J$3,$A$1:$AB$1,0))&amp;""),"")</f>
        <v/>
      </c>
      <c r="AF132" s="42">
        <f>IFERROR(TRIM(INDEX($A132:$AB132,MATCH(Lists!$J$4,$A$1:$AB$1,0))&amp;""),"")</f>
        <v/>
      </c>
      <c r="AG132" s="42">
        <f>IFERROR(TRIM(INDEX($A132:$AB132,MATCH(Lists!$J$5,$A$1:$AB$1,0))&amp;""),"")</f>
        <v/>
      </c>
      <c r="AH132" s="42">
        <f>IFERROR(TRIM(INDEX($A132:$AB132,MATCH(Lists!$J$6,$A$1:$AB$1,0))&amp;""),"")</f>
        <v/>
      </c>
    </row>
    <row r="133">
      <c r="AC133" s="41" t="n"/>
      <c r="AD133" s="42">
        <f>IFERROR(TRIM(INDEX($A133:$AB133,MATCH(Lists!$J$2,$A$1:$AB$1,0))&amp;""),"")</f>
        <v/>
      </c>
      <c r="AE133" s="42">
        <f>IFERROR(TRIM(INDEX($A133:$AB133,MATCH(Lists!$J$3,$A$1:$AB$1,0))&amp;""),"")</f>
        <v/>
      </c>
      <c r="AF133" s="42">
        <f>IFERROR(TRIM(INDEX($A133:$AB133,MATCH(Lists!$J$4,$A$1:$AB$1,0))&amp;""),"")</f>
        <v/>
      </c>
      <c r="AG133" s="42">
        <f>IFERROR(TRIM(INDEX($A133:$AB133,MATCH(Lists!$J$5,$A$1:$AB$1,0))&amp;""),"")</f>
        <v/>
      </c>
      <c r="AH133" s="42">
        <f>IFERROR(TRIM(INDEX($A133:$AB133,MATCH(Lists!$J$6,$A$1:$AB$1,0))&amp;""),"")</f>
        <v/>
      </c>
    </row>
    <row r="134">
      <c r="AC134" s="41" t="n"/>
      <c r="AD134" s="42">
        <f>IFERROR(TRIM(INDEX($A134:$AB134,MATCH(Lists!$J$2,$A$1:$AB$1,0))&amp;""),"")</f>
        <v/>
      </c>
      <c r="AE134" s="42">
        <f>IFERROR(TRIM(INDEX($A134:$AB134,MATCH(Lists!$J$3,$A$1:$AB$1,0))&amp;""),"")</f>
        <v/>
      </c>
      <c r="AF134" s="42">
        <f>IFERROR(TRIM(INDEX($A134:$AB134,MATCH(Lists!$J$4,$A$1:$AB$1,0))&amp;""),"")</f>
        <v/>
      </c>
      <c r="AG134" s="42">
        <f>IFERROR(TRIM(INDEX($A134:$AB134,MATCH(Lists!$J$5,$A$1:$AB$1,0))&amp;""),"")</f>
        <v/>
      </c>
      <c r="AH134" s="42">
        <f>IFERROR(TRIM(INDEX($A134:$AB134,MATCH(Lists!$J$6,$A$1:$AB$1,0))&amp;""),"")</f>
        <v/>
      </c>
    </row>
    <row r="135">
      <c r="AC135" s="41" t="n"/>
      <c r="AD135" s="42">
        <f>IFERROR(TRIM(INDEX($A135:$AB135,MATCH(Lists!$J$2,$A$1:$AB$1,0))&amp;""),"")</f>
        <v/>
      </c>
      <c r="AE135" s="42">
        <f>IFERROR(TRIM(INDEX($A135:$AB135,MATCH(Lists!$J$3,$A$1:$AB$1,0))&amp;""),"")</f>
        <v/>
      </c>
      <c r="AF135" s="42">
        <f>IFERROR(TRIM(INDEX($A135:$AB135,MATCH(Lists!$J$4,$A$1:$AB$1,0))&amp;""),"")</f>
        <v/>
      </c>
      <c r="AG135" s="42">
        <f>IFERROR(TRIM(INDEX($A135:$AB135,MATCH(Lists!$J$5,$A$1:$AB$1,0))&amp;""),"")</f>
        <v/>
      </c>
      <c r="AH135" s="42">
        <f>IFERROR(TRIM(INDEX($A135:$AB135,MATCH(Lists!$J$6,$A$1:$AB$1,0))&amp;""),"")</f>
        <v/>
      </c>
    </row>
    <row r="136">
      <c r="AC136" s="41" t="n"/>
      <c r="AD136" s="42">
        <f>IFERROR(TRIM(INDEX($A136:$AB136,MATCH(Lists!$J$2,$A$1:$AB$1,0))&amp;""),"")</f>
        <v/>
      </c>
      <c r="AE136" s="42">
        <f>IFERROR(TRIM(INDEX($A136:$AB136,MATCH(Lists!$J$3,$A$1:$AB$1,0))&amp;""),"")</f>
        <v/>
      </c>
      <c r="AF136" s="42">
        <f>IFERROR(TRIM(INDEX($A136:$AB136,MATCH(Lists!$J$4,$A$1:$AB$1,0))&amp;""),"")</f>
        <v/>
      </c>
      <c r="AG136" s="42">
        <f>IFERROR(TRIM(INDEX($A136:$AB136,MATCH(Lists!$J$5,$A$1:$AB$1,0))&amp;""),"")</f>
        <v/>
      </c>
      <c r="AH136" s="42">
        <f>IFERROR(TRIM(INDEX($A136:$AB136,MATCH(Lists!$J$6,$A$1:$AB$1,0))&amp;""),"")</f>
        <v/>
      </c>
    </row>
    <row r="137">
      <c r="AC137" s="41" t="n"/>
      <c r="AD137" s="42">
        <f>IFERROR(TRIM(INDEX($A137:$AB137,MATCH(Lists!$J$2,$A$1:$AB$1,0))&amp;""),"")</f>
        <v/>
      </c>
      <c r="AE137" s="42">
        <f>IFERROR(TRIM(INDEX($A137:$AB137,MATCH(Lists!$J$3,$A$1:$AB$1,0))&amp;""),"")</f>
        <v/>
      </c>
      <c r="AF137" s="42">
        <f>IFERROR(TRIM(INDEX($A137:$AB137,MATCH(Lists!$J$4,$A$1:$AB$1,0))&amp;""),"")</f>
        <v/>
      </c>
      <c r="AG137" s="42">
        <f>IFERROR(TRIM(INDEX($A137:$AB137,MATCH(Lists!$J$5,$A$1:$AB$1,0))&amp;""),"")</f>
        <v/>
      </c>
      <c r="AH137" s="42">
        <f>IFERROR(TRIM(INDEX($A137:$AB137,MATCH(Lists!$J$6,$A$1:$AB$1,0))&amp;""),"")</f>
        <v/>
      </c>
    </row>
    <row r="138">
      <c r="AC138" s="41" t="n"/>
      <c r="AD138" s="42">
        <f>IFERROR(TRIM(INDEX($A138:$AB138,MATCH(Lists!$J$2,$A$1:$AB$1,0))&amp;""),"")</f>
        <v/>
      </c>
      <c r="AE138" s="42">
        <f>IFERROR(TRIM(INDEX($A138:$AB138,MATCH(Lists!$J$3,$A$1:$AB$1,0))&amp;""),"")</f>
        <v/>
      </c>
      <c r="AF138" s="42">
        <f>IFERROR(TRIM(INDEX($A138:$AB138,MATCH(Lists!$J$4,$A$1:$AB$1,0))&amp;""),"")</f>
        <v/>
      </c>
      <c r="AG138" s="42">
        <f>IFERROR(TRIM(INDEX($A138:$AB138,MATCH(Lists!$J$5,$A$1:$AB$1,0))&amp;""),"")</f>
        <v/>
      </c>
      <c r="AH138" s="42">
        <f>IFERROR(TRIM(INDEX($A138:$AB138,MATCH(Lists!$J$6,$A$1:$AB$1,0))&amp;""),"")</f>
        <v/>
      </c>
    </row>
    <row r="139">
      <c r="AC139" s="41" t="n"/>
      <c r="AD139" s="42">
        <f>IFERROR(TRIM(INDEX($A139:$AB139,MATCH(Lists!$J$2,$A$1:$AB$1,0))&amp;""),"")</f>
        <v/>
      </c>
      <c r="AE139" s="42">
        <f>IFERROR(TRIM(INDEX($A139:$AB139,MATCH(Lists!$J$3,$A$1:$AB$1,0))&amp;""),"")</f>
        <v/>
      </c>
      <c r="AF139" s="42">
        <f>IFERROR(TRIM(INDEX($A139:$AB139,MATCH(Lists!$J$4,$A$1:$AB$1,0))&amp;""),"")</f>
        <v/>
      </c>
      <c r="AG139" s="42">
        <f>IFERROR(TRIM(INDEX($A139:$AB139,MATCH(Lists!$J$5,$A$1:$AB$1,0))&amp;""),"")</f>
        <v/>
      </c>
      <c r="AH139" s="42">
        <f>IFERROR(TRIM(INDEX($A139:$AB139,MATCH(Lists!$J$6,$A$1:$AB$1,0))&amp;""),"")</f>
        <v/>
      </c>
    </row>
    <row r="140">
      <c r="AC140" s="41" t="n"/>
      <c r="AD140" s="42">
        <f>IFERROR(TRIM(INDEX($A140:$AB140,MATCH(Lists!$J$2,$A$1:$AB$1,0))&amp;""),"")</f>
        <v/>
      </c>
      <c r="AE140" s="42">
        <f>IFERROR(TRIM(INDEX($A140:$AB140,MATCH(Lists!$J$3,$A$1:$AB$1,0))&amp;""),"")</f>
        <v/>
      </c>
      <c r="AF140" s="42">
        <f>IFERROR(TRIM(INDEX($A140:$AB140,MATCH(Lists!$J$4,$A$1:$AB$1,0))&amp;""),"")</f>
        <v/>
      </c>
      <c r="AG140" s="42">
        <f>IFERROR(TRIM(INDEX($A140:$AB140,MATCH(Lists!$J$5,$A$1:$AB$1,0))&amp;""),"")</f>
        <v/>
      </c>
      <c r="AH140" s="42">
        <f>IFERROR(TRIM(INDEX($A140:$AB140,MATCH(Lists!$J$6,$A$1:$AB$1,0))&amp;""),"")</f>
        <v/>
      </c>
    </row>
    <row r="141">
      <c r="AC141" s="41" t="n"/>
      <c r="AD141" s="42">
        <f>IFERROR(TRIM(INDEX($A141:$AB141,MATCH(Lists!$J$2,$A$1:$AB$1,0))&amp;""),"")</f>
        <v/>
      </c>
      <c r="AE141" s="42">
        <f>IFERROR(TRIM(INDEX($A141:$AB141,MATCH(Lists!$J$3,$A$1:$AB$1,0))&amp;""),"")</f>
        <v/>
      </c>
      <c r="AF141" s="42">
        <f>IFERROR(TRIM(INDEX($A141:$AB141,MATCH(Lists!$J$4,$A$1:$AB$1,0))&amp;""),"")</f>
        <v/>
      </c>
      <c r="AG141" s="42">
        <f>IFERROR(TRIM(INDEX($A141:$AB141,MATCH(Lists!$J$5,$A$1:$AB$1,0))&amp;""),"")</f>
        <v/>
      </c>
      <c r="AH141" s="42">
        <f>IFERROR(TRIM(INDEX($A141:$AB141,MATCH(Lists!$J$6,$A$1:$AB$1,0))&amp;""),"")</f>
        <v/>
      </c>
    </row>
    <row r="142">
      <c r="AC142" s="41" t="n"/>
      <c r="AD142" s="42">
        <f>IFERROR(TRIM(INDEX($A142:$AB142,MATCH(Lists!$J$2,$A$1:$AB$1,0))&amp;""),"")</f>
        <v/>
      </c>
      <c r="AE142" s="42">
        <f>IFERROR(TRIM(INDEX($A142:$AB142,MATCH(Lists!$J$3,$A$1:$AB$1,0))&amp;""),"")</f>
        <v/>
      </c>
      <c r="AF142" s="42">
        <f>IFERROR(TRIM(INDEX($A142:$AB142,MATCH(Lists!$J$4,$A$1:$AB$1,0))&amp;""),"")</f>
        <v/>
      </c>
      <c r="AG142" s="42">
        <f>IFERROR(TRIM(INDEX($A142:$AB142,MATCH(Lists!$J$5,$A$1:$AB$1,0))&amp;""),"")</f>
        <v/>
      </c>
      <c r="AH142" s="42">
        <f>IFERROR(TRIM(INDEX($A142:$AB142,MATCH(Lists!$J$6,$A$1:$AB$1,0))&amp;""),"")</f>
        <v/>
      </c>
    </row>
    <row r="143">
      <c r="AC143" s="41" t="n"/>
      <c r="AD143" s="42">
        <f>IFERROR(TRIM(INDEX($A143:$AB143,MATCH(Lists!$J$2,$A$1:$AB$1,0))&amp;""),"")</f>
        <v/>
      </c>
      <c r="AE143" s="42">
        <f>IFERROR(TRIM(INDEX($A143:$AB143,MATCH(Lists!$J$3,$A$1:$AB$1,0))&amp;""),"")</f>
        <v/>
      </c>
      <c r="AF143" s="42">
        <f>IFERROR(TRIM(INDEX($A143:$AB143,MATCH(Lists!$J$4,$A$1:$AB$1,0))&amp;""),"")</f>
        <v/>
      </c>
      <c r="AG143" s="42">
        <f>IFERROR(TRIM(INDEX($A143:$AB143,MATCH(Lists!$J$5,$A$1:$AB$1,0))&amp;""),"")</f>
        <v/>
      </c>
      <c r="AH143" s="42">
        <f>IFERROR(TRIM(INDEX($A143:$AB143,MATCH(Lists!$J$6,$A$1:$AB$1,0))&amp;""),"")</f>
        <v/>
      </c>
    </row>
    <row r="144">
      <c r="AC144" s="41" t="n"/>
      <c r="AD144" s="42">
        <f>IFERROR(TRIM(INDEX($A144:$AB144,MATCH(Lists!$J$2,$A$1:$AB$1,0))&amp;""),"")</f>
        <v/>
      </c>
      <c r="AE144" s="42">
        <f>IFERROR(TRIM(INDEX($A144:$AB144,MATCH(Lists!$J$3,$A$1:$AB$1,0))&amp;""),"")</f>
        <v/>
      </c>
      <c r="AF144" s="42">
        <f>IFERROR(TRIM(INDEX($A144:$AB144,MATCH(Lists!$J$4,$A$1:$AB$1,0))&amp;""),"")</f>
        <v/>
      </c>
      <c r="AG144" s="42">
        <f>IFERROR(TRIM(INDEX($A144:$AB144,MATCH(Lists!$J$5,$A$1:$AB$1,0))&amp;""),"")</f>
        <v/>
      </c>
      <c r="AH144" s="42">
        <f>IFERROR(TRIM(INDEX($A144:$AB144,MATCH(Lists!$J$6,$A$1:$AB$1,0))&amp;""),"")</f>
        <v/>
      </c>
    </row>
    <row r="145">
      <c r="AC145" s="41" t="n"/>
      <c r="AD145" s="42">
        <f>IFERROR(TRIM(INDEX($A145:$AB145,MATCH(Lists!$J$2,$A$1:$AB$1,0))&amp;""),"")</f>
        <v/>
      </c>
      <c r="AE145" s="42">
        <f>IFERROR(TRIM(INDEX($A145:$AB145,MATCH(Lists!$J$3,$A$1:$AB$1,0))&amp;""),"")</f>
        <v/>
      </c>
      <c r="AF145" s="42">
        <f>IFERROR(TRIM(INDEX($A145:$AB145,MATCH(Lists!$J$4,$A$1:$AB$1,0))&amp;""),"")</f>
        <v/>
      </c>
      <c r="AG145" s="42">
        <f>IFERROR(TRIM(INDEX($A145:$AB145,MATCH(Lists!$J$5,$A$1:$AB$1,0))&amp;""),"")</f>
        <v/>
      </c>
      <c r="AH145" s="42">
        <f>IFERROR(TRIM(INDEX($A145:$AB145,MATCH(Lists!$J$6,$A$1:$AB$1,0))&amp;""),"")</f>
        <v/>
      </c>
    </row>
    <row r="146">
      <c r="AC146" s="41" t="n"/>
      <c r="AD146" s="42">
        <f>IFERROR(TRIM(INDEX($A146:$AB146,MATCH(Lists!$J$2,$A$1:$AB$1,0))&amp;""),"")</f>
        <v/>
      </c>
      <c r="AE146" s="42">
        <f>IFERROR(TRIM(INDEX($A146:$AB146,MATCH(Lists!$J$3,$A$1:$AB$1,0))&amp;""),"")</f>
        <v/>
      </c>
      <c r="AF146" s="42">
        <f>IFERROR(TRIM(INDEX($A146:$AB146,MATCH(Lists!$J$4,$A$1:$AB$1,0))&amp;""),"")</f>
        <v/>
      </c>
      <c r="AG146" s="42">
        <f>IFERROR(TRIM(INDEX($A146:$AB146,MATCH(Lists!$J$5,$A$1:$AB$1,0))&amp;""),"")</f>
        <v/>
      </c>
      <c r="AH146" s="42">
        <f>IFERROR(TRIM(INDEX($A146:$AB146,MATCH(Lists!$J$6,$A$1:$AB$1,0))&amp;""),"")</f>
        <v/>
      </c>
    </row>
    <row r="147">
      <c r="AC147" s="41" t="n"/>
      <c r="AD147" s="42">
        <f>IFERROR(TRIM(INDEX($A147:$AB147,MATCH(Lists!$J$2,$A$1:$AB$1,0))&amp;""),"")</f>
        <v/>
      </c>
      <c r="AE147" s="42">
        <f>IFERROR(TRIM(INDEX($A147:$AB147,MATCH(Lists!$J$3,$A$1:$AB$1,0))&amp;""),"")</f>
        <v/>
      </c>
      <c r="AF147" s="42">
        <f>IFERROR(TRIM(INDEX($A147:$AB147,MATCH(Lists!$J$4,$A$1:$AB$1,0))&amp;""),"")</f>
        <v/>
      </c>
      <c r="AG147" s="42">
        <f>IFERROR(TRIM(INDEX($A147:$AB147,MATCH(Lists!$J$5,$A$1:$AB$1,0))&amp;""),"")</f>
        <v/>
      </c>
      <c r="AH147" s="42">
        <f>IFERROR(TRIM(INDEX($A147:$AB147,MATCH(Lists!$J$6,$A$1:$AB$1,0))&amp;""),"")</f>
        <v/>
      </c>
    </row>
    <row r="148">
      <c r="AC148" s="41" t="n"/>
      <c r="AD148" s="42">
        <f>IFERROR(TRIM(INDEX($A148:$AB148,MATCH(Lists!$J$2,$A$1:$AB$1,0))&amp;""),"")</f>
        <v/>
      </c>
      <c r="AE148" s="42">
        <f>IFERROR(TRIM(INDEX($A148:$AB148,MATCH(Lists!$J$3,$A$1:$AB$1,0))&amp;""),"")</f>
        <v/>
      </c>
      <c r="AF148" s="42">
        <f>IFERROR(TRIM(INDEX($A148:$AB148,MATCH(Lists!$J$4,$A$1:$AB$1,0))&amp;""),"")</f>
        <v/>
      </c>
      <c r="AG148" s="42">
        <f>IFERROR(TRIM(INDEX($A148:$AB148,MATCH(Lists!$J$5,$A$1:$AB$1,0))&amp;""),"")</f>
        <v/>
      </c>
      <c r="AH148" s="42">
        <f>IFERROR(TRIM(INDEX($A148:$AB148,MATCH(Lists!$J$6,$A$1:$AB$1,0))&amp;""),"")</f>
        <v/>
      </c>
    </row>
    <row r="149">
      <c r="AC149" s="41" t="n"/>
      <c r="AD149" s="42">
        <f>IFERROR(TRIM(INDEX($A149:$AB149,MATCH(Lists!$J$2,$A$1:$AB$1,0))&amp;""),"")</f>
        <v/>
      </c>
      <c r="AE149" s="42">
        <f>IFERROR(TRIM(INDEX($A149:$AB149,MATCH(Lists!$J$3,$A$1:$AB$1,0))&amp;""),"")</f>
        <v/>
      </c>
      <c r="AF149" s="42">
        <f>IFERROR(TRIM(INDEX($A149:$AB149,MATCH(Lists!$J$4,$A$1:$AB$1,0))&amp;""),"")</f>
        <v/>
      </c>
      <c r="AG149" s="42">
        <f>IFERROR(TRIM(INDEX($A149:$AB149,MATCH(Lists!$J$5,$A$1:$AB$1,0))&amp;""),"")</f>
        <v/>
      </c>
      <c r="AH149" s="42">
        <f>IFERROR(TRIM(INDEX($A149:$AB149,MATCH(Lists!$J$6,$A$1:$AB$1,0))&amp;""),"")</f>
        <v/>
      </c>
    </row>
    <row r="150">
      <c r="AC150" s="41" t="n"/>
      <c r="AD150" s="42">
        <f>IFERROR(TRIM(INDEX($A150:$AB150,MATCH(Lists!$J$2,$A$1:$AB$1,0))&amp;""),"")</f>
        <v/>
      </c>
      <c r="AE150" s="42">
        <f>IFERROR(TRIM(INDEX($A150:$AB150,MATCH(Lists!$J$3,$A$1:$AB$1,0))&amp;""),"")</f>
        <v/>
      </c>
      <c r="AF150" s="42">
        <f>IFERROR(TRIM(INDEX($A150:$AB150,MATCH(Lists!$J$4,$A$1:$AB$1,0))&amp;""),"")</f>
        <v/>
      </c>
      <c r="AG150" s="42">
        <f>IFERROR(TRIM(INDEX($A150:$AB150,MATCH(Lists!$J$5,$A$1:$AB$1,0))&amp;""),"")</f>
        <v/>
      </c>
      <c r="AH150" s="42">
        <f>IFERROR(TRIM(INDEX($A150:$AB150,MATCH(Lists!$J$6,$A$1:$AB$1,0))&amp;""),"")</f>
        <v/>
      </c>
    </row>
    <row r="151">
      <c r="AC151" s="41" t="n"/>
      <c r="AD151" s="42">
        <f>IFERROR(TRIM(INDEX($A151:$AB151,MATCH(Lists!$J$2,$A$1:$AB$1,0))&amp;""),"")</f>
        <v/>
      </c>
      <c r="AE151" s="42">
        <f>IFERROR(TRIM(INDEX($A151:$AB151,MATCH(Lists!$J$3,$A$1:$AB$1,0))&amp;""),"")</f>
        <v/>
      </c>
      <c r="AF151" s="42">
        <f>IFERROR(TRIM(INDEX($A151:$AB151,MATCH(Lists!$J$4,$A$1:$AB$1,0))&amp;""),"")</f>
        <v/>
      </c>
      <c r="AG151" s="42">
        <f>IFERROR(TRIM(INDEX($A151:$AB151,MATCH(Lists!$J$5,$A$1:$AB$1,0))&amp;""),"")</f>
        <v/>
      </c>
      <c r="AH151" s="42">
        <f>IFERROR(TRIM(INDEX($A151:$AB151,MATCH(Lists!$J$6,$A$1:$AB$1,0))&amp;""),"")</f>
        <v/>
      </c>
    </row>
    <row r="152">
      <c r="AC152" s="41" t="n"/>
      <c r="AD152" s="42">
        <f>IFERROR(TRIM(INDEX($A152:$AB152,MATCH(Lists!$J$2,$A$1:$AB$1,0))&amp;""),"")</f>
        <v/>
      </c>
      <c r="AE152" s="42">
        <f>IFERROR(TRIM(INDEX($A152:$AB152,MATCH(Lists!$J$3,$A$1:$AB$1,0))&amp;""),"")</f>
        <v/>
      </c>
      <c r="AF152" s="42">
        <f>IFERROR(TRIM(INDEX($A152:$AB152,MATCH(Lists!$J$4,$A$1:$AB$1,0))&amp;""),"")</f>
        <v/>
      </c>
      <c r="AG152" s="42">
        <f>IFERROR(TRIM(INDEX($A152:$AB152,MATCH(Lists!$J$5,$A$1:$AB$1,0))&amp;""),"")</f>
        <v/>
      </c>
      <c r="AH152" s="42">
        <f>IFERROR(TRIM(INDEX($A152:$AB152,MATCH(Lists!$J$6,$A$1:$AB$1,0))&amp;""),"")</f>
        <v/>
      </c>
    </row>
    <row r="153">
      <c r="AC153" s="41" t="n"/>
      <c r="AD153" s="42">
        <f>IFERROR(TRIM(INDEX($A153:$AB153,MATCH(Lists!$J$2,$A$1:$AB$1,0))&amp;""),"")</f>
        <v/>
      </c>
      <c r="AE153" s="42">
        <f>IFERROR(TRIM(INDEX($A153:$AB153,MATCH(Lists!$J$3,$A$1:$AB$1,0))&amp;""),"")</f>
        <v/>
      </c>
      <c r="AF153" s="42">
        <f>IFERROR(TRIM(INDEX($A153:$AB153,MATCH(Lists!$J$4,$A$1:$AB$1,0))&amp;""),"")</f>
        <v/>
      </c>
      <c r="AG153" s="42">
        <f>IFERROR(TRIM(INDEX($A153:$AB153,MATCH(Lists!$J$5,$A$1:$AB$1,0))&amp;""),"")</f>
        <v/>
      </c>
      <c r="AH153" s="42">
        <f>IFERROR(TRIM(INDEX($A153:$AB153,MATCH(Lists!$J$6,$A$1:$AB$1,0))&amp;""),"")</f>
        <v/>
      </c>
    </row>
    <row r="154">
      <c r="AC154" s="41" t="n"/>
      <c r="AD154" s="42">
        <f>IFERROR(TRIM(INDEX($A154:$AB154,MATCH(Lists!$J$2,$A$1:$AB$1,0))&amp;""),"")</f>
        <v/>
      </c>
      <c r="AE154" s="42">
        <f>IFERROR(TRIM(INDEX($A154:$AB154,MATCH(Lists!$J$3,$A$1:$AB$1,0))&amp;""),"")</f>
        <v/>
      </c>
      <c r="AF154" s="42">
        <f>IFERROR(TRIM(INDEX($A154:$AB154,MATCH(Lists!$J$4,$A$1:$AB$1,0))&amp;""),"")</f>
        <v/>
      </c>
      <c r="AG154" s="42">
        <f>IFERROR(TRIM(INDEX($A154:$AB154,MATCH(Lists!$J$5,$A$1:$AB$1,0))&amp;""),"")</f>
        <v/>
      </c>
      <c r="AH154" s="42">
        <f>IFERROR(TRIM(INDEX($A154:$AB154,MATCH(Lists!$J$6,$A$1:$AB$1,0))&amp;""),"")</f>
        <v/>
      </c>
    </row>
    <row r="155">
      <c r="AC155" s="41" t="n"/>
      <c r="AD155" s="42">
        <f>IFERROR(TRIM(INDEX($A155:$AB155,MATCH(Lists!$J$2,$A$1:$AB$1,0))&amp;""),"")</f>
        <v/>
      </c>
      <c r="AE155" s="42">
        <f>IFERROR(TRIM(INDEX($A155:$AB155,MATCH(Lists!$J$3,$A$1:$AB$1,0))&amp;""),"")</f>
        <v/>
      </c>
      <c r="AF155" s="42">
        <f>IFERROR(TRIM(INDEX($A155:$AB155,MATCH(Lists!$J$4,$A$1:$AB$1,0))&amp;""),"")</f>
        <v/>
      </c>
      <c r="AG155" s="42">
        <f>IFERROR(TRIM(INDEX($A155:$AB155,MATCH(Lists!$J$5,$A$1:$AB$1,0))&amp;""),"")</f>
        <v/>
      </c>
      <c r="AH155" s="42">
        <f>IFERROR(TRIM(INDEX($A155:$AB155,MATCH(Lists!$J$6,$A$1:$AB$1,0))&amp;""),"")</f>
        <v/>
      </c>
    </row>
    <row r="156">
      <c r="AC156" s="41" t="n"/>
      <c r="AD156" s="42">
        <f>IFERROR(TRIM(INDEX($A156:$AB156,MATCH(Lists!$J$2,$A$1:$AB$1,0))&amp;""),"")</f>
        <v/>
      </c>
      <c r="AE156" s="42">
        <f>IFERROR(TRIM(INDEX($A156:$AB156,MATCH(Lists!$J$3,$A$1:$AB$1,0))&amp;""),"")</f>
        <v/>
      </c>
      <c r="AF156" s="42">
        <f>IFERROR(TRIM(INDEX($A156:$AB156,MATCH(Lists!$J$4,$A$1:$AB$1,0))&amp;""),"")</f>
        <v/>
      </c>
      <c r="AG156" s="42">
        <f>IFERROR(TRIM(INDEX($A156:$AB156,MATCH(Lists!$J$5,$A$1:$AB$1,0))&amp;""),"")</f>
        <v/>
      </c>
      <c r="AH156" s="42">
        <f>IFERROR(TRIM(INDEX($A156:$AB156,MATCH(Lists!$J$6,$A$1:$AB$1,0))&amp;""),"")</f>
        <v/>
      </c>
    </row>
    <row r="157">
      <c r="AC157" s="41" t="n"/>
      <c r="AD157" s="42">
        <f>IFERROR(TRIM(INDEX($A157:$AB157,MATCH(Lists!$J$2,$A$1:$AB$1,0))&amp;""),"")</f>
        <v/>
      </c>
      <c r="AE157" s="42">
        <f>IFERROR(TRIM(INDEX($A157:$AB157,MATCH(Lists!$J$3,$A$1:$AB$1,0))&amp;""),"")</f>
        <v/>
      </c>
      <c r="AF157" s="42">
        <f>IFERROR(TRIM(INDEX($A157:$AB157,MATCH(Lists!$J$4,$A$1:$AB$1,0))&amp;""),"")</f>
        <v/>
      </c>
      <c r="AG157" s="42">
        <f>IFERROR(TRIM(INDEX($A157:$AB157,MATCH(Lists!$J$5,$A$1:$AB$1,0))&amp;""),"")</f>
        <v/>
      </c>
      <c r="AH157" s="42">
        <f>IFERROR(TRIM(INDEX($A157:$AB157,MATCH(Lists!$J$6,$A$1:$AB$1,0))&amp;""),"")</f>
        <v/>
      </c>
    </row>
    <row r="158">
      <c r="AC158" s="41" t="n"/>
      <c r="AD158" s="42">
        <f>IFERROR(TRIM(INDEX($A158:$AB158,MATCH(Lists!$J$2,$A$1:$AB$1,0))&amp;""),"")</f>
        <v/>
      </c>
      <c r="AE158" s="42">
        <f>IFERROR(TRIM(INDEX($A158:$AB158,MATCH(Lists!$J$3,$A$1:$AB$1,0))&amp;""),"")</f>
        <v/>
      </c>
      <c r="AF158" s="42">
        <f>IFERROR(TRIM(INDEX($A158:$AB158,MATCH(Lists!$J$4,$A$1:$AB$1,0))&amp;""),"")</f>
        <v/>
      </c>
      <c r="AG158" s="42">
        <f>IFERROR(TRIM(INDEX($A158:$AB158,MATCH(Lists!$J$5,$A$1:$AB$1,0))&amp;""),"")</f>
        <v/>
      </c>
      <c r="AH158" s="42">
        <f>IFERROR(TRIM(INDEX($A158:$AB158,MATCH(Lists!$J$6,$A$1:$AB$1,0))&amp;""),"")</f>
        <v/>
      </c>
    </row>
    <row r="159">
      <c r="AC159" s="41" t="n"/>
      <c r="AD159" s="42">
        <f>IFERROR(TRIM(INDEX($A159:$AB159,MATCH(Lists!$J$2,$A$1:$AB$1,0))&amp;""),"")</f>
        <v/>
      </c>
      <c r="AE159" s="42">
        <f>IFERROR(TRIM(INDEX($A159:$AB159,MATCH(Lists!$J$3,$A$1:$AB$1,0))&amp;""),"")</f>
        <v/>
      </c>
      <c r="AF159" s="42">
        <f>IFERROR(TRIM(INDEX($A159:$AB159,MATCH(Lists!$J$4,$A$1:$AB$1,0))&amp;""),"")</f>
        <v/>
      </c>
      <c r="AG159" s="42">
        <f>IFERROR(TRIM(INDEX($A159:$AB159,MATCH(Lists!$J$5,$A$1:$AB$1,0))&amp;""),"")</f>
        <v/>
      </c>
      <c r="AH159" s="42">
        <f>IFERROR(TRIM(INDEX($A159:$AB159,MATCH(Lists!$J$6,$A$1:$AB$1,0))&amp;""),"")</f>
        <v/>
      </c>
    </row>
    <row r="160">
      <c r="AC160" s="41" t="n"/>
      <c r="AD160" s="42">
        <f>IFERROR(TRIM(INDEX($A160:$AB160,MATCH(Lists!$J$2,$A$1:$AB$1,0))&amp;""),"")</f>
        <v/>
      </c>
      <c r="AE160" s="42">
        <f>IFERROR(TRIM(INDEX($A160:$AB160,MATCH(Lists!$J$3,$A$1:$AB$1,0))&amp;""),"")</f>
        <v/>
      </c>
      <c r="AF160" s="42">
        <f>IFERROR(TRIM(INDEX($A160:$AB160,MATCH(Lists!$J$4,$A$1:$AB$1,0))&amp;""),"")</f>
        <v/>
      </c>
      <c r="AG160" s="42">
        <f>IFERROR(TRIM(INDEX($A160:$AB160,MATCH(Lists!$J$5,$A$1:$AB$1,0))&amp;""),"")</f>
        <v/>
      </c>
      <c r="AH160" s="42">
        <f>IFERROR(TRIM(INDEX($A160:$AB160,MATCH(Lists!$J$6,$A$1:$AB$1,0))&amp;""),"")</f>
        <v/>
      </c>
    </row>
    <row r="161">
      <c r="AC161" s="41" t="n"/>
      <c r="AD161" s="42">
        <f>IFERROR(TRIM(INDEX($A161:$AB161,MATCH(Lists!$J$2,$A$1:$AB$1,0))&amp;""),"")</f>
        <v/>
      </c>
      <c r="AE161" s="42">
        <f>IFERROR(TRIM(INDEX($A161:$AB161,MATCH(Lists!$J$3,$A$1:$AB$1,0))&amp;""),"")</f>
        <v/>
      </c>
      <c r="AF161" s="42">
        <f>IFERROR(TRIM(INDEX($A161:$AB161,MATCH(Lists!$J$4,$A$1:$AB$1,0))&amp;""),"")</f>
        <v/>
      </c>
      <c r="AG161" s="42">
        <f>IFERROR(TRIM(INDEX($A161:$AB161,MATCH(Lists!$J$5,$A$1:$AB$1,0))&amp;""),"")</f>
        <v/>
      </c>
      <c r="AH161" s="42">
        <f>IFERROR(TRIM(INDEX($A161:$AB161,MATCH(Lists!$J$6,$A$1:$AB$1,0))&amp;""),"")</f>
        <v/>
      </c>
    </row>
    <row r="162">
      <c r="AC162" s="41" t="n"/>
      <c r="AD162" s="42">
        <f>IFERROR(TRIM(INDEX($A162:$AB162,MATCH(Lists!$J$2,$A$1:$AB$1,0))&amp;""),"")</f>
        <v/>
      </c>
      <c r="AE162" s="42">
        <f>IFERROR(TRIM(INDEX($A162:$AB162,MATCH(Lists!$J$3,$A$1:$AB$1,0))&amp;""),"")</f>
        <v/>
      </c>
      <c r="AF162" s="42">
        <f>IFERROR(TRIM(INDEX($A162:$AB162,MATCH(Lists!$J$4,$A$1:$AB$1,0))&amp;""),"")</f>
        <v/>
      </c>
      <c r="AG162" s="42">
        <f>IFERROR(TRIM(INDEX($A162:$AB162,MATCH(Lists!$J$5,$A$1:$AB$1,0))&amp;""),"")</f>
        <v/>
      </c>
      <c r="AH162" s="42">
        <f>IFERROR(TRIM(INDEX($A162:$AB162,MATCH(Lists!$J$6,$A$1:$AB$1,0))&amp;""),"")</f>
        <v/>
      </c>
    </row>
    <row r="163">
      <c r="AC163" s="41" t="n"/>
      <c r="AD163" s="42">
        <f>IFERROR(TRIM(INDEX($A163:$AB163,MATCH(Lists!$J$2,$A$1:$AB$1,0))&amp;""),"")</f>
        <v/>
      </c>
      <c r="AE163" s="42">
        <f>IFERROR(TRIM(INDEX($A163:$AB163,MATCH(Lists!$J$3,$A$1:$AB$1,0))&amp;""),"")</f>
        <v/>
      </c>
      <c r="AF163" s="42">
        <f>IFERROR(TRIM(INDEX($A163:$AB163,MATCH(Lists!$J$4,$A$1:$AB$1,0))&amp;""),"")</f>
        <v/>
      </c>
      <c r="AG163" s="42">
        <f>IFERROR(TRIM(INDEX($A163:$AB163,MATCH(Lists!$J$5,$A$1:$AB$1,0))&amp;""),"")</f>
        <v/>
      </c>
      <c r="AH163" s="42">
        <f>IFERROR(TRIM(INDEX($A163:$AB163,MATCH(Lists!$J$6,$A$1:$AB$1,0))&amp;""),"")</f>
        <v/>
      </c>
    </row>
    <row r="164">
      <c r="AC164" s="41" t="n"/>
      <c r="AD164" s="42">
        <f>IFERROR(TRIM(INDEX($A164:$AB164,MATCH(Lists!$J$2,$A$1:$AB$1,0))&amp;""),"")</f>
        <v/>
      </c>
      <c r="AE164" s="42">
        <f>IFERROR(TRIM(INDEX($A164:$AB164,MATCH(Lists!$J$3,$A$1:$AB$1,0))&amp;""),"")</f>
        <v/>
      </c>
      <c r="AF164" s="42">
        <f>IFERROR(TRIM(INDEX($A164:$AB164,MATCH(Lists!$J$4,$A$1:$AB$1,0))&amp;""),"")</f>
        <v/>
      </c>
      <c r="AG164" s="42">
        <f>IFERROR(TRIM(INDEX($A164:$AB164,MATCH(Lists!$J$5,$A$1:$AB$1,0))&amp;""),"")</f>
        <v/>
      </c>
      <c r="AH164" s="42">
        <f>IFERROR(TRIM(INDEX($A164:$AB164,MATCH(Lists!$J$6,$A$1:$AB$1,0))&amp;""),"")</f>
        <v/>
      </c>
    </row>
    <row r="165">
      <c r="AC165" s="41" t="n"/>
      <c r="AD165" s="42">
        <f>IFERROR(TRIM(INDEX($A165:$AB165,MATCH(Lists!$J$2,$A$1:$AB$1,0))&amp;""),"")</f>
        <v/>
      </c>
      <c r="AE165" s="42">
        <f>IFERROR(TRIM(INDEX($A165:$AB165,MATCH(Lists!$J$3,$A$1:$AB$1,0))&amp;""),"")</f>
        <v/>
      </c>
      <c r="AF165" s="42">
        <f>IFERROR(TRIM(INDEX($A165:$AB165,MATCH(Lists!$J$4,$A$1:$AB$1,0))&amp;""),"")</f>
        <v/>
      </c>
      <c r="AG165" s="42">
        <f>IFERROR(TRIM(INDEX($A165:$AB165,MATCH(Lists!$J$5,$A$1:$AB$1,0))&amp;""),"")</f>
        <v/>
      </c>
      <c r="AH165" s="42">
        <f>IFERROR(TRIM(INDEX($A165:$AB165,MATCH(Lists!$J$6,$A$1:$AB$1,0))&amp;""),"")</f>
        <v/>
      </c>
    </row>
    <row r="166">
      <c r="AC166" s="41" t="n"/>
      <c r="AD166" s="42">
        <f>IFERROR(TRIM(INDEX($A166:$AB166,MATCH(Lists!$J$2,$A$1:$AB$1,0))&amp;""),"")</f>
        <v/>
      </c>
      <c r="AE166" s="42">
        <f>IFERROR(TRIM(INDEX($A166:$AB166,MATCH(Lists!$J$3,$A$1:$AB$1,0))&amp;""),"")</f>
        <v/>
      </c>
      <c r="AF166" s="42">
        <f>IFERROR(TRIM(INDEX($A166:$AB166,MATCH(Lists!$J$4,$A$1:$AB$1,0))&amp;""),"")</f>
        <v/>
      </c>
      <c r="AG166" s="42">
        <f>IFERROR(TRIM(INDEX($A166:$AB166,MATCH(Lists!$J$5,$A$1:$AB$1,0))&amp;""),"")</f>
        <v/>
      </c>
      <c r="AH166" s="42">
        <f>IFERROR(TRIM(INDEX($A166:$AB166,MATCH(Lists!$J$6,$A$1:$AB$1,0))&amp;""),"")</f>
        <v/>
      </c>
    </row>
    <row r="167">
      <c r="AC167" s="41" t="n"/>
      <c r="AD167" s="42">
        <f>IFERROR(TRIM(INDEX($A167:$AB167,MATCH(Lists!$J$2,$A$1:$AB$1,0))&amp;""),"")</f>
        <v/>
      </c>
      <c r="AE167" s="42">
        <f>IFERROR(TRIM(INDEX($A167:$AB167,MATCH(Lists!$J$3,$A$1:$AB$1,0))&amp;""),"")</f>
        <v/>
      </c>
      <c r="AF167" s="42">
        <f>IFERROR(TRIM(INDEX($A167:$AB167,MATCH(Lists!$J$4,$A$1:$AB$1,0))&amp;""),"")</f>
        <v/>
      </c>
      <c r="AG167" s="42">
        <f>IFERROR(TRIM(INDEX($A167:$AB167,MATCH(Lists!$J$5,$A$1:$AB$1,0))&amp;""),"")</f>
        <v/>
      </c>
      <c r="AH167" s="42">
        <f>IFERROR(TRIM(INDEX($A167:$AB167,MATCH(Lists!$J$6,$A$1:$AB$1,0))&amp;""),"")</f>
        <v/>
      </c>
    </row>
    <row r="168">
      <c r="AC168" s="41" t="n"/>
      <c r="AD168" s="42">
        <f>IFERROR(TRIM(INDEX($A168:$AB168,MATCH(Lists!$J$2,$A$1:$AB$1,0))&amp;""),"")</f>
        <v/>
      </c>
      <c r="AE168" s="42">
        <f>IFERROR(TRIM(INDEX($A168:$AB168,MATCH(Lists!$J$3,$A$1:$AB$1,0))&amp;""),"")</f>
        <v/>
      </c>
      <c r="AF168" s="42">
        <f>IFERROR(TRIM(INDEX($A168:$AB168,MATCH(Lists!$J$4,$A$1:$AB$1,0))&amp;""),"")</f>
        <v/>
      </c>
      <c r="AG168" s="42">
        <f>IFERROR(TRIM(INDEX($A168:$AB168,MATCH(Lists!$J$5,$A$1:$AB$1,0))&amp;""),"")</f>
        <v/>
      </c>
      <c r="AH168" s="42">
        <f>IFERROR(TRIM(INDEX($A168:$AB168,MATCH(Lists!$J$6,$A$1:$AB$1,0))&amp;""),"")</f>
        <v/>
      </c>
    </row>
    <row r="169">
      <c r="AC169" s="41" t="n"/>
      <c r="AD169" s="42">
        <f>IFERROR(TRIM(INDEX($A169:$AB169,MATCH(Lists!$J$2,$A$1:$AB$1,0))&amp;""),"")</f>
        <v/>
      </c>
      <c r="AE169" s="42">
        <f>IFERROR(TRIM(INDEX($A169:$AB169,MATCH(Lists!$J$3,$A$1:$AB$1,0))&amp;""),"")</f>
        <v/>
      </c>
      <c r="AF169" s="42">
        <f>IFERROR(TRIM(INDEX($A169:$AB169,MATCH(Lists!$J$4,$A$1:$AB$1,0))&amp;""),"")</f>
        <v/>
      </c>
      <c r="AG169" s="42">
        <f>IFERROR(TRIM(INDEX($A169:$AB169,MATCH(Lists!$J$5,$A$1:$AB$1,0))&amp;""),"")</f>
        <v/>
      </c>
      <c r="AH169" s="42">
        <f>IFERROR(TRIM(INDEX($A169:$AB169,MATCH(Lists!$J$6,$A$1:$AB$1,0))&amp;""),"")</f>
        <v/>
      </c>
    </row>
    <row r="170">
      <c r="AC170" s="41" t="n"/>
      <c r="AD170" s="42">
        <f>IFERROR(TRIM(INDEX($A170:$AB170,MATCH(Lists!$J$2,$A$1:$AB$1,0))&amp;""),"")</f>
        <v/>
      </c>
      <c r="AE170" s="42">
        <f>IFERROR(TRIM(INDEX($A170:$AB170,MATCH(Lists!$J$3,$A$1:$AB$1,0))&amp;""),"")</f>
        <v/>
      </c>
      <c r="AF170" s="42">
        <f>IFERROR(TRIM(INDEX($A170:$AB170,MATCH(Lists!$J$4,$A$1:$AB$1,0))&amp;""),"")</f>
        <v/>
      </c>
      <c r="AG170" s="42">
        <f>IFERROR(TRIM(INDEX($A170:$AB170,MATCH(Lists!$J$5,$A$1:$AB$1,0))&amp;""),"")</f>
        <v/>
      </c>
      <c r="AH170" s="42">
        <f>IFERROR(TRIM(INDEX($A170:$AB170,MATCH(Lists!$J$6,$A$1:$AB$1,0))&amp;""),"")</f>
        <v/>
      </c>
    </row>
    <row r="171">
      <c r="AC171" s="41" t="n"/>
      <c r="AD171" s="42">
        <f>IFERROR(TRIM(INDEX($A171:$AB171,MATCH(Lists!$J$2,$A$1:$AB$1,0))&amp;""),"")</f>
        <v/>
      </c>
      <c r="AE171" s="42">
        <f>IFERROR(TRIM(INDEX($A171:$AB171,MATCH(Lists!$J$3,$A$1:$AB$1,0))&amp;""),"")</f>
        <v/>
      </c>
      <c r="AF171" s="42">
        <f>IFERROR(TRIM(INDEX($A171:$AB171,MATCH(Lists!$J$4,$A$1:$AB$1,0))&amp;""),"")</f>
        <v/>
      </c>
      <c r="AG171" s="42">
        <f>IFERROR(TRIM(INDEX($A171:$AB171,MATCH(Lists!$J$5,$A$1:$AB$1,0))&amp;""),"")</f>
        <v/>
      </c>
      <c r="AH171" s="42">
        <f>IFERROR(TRIM(INDEX($A171:$AB171,MATCH(Lists!$J$6,$A$1:$AB$1,0))&amp;""),"")</f>
        <v/>
      </c>
    </row>
    <row r="172">
      <c r="AC172" s="41" t="n"/>
      <c r="AD172" s="42">
        <f>IFERROR(TRIM(INDEX($A172:$AB172,MATCH(Lists!$J$2,$A$1:$AB$1,0))&amp;""),"")</f>
        <v/>
      </c>
      <c r="AE172" s="42">
        <f>IFERROR(TRIM(INDEX($A172:$AB172,MATCH(Lists!$J$3,$A$1:$AB$1,0))&amp;""),"")</f>
        <v/>
      </c>
      <c r="AF172" s="42">
        <f>IFERROR(TRIM(INDEX($A172:$AB172,MATCH(Lists!$J$4,$A$1:$AB$1,0))&amp;""),"")</f>
        <v/>
      </c>
      <c r="AG172" s="42">
        <f>IFERROR(TRIM(INDEX($A172:$AB172,MATCH(Lists!$J$5,$A$1:$AB$1,0))&amp;""),"")</f>
        <v/>
      </c>
      <c r="AH172" s="42">
        <f>IFERROR(TRIM(INDEX($A172:$AB172,MATCH(Lists!$J$6,$A$1:$AB$1,0))&amp;""),"")</f>
        <v/>
      </c>
    </row>
    <row r="173">
      <c r="AC173" s="41" t="n"/>
      <c r="AD173" s="42">
        <f>IFERROR(TRIM(INDEX($A173:$AB173,MATCH(Lists!$J$2,$A$1:$AB$1,0))&amp;""),"")</f>
        <v/>
      </c>
      <c r="AE173" s="42">
        <f>IFERROR(TRIM(INDEX($A173:$AB173,MATCH(Lists!$J$3,$A$1:$AB$1,0))&amp;""),"")</f>
        <v/>
      </c>
      <c r="AF173" s="42">
        <f>IFERROR(TRIM(INDEX($A173:$AB173,MATCH(Lists!$J$4,$A$1:$AB$1,0))&amp;""),"")</f>
        <v/>
      </c>
      <c r="AG173" s="42">
        <f>IFERROR(TRIM(INDEX($A173:$AB173,MATCH(Lists!$J$5,$A$1:$AB$1,0))&amp;""),"")</f>
        <v/>
      </c>
      <c r="AH173" s="42">
        <f>IFERROR(TRIM(INDEX($A173:$AB173,MATCH(Lists!$J$6,$A$1:$AB$1,0))&amp;""),"")</f>
        <v/>
      </c>
    </row>
    <row r="174">
      <c r="AC174" s="41" t="n"/>
      <c r="AD174" s="42">
        <f>IFERROR(TRIM(INDEX($A174:$AB174,MATCH(Lists!$J$2,$A$1:$AB$1,0))&amp;""),"")</f>
        <v/>
      </c>
      <c r="AE174" s="42">
        <f>IFERROR(TRIM(INDEX($A174:$AB174,MATCH(Lists!$J$3,$A$1:$AB$1,0))&amp;""),"")</f>
        <v/>
      </c>
      <c r="AF174" s="42">
        <f>IFERROR(TRIM(INDEX($A174:$AB174,MATCH(Lists!$J$4,$A$1:$AB$1,0))&amp;""),"")</f>
        <v/>
      </c>
      <c r="AG174" s="42">
        <f>IFERROR(TRIM(INDEX($A174:$AB174,MATCH(Lists!$J$5,$A$1:$AB$1,0))&amp;""),"")</f>
        <v/>
      </c>
      <c r="AH174" s="42">
        <f>IFERROR(TRIM(INDEX($A174:$AB174,MATCH(Lists!$J$6,$A$1:$AB$1,0))&amp;""),"")</f>
        <v/>
      </c>
    </row>
    <row r="175">
      <c r="AC175" s="41" t="n"/>
      <c r="AD175" s="42">
        <f>IFERROR(TRIM(INDEX($A175:$AB175,MATCH(Lists!$J$2,$A$1:$AB$1,0))&amp;""),"")</f>
        <v/>
      </c>
      <c r="AE175" s="42">
        <f>IFERROR(TRIM(INDEX($A175:$AB175,MATCH(Lists!$J$3,$A$1:$AB$1,0))&amp;""),"")</f>
        <v/>
      </c>
      <c r="AF175" s="42">
        <f>IFERROR(TRIM(INDEX($A175:$AB175,MATCH(Lists!$J$4,$A$1:$AB$1,0))&amp;""),"")</f>
        <v/>
      </c>
      <c r="AG175" s="42">
        <f>IFERROR(TRIM(INDEX($A175:$AB175,MATCH(Lists!$J$5,$A$1:$AB$1,0))&amp;""),"")</f>
        <v/>
      </c>
      <c r="AH175" s="42">
        <f>IFERROR(TRIM(INDEX($A175:$AB175,MATCH(Lists!$J$6,$A$1:$AB$1,0))&amp;""),"")</f>
        <v/>
      </c>
    </row>
    <row r="176">
      <c r="AC176" s="41" t="n"/>
      <c r="AD176" s="42">
        <f>IFERROR(TRIM(INDEX($A176:$AB176,MATCH(Lists!$J$2,$A$1:$AB$1,0))&amp;""),"")</f>
        <v/>
      </c>
      <c r="AE176" s="42">
        <f>IFERROR(TRIM(INDEX($A176:$AB176,MATCH(Lists!$J$3,$A$1:$AB$1,0))&amp;""),"")</f>
        <v/>
      </c>
      <c r="AF176" s="42">
        <f>IFERROR(TRIM(INDEX($A176:$AB176,MATCH(Lists!$J$4,$A$1:$AB$1,0))&amp;""),"")</f>
        <v/>
      </c>
      <c r="AG176" s="42">
        <f>IFERROR(TRIM(INDEX($A176:$AB176,MATCH(Lists!$J$5,$A$1:$AB$1,0))&amp;""),"")</f>
        <v/>
      </c>
      <c r="AH176" s="42">
        <f>IFERROR(TRIM(INDEX($A176:$AB176,MATCH(Lists!$J$6,$A$1:$AB$1,0))&amp;""),"")</f>
        <v/>
      </c>
    </row>
    <row r="177">
      <c r="AC177" s="41" t="n"/>
      <c r="AD177" s="42">
        <f>IFERROR(TRIM(INDEX($A177:$AB177,MATCH(Lists!$J$2,$A$1:$AB$1,0))&amp;""),"")</f>
        <v/>
      </c>
      <c r="AE177" s="42">
        <f>IFERROR(TRIM(INDEX($A177:$AB177,MATCH(Lists!$J$3,$A$1:$AB$1,0))&amp;""),"")</f>
        <v/>
      </c>
      <c r="AF177" s="42">
        <f>IFERROR(TRIM(INDEX($A177:$AB177,MATCH(Lists!$J$4,$A$1:$AB$1,0))&amp;""),"")</f>
        <v/>
      </c>
      <c r="AG177" s="42">
        <f>IFERROR(TRIM(INDEX($A177:$AB177,MATCH(Lists!$J$5,$A$1:$AB$1,0))&amp;""),"")</f>
        <v/>
      </c>
      <c r="AH177" s="42">
        <f>IFERROR(TRIM(INDEX($A177:$AB177,MATCH(Lists!$J$6,$A$1:$AB$1,0))&amp;""),"")</f>
        <v/>
      </c>
    </row>
    <row r="178">
      <c r="AC178" s="41" t="n"/>
      <c r="AD178" s="42">
        <f>IFERROR(TRIM(INDEX($A178:$AB178,MATCH(Lists!$J$2,$A$1:$AB$1,0))&amp;""),"")</f>
        <v/>
      </c>
      <c r="AE178" s="42">
        <f>IFERROR(TRIM(INDEX($A178:$AB178,MATCH(Lists!$J$3,$A$1:$AB$1,0))&amp;""),"")</f>
        <v/>
      </c>
      <c r="AF178" s="42">
        <f>IFERROR(TRIM(INDEX($A178:$AB178,MATCH(Lists!$J$4,$A$1:$AB$1,0))&amp;""),"")</f>
        <v/>
      </c>
      <c r="AG178" s="42">
        <f>IFERROR(TRIM(INDEX($A178:$AB178,MATCH(Lists!$J$5,$A$1:$AB$1,0))&amp;""),"")</f>
        <v/>
      </c>
      <c r="AH178" s="42">
        <f>IFERROR(TRIM(INDEX($A178:$AB178,MATCH(Lists!$J$6,$A$1:$AB$1,0))&amp;""),"")</f>
        <v/>
      </c>
    </row>
    <row r="179">
      <c r="AC179" s="41" t="n"/>
      <c r="AD179" s="42">
        <f>IFERROR(TRIM(INDEX($A179:$AB179,MATCH(Lists!$J$2,$A$1:$AB$1,0))&amp;""),"")</f>
        <v/>
      </c>
      <c r="AE179" s="42">
        <f>IFERROR(TRIM(INDEX($A179:$AB179,MATCH(Lists!$J$3,$A$1:$AB$1,0))&amp;""),"")</f>
        <v/>
      </c>
      <c r="AF179" s="42">
        <f>IFERROR(TRIM(INDEX($A179:$AB179,MATCH(Lists!$J$4,$A$1:$AB$1,0))&amp;""),"")</f>
        <v/>
      </c>
      <c r="AG179" s="42">
        <f>IFERROR(TRIM(INDEX($A179:$AB179,MATCH(Lists!$J$5,$A$1:$AB$1,0))&amp;""),"")</f>
        <v/>
      </c>
      <c r="AH179" s="42">
        <f>IFERROR(TRIM(INDEX($A179:$AB179,MATCH(Lists!$J$6,$A$1:$AB$1,0))&amp;""),"")</f>
        <v/>
      </c>
    </row>
    <row r="180">
      <c r="AC180" s="41" t="n"/>
      <c r="AD180" s="42">
        <f>IFERROR(TRIM(INDEX($A180:$AB180,MATCH(Lists!$J$2,$A$1:$AB$1,0))&amp;""),"")</f>
        <v/>
      </c>
      <c r="AE180" s="42">
        <f>IFERROR(TRIM(INDEX($A180:$AB180,MATCH(Lists!$J$3,$A$1:$AB$1,0))&amp;""),"")</f>
        <v/>
      </c>
      <c r="AF180" s="42">
        <f>IFERROR(TRIM(INDEX($A180:$AB180,MATCH(Lists!$J$4,$A$1:$AB$1,0))&amp;""),"")</f>
        <v/>
      </c>
      <c r="AG180" s="42">
        <f>IFERROR(TRIM(INDEX($A180:$AB180,MATCH(Lists!$J$5,$A$1:$AB$1,0))&amp;""),"")</f>
        <v/>
      </c>
      <c r="AH180" s="42">
        <f>IFERROR(TRIM(INDEX($A180:$AB180,MATCH(Lists!$J$6,$A$1:$AB$1,0))&amp;""),"")</f>
        <v/>
      </c>
    </row>
    <row r="181">
      <c r="AC181" s="41" t="n"/>
      <c r="AD181" s="42">
        <f>IFERROR(TRIM(INDEX($A181:$AB181,MATCH(Lists!$J$2,$A$1:$AB$1,0))&amp;""),"")</f>
        <v/>
      </c>
      <c r="AE181" s="42">
        <f>IFERROR(TRIM(INDEX($A181:$AB181,MATCH(Lists!$J$3,$A$1:$AB$1,0))&amp;""),"")</f>
        <v/>
      </c>
      <c r="AF181" s="42">
        <f>IFERROR(TRIM(INDEX($A181:$AB181,MATCH(Lists!$J$4,$A$1:$AB$1,0))&amp;""),"")</f>
        <v/>
      </c>
      <c r="AG181" s="42">
        <f>IFERROR(TRIM(INDEX($A181:$AB181,MATCH(Lists!$J$5,$A$1:$AB$1,0))&amp;""),"")</f>
        <v/>
      </c>
      <c r="AH181" s="42">
        <f>IFERROR(TRIM(INDEX($A181:$AB181,MATCH(Lists!$J$6,$A$1:$AB$1,0))&amp;""),"")</f>
        <v/>
      </c>
    </row>
    <row r="182">
      <c r="AC182" s="41" t="n"/>
      <c r="AD182" s="42">
        <f>IFERROR(TRIM(INDEX($A182:$AB182,MATCH(Lists!$J$2,$A$1:$AB$1,0))&amp;""),"")</f>
        <v/>
      </c>
      <c r="AE182" s="42">
        <f>IFERROR(TRIM(INDEX($A182:$AB182,MATCH(Lists!$J$3,$A$1:$AB$1,0))&amp;""),"")</f>
        <v/>
      </c>
      <c r="AF182" s="42">
        <f>IFERROR(TRIM(INDEX($A182:$AB182,MATCH(Lists!$J$4,$A$1:$AB$1,0))&amp;""),"")</f>
        <v/>
      </c>
      <c r="AG182" s="42">
        <f>IFERROR(TRIM(INDEX($A182:$AB182,MATCH(Lists!$J$5,$A$1:$AB$1,0))&amp;""),"")</f>
        <v/>
      </c>
      <c r="AH182" s="42">
        <f>IFERROR(TRIM(INDEX($A182:$AB182,MATCH(Lists!$J$6,$A$1:$AB$1,0))&amp;""),"")</f>
        <v/>
      </c>
    </row>
    <row r="183">
      <c r="AC183" s="41" t="n"/>
      <c r="AD183" s="42">
        <f>IFERROR(TRIM(INDEX($A183:$AB183,MATCH(Lists!$J$2,$A$1:$AB$1,0))&amp;""),"")</f>
        <v/>
      </c>
      <c r="AE183" s="42">
        <f>IFERROR(TRIM(INDEX($A183:$AB183,MATCH(Lists!$J$3,$A$1:$AB$1,0))&amp;""),"")</f>
        <v/>
      </c>
      <c r="AF183" s="42">
        <f>IFERROR(TRIM(INDEX($A183:$AB183,MATCH(Lists!$J$4,$A$1:$AB$1,0))&amp;""),"")</f>
        <v/>
      </c>
      <c r="AG183" s="42">
        <f>IFERROR(TRIM(INDEX($A183:$AB183,MATCH(Lists!$J$5,$A$1:$AB$1,0))&amp;""),"")</f>
        <v/>
      </c>
      <c r="AH183" s="42">
        <f>IFERROR(TRIM(INDEX($A183:$AB183,MATCH(Lists!$J$6,$A$1:$AB$1,0))&amp;""),"")</f>
        <v/>
      </c>
    </row>
    <row r="184">
      <c r="AC184" s="41" t="n"/>
      <c r="AD184" s="42">
        <f>IFERROR(TRIM(INDEX($A184:$AB184,MATCH(Lists!$J$2,$A$1:$AB$1,0))&amp;""),"")</f>
        <v/>
      </c>
      <c r="AE184" s="42">
        <f>IFERROR(TRIM(INDEX($A184:$AB184,MATCH(Lists!$J$3,$A$1:$AB$1,0))&amp;""),"")</f>
        <v/>
      </c>
      <c r="AF184" s="42">
        <f>IFERROR(TRIM(INDEX($A184:$AB184,MATCH(Lists!$J$4,$A$1:$AB$1,0))&amp;""),"")</f>
        <v/>
      </c>
      <c r="AG184" s="42">
        <f>IFERROR(TRIM(INDEX($A184:$AB184,MATCH(Lists!$J$5,$A$1:$AB$1,0))&amp;""),"")</f>
        <v/>
      </c>
      <c r="AH184" s="42">
        <f>IFERROR(TRIM(INDEX($A184:$AB184,MATCH(Lists!$J$6,$A$1:$AB$1,0))&amp;""),"")</f>
        <v/>
      </c>
    </row>
    <row r="185">
      <c r="AC185" s="41" t="n"/>
      <c r="AD185" s="42">
        <f>IFERROR(TRIM(INDEX($A185:$AB185,MATCH(Lists!$J$2,$A$1:$AB$1,0))&amp;""),"")</f>
        <v/>
      </c>
      <c r="AE185" s="42">
        <f>IFERROR(TRIM(INDEX($A185:$AB185,MATCH(Lists!$J$3,$A$1:$AB$1,0))&amp;""),"")</f>
        <v/>
      </c>
      <c r="AF185" s="42">
        <f>IFERROR(TRIM(INDEX($A185:$AB185,MATCH(Lists!$J$4,$A$1:$AB$1,0))&amp;""),"")</f>
        <v/>
      </c>
      <c r="AG185" s="42">
        <f>IFERROR(TRIM(INDEX($A185:$AB185,MATCH(Lists!$J$5,$A$1:$AB$1,0))&amp;""),"")</f>
        <v/>
      </c>
      <c r="AH185" s="42">
        <f>IFERROR(TRIM(INDEX($A185:$AB185,MATCH(Lists!$J$6,$A$1:$AB$1,0))&amp;""),"")</f>
        <v/>
      </c>
    </row>
    <row r="186">
      <c r="AC186" s="41" t="n"/>
      <c r="AD186" s="42">
        <f>IFERROR(TRIM(INDEX($A186:$AB186,MATCH(Lists!$J$2,$A$1:$AB$1,0))&amp;""),"")</f>
        <v/>
      </c>
      <c r="AE186" s="42">
        <f>IFERROR(TRIM(INDEX($A186:$AB186,MATCH(Lists!$J$3,$A$1:$AB$1,0))&amp;""),"")</f>
        <v/>
      </c>
      <c r="AF186" s="42">
        <f>IFERROR(TRIM(INDEX($A186:$AB186,MATCH(Lists!$J$4,$A$1:$AB$1,0))&amp;""),"")</f>
        <v/>
      </c>
      <c r="AG186" s="42">
        <f>IFERROR(TRIM(INDEX($A186:$AB186,MATCH(Lists!$J$5,$A$1:$AB$1,0))&amp;""),"")</f>
        <v/>
      </c>
      <c r="AH186" s="42">
        <f>IFERROR(TRIM(INDEX($A186:$AB186,MATCH(Lists!$J$6,$A$1:$AB$1,0))&amp;""),"")</f>
        <v/>
      </c>
    </row>
    <row r="187">
      <c r="AC187" s="41" t="n"/>
      <c r="AD187" s="42">
        <f>IFERROR(TRIM(INDEX($A187:$AB187,MATCH(Lists!$J$2,$A$1:$AB$1,0))&amp;""),"")</f>
        <v/>
      </c>
      <c r="AE187" s="42">
        <f>IFERROR(TRIM(INDEX($A187:$AB187,MATCH(Lists!$J$3,$A$1:$AB$1,0))&amp;""),"")</f>
        <v/>
      </c>
      <c r="AF187" s="42">
        <f>IFERROR(TRIM(INDEX($A187:$AB187,MATCH(Lists!$J$4,$A$1:$AB$1,0))&amp;""),"")</f>
        <v/>
      </c>
      <c r="AG187" s="42">
        <f>IFERROR(TRIM(INDEX($A187:$AB187,MATCH(Lists!$J$5,$A$1:$AB$1,0))&amp;""),"")</f>
        <v/>
      </c>
      <c r="AH187" s="42">
        <f>IFERROR(TRIM(INDEX($A187:$AB187,MATCH(Lists!$J$6,$A$1:$AB$1,0))&amp;""),"")</f>
        <v/>
      </c>
    </row>
    <row r="188">
      <c r="AC188" s="41" t="n"/>
      <c r="AD188" s="42">
        <f>IFERROR(TRIM(INDEX($A188:$AB188,MATCH(Lists!$J$2,$A$1:$AB$1,0))&amp;""),"")</f>
        <v/>
      </c>
      <c r="AE188" s="42">
        <f>IFERROR(TRIM(INDEX($A188:$AB188,MATCH(Lists!$J$3,$A$1:$AB$1,0))&amp;""),"")</f>
        <v/>
      </c>
      <c r="AF188" s="42">
        <f>IFERROR(TRIM(INDEX($A188:$AB188,MATCH(Lists!$J$4,$A$1:$AB$1,0))&amp;""),"")</f>
        <v/>
      </c>
      <c r="AG188" s="42">
        <f>IFERROR(TRIM(INDEX($A188:$AB188,MATCH(Lists!$J$5,$A$1:$AB$1,0))&amp;""),"")</f>
        <v/>
      </c>
      <c r="AH188" s="42">
        <f>IFERROR(TRIM(INDEX($A188:$AB188,MATCH(Lists!$J$6,$A$1:$AB$1,0))&amp;""),"")</f>
        <v/>
      </c>
    </row>
    <row r="189">
      <c r="AC189" s="41" t="n"/>
      <c r="AD189" s="42">
        <f>IFERROR(TRIM(INDEX($A189:$AB189,MATCH(Lists!$J$2,$A$1:$AB$1,0))&amp;""),"")</f>
        <v/>
      </c>
      <c r="AE189" s="42">
        <f>IFERROR(TRIM(INDEX($A189:$AB189,MATCH(Lists!$J$3,$A$1:$AB$1,0))&amp;""),"")</f>
        <v/>
      </c>
      <c r="AF189" s="42">
        <f>IFERROR(TRIM(INDEX($A189:$AB189,MATCH(Lists!$J$4,$A$1:$AB$1,0))&amp;""),"")</f>
        <v/>
      </c>
      <c r="AG189" s="42">
        <f>IFERROR(TRIM(INDEX($A189:$AB189,MATCH(Lists!$J$5,$A$1:$AB$1,0))&amp;""),"")</f>
        <v/>
      </c>
      <c r="AH189" s="42">
        <f>IFERROR(TRIM(INDEX($A189:$AB189,MATCH(Lists!$J$6,$A$1:$AB$1,0))&amp;""),"")</f>
        <v/>
      </c>
    </row>
    <row r="190">
      <c r="AC190" s="41" t="n"/>
      <c r="AD190" s="42">
        <f>IFERROR(TRIM(INDEX($A190:$AB190,MATCH(Lists!$J$2,$A$1:$AB$1,0))&amp;""),"")</f>
        <v/>
      </c>
      <c r="AE190" s="42">
        <f>IFERROR(TRIM(INDEX($A190:$AB190,MATCH(Lists!$J$3,$A$1:$AB$1,0))&amp;""),"")</f>
        <v/>
      </c>
      <c r="AF190" s="42">
        <f>IFERROR(TRIM(INDEX($A190:$AB190,MATCH(Lists!$J$4,$A$1:$AB$1,0))&amp;""),"")</f>
        <v/>
      </c>
      <c r="AG190" s="42">
        <f>IFERROR(TRIM(INDEX($A190:$AB190,MATCH(Lists!$J$5,$A$1:$AB$1,0))&amp;""),"")</f>
        <v/>
      </c>
      <c r="AH190" s="42">
        <f>IFERROR(TRIM(INDEX($A190:$AB190,MATCH(Lists!$J$6,$A$1:$AB$1,0))&amp;""),"")</f>
        <v/>
      </c>
    </row>
    <row r="191">
      <c r="AC191" s="41" t="n"/>
      <c r="AD191" s="42">
        <f>IFERROR(TRIM(INDEX($A191:$AB191,MATCH(Lists!$J$2,$A$1:$AB$1,0))&amp;""),"")</f>
        <v/>
      </c>
      <c r="AE191" s="42">
        <f>IFERROR(TRIM(INDEX($A191:$AB191,MATCH(Lists!$J$3,$A$1:$AB$1,0))&amp;""),"")</f>
        <v/>
      </c>
      <c r="AF191" s="42">
        <f>IFERROR(TRIM(INDEX($A191:$AB191,MATCH(Lists!$J$4,$A$1:$AB$1,0))&amp;""),"")</f>
        <v/>
      </c>
      <c r="AG191" s="42">
        <f>IFERROR(TRIM(INDEX($A191:$AB191,MATCH(Lists!$J$5,$A$1:$AB$1,0))&amp;""),"")</f>
        <v/>
      </c>
      <c r="AH191" s="42">
        <f>IFERROR(TRIM(INDEX($A191:$AB191,MATCH(Lists!$J$6,$A$1:$AB$1,0))&amp;""),"")</f>
        <v/>
      </c>
    </row>
    <row r="192">
      <c r="AC192" s="41" t="n"/>
      <c r="AD192" s="42">
        <f>IFERROR(TRIM(INDEX($A192:$AB192,MATCH(Lists!$J$2,$A$1:$AB$1,0))&amp;""),"")</f>
        <v/>
      </c>
      <c r="AE192" s="42">
        <f>IFERROR(TRIM(INDEX($A192:$AB192,MATCH(Lists!$J$3,$A$1:$AB$1,0))&amp;""),"")</f>
        <v/>
      </c>
      <c r="AF192" s="42">
        <f>IFERROR(TRIM(INDEX($A192:$AB192,MATCH(Lists!$J$4,$A$1:$AB$1,0))&amp;""),"")</f>
        <v/>
      </c>
      <c r="AG192" s="42">
        <f>IFERROR(TRIM(INDEX($A192:$AB192,MATCH(Lists!$J$5,$A$1:$AB$1,0))&amp;""),"")</f>
        <v/>
      </c>
      <c r="AH192" s="42">
        <f>IFERROR(TRIM(INDEX($A192:$AB192,MATCH(Lists!$J$6,$A$1:$AB$1,0))&amp;""),"")</f>
        <v/>
      </c>
    </row>
    <row r="193">
      <c r="AC193" s="41" t="n"/>
      <c r="AD193" s="42">
        <f>IFERROR(TRIM(INDEX($A193:$AB193,MATCH(Lists!$J$2,$A$1:$AB$1,0))&amp;""),"")</f>
        <v/>
      </c>
      <c r="AE193" s="42">
        <f>IFERROR(TRIM(INDEX($A193:$AB193,MATCH(Lists!$J$3,$A$1:$AB$1,0))&amp;""),"")</f>
        <v/>
      </c>
      <c r="AF193" s="42">
        <f>IFERROR(TRIM(INDEX($A193:$AB193,MATCH(Lists!$J$4,$A$1:$AB$1,0))&amp;""),"")</f>
        <v/>
      </c>
      <c r="AG193" s="42">
        <f>IFERROR(TRIM(INDEX($A193:$AB193,MATCH(Lists!$J$5,$A$1:$AB$1,0))&amp;""),"")</f>
        <v/>
      </c>
      <c r="AH193" s="42">
        <f>IFERROR(TRIM(INDEX($A193:$AB193,MATCH(Lists!$J$6,$A$1:$AB$1,0))&amp;""),"")</f>
        <v/>
      </c>
    </row>
    <row r="194">
      <c r="AC194" s="41" t="n"/>
      <c r="AD194" s="42">
        <f>IFERROR(TRIM(INDEX($A194:$AB194,MATCH(Lists!$J$2,$A$1:$AB$1,0))&amp;""),"")</f>
        <v/>
      </c>
      <c r="AE194" s="42">
        <f>IFERROR(TRIM(INDEX($A194:$AB194,MATCH(Lists!$J$3,$A$1:$AB$1,0))&amp;""),"")</f>
        <v/>
      </c>
      <c r="AF194" s="42">
        <f>IFERROR(TRIM(INDEX($A194:$AB194,MATCH(Lists!$J$4,$A$1:$AB$1,0))&amp;""),"")</f>
        <v/>
      </c>
      <c r="AG194" s="42">
        <f>IFERROR(TRIM(INDEX($A194:$AB194,MATCH(Lists!$J$5,$A$1:$AB$1,0))&amp;""),"")</f>
        <v/>
      </c>
      <c r="AH194" s="42">
        <f>IFERROR(TRIM(INDEX($A194:$AB194,MATCH(Lists!$J$6,$A$1:$AB$1,0))&amp;""),"")</f>
        <v/>
      </c>
    </row>
    <row r="195">
      <c r="AC195" s="41" t="n"/>
      <c r="AD195" s="42">
        <f>IFERROR(TRIM(INDEX($A195:$AB195,MATCH(Lists!$J$2,$A$1:$AB$1,0))&amp;""),"")</f>
        <v/>
      </c>
      <c r="AE195" s="42">
        <f>IFERROR(TRIM(INDEX($A195:$AB195,MATCH(Lists!$J$3,$A$1:$AB$1,0))&amp;""),"")</f>
        <v/>
      </c>
      <c r="AF195" s="42">
        <f>IFERROR(TRIM(INDEX($A195:$AB195,MATCH(Lists!$J$4,$A$1:$AB$1,0))&amp;""),"")</f>
        <v/>
      </c>
      <c r="AG195" s="42">
        <f>IFERROR(TRIM(INDEX($A195:$AB195,MATCH(Lists!$J$5,$A$1:$AB$1,0))&amp;""),"")</f>
        <v/>
      </c>
      <c r="AH195" s="42">
        <f>IFERROR(TRIM(INDEX($A195:$AB195,MATCH(Lists!$J$6,$A$1:$AB$1,0))&amp;""),"")</f>
        <v/>
      </c>
    </row>
    <row r="196">
      <c r="AC196" s="41" t="n"/>
      <c r="AD196" s="42">
        <f>IFERROR(TRIM(INDEX($A196:$AB196,MATCH(Lists!$J$2,$A$1:$AB$1,0))&amp;""),"")</f>
        <v/>
      </c>
      <c r="AE196" s="42">
        <f>IFERROR(TRIM(INDEX($A196:$AB196,MATCH(Lists!$J$3,$A$1:$AB$1,0))&amp;""),"")</f>
        <v/>
      </c>
      <c r="AF196" s="42">
        <f>IFERROR(TRIM(INDEX($A196:$AB196,MATCH(Lists!$J$4,$A$1:$AB$1,0))&amp;""),"")</f>
        <v/>
      </c>
      <c r="AG196" s="42">
        <f>IFERROR(TRIM(INDEX($A196:$AB196,MATCH(Lists!$J$5,$A$1:$AB$1,0))&amp;""),"")</f>
        <v/>
      </c>
      <c r="AH196" s="42">
        <f>IFERROR(TRIM(INDEX($A196:$AB196,MATCH(Lists!$J$6,$A$1:$AB$1,0))&amp;""),"")</f>
        <v/>
      </c>
    </row>
    <row r="197">
      <c r="AC197" s="41" t="n"/>
      <c r="AD197" s="42">
        <f>IFERROR(TRIM(INDEX($A197:$AB197,MATCH(Lists!$J$2,$A$1:$AB$1,0))&amp;""),"")</f>
        <v/>
      </c>
      <c r="AE197" s="42">
        <f>IFERROR(TRIM(INDEX($A197:$AB197,MATCH(Lists!$J$3,$A$1:$AB$1,0))&amp;""),"")</f>
        <v/>
      </c>
      <c r="AF197" s="42">
        <f>IFERROR(TRIM(INDEX($A197:$AB197,MATCH(Lists!$J$4,$A$1:$AB$1,0))&amp;""),"")</f>
        <v/>
      </c>
      <c r="AG197" s="42">
        <f>IFERROR(TRIM(INDEX($A197:$AB197,MATCH(Lists!$J$5,$A$1:$AB$1,0))&amp;""),"")</f>
        <v/>
      </c>
      <c r="AH197" s="42">
        <f>IFERROR(TRIM(INDEX($A197:$AB197,MATCH(Lists!$J$6,$A$1:$AB$1,0))&amp;""),"")</f>
        <v/>
      </c>
    </row>
    <row r="198">
      <c r="AC198" s="41" t="n"/>
      <c r="AD198" s="42">
        <f>IFERROR(TRIM(INDEX($A198:$AB198,MATCH(Lists!$J$2,$A$1:$AB$1,0))&amp;""),"")</f>
        <v/>
      </c>
      <c r="AE198" s="42">
        <f>IFERROR(TRIM(INDEX($A198:$AB198,MATCH(Lists!$J$3,$A$1:$AB$1,0))&amp;""),"")</f>
        <v/>
      </c>
      <c r="AF198" s="42">
        <f>IFERROR(TRIM(INDEX($A198:$AB198,MATCH(Lists!$J$4,$A$1:$AB$1,0))&amp;""),"")</f>
        <v/>
      </c>
      <c r="AG198" s="42">
        <f>IFERROR(TRIM(INDEX($A198:$AB198,MATCH(Lists!$J$5,$A$1:$AB$1,0))&amp;""),"")</f>
        <v/>
      </c>
      <c r="AH198" s="42">
        <f>IFERROR(TRIM(INDEX($A198:$AB198,MATCH(Lists!$J$6,$A$1:$AB$1,0))&amp;""),"")</f>
        <v/>
      </c>
    </row>
    <row r="199">
      <c r="AC199" s="41" t="n"/>
      <c r="AD199" s="42">
        <f>IFERROR(TRIM(INDEX($A199:$AB199,MATCH(Lists!$J$2,$A$1:$AB$1,0))&amp;""),"")</f>
        <v/>
      </c>
      <c r="AE199" s="42">
        <f>IFERROR(TRIM(INDEX($A199:$AB199,MATCH(Lists!$J$3,$A$1:$AB$1,0))&amp;""),"")</f>
        <v/>
      </c>
      <c r="AF199" s="42">
        <f>IFERROR(TRIM(INDEX($A199:$AB199,MATCH(Lists!$J$4,$A$1:$AB$1,0))&amp;""),"")</f>
        <v/>
      </c>
      <c r="AG199" s="42">
        <f>IFERROR(TRIM(INDEX($A199:$AB199,MATCH(Lists!$J$5,$A$1:$AB$1,0))&amp;""),"")</f>
        <v/>
      </c>
      <c r="AH199" s="42">
        <f>IFERROR(TRIM(INDEX($A199:$AB199,MATCH(Lists!$J$6,$A$1:$AB$1,0))&amp;""),"")</f>
        <v/>
      </c>
    </row>
    <row r="200">
      <c r="AC200" s="41" t="n"/>
      <c r="AD200" s="42">
        <f>IFERROR(TRIM(INDEX($A200:$AB200,MATCH(Lists!$J$2,$A$1:$AB$1,0))&amp;""),"")</f>
        <v/>
      </c>
      <c r="AE200" s="42">
        <f>IFERROR(TRIM(INDEX($A200:$AB200,MATCH(Lists!$J$3,$A$1:$AB$1,0))&amp;""),"")</f>
        <v/>
      </c>
      <c r="AF200" s="42">
        <f>IFERROR(TRIM(INDEX($A200:$AB200,MATCH(Lists!$J$4,$A$1:$AB$1,0))&amp;""),"")</f>
        <v/>
      </c>
      <c r="AG200" s="42">
        <f>IFERROR(TRIM(INDEX($A200:$AB200,MATCH(Lists!$J$5,$A$1:$AB$1,0))&amp;""),"")</f>
        <v/>
      </c>
      <c r="AH200" s="42">
        <f>IFERROR(TRIM(INDEX($A200:$AB200,MATCH(Lists!$J$6,$A$1:$AB$1,0))&amp;""),"")</f>
        <v/>
      </c>
    </row>
    <row r="201">
      <c r="AC201" s="41" t="n"/>
      <c r="AD201" s="42">
        <f>IFERROR(TRIM(INDEX($A201:$AB201,MATCH(Lists!$J$2,$A$1:$AB$1,0))&amp;""),"")</f>
        <v/>
      </c>
      <c r="AE201" s="42">
        <f>IFERROR(TRIM(INDEX($A201:$AB201,MATCH(Lists!$J$3,$A$1:$AB$1,0))&amp;""),"")</f>
        <v/>
      </c>
      <c r="AF201" s="42">
        <f>IFERROR(TRIM(INDEX($A201:$AB201,MATCH(Lists!$J$4,$A$1:$AB$1,0))&amp;""),"")</f>
        <v/>
      </c>
      <c r="AG201" s="42">
        <f>IFERROR(TRIM(INDEX($A201:$AB201,MATCH(Lists!$J$5,$A$1:$AB$1,0))&amp;""),"")</f>
        <v/>
      </c>
      <c r="AH201" s="42">
        <f>IFERROR(TRIM(INDEX($A201:$AB201,MATCH(Lists!$J$6,$A$1:$AB$1,0))&amp;""),"")</f>
        <v/>
      </c>
    </row>
    <row r="202">
      <c r="AC202" s="41" t="n"/>
      <c r="AD202" s="42">
        <f>IFERROR(TRIM(INDEX($A202:$AB202,MATCH(Lists!$J$2,$A$1:$AB$1,0))&amp;""),"")</f>
        <v/>
      </c>
      <c r="AE202" s="42">
        <f>IFERROR(TRIM(INDEX($A202:$AB202,MATCH(Lists!$J$3,$A$1:$AB$1,0))&amp;""),"")</f>
        <v/>
      </c>
      <c r="AF202" s="42">
        <f>IFERROR(TRIM(INDEX($A202:$AB202,MATCH(Lists!$J$4,$A$1:$AB$1,0))&amp;""),"")</f>
        <v/>
      </c>
      <c r="AG202" s="42">
        <f>IFERROR(TRIM(INDEX($A202:$AB202,MATCH(Lists!$J$5,$A$1:$AB$1,0))&amp;""),"")</f>
        <v/>
      </c>
      <c r="AH202" s="42">
        <f>IFERROR(TRIM(INDEX($A202:$AB202,MATCH(Lists!$J$6,$A$1:$AB$1,0))&amp;""),"")</f>
        <v/>
      </c>
    </row>
    <row r="203">
      <c r="AC203" s="41" t="n"/>
      <c r="AD203" s="42">
        <f>IFERROR(TRIM(INDEX($A203:$AB203,MATCH(Lists!$J$2,$A$1:$AB$1,0))&amp;""),"")</f>
        <v/>
      </c>
      <c r="AE203" s="42">
        <f>IFERROR(TRIM(INDEX($A203:$AB203,MATCH(Lists!$J$3,$A$1:$AB$1,0))&amp;""),"")</f>
        <v/>
      </c>
      <c r="AF203" s="42">
        <f>IFERROR(TRIM(INDEX($A203:$AB203,MATCH(Lists!$J$4,$A$1:$AB$1,0))&amp;""),"")</f>
        <v/>
      </c>
      <c r="AG203" s="42">
        <f>IFERROR(TRIM(INDEX($A203:$AB203,MATCH(Lists!$J$5,$A$1:$AB$1,0))&amp;""),"")</f>
        <v/>
      </c>
      <c r="AH203" s="42">
        <f>IFERROR(TRIM(INDEX($A203:$AB203,MATCH(Lists!$J$6,$A$1:$AB$1,0))&amp;""),"")</f>
        <v/>
      </c>
    </row>
    <row r="204">
      <c r="AC204" s="41" t="n"/>
      <c r="AD204" s="42">
        <f>IFERROR(TRIM(INDEX($A204:$AB204,MATCH(Lists!$J$2,$A$1:$AB$1,0))&amp;""),"")</f>
        <v/>
      </c>
      <c r="AE204" s="42">
        <f>IFERROR(TRIM(INDEX($A204:$AB204,MATCH(Lists!$J$3,$A$1:$AB$1,0))&amp;""),"")</f>
        <v/>
      </c>
      <c r="AF204" s="42">
        <f>IFERROR(TRIM(INDEX($A204:$AB204,MATCH(Lists!$J$4,$A$1:$AB$1,0))&amp;""),"")</f>
        <v/>
      </c>
      <c r="AG204" s="42">
        <f>IFERROR(TRIM(INDEX($A204:$AB204,MATCH(Lists!$J$5,$A$1:$AB$1,0))&amp;""),"")</f>
        <v/>
      </c>
      <c r="AH204" s="42">
        <f>IFERROR(TRIM(INDEX($A204:$AB204,MATCH(Lists!$J$6,$A$1:$AB$1,0))&amp;""),"")</f>
        <v/>
      </c>
    </row>
    <row r="205">
      <c r="AC205" s="41" t="n"/>
      <c r="AD205" s="42">
        <f>IFERROR(TRIM(INDEX($A205:$AB205,MATCH(Lists!$J$2,$A$1:$AB$1,0))&amp;""),"")</f>
        <v/>
      </c>
      <c r="AE205" s="42">
        <f>IFERROR(TRIM(INDEX($A205:$AB205,MATCH(Lists!$J$3,$A$1:$AB$1,0))&amp;""),"")</f>
        <v/>
      </c>
      <c r="AF205" s="42">
        <f>IFERROR(TRIM(INDEX($A205:$AB205,MATCH(Lists!$J$4,$A$1:$AB$1,0))&amp;""),"")</f>
        <v/>
      </c>
      <c r="AG205" s="42">
        <f>IFERROR(TRIM(INDEX($A205:$AB205,MATCH(Lists!$J$5,$A$1:$AB$1,0))&amp;""),"")</f>
        <v/>
      </c>
      <c r="AH205" s="42">
        <f>IFERROR(TRIM(INDEX($A205:$AB205,MATCH(Lists!$J$6,$A$1:$AB$1,0))&amp;""),"")</f>
        <v/>
      </c>
    </row>
    <row r="206">
      <c r="AC206" s="41" t="n"/>
      <c r="AD206" s="42">
        <f>IFERROR(TRIM(INDEX($A206:$AB206,MATCH(Lists!$J$2,$A$1:$AB$1,0))&amp;""),"")</f>
        <v/>
      </c>
      <c r="AE206" s="42">
        <f>IFERROR(TRIM(INDEX($A206:$AB206,MATCH(Lists!$J$3,$A$1:$AB$1,0))&amp;""),"")</f>
        <v/>
      </c>
      <c r="AF206" s="42">
        <f>IFERROR(TRIM(INDEX($A206:$AB206,MATCH(Lists!$J$4,$A$1:$AB$1,0))&amp;""),"")</f>
        <v/>
      </c>
      <c r="AG206" s="42">
        <f>IFERROR(TRIM(INDEX($A206:$AB206,MATCH(Lists!$J$5,$A$1:$AB$1,0))&amp;""),"")</f>
        <v/>
      </c>
      <c r="AH206" s="42">
        <f>IFERROR(TRIM(INDEX($A206:$AB206,MATCH(Lists!$J$6,$A$1:$AB$1,0))&amp;""),"")</f>
        <v/>
      </c>
    </row>
    <row r="207">
      <c r="AC207" s="41" t="n"/>
      <c r="AD207" s="42">
        <f>IFERROR(TRIM(INDEX($A207:$AB207,MATCH(Lists!$J$2,$A$1:$AB$1,0))&amp;""),"")</f>
        <v/>
      </c>
      <c r="AE207" s="42">
        <f>IFERROR(TRIM(INDEX($A207:$AB207,MATCH(Lists!$J$3,$A$1:$AB$1,0))&amp;""),"")</f>
        <v/>
      </c>
      <c r="AF207" s="42">
        <f>IFERROR(TRIM(INDEX($A207:$AB207,MATCH(Lists!$J$4,$A$1:$AB$1,0))&amp;""),"")</f>
        <v/>
      </c>
      <c r="AG207" s="42">
        <f>IFERROR(TRIM(INDEX($A207:$AB207,MATCH(Lists!$J$5,$A$1:$AB$1,0))&amp;""),"")</f>
        <v/>
      </c>
      <c r="AH207" s="42">
        <f>IFERROR(TRIM(INDEX($A207:$AB207,MATCH(Lists!$J$6,$A$1:$AB$1,0))&amp;""),"")</f>
        <v/>
      </c>
    </row>
    <row r="208">
      <c r="AC208" s="41" t="n"/>
      <c r="AD208" s="42">
        <f>IFERROR(TRIM(INDEX($A208:$AB208,MATCH(Lists!$J$2,$A$1:$AB$1,0))&amp;""),"")</f>
        <v/>
      </c>
      <c r="AE208" s="42">
        <f>IFERROR(TRIM(INDEX($A208:$AB208,MATCH(Lists!$J$3,$A$1:$AB$1,0))&amp;""),"")</f>
        <v/>
      </c>
      <c r="AF208" s="42">
        <f>IFERROR(TRIM(INDEX($A208:$AB208,MATCH(Lists!$J$4,$A$1:$AB$1,0))&amp;""),"")</f>
        <v/>
      </c>
      <c r="AG208" s="42">
        <f>IFERROR(TRIM(INDEX($A208:$AB208,MATCH(Lists!$J$5,$A$1:$AB$1,0))&amp;""),"")</f>
        <v/>
      </c>
      <c r="AH208" s="42">
        <f>IFERROR(TRIM(INDEX($A208:$AB208,MATCH(Lists!$J$6,$A$1:$AB$1,0))&amp;""),"")</f>
        <v/>
      </c>
    </row>
    <row r="209">
      <c r="AC209" s="41" t="n"/>
      <c r="AD209" s="42">
        <f>IFERROR(TRIM(INDEX($A209:$AB209,MATCH(Lists!$J$2,$A$1:$AB$1,0))&amp;""),"")</f>
        <v/>
      </c>
      <c r="AE209" s="42">
        <f>IFERROR(TRIM(INDEX($A209:$AB209,MATCH(Lists!$J$3,$A$1:$AB$1,0))&amp;""),"")</f>
        <v/>
      </c>
      <c r="AF209" s="42">
        <f>IFERROR(TRIM(INDEX($A209:$AB209,MATCH(Lists!$J$4,$A$1:$AB$1,0))&amp;""),"")</f>
        <v/>
      </c>
      <c r="AG209" s="42">
        <f>IFERROR(TRIM(INDEX($A209:$AB209,MATCH(Lists!$J$5,$A$1:$AB$1,0))&amp;""),"")</f>
        <v/>
      </c>
      <c r="AH209" s="42">
        <f>IFERROR(TRIM(INDEX($A209:$AB209,MATCH(Lists!$J$6,$A$1:$AB$1,0))&amp;""),"")</f>
        <v/>
      </c>
    </row>
    <row r="210">
      <c r="AC210" s="41" t="n"/>
      <c r="AD210" s="42">
        <f>IFERROR(TRIM(INDEX($A210:$AB210,MATCH(Lists!$J$2,$A$1:$AB$1,0))&amp;""),"")</f>
        <v/>
      </c>
      <c r="AE210" s="42">
        <f>IFERROR(TRIM(INDEX($A210:$AB210,MATCH(Lists!$J$3,$A$1:$AB$1,0))&amp;""),"")</f>
        <v/>
      </c>
      <c r="AF210" s="42">
        <f>IFERROR(TRIM(INDEX($A210:$AB210,MATCH(Lists!$J$4,$A$1:$AB$1,0))&amp;""),"")</f>
        <v/>
      </c>
      <c r="AG210" s="42">
        <f>IFERROR(TRIM(INDEX($A210:$AB210,MATCH(Lists!$J$5,$A$1:$AB$1,0))&amp;""),"")</f>
        <v/>
      </c>
      <c r="AH210" s="42">
        <f>IFERROR(TRIM(INDEX($A210:$AB210,MATCH(Lists!$J$6,$A$1:$AB$1,0))&amp;""),"")</f>
        <v/>
      </c>
    </row>
    <row r="211">
      <c r="AC211" s="41" t="n"/>
      <c r="AD211" s="42">
        <f>IFERROR(TRIM(INDEX($A211:$AB211,MATCH(Lists!$J$2,$A$1:$AB$1,0))&amp;""),"")</f>
        <v/>
      </c>
      <c r="AE211" s="42">
        <f>IFERROR(TRIM(INDEX($A211:$AB211,MATCH(Lists!$J$3,$A$1:$AB$1,0))&amp;""),"")</f>
        <v/>
      </c>
      <c r="AF211" s="42">
        <f>IFERROR(TRIM(INDEX($A211:$AB211,MATCH(Lists!$J$4,$A$1:$AB$1,0))&amp;""),"")</f>
        <v/>
      </c>
      <c r="AG211" s="42">
        <f>IFERROR(TRIM(INDEX($A211:$AB211,MATCH(Lists!$J$5,$A$1:$AB$1,0))&amp;""),"")</f>
        <v/>
      </c>
      <c r="AH211" s="42">
        <f>IFERROR(TRIM(INDEX($A211:$AB211,MATCH(Lists!$J$6,$A$1:$AB$1,0))&amp;""),"")</f>
        <v/>
      </c>
    </row>
    <row r="212">
      <c r="AC212" s="41" t="n"/>
      <c r="AD212" s="42">
        <f>IFERROR(TRIM(INDEX($A212:$AB212,MATCH(Lists!$J$2,$A$1:$AB$1,0))&amp;""),"")</f>
        <v/>
      </c>
      <c r="AE212" s="42">
        <f>IFERROR(TRIM(INDEX($A212:$AB212,MATCH(Lists!$J$3,$A$1:$AB$1,0))&amp;""),"")</f>
        <v/>
      </c>
      <c r="AF212" s="42">
        <f>IFERROR(TRIM(INDEX($A212:$AB212,MATCH(Lists!$J$4,$A$1:$AB$1,0))&amp;""),"")</f>
        <v/>
      </c>
      <c r="AG212" s="42">
        <f>IFERROR(TRIM(INDEX($A212:$AB212,MATCH(Lists!$J$5,$A$1:$AB$1,0))&amp;""),"")</f>
        <v/>
      </c>
      <c r="AH212" s="42">
        <f>IFERROR(TRIM(INDEX($A212:$AB212,MATCH(Lists!$J$6,$A$1:$AB$1,0))&amp;""),"")</f>
        <v/>
      </c>
    </row>
    <row r="213">
      <c r="AC213" s="41" t="n"/>
      <c r="AD213" s="42">
        <f>IFERROR(TRIM(INDEX($A213:$AB213,MATCH(Lists!$J$2,$A$1:$AB$1,0))&amp;""),"")</f>
        <v/>
      </c>
      <c r="AE213" s="42">
        <f>IFERROR(TRIM(INDEX($A213:$AB213,MATCH(Lists!$J$3,$A$1:$AB$1,0))&amp;""),"")</f>
        <v/>
      </c>
      <c r="AF213" s="42">
        <f>IFERROR(TRIM(INDEX($A213:$AB213,MATCH(Lists!$J$4,$A$1:$AB$1,0))&amp;""),"")</f>
        <v/>
      </c>
      <c r="AG213" s="42">
        <f>IFERROR(TRIM(INDEX($A213:$AB213,MATCH(Lists!$J$5,$A$1:$AB$1,0))&amp;""),"")</f>
        <v/>
      </c>
      <c r="AH213" s="42">
        <f>IFERROR(TRIM(INDEX($A213:$AB213,MATCH(Lists!$J$6,$A$1:$AB$1,0))&amp;""),"")</f>
        <v/>
      </c>
    </row>
    <row r="214">
      <c r="AC214" s="41" t="n"/>
      <c r="AD214" s="42">
        <f>IFERROR(TRIM(INDEX($A214:$AB214,MATCH(Lists!$J$2,$A$1:$AB$1,0))&amp;""),"")</f>
        <v/>
      </c>
      <c r="AE214" s="42">
        <f>IFERROR(TRIM(INDEX($A214:$AB214,MATCH(Lists!$J$3,$A$1:$AB$1,0))&amp;""),"")</f>
        <v/>
      </c>
      <c r="AF214" s="42">
        <f>IFERROR(TRIM(INDEX($A214:$AB214,MATCH(Lists!$J$4,$A$1:$AB$1,0))&amp;""),"")</f>
        <v/>
      </c>
      <c r="AG214" s="42">
        <f>IFERROR(TRIM(INDEX($A214:$AB214,MATCH(Lists!$J$5,$A$1:$AB$1,0))&amp;""),"")</f>
        <v/>
      </c>
      <c r="AH214" s="42">
        <f>IFERROR(TRIM(INDEX($A214:$AB214,MATCH(Lists!$J$6,$A$1:$AB$1,0))&amp;""),"")</f>
        <v/>
      </c>
    </row>
    <row r="215">
      <c r="AC215" s="41" t="n"/>
      <c r="AD215" s="42">
        <f>IFERROR(TRIM(INDEX($A215:$AB215,MATCH(Lists!$J$2,$A$1:$AB$1,0))&amp;""),"")</f>
        <v/>
      </c>
      <c r="AE215" s="42">
        <f>IFERROR(TRIM(INDEX($A215:$AB215,MATCH(Lists!$J$3,$A$1:$AB$1,0))&amp;""),"")</f>
        <v/>
      </c>
      <c r="AF215" s="42">
        <f>IFERROR(TRIM(INDEX($A215:$AB215,MATCH(Lists!$J$4,$A$1:$AB$1,0))&amp;""),"")</f>
        <v/>
      </c>
      <c r="AG215" s="42">
        <f>IFERROR(TRIM(INDEX($A215:$AB215,MATCH(Lists!$J$5,$A$1:$AB$1,0))&amp;""),"")</f>
        <v/>
      </c>
      <c r="AH215" s="42">
        <f>IFERROR(TRIM(INDEX($A215:$AB215,MATCH(Lists!$J$6,$A$1:$AB$1,0))&amp;""),"")</f>
        <v/>
      </c>
    </row>
    <row r="216">
      <c r="AC216" s="41" t="n"/>
      <c r="AD216" s="42">
        <f>IFERROR(TRIM(INDEX($A216:$AB216,MATCH(Lists!$J$2,$A$1:$AB$1,0))&amp;""),"")</f>
        <v/>
      </c>
      <c r="AE216" s="42">
        <f>IFERROR(TRIM(INDEX($A216:$AB216,MATCH(Lists!$J$3,$A$1:$AB$1,0))&amp;""),"")</f>
        <v/>
      </c>
      <c r="AF216" s="42">
        <f>IFERROR(TRIM(INDEX($A216:$AB216,MATCH(Lists!$J$4,$A$1:$AB$1,0))&amp;""),"")</f>
        <v/>
      </c>
      <c r="AG216" s="42">
        <f>IFERROR(TRIM(INDEX($A216:$AB216,MATCH(Lists!$J$5,$A$1:$AB$1,0))&amp;""),"")</f>
        <v/>
      </c>
      <c r="AH216" s="42">
        <f>IFERROR(TRIM(INDEX($A216:$AB216,MATCH(Lists!$J$6,$A$1:$AB$1,0))&amp;""),"")</f>
        <v/>
      </c>
    </row>
    <row r="217">
      <c r="AC217" s="41" t="n"/>
      <c r="AD217" s="42">
        <f>IFERROR(TRIM(INDEX($A217:$AB217,MATCH(Lists!$J$2,$A$1:$AB$1,0))&amp;""),"")</f>
        <v/>
      </c>
      <c r="AE217" s="42">
        <f>IFERROR(TRIM(INDEX($A217:$AB217,MATCH(Lists!$J$3,$A$1:$AB$1,0))&amp;""),"")</f>
        <v/>
      </c>
      <c r="AF217" s="42">
        <f>IFERROR(TRIM(INDEX($A217:$AB217,MATCH(Lists!$J$4,$A$1:$AB$1,0))&amp;""),"")</f>
        <v/>
      </c>
      <c r="AG217" s="42">
        <f>IFERROR(TRIM(INDEX($A217:$AB217,MATCH(Lists!$J$5,$A$1:$AB$1,0))&amp;""),"")</f>
        <v/>
      </c>
      <c r="AH217" s="42">
        <f>IFERROR(TRIM(INDEX($A217:$AB217,MATCH(Lists!$J$6,$A$1:$AB$1,0))&amp;""),"")</f>
        <v/>
      </c>
    </row>
    <row r="218">
      <c r="AC218" s="41" t="n"/>
      <c r="AD218" s="42">
        <f>IFERROR(TRIM(INDEX($A218:$AB218,MATCH(Lists!$J$2,$A$1:$AB$1,0))&amp;""),"")</f>
        <v/>
      </c>
      <c r="AE218" s="42">
        <f>IFERROR(TRIM(INDEX($A218:$AB218,MATCH(Lists!$J$3,$A$1:$AB$1,0))&amp;""),"")</f>
        <v/>
      </c>
      <c r="AF218" s="42">
        <f>IFERROR(TRIM(INDEX($A218:$AB218,MATCH(Lists!$J$4,$A$1:$AB$1,0))&amp;""),"")</f>
        <v/>
      </c>
      <c r="AG218" s="42">
        <f>IFERROR(TRIM(INDEX($A218:$AB218,MATCH(Lists!$J$5,$A$1:$AB$1,0))&amp;""),"")</f>
        <v/>
      </c>
      <c r="AH218" s="42">
        <f>IFERROR(TRIM(INDEX($A218:$AB218,MATCH(Lists!$J$6,$A$1:$AB$1,0))&amp;""),"")</f>
        <v/>
      </c>
    </row>
    <row r="219">
      <c r="AC219" s="41" t="n"/>
      <c r="AD219" s="42">
        <f>IFERROR(TRIM(INDEX($A219:$AB219,MATCH(Lists!$J$2,$A$1:$AB$1,0))&amp;""),"")</f>
        <v/>
      </c>
      <c r="AE219" s="42">
        <f>IFERROR(TRIM(INDEX($A219:$AB219,MATCH(Lists!$J$3,$A$1:$AB$1,0))&amp;""),"")</f>
        <v/>
      </c>
      <c r="AF219" s="42">
        <f>IFERROR(TRIM(INDEX($A219:$AB219,MATCH(Lists!$J$4,$A$1:$AB$1,0))&amp;""),"")</f>
        <v/>
      </c>
      <c r="AG219" s="42">
        <f>IFERROR(TRIM(INDEX($A219:$AB219,MATCH(Lists!$J$5,$A$1:$AB$1,0))&amp;""),"")</f>
        <v/>
      </c>
      <c r="AH219" s="42">
        <f>IFERROR(TRIM(INDEX($A219:$AB219,MATCH(Lists!$J$6,$A$1:$AB$1,0))&amp;""),"")</f>
        <v/>
      </c>
    </row>
    <row r="220">
      <c r="AC220" s="41" t="n"/>
      <c r="AD220" s="42">
        <f>IFERROR(TRIM(INDEX($A220:$AB220,MATCH(Lists!$J$2,$A$1:$AB$1,0))&amp;""),"")</f>
        <v/>
      </c>
      <c r="AE220" s="42">
        <f>IFERROR(TRIM(INDEX($A220:$AB220,MATCH(Lists!$J$3,$A$1:$AB$1,0))&amp;""),"")</f>
        <v/>
      </c>
      <c r="AF220" s="42">
        <f>IFERROR(TRIM(INDEX($A220:$AB220,MATCH(Lists!$J$4,$A$1:$AB$1,0))&amp;""),"")</f>
        <v/>
      </c>
      <c r="AG220" s="42">
        <f>IFERROR(TRIM(INDEX($A220:$AB220,MATCH(Lists!$J$5,$A$1:$AB$1,0))&amp;""),"")</f>
        <v/>
      </c>
      <c r="AH220" s="42">
        <f>IFERROR(TRIM(INDEX($A220:$AB220,MATCH(Lists!$J$6,$A$1:$AB$1,0))&amp;""),"")</f>
        <v/>
      </c>
    </row>
    <row r="221">
      <c r="AC221" s="41" t="n"/>
      <c r="AD221" s="42">
        <f>IFERROR(TRIM(INDEX($A221:$AB221,MATCH(Lists!$J$2,$A$1:$AB$1,0))&amp;""),"")</f>
        <v/>
      </c>
      <c r="AE221" s="42">
        <f>IFERROR(TRIM(INDEX($A221:$AB221,MATCH(Lists!$J$3,$A$1:$AB$1,0))&amp;""),"")</f>
        <v/>
      </c>
      <c r="AF221" s="42">
        <f>IFERROR(TRIM(INDEX($A221:$AB221,MATCH(Lists!$J$4,$A$1:$AB$1,0))&amp;""),"")</f>
        <v/>
      </c>
      <c r="AG221" s="42">
        <f>IFERROR(TRIM(INDEX($A221:$AB221,MATCH(Lists!$J$5,$A$1:$AB$1,0))&amp;""),"")</f>
        <v/>
      </c>
      <c r="AH221" s="42">
        <f>IFERROR(TRIM(INDEX($A221:$AB221,MATCH(Lists!$J$6,$A$1:$AB$1,0))&amp;""),"")</f>
        <v/>
      </c>
    </row>
    <row r="222">
      <c r="AC222" s="41" t="n"/>
      <c r="AD222" s="42">
        <f>IFERROR(TRIM(INDEX($A222:$AB222,MATCH(Lists!$J$2,$A$1:$AB$1,0))&amp;""),"")</f>
        <v/>
      </c>
      <c r="AE222" s="42">
        <f>IFERROR(TRIM(INDEX($A222:$AB222,MATCH(Lists!$J$3,$A$1:$AB$1,0))&amp;""),"")</f>
        <v/>
      </c>
      <c r="AF222" s="42">
        <f>IFERROR(TRIM(INDEX($A222:$AB222,MATCH(Lists!$J$4,$A$1:$AB$1,0))&amp;""),"")</f>
        <v/>
      </c>
      <c r="AG222" s="42">
        <f>IFERROR(TRIM(INDEX($A222:$AB222,MATCH(Lists!$J$5,$A$1:$AB$1,0))&amp;""),"")</f>
        <v/>
      </c>
      <c r="AH222" s="42">
        <f>IFERROR(TRIM(INDEX($A222:$AB222,MATCH(Lists!$J$6,$A$1:$AB$1,0))&amp;""),"")</f>
        <v/>
      </c>
    </row>
    <row r="223">
      <c r="AC223" s="41" t="n"/>
      <c r="AD223" s="42">
        <f>IFERROR(TRIM(INDEX($A223:$AB223,MATCH(Lists!$J$2,$A$1:$AB$1,0))&amp;""),"")</f>
        <v/>
      </c>
      <c r="AE223" s="42">
        <f>IFERROR(TRIM(INDEX($A223:$AB223,MATCH(Lists!$J$3,$A$1:$AB$1,0))&amp;""),"")</f>
        <v/>
      </c>
      <c r="AF223" s="42">
        <f>IFERROR(TRIM(INDEX($A223:$AB223,MATCH(Lists!$J$4,$A$1:$AB$1,0))&amp;""),"")</f>
        <v/>
      </c>
      <c r="AG223" s="42">
        <f>IFERROR(TRIM(INDEX($A223:$AB223,MATCH(Lists!$J$5,$A$1:$AB$1,0))&amp;""),"")</f>
        <v/>
      </c>
      <c r="AH223" s="42">
        <f>IFERROR(TRIM(INDEX($A223:$AB223,MATCH(Lists!$J$6,$A$1:$AB$1,0))&amp;""),"")</f>
        <v/>
      </c>
    </row>
    <row r="224">
      <c r="AC224" s="41" t="n"/>
      <c r="AD224" s="42">
        <f>IFERROR(TRIM(INDEX($A224:$AB224,MATCH(Lists!$J$2,$A$1:$AB$1,0))&amp;""),"")</f>
        <v/>
      </c>
      <c r="AE224" s="42">
        <f>IFERROR(TRIM(INDEX($A224:$AB224,MATCH(Lists!$J$3,$A$1:$AB$1,0))&amp;""),"")</f>
        <v/>
      </c>
      <c r="AF224" s="42">
        <f>IFERROR(TRIM(INDEX($A224:$AB224,MATCH(Lists!$J$4,$A$1:$AB$1,0))&amp;""),"")</f>
        <v/>
      </c>
      <c r="AG224" s="42">
        <f>IFERROR(TRIM(INDEX($A224:$AB224,MATCH(Lists!$J$5,$A$1:$AB$1,0))&amp;""),"")</f>
        <v/>
      </c>
      <c r="AH224" s="42">
        <f>IFERROR(TRIM(INDEX($A224:$AB224,MATCH(Lists!$J$6,$A$1:$AB$1,0))&amp;""),"")</f>
        <v/>
      </c>
    </row>
    <row r="225">
      <c r="AC225" s="41" t="n"/>
      <c r="AD225" s="42">
        <f>IFERROR(TRIM(INDEX($A225:$AB225,MATCH(Lists!$J$2,$A$1:$AB$1,0))&amp;""),"")</f>
        <v/>
      </c>
      <c r="AE225" s="42">
        <f>IFERROR(TRIM(INDEX($A225:$AB225,MATCH(Lists!$J$3,$A$1:$AB$1,0))&amp;""),"")</f>
        <v/>
      </c>
      <c r="AF225" s="42">
        <f>IFERROR(TRIM(INDEX($A225:$AB225,MATCH(Lists!$J$4,$A$1:$AB$1,0))&amp;""),"")</f>
        <v/>
      </c>
      <c r="AG225" s="42">
        <f>IFERROR(TRIM(INDEX($A225:$AB225,MATCH(Lists!$J$5,$A$1:$AB$1,0))&amp;""),"")</f>
        <v/>
      </c>
      <c r="AH225" s="42">
        <f>IFERROR(TRIM(INDEX($A225:$AB225,MATCH(Lists!$J$6,$A$1:$AB$1,0))&amp;""),"")</f>
        <v/>
      </c>
    </row>
    <row r="226">
      <c r="AC226" s="41" t="n"/>
      <c r="AD226" s="42">
        <f>IFERROR(TRIM(INDEX($A226:$AB226,MATCH(Lists!$J$2,$A$1:$AB$1,0))&amp;""),"")</f>
        <v/>
      </c>
      <c r="AE226" s="42">
        <f>IFERROR(TRIM(INDEX($A226:$AB226,MATCH(Lists!$J$3,$A$1:$AB$1,0))&amp;""),"")</f>
        <v/>
      </c>
      <c r="AF226" s="42">
        <f>IFERROR(TRIM(INDEX($A226:$AB226,MATCH(Lists!$J$4,$A$1:$AB$1,0))&amp;""),"")</f>
        <v/>
      </c>
      <c r="AG226" s="42">
        <f>IFERROR(TRIM(INDEX($A226:$AB226,MATCH(Lists!$J$5,$A$1:$AB$1,0))&amp;""),"")</f>
        <v/>
      </c>
      <c r="AH226" s="42">
        <f>IFERROR(TRIM(INDEX($A226:$AB226,MATCH(Lists!$J$6,$A$1:$AB$1,0))&amp;""),"")</f>
        <v/>
      </c>
    </row>
    <row r="227">
      <c r="AC227" s="41" t="n"/>
      <c r="AD227" s="42">
        <f>IFERROR(TRIM(INDEX($A227:$AB227,MATCH(Lists!$J$2,$A$1:$AB$1,0))&amp;""),"")</f>
        <v/>
      </c>
      <c r="AE227" s="42">
        <f>IFERROR(TRIM(INDEX($A227:$AB227,MATCH(Lists!$J$3,$A$1:$AB$1,0))&amp;""),"")</f>
        <v/>
      </c>
      <c r="AF227" s="42">
        <f>IFERROR(TRIM(INDEX($A227:$AB227,MATCH(Lists!$J$4,$A$1:$AB$1,0))&amp;""),"")</f>
        <v/>
      </c>
      <c r="AG227" s="42">
        <f>IFERROR(TRIM(INDEX($A227:$AB227,MATCH(Lists!$J$5,$A$1:$AB$1,0))&amp;""),"")</f>
        <v/>
      </c>
      <c r="AH227" s="42">
        <f>IFERROR(TRIM(INDEX($A227:$AB227,MATCH(Lists!$J$6,$A$1:$AB$1,0))&amp;""),"")</f>
        <v/>
      </c>
    </row>
    <row r="228">
      <c r="AC228" s="41" t="n"/>
      <c r="AD228" s="42">
        <f>IFERROR(TRIM(INDEX($A228:$AB228,MATCH(Lists!$J$2,$A$1:$AB$1,0))&amp;""),"")</f>
        <v/>
      </c>
      <c r="AE228" s="42">
        <f>IFERROR(TRIM(INDEX($A228:$AB228,MATCH(Lists!$J$3,$A$1:$AB$1,0))&amp;""),"")</f>
        <v/>
      </c>
      <c r="AF228" s="42">
        <f>IFERROR(TRIM(INDEX($A228:$AB228,MATCH(Lists!$J$4,$A$1:$AB$1,0))&amp;""),"")</f>
        <v/>
      </c>
      <c r="AG228" s="42">
        <f>IFERROR(TRIM(INDEX($A228:$AB228,MATCH(Lists!$J$5,$A$1:$AB$1,0))&amp;""),"")</f>
        <v/>
      </c>
      <c r="AH228" s="42">
        <f>IFERROR(TRIM(INDEX($A228:$AB228,MATCH(Lists!$J$6,$A$1:$AB$1,0))&amp;""),"")</f>
        <v/>
      </c>
    </row>
    <row r="229">
      <c r="AC229" s="41" t="n"/>
      <c r="AD229" s="42">
        <f>IFERROR(TRIM(INDEX($A229:$AB229,MATCH(Lists!$J$2,$A$1:$AB$1,0))&amp;""),"")</f>
        <v/>
      </c>
      <c r="AE229" s="42">
        <f>IFERROR(TRIM(INDEX($A229:$AB229,MATCH(Lists!$J$3,$A$1:$AB$1,0))&amp;""),"")</f>
        <v/>
      </c>
      <c r="AF229" s="42">
        <f>IFERROR(TRIM(INDEX($A229:$AB229,MATCH(Lists!$J$4,$A$1:$AB$1,0))&amp;""),"")</f>
        <v/>
      </c>
      <c r="AG229" s="42">
        <f>IFERROR(TRIM(INDEX($A229:$AB229,MATCH(Lists!$J$5,$A$1:$AB$1,0))&amp;""),"")</f>
        <v/>
      </c>
      <c r="AH229" s="42">
        <f>IFERROR(TRIM(INDEX($A229:$AB229,MATCH(Lists!$J$6,$A$1:$AB$1,0))&amp;""),"")</f>
        <v/>
      </c>
    </row>
    <row r="230">
      <c r="AC230" s="41" t="n"/>
      <c r="AD230" s="42">
        <f>IFERROR(TRIM(INDEX($A230:$AB230,MATCH(Lists!$J$2,$A$1:$AB$1,0))&amp;""),"")</f>
        <v/>
      </c>
      <c r="AE230" s="42">
        <f>IFERROR(TRIM(INDEX($A230:$AB230,MATCH(Lists!$J$3,$A$1:$AB$1,0))&amp;""),"")</f>
        <v/>
      </c>
      <c r="AF230" s="42">
        <f>IFERROR(TRIM(INDEX($A230:$AB230,MATCH(Lists!$J$4,$A$1:$AB$1,0))&amp;""),"")</f>
        <v/>
      </c>
      <c r="AG230" s="42">
        <f>IFERROR(TRIM(INDEX($A230:$AB230,MATCH(Lists!$J$5,$A$1:$AB$1,0))&amp;""),"")</f>
        <v/>
      </c>
      <c r="AH230" s="42">
        <f>IFERROR(TRIM(INDEX($A230:$AB230,MATCH(Lists!$J$6,$A$1:$AB$1,0))&amp;""),"")</f>
        <v/>
      </c>
    </row>
    <row r="231">
      <c r="AC231" s="41" t="n"/>
      <c r="AD231" s="42">
        <f>IFERROR(TRIM(INDEX($A231:$AB231,MATCH(Lists!$J$2,$A$1:$AB$1,0))&amp;""),"")</f>
        <v/>
      </c>
      <c r="AE231" s="42">
        <f>IFERROR(TRIM(INDEX($A231:$AB231,MATCH(Lists!$J$3,$A$1:$AB$1,0))&amp;""),"")</f>
        <v/>
      </c>
      <c r="AF231" s="42">
        <f>IFERROR(TRIM(INDEX($A231:$AB231,MATCH(Lists!$J$4,$A$1:$AB$1,0))&amp;""),"")</f>
        <v/>
      </c>
      <c r="AG231" s="42">
        <f>IFERROR(TRIM(INDEX($A231:$AB231,MATCH(Lists!$J$5,$A$1:$AB$1,0))&amp;""),"")</f>
        <v/>
      </c>
      <c r="AH231" s="42">
        <f>IFERROR(TRIM(INDEX($A231:$AB231,MATCH(Lists!$J$6,$A$1:$AB$1,0))&amp;""),"")</f>
        <v/>
      </c>
    </row>
    <row r="232">
      <c r="AC232" s="41" t="n"/>
      <c r="AD232" s="42">
        <f>IFERROR(TRIM(INDEX($A232:$AB232,MATCH(Lists!$J$2,$A$1:$AB$1,0))&amp;""),"")</f>
        <v/>
      </c>
      <c r="AE232" s="42">
        <f>IFERROR(TRIM(INDEX($A232:$AB232,MATCH(Lists!$J$3,$A$1:$AB$1,0))&amp;""),"")</f>
        <v/>
      </c>
      <c r="AF232" s="42">
        <f>IFERROR(TRIM(INDEX($A232:$AB232,MATCH(Lists!$J$4,$A$1:$AB$1,0))&amp;""),"")</f>
        <v/>
      </c>
      <c r="AG232" s="42">
        <f>IFERROR(TRIM(INDEX($A232:$AB232,MATCH(Lists!$J$5,$A$1:$AB$1,0))&amp;""),"")</f>
        <v/>
      </c>
      <c r="AH232" s="42">
        <f>IFERROR(TRIM(INDEX($A232:$AB232,MATCH(Lists!$J$6,$A$1:$AB$1,0))&amp;""),"")</f>
        <v/>
      </c>
    </row>
    <row r="233">
      <c r="AC233" s="41" t="n"/>
      <c r="AD233" s="42">
        <f>IFERROR(TRIM(INDEX($A233:$AB233,MATCH(Lists!$J$2,$A$1:$AB$1,0))&amp;""),"")</f>
        <v/>
      </c>
      <c r="AE233" s="42">
        <f>IFERROR(TRIM(INDEX($A233:$AB233,MATCH(Lists!$J$3,$A$1:$AB$1,0))&amp;""),"")</f>
        <v/>
      </c>
      <c r="AF233" s="42">
        <f>IFERROR(TRIM(INDEX($A233:$AB233,MATCH(Lists!$J$4,$A$1:$AB$1,0))&amp;""),"")</f>
        <v/>
      </c>
      <c r="AG233" s="42">
        <f>IFERROR(TRIM(INDEX($A233:$AB233,MATCH(Lists!$J$5,$A$1:$AB$1,0))&amp;""),"")</f>
        <v/>
      </c>
      <c r="AH233" s="42">
        <f>IFERROR(TRIM(INDEX($A233:$AB233,MATCH(Lists!$J$6,$A$1:$AB$1,0))&amp;""),"")</f>
        <v/>
      </c>
    </row>
    <row r="234">
      <c r="AC234" s="41" t="n"/>
      <c r="AD234" s="42">
        <f>IFERROR(TRIM(INDEX($A234:$AB234,MATCH(Lists!$J$2,$A$1:$AB$1,0))&amp;""),"")</f>
        <v/>
      </c>
      <c r="AE234" s="42">
        <f>IFERROR(TRIM(INDEX($A234:$AB234,MATCH(Lists!$J$3,$A$1:$AB$1,0))&amp;""),"")</f>
        <v/>
      </c>
      <c r="AF234" s="42">
        <f>IFERROR(TRIM(INDEX($A234:$AB234,MATCH(Lists!$J$4,$A$1:$AB$1,0))&amp;""),"")</f>
        <v/>
      </c>
      <c r="AG234" s="42">
        <f>IFERROR(TRIM(INDEX($A234:$AB234,MATCH(Lists!$J$5,$A$1:$AB$1,0))&amp;""),"")</f>
        <v/>
      </c>
      <c r="AH234" s="42">
        <f>IFERROR(TRIM(INDEX($A234:$AB234,MATCH(Lists!$J$6,$A$1:$AB$1,0))&amp;""),"")</f>
        <v/>
      </c>
    </row>
    <row r="235">
      <c r="AC235" s="41" t="n"/>
      <c r="AD235" s="42">
        <f>IFERROR(TRIM(INDEX($A235:$AB235,MATCH(Lists!$J$2,$A$1:$AB$1,0))&amp;""),"")</f>
        <v/>
      </c>
      <c r="AE235" s="42">
        <f>IFERROR(TRIM(INDEX($A235:$AB235,MATCH(Lists!$J$3,$A$1:$AB$1,0))&amp;""),"")</f>
        <v/>
      </c>
      <c r="AF235" s="42">
        <f>IFERROR(TRIM(INDEX($A235:$AB235,MATCH(Lists!$J$4,$A$1:$AB$1,0))&amp;""),"")</f>
        <v/>
      </c>
      <c r="AG235" s="42">
        <f>IFERROR(TRIM(INDEX($A235:$AB235,MATCH(Lists!$J$5,$A$1:$AB$1,0))&amp;""),"")</f>
        <v/>
      </c>
      <c r="AH235" s="42">
        <f>IFERROR(TRIM(INDEX($A235:$AB235,MATCH(Lists!$J$6,$A$1:$AB$1,0))&amp;""),"")</f>
        <v/>
      </c>
    </row>
    <row r="236">
      <c r="AC236" s="41" t="n"/>
      <c r="AD236" s="42">
        <f>IFERROR(TRIM(INDEX($A236:$AB236,MATCH(Lists!$J$2,$A$1:$AB$1,0))&amp;""),"")</f>
        <v/>
      </c>
      <c r="AE236" s="42">
        <f>IFERROR(TRIM(INDEX($A236:$AB236,MATCH(Lists!$J$3,$A$1:$AB$1,0))&amp;""),"")</f>
        <v/>
      </c>
      <c r="AF236" s="42">
        <f>IFERROR(TRIM(INDEX($A236:$AB236,MATCH(Lists!$J$4,$A$1:$AB$1,0))&amp;""),"")</f>
        <v/>
      </c>
      <c r="AG236" s="42">
        <f>IFERROR(TRIM(INDEX($A236:$AB236,MATCH(Lists!$J$5,$A$1:$AB$1,0))&amp;""),"")</f>
        <v/>
      </c>
      <c r="AH236" s="42">
        <f>IFERROR(TRIM(INDEX($A236:$AB236,MATCH(Lists!$J$6,$A$1:$AB$1,0))&amp;""),"")</f>
        <v/>
      </c>
    </row>
    <row r="237">
      <c r="AC237" s="41" t="n"/>
      <c r="AD237" s="42">
        <f>IFERROR(TRIM(INDEX($A237:$AB237,MATCH(Lists!$J$2,$A$1:$AB$1,0))&amp;""),"")</f>
        <v/>
      </c>
      <c r="AE237" s="42">
        <f>IFERROR(TRIM(INDEX($A237:$AB237,MATCH(Lists!$J$3,$A$1:$AB$1,0))&amp;""),"")</f>
        <v/>
      </c>
      <c r="AF237" s="42">
        <f>IFERROR(TRIM(INDEX($A237:$AB237,MATCH(Lists!$J$4,$A$1:$AB$1,0))&amp;""),"")</f>
        <v/>
      </c>
      <c r="AG237" s="42">
        <f>IFERROR(TRIM(INDEX($A237:$AB237,MATCH(Lists!$J$5,$A$1:$AB$1,0))&amp;""),"")</f>
        <v/>
      </c>
      <c r="AH237" s="42">
        <f>IFERROR(TRIM(INDEX($A237:$AB237,MATCH(Lists!$J$6,$A$1:$AB$1,0))&amp;""),"")</f>
        <v/>
      </c>
    </row>
    <row r="238">
      <c r="AC238" s="41" t="n"/>
      <c r="AD238" s="42">
        <f>IFERROR(TRIM(INDEX($A238:$AB238,MATCH(Lists!$J$2,$A$1:$AB$1,0))&amp;""),"")</f>
        <v/>
      </c>
      <c r="AE238" s="42">
        <f>IFERROR(TRIM(INDEX($A238:$AB238,MATCH(Lists!$J$3,$A$1:$AB$1,0))&amp;""),"")</f>
        <v/>
      </c>
      <c r="AF238" s="42">
        <f>IFERROR(TRIM(INDEX($A238:$AB238,MATCH(Lists!$J$4,$A$1:$AB$1,0))&amp;""),"")</f>
        <v/>
      </c>
      <c r="AG238" s="42">
        <f>IFERROR(TRIM(INDEX($A238:$AB238,MATCH(Lists!$J$5,$A$1:$AB$1,0))&amp;""),"")</f>
        <v/>
      </c>
      <c r="AH238" s="42">
        <f>IFERROR(TRIM(INDEX($A238:$AB238,MATCH(Lists!$J$6,$A$1:$AB$1,0))&amp;""),"")</f>
        <v/>
      </c>
    </row>
    <row r="239">
      <c r="AC239" s="41" t="n"/>
      <c r="AD239" s="42">
        <f>IFERROR(TRIM(INDEX($A239:$AB239,MATCH(Lists!$J$2,$A$1:$AB$1,0))&amp;""),"")</f>
        <v/>
      </c>
      <c r="AE239" s="42">
        <f>IFERROR(TRIM(INDEX($A239:$AB239,MATCH(Lists!$J$3,$A$1:$AB$1,0))&amp;""),"")</f>
        <v/>
      </c>
      <c r="AF239" s="42">
        <f>IFERROR(TRIM(INDEX($A239:$AB239,MATCH(Lists!$J$4,$A$1:$AB$1,0))&amp;""),"")</f>
        <v/>
      </c>
      <c r="AG239" s="42">
        <f>IFERROR(TRIM(INDEX($A239:$AB239,MATCH(Lists!$J$5,$A$1:$AB$1,0))&amp;""),"")</f>
        <v/>
      </c>
      <c r="AH239" s="42">
        <f>IFERROR(TRIM(INDEX($A239:$AB239,MATCH(Lists!$J$6,$A$1:$AB$1,0))&amp;""),"")</f>
        <v/>
      </c>
    </row>
    <row r="240">
      <c r="AC240" s="41" t="n"/>
      <c r="AD240" s="42">
        <f>IFERROR(TRIM(INDEX($A240:$AB240,MATCH(Lists!$J$2,$A$1:$AB$1,0))&amp;""),"")</f>
        <v/>
      </c>
      <c r="AE240" s="42">
        <f>IFERROR(TRIM(INDEX($A240:$AB240,MATCH(Lists!$J$3,$A$1:$AB$1,0))&amp;""),"")</f>
        <v/>
      </c>
      <c r="AF240" s="42">
        <f>IFERROR(TRIM(INDEX($A240:$AB240,MATCH(Lists!$J$4,$A$1:$AB$1,0))&amp;""),"")</f>
        <v/>
      </c>
      <c r="AG240" s="42">
        <f>IFERROR(TRIM(INDEX($A240:$AB240,MATCH(Lists!$J$5,$A$1:$AB$1,0))&amp;""),"")</f>
        <v/>
      </c>
      <c r="AH240" s="42">
        <f>IFERROR(TRIM(INDEX($A240:$AB240,MATCH(Lists!$J$6,$A$1:$AB$1,0))&amp;""),"")</f>
        <v/>
      </c>
    </row>
    <row r="241">
      <c r="AC241" s="41" t="n"/>
      <c r="AD241" s="42">
        <f>IFERROR(TRIM(INDEX($A241:$AB241,MATCH(Lists!$J$2,$A$1:$AB$1,0))&amp;""),"")</f>
        <v/>
      </c>
      <c r="AE241" s="42">
        <f>IFERROR(TRIM(INDEX($A241:$AB241,MATCH(Lists!$J$3,$A$1:$AB$1,0))&amp;""),"")</f>
        <v/>
      </c>
      <c r="AF241" s="42">
        <f>IFERROR(TRIM(INDEX($A241:$AB241,MATCH(Lists!$J$4,$A$1:$AB$1,0))&amp;""),"")</f>
        <v/>
      </c>
      <c r="AG241" s="42">
        <f>IFERROR(TRIM(INDEX($A241:$AB241,MATCH(Lists!$J$5,$A$1:$AB$1,0))&amp;""),"")</f>
        <v/>
      </c>
      <c r="AH241" s="42">
        <f>IFERROR(TRIM(INDEX($A241:$AB241,MATCH(Lists!$J$6,$A$1:$AB$1,0))&amp;""),"")</f>
        <v/>
      </c>
    </row>
    <row r="242">
      <c r="AC242" s="41" t="n"/>
      <c r="AD242" s="42">
        <f>IFERROR(TRIM(INDEX($A242:$AB242,MATCH(Lists!$J$2,$A$1:$AB$1,0))&amp;""),"")</f>
        <v/>
      </c>
      <c r="AE242" s="42">
        <f>IFERROR(TRIM(INDEX($A242:$AB242,MATCH(Lists!$J$3,$A$1:$AB$1,0))&amp;""),"")</f>
        <v/>
      </c>
      <c r="AF242" s="42">
        <f>IFERROR(TRIM(INDEX($A242:$AB242,MATCH(Lists!$J$4,$A$1:$AB$1,0))&amp;""),"")</f>
        <v/>
      </c>
      <c r="AG242" s="42">
        <f>IFERROR(TRIM(INDEX($A242:$AB242,MATCH(Lists!$J$5,$A$1:$AB$1,0))&amp;""),"")</f>
        <v/>
      </c>
      <c r="AH242" s="42">
        <f>IFERROR(TRIM(INDEX($A242:$AB242,MATCH(Lists!$J$6,$A$1:$AB$1,0))&amp;""),"")</f>
        <v/>
      </c>
    </row>
    <row r="243">
      <c r="AC243" s="41" t="n"/>
      <c r="AD243" s="42">
        <f>IFERROR(TRIM(INDEX($A243:$AB243,MATCH(Lists!$J$2,$A$1:$AB$1,0))&amp;""),"")</f>
        <v/>
      </c>
      <c r="AE243" s="42">
        <f>IFERROR(TRIM(INDEX($A243:$AB243,MATCH(Lists!$J$3,$A$1:$AB$1,0))&amp;""),"")</f>
        <v/>
      </c>
      <c r="AF243" s="42">
        <f>IFERROR(TRIM(INDEX($A243:$AB243,MATCH(Lists!$J$4,$A$1:$AB$1,0))&amp;""),"")</f>
        <v/>
      </c>
      <c r="AG243" s="42">
        <f>IFERROR(TRIM(INDEX($A243:$AB243,MATCH(Lists!$J$5,$A$1:$AB$1,0))&amp;""),"")</f>
        <v/>
      </c>
      <c r="AH243" s="42">
        <f>IFERROR(TRIM(INDEX($A243:$AB243,MATCH(Lists!$J$6,$A$1:$AB$1,0))&amp;""),"")</f>
        <v/>
      </c>
    </row>
    <row r="244">
      <c r="AC244" s="41" t="n"/>
      <c r="AD244" s="42">
        <f>IFERROR(TRIM(INDEX($A244:$AB244,MATCH(Lists!$J$2,$A$1:$AB$1,0))&amp;""),"")</f>
        <v/>
      </c>
      <c r="AE244" s="42">
        <f>IFERROR(TRIM(INDEX($A244:$AB244,MATCH(Lists!$J$3,$A$1:$AB$1,0))&amp;""),"")</f>
        <v/>
      </c>
      <c r="AF244" s="42">
        <f>IFERROR(TRIM(INDEX($A244:$AB244,MATCH(Lists!$J$4,$A$1:$AB$1,0))&amp;""),"")</f>
        <v/>
      </c>
      <c r="AG244" s="42">
        <f>IFERROR(TRIM(INDEX($A244:$AB244,MATCH(Lists!$J$5,$A$1:$AB$1,0))&amp;""),"")</f>
        <v/>
      </c>
      <c r="AH244" s="42">
        <f>IFERROR(TRIM(INDEX($A244:$AB244,MATCH(Lists!$J$6,$A$1:$AB$1,0))&amp;""),"")</f>
        <v/>
      </c>
    </row>
    <row r="245">
      <c r="AC245" s="41" t="n"/>
      <c r="AD245" s="42">
        <f>IFERROR(TRIM(INDEX($A245:$AB245,MATCH(Lists!$J$2,$A$1:$AB$1,0))&amp;""),"")</f>
        <v/>
      </c>
      <c r="AE245" s="42">
        <f>IFERROR(TRIM(INDEX($A245:$AB245,MATCH(Lists!$J$3,$A$1:$AB$1,0))&amp;""),"")</f>
        <v/>
      </c>
      <c r="AF245" s="42">
        <f>IFERROR(TRIM(INDEX($A245:$AB245,MATCH(Lists!$J$4,$A$1:$AB$1,0))&amp;""),"")</f>
        <v/>
      </c>
      <c r="AG245" s="42">
        <f>IFERROR(TRIM(INDEX($A245:$AB245,MATCH(Lists!$J$5,$A$1:$AB$1,0))&amp;""),"")</f>
        <v/>
      </c>
      <c r="AH245" s="42">
        <f>IFERROR(TRIM(INDEX($A245:$AB245,MATCH(Lists!$J$6,$A$1:$AB$1,0))&amp;""),"")</f>
        <v/>
      </c>
    </row>
    <row r="246">
      <c r="AC246" s="41" t="n"/>
      <c r="AD246" s="42">
        <f>IFERROR(TRIM(INDEX($A246:$AB246,MATCH(Lists!$J$2,$A$1:$AB$1,0))&amp;""),"")</f>
        <v/>
      </c>
      <c r="AE246" s="42">
        <f>IFERROR(TRIM(INDEX($A246:$AB246,MATCH(Lists!$J$3,$A$1:$AB$1,0))&amp;""),"")</f>
        <v/>
      </c>
      <c r="AF246" s="42">
        <f>IFERROR(TRIM(INDEX($A246:$AB246,MATCH(Lists!$J$4,$A$1:$AB$1,0))&amp;""),"")</f>
        <v/>
      </c>
      <c r="AG246" s="42">
        <f>IFERROR(TRIM(INDEX($A246:$AB246,MATCH(Lists!$J$5,$A$1:$AB$1,0))&amp;""),"")</f>
        <v/>
      </c>
      <c r="AH246" s="42">
        <f>IFERROR(TRIM(INDEX($A246:$AB246,MATCH(Lists!$J$6,$A$1:$AB$1,0))&amp;""),"")</f>
        <v/>
      </c>
    </row>
    <row r="247">
      <c r="AC247" s="41" t="n"/>
      <c r="AD247" s="42">
        <f>IFERROR(TRIM(INDEX($A247:$AB247,MATCH(Lists!$J$2,$A$1:$AB$1,0))&amp;""),"")</f>
        <v/>
      </c>
      <c r="AE247" s="42">
        <f>IFERROR(TRIM(INDEX($A247:$AB247,MATCH(Lists!$J$3,$A$1:$AB$1,0))&amp;""),"")</f>
        <v/>
      </c>
      <c r="AF247" s="42">
        <f>IFERROR(TRIM(INDEX($A247:$AB247,MATCH(Lists!$J$4,$A$1:$AB$1,0))&amp;""),"")</f>
        <v/>
      </c>
      <c r="AG247" s="42">
        <f>IFERROR(TRIM(INDEX($A247:$AB247,MATCH(Lists!$J$5,$A$1:$AB$1,0))&amp;""),"")</f>
        <v/>
      </c>
      <c r="AH247" s="42">
        <f>IFERROR(TRIM(INDEX($A247:$AB247,MATCH(Lists!$J$6,$A$1:$AB$1,0))&amp;""),"")</f>
        <v/>
      </c>
    </row>
    <row r="248">
      <c r="AC248" s="41" t="n"/>
      <c r="AD248" s="42">
        <f>IFERROR(TRIM(INDEX($A248:$AB248,MATCH(Lists!$J$2,$A$1:$AB$1,0))&amp;""),"")</f>
        <v/>
      </c>
      <c r="AE248" s="42">
        <f>IFERROR(TRIM(INDEX($A248:$AB248,MATCH(Lists!$J$3,$A$1:$AB$1,0))&amp;""),"")</f>
        <v/>
      </c>
      <c r="AF248" s="42">
        <f>IFERROR(TRIM(INDEX($A248:$AB248,MATCH(Lists!$J$4,$A$1:$AB$1,0))&amp;""),"")</f>
        <v/>
      </c>
      <c r="AG248" s="42">
        <f>IFERROR(TRIM(INDEX($A248:$AB248,MATCH(Lists!$J$5,$A$1:$AB$1,0))&amp;""),"")</f>
        <v/>
      </c>
      <c r="AH248" s="42">
        <f>IFERROR(TRIM(INDEX($A248:$AB248,MATCH(Lists!$J$6,$A$1:$AB$1,0))&amp;""),"")</f>
        <v/>
      </c>
    </row>
    <row r="249">
      <c r="AC249" s="41" t="n"/>
      <c r="AD249" s="42">
        <f>IFERROR(TRIM(INDEX($A249:$AB249,MATCH(Lists!$J$2,$A$1:$AB$1,0))&amp;""),"")</f>
        <v/>
      </c>
      <c r="AE249" s="42">
        <f>IFERROR(TRIM(INDEX($A249:$AB249,MATCH(Lists!$J$3,$A$1:$AB$1,0))&amp;""),"")</f>
        <v/>
      </c>
      <c r="AF249" s="42">
        <f>IFERROR(TRIM(INDEX($A249:$AB249,MATCH(Lists!$J$4,$A$1:$AB$1,0))&amp;""),"")</f>
        <v/>
      </c>
      <c r="AG249" s="42">
        <f>IFERROR(TRIM(INDEX($A249:$AB249,MATCH(Lists!$J$5,$A$1:$AB$1,0))&amp;""),"")</f>
        <v/>
      </c>
      <c r="AH249" s="42">
        <f>IFERROR(TRIM(INDEX($A249:$AB249,MATCH(Lists!$J$6,$A$1:$AB$1,0))&amp;""),"")</f>
        <v/>
      </c>
    </row>
    <row r="250">
      <c r="AC250" s="41" t="n"/>
      <c r="AD250" s="42">
        <f>IFERROR(TRIM(INDEX($A250:$AB250,MATCH(Lists!$J$2,$A$1:$AB$1,0))&amp;""),"")</f>
        <v/>
      </c>
      <c r="AE250" s="42">
        <f>IFERROR(TRIM(INDEX($A250:$AB250,MATCH(Lists!$J$3,$A$1:$AB$1,0))&amp;""),"")</f>
        <v/>
      </c>
      <c r="AF250" s="42">
        <f>IFERROR(TRIM(INDEX($A250:$AB250,MATCH(Lists!$J$4,$A$1:$AB$1,0))&amp;""),"")</f>
        <v/>
      </c>
      <c r="AG250" s="42">
        <f>IFERROR(TRIM(INDEX($A250:$AB250,MATCH(Lists!$J$5,$A$1:$AB$1,0))&amp;""),"")</f>
        <v/>
      </c>
      <c r="AH250" s="42">
        <f>IFERROR(TRIM(INDEX($A250:$AB250,MATCH(Lists!$J$6,$A$1:$AB$1,0))&amp;""),"")</f>
        <v/>
      </c>
    </row>
    <row r="251">
      <c r="AC251" s="41" t="n"/>
      <c r="AD251" s="42">
        <f>IFERROR(TRIM(INDEX($A251:$AB251,MATCH(Lists!$J$2,$A$1:$AB$1,0))&amp;""),"")</f>
        <v/>
      </c>
      <c r="AE251" s="42">
        <f>IFERROR(TRIM(INDEX($A251:$AB251,MATCH(Lists!$J$3,$A$1:$AB$1,0))&amp;""),"")</f>
        <v/>
      </c>
      <c r="AF251" s="42">
        <f>IFERROR(TRIM(INDEX($A251:$AB251,MATCH(Lists!$J$4,$A$1:$AB$1,0))&amp;""),"")</f>
        <v/>
      </c>
      <c r="AG251" s="42">
        <f>IFERROR(TRIM(INDEX($A251:$AB251,MATCH(Lists!$J$5,$A$1:$AB$1,0))&amp;""),"")</f>
        <v/>
      </c>
      <c r="AH251" s="42">
        <f>IFERROR(TRIM(INDEX($A251:$AB251,MATCH(Lists!$J$6,$A$1:$AB$1,0))&amp;""),"")</f>
        <v/>
      </c>
    </row>
    <row r="252">
      <c r="AC252" s="41" t="n"/>
      <c r="AD252" s="42">
        <f>IFERROR(TRIM(INDEX($A252:$AB252,MATCH(Lists!$J$2,$A$1:$AB$1,0))&amp;""),"")</f>
        <v/>
      </c>
      <c r="AE252" s="42">
        <f>IFERROR(TRIM(INDEX($A252:$AB252,MATCH(Lists!$J$3,$A$1:$AB$1,0))&amp;""),"")</f>
        <v/>
      </c>
      <c r="AF252" s="42">
        <f>IFERROR(TRIM(INDEX($A252:$AB252,MATCH(Lists!$J$4,$A$1:$AB$1,0))&amp;""),"")</f>
        <v/>
      </c>
      <c r="AG252" s="42">
        <f>IFERROR(TRIM(INDEX($A252:$AB252,MATCH(Lists!$J$5,$A$1:$AB$1,0))&amp;""),"")</f>
        <v/>
      </c>
      <c r="AH252" s="42">
        <f>IFERROR(TRIM(INDEX($A252:$AB252,MATCH(Lists!$J$6,$A$1:$AB$1,0))&amp;""),"")</f>
        <v/>
      </c>
    </row>
    <row r="253">
      <c r="AC253" s="41" t="n"/>
      <c r="AD253" s="42">
        <f>IFERROR(TRIM(INDEX($A253:$AB253,MATCH(Lists!$J$2,$A$1:$AB$1,0))&amp;""),"")</f>
        <v/>
      </c>
      <c r="AE253" s="42">
        <f>IFERROR(TRIM(INDEX($A253:$AB253,MATCH(Lists!$J$3,$A$1:$AB$1,0))&amp;""),"")</f>
        <v/>
      </c>
      <c r="AF253" s="42">
        <f>IFERROR(TRIM(INDEX($A253:$AB253,MATCH(Lists!$J$4,$A$1:$AB$1,0))&amp;""),"")</f>
        <v/>
      </c>
      <c r="AG253" s="42">
        <f>IFERROR(TRIM(INDEX($A253:$AB253,MATCH(Lists!$J$5,$A$1:$AB$1,0))&amp;""),"")</f>
        <v/>
      </c>
      <c r="AH253" s="42">
        <f>IFERROR(TRIM(INDEX($A253:$AB253,MATCH(Lists!$J$6,$A$1:$AB$1,0))&amp;""),"")</f>
        <v/>
      </c>
    </row>
    <row r="254">
      <c r="AC254" s="41" t="n"/>
      <c r="AD254" s="42">
        <f>IFERROR(TRIM(INDEX($A254:$AB254,MATCH(Lists!$J$2,$A$1:$AB$1,0))&amp;""),"")</f>
        <v/>
      </c>
      <c r="AE254" s="42">
        <f>IFERROR(TRIM(INDEX($A254:$AB254,MATCH(Lists!$J$3,$A$1:$AB$1,0))&amp;""),"")</f>
        <v/>
      </c>
      <c r="AF254" s="42">
        <f>IFERROR(TRIM(INDEX($A254:$AB254,MATCH(Lists!$J$4,$A$1:$AB$1,0))&amp;""),"")</f>
        <v/>
      </c>
      <c r="AG254" s="42">
        <f>IFERROR(TRIM(INDEX($A254:$AB254,MATCH(Lists!$J$5,$A$1:$AB$1,0))&amp;""),"")</f>
        <v/>
      </c>
      <c r="AH254" s="42">
        <f>IFERROR(TRIM(INDEX($A254:$AB254,MATCH(Lists!$J$6,$A$1:$AB$1,0))&amp;""),"")</f>
        <v/>
      </c>
    </row>
    <row r="255">
      <c r="AC255" s="41" t="n"/>
      <c r="AD255" s="42">
        <f>IFERROR(TRIM(INDEX($A255:$AB255,MATCH(Lists!$J$2,$A$1:$AB$1,0))&amp;""),"")</f>
        <v/>
      </c>
      <c r="AE255" s="42">
        <f>IFERROR(TRIM(INDEX($A255:$AB255,MATCH(Lists!$J$3,$A$1:$AB$1,0))&amp;""),"")</f>
        <v/>
      </c>
      <c r="AF255" s="42">
        <f>IFERROR(TRIM(INDEX($A255:$AB255,MATCH(Lists!$J$4,$A$1:$AB$1,0))&amp;""),"")</f>
        <v/>
      </c>
      <c r="AG255" s="42">
        <f>IFERROR(TRIM(INDEX($A255:$AB255,MATCH(Lists!$J$5,$A$1:$AB$1,0))&amp;""),"")</f>
        <v/>
      </c>
      <c r="AH255" s="42">
        <f>IFERROR(TRIM(INDEX($A255:$AB255,MATCH(Lists!$J$6,$A$1:$AB$1,0))&amp;""),"")</f>
        <v/>
      </c>
    </row>
    <row r="256">
      <c r="AC256" s="41" t="n"/>
      <c r="AD256" s="42">
        <f>IFERROR(TRIM(INDEX($A256:$AB256,MATCH(Lists!$J$2,$A$1:$AB$1,0))&amp;""),"")</f>
        <v/>
      </c>
      <c r="AE256" s="42">
        <f>IFERROR(TRIM(INDEX($A256:$AB256,MATCH(Lists!$J$3,$A$1:$AB$1,0))&amp;""),"")</f>
        <v/>
      </c>
      <c r="AF256" s="42">
        <f>IFERROR(TRIM(INDEX($A256:$AB256,MATCH(Lists!$J$4,$A$1:$AB$1,0))&amp;""),"")</f>
        <v/>
      </c>
      <c r="AG256" s="42">
        <f>IFERROR(TRIM(INDEX($A256:$AB256,MATCH(Lists!$J$5,$A$1:$AB$1,0))&amp;""),"")</f>
        <v/>
      </c>
      <c r="AH256" s="42">
        <f>IFERROR(TRIM(INDEX($A256:$AB256,MATCH(Lists!$J$6,$A$1:$AB$1,0))&amp;""),"")</f>
        <v/>
      </c>
    </row>
    <row r="257">
      <c r="AC257" s="41" t="n"/>
      <c r="AD257" s="42">
        <f>IFERROR(TRIM(INDEX($A257:$AB257,MATCH(Lists!$J$2,$A$1:$AB$1,0))&amp;""),"")</f>
        <v/>
      </c>
      <c r="AE257" s="42">
        <f>IFERROR(TRIM(INDEX($A257:$AB257,MATCH(Lists!$J$3,$A$1:$AB$1,0))&amp;""),"")</f>
        <v/>
      </c>
      <c r="AF257" s="42">
        <f>IFERROR(TRIM(INDEX($A257:$AB257,MATCH(Lists!$J$4,$A$1:$AB$1,0))&amp;""),"")</f>
        <v/>
      </c>
      <c r="AG257" s="42">
        <f>IFERROR(TRIM(INDEX($A257:$AB257,MATCH(Lists!$J$5,$A$1:$AB$1,0))&amp;""),"")</f>
        <v/>
      </c>
      <c r="AH257" s="42">
        <f>IFERROR(TRIM(INDEX($A257:$AB257,MATCH(Lists!$J$6,$A$1:$AB$1,0))&amp;""),"")</f>
        <v/>
      </c>
    </row>
    <row r="258">
      <c r="AC258" s="41" t="n"/>
      <c r="AD258" s="42">
        <f>IFERROR(TRIM(INDEX($A258:$AB258,MATCH(Lists!$J$2,$A$1:$AB$1,0))&amp;""),"")</f>
        <v/>
      </c>
      <c r="AE258" s="42">
        <f>IFERROR(TRIM(INDEX($A258:$AB258,MATCH(Lists!$J$3,$A$1:$AB$1,0))&amp;""),"")</f>
        <v/>
      </c>
      <c r="AF258" s="42">
        <f>IFERROR(TRIM(INDEX($A258:$AB258,MATCH(Lists!$J$4,$A$1:$AB$1,0))&amp;""),"")</f>
        <v/>
      </c>
      <c r="AG258" s="42">
        <f>IFERROR(TRIM(INDEX($A258:$AB258,MATCH(Lists!$J$5,$A$1:$AB$1,0))&amp;""),"")</f>
        <v/>
      </c>
      <c r="AH258" s="42">
        <f>IFERROR(TRIM(INDEX($A258:$AB258,MATCH(Lists!$J$6,$A$1:$AB$1,0))&amp;""),"")</f>
        <v/>
      </c>
    </row>
    <row r="259">
      <c r="AC259" s="41" t="n"/>
      <c r="AD259" s="42">
        <f>IFERROR(TRIM(INDEX($A259:$AB259,MATCH(Lists!$J$2,$A$1:$AB$1,0))&amp;""),"")</f>
        <v/>
      </c>
      <c r="AE259" s="42">
        <f>IFERROR(TRIM(INDEX($A259:$AB259,MATCH(Lists!$J$3,$A$1:$AB$1,0))&amp;""),"")</f>
        <v/>
      </c>
      <c r="AF259" s="42">
        <f>IFERROR(TRIM(INDEX($A259:$AB259,MATCH(Lists!$J$4,$A$1:$AB$1,0))&amp;""),"")</f>
        <v/>
      </c>
      <c r="AG259" s="42">
        <f>IFERROR(TRIM(INDEX($A259:$AB259,MATCH(Lists!$J$5,$A$1:$AB$1,0))&amp;""),"")</f>
        <v/>
      </c>
      <c r="AH259" s="42">
        <f>IFERROR(TRIM(INDEX($A259:$AB259,MATCH(Lists!$J$6,$A$1:$AB$1,0))&amp;""),"")</f>
        <v/>
      </c>
    </row>
    <row r="260">
      <c r="AC260" s="41" t="n"/>
      <c r="AD260" s="42">
        <f>IFERROR(TRIM(INDEX($A260:$AB260,MATCH(Lists!$J$2,$A$1:$AB$1,0))&amp;""),"")</f>
        <v/>
      </c>
      <c r="AE260" s="42">
        <f>IFERROR(TRIM(INDEX($A260:$AB260,MATCH(Lists!$J$3,$A$1:$AB$1,0))&amp;""),"")</f>
        <v/>
      </c>
      <c r="AF260" s="42">
        <f>IFERROR(TRIM(INDEX($A260:$AB260,MATCH(Lists!$J$4,$A$1:$AB$1,0))&amp;""),"")</f>
        <v/>
      </c>
      <c r="AG260" s="42">
        <f>IFERROR(TRIM(INDEX($A260:$AB260,MATCH(Lists!$J$5,$A$1:$AB$1,0))&amp;""),"")</f>
        <v/>
      </c>
      <c r="AH260" s="42">
        <f>IFERROR(TRIM(INDEX($A260:$AB260,MATCH(Lists!$J$6,$A$1:$AB$1,0))&amp;""),"")</f>
        <v/>
      </c>
    </row>
    <row r="261">
      <c r="AC261" s="41" t="n"/>
      <c r="AD261" s="42">
        <f>IFERROR(TRIM(INDEX($A261:$AB261,MATCH(Lists!$J$2,$A$1:$AB$1,0))&amp;""),"")</f>
        <v/>
      </c>
      <c r="AE261" s="42">
        <f>IFERROR(TRIM(INDEX($A261:$AB261,MATCH(Lists!$J$3,$A$1:$AB$1,0))&amp;""),"")</f>
        <v/>
      </c>
      <c r="AF261" s="42">
        <f>IFERROR(TRIM(INDEX($A261:$AB261,MATCH(Lists!$J$4,$A$1:$AB$1,0))&amp;""),"")</f>
        <v/>
      </c>
      <c r="AG261" s="42">
        <f>IFERROR(TRIM(INDEX($A261:$AB261,MATCH(Lists!$J$5,$A$1:$AB$1,0))&amp;""),"")</f>
        <v/>
      </c>
      <c r="AH261" s="42">
        <f>IFERROR(TRIM(INDEX($A261:$AB261,MATCH(Lists!$J$6,$A$1:$AB$1,0))&amp;""),"")</f>
        <v/>
      </c>
    </row>
    <row r="262">
      <c r="AC262" s="41" t="n"/>
      <c r="AD262" s="42">
        <f>IFERROR(TRIM(INDEX($A262:$AB262,MATCH(Lists!$J$2,$A$1:$AB$1,0))&amp;""),"")</f>
        <v/>
      </c>
      <c r="AE262" s="42">
        <f>IFERROR(TRIM(INDEX($A262:$AB262,MATCH(Lists!$J$3,$A$1:$AB$1,0))&amp;""),"")</f>
        <v/>
      </c>
      <c r="AF262" s="42">
        <f>IFERROR(TRIM(INDEX($A262:$AB262,MATCH(Lists!$J$4,$A$1:$AB$1,0))&amp;""),"")</f>
        <v/>
      </c>
      <c r="AG262" s="42">
        <f>IFERROR(TRIM(INDEX($A262:$AB262,MATCH(Lists!$J$5,$A$1:$AB$1,0))&amp;""),"")</f>
        <v/>
      </c>
      <c r="AH262" s="42">
        <f>IFERROR(TRIM(INDEX($A262:$AB262,MATCH(Lists!$J$6,$A$1:$AB$1,0))&amp;""),"")</f>
        <v/>
      </c>
    </row>
    <row r="263">
      <c r="AC263" s="41" t="n"/>
      <c r="AD263" s="42">
        <f>IFERROR(TRIM(INDEX($A263:$AB263,MATCH(Lists!$J$2,$A$1:$AB$1,0))&amp;""),"")</f>
        <v/>
      </c>
      <c r="AE263" s="42">
        <f>IFERROR(TRIM(INDEX($A263:$AB263,MATCH(Lists!$J$3,$A$1:$AB$1,0))&amp;""),"")</f>
        <v/>
      </c>
      <c r="AF263" s="42">
        <f>IFERROR(TRIM(INDEX($A263:$AB263,MATCH(Lists!$J$4,$A$1:$AB$1,0))&amp;""),"")</f>
        <v/>
      </c>
      <c r="AG263" s="42">
        <f>IFERROR(TRIM(INDEX($A263:$AB263,MATCH(Lists!$J$5,$A$1:$AB$1,0))&amp;""),"")</f>
        <v/>
      </c>
      <c r="AH263" s="42">
        <f>IFERROR(TRIM(INDEX($A263:$AB263,MATCH(Lists!$J$6,$A$1:$AB$1,0))&amp;""),"")</f>
        <v/>
      </c>
    </row>
    <row r="264">
      <c r="AC264" s="41" t="n"/>
      <c r="AD264" s="42">
        <f>IFERROR(TRIM(INDEX($A264:$AB264,MATCH(Lists!$J$2,$A$1:$AB$1,0))&amp;""),"")</f>
        <v/>
      </c>
      <c r="AE264" s="42">
        <f>IFERROR(TRIM(INDEX($A264:$AB264,MATCH(Lists!$J$3,$A$1:$AB$1,0))&amp;""),"")</f>
        <v/>
      </c>
      <c r="AF264" s="42">
        <f>IFERROR(TRIM(INDEX($A264:$AB264,MATCH(Lists!$J$4,$A$1:$AB$1,0))&amp;""),"")</f>
        <v/>
      </c>
      <c r="AG264" s="42">
        <f>IFERROR(TRIM(INDEX($A264:$AB264,MATCH(Lists!$J$5,$A$1:$AB$1,0))&amp;""),"")</f>
        <v/>
      </c>
      <c r="AH264" s="42">
        <f>IFERROR(TRIM(INDEX($A264:$AB264,MATCH(Lists!$J$6,$A$1:$AB$1,0))&amp;""),"")</f>
        <v/>
      </c>
    </row>
    <row r="265">
      <c r="AC265" s="41" t="n"/>
      <c r="AD265" s="42">
        <f>IFERROR(TRIM(INDEX($A265:$AB265,MATCH(Lists!$J$2,$A$1:$AB$1,0))&amp;""),"")</f>
        <v/>
      </c>
      <c r="AE265" s="42">
        <f>IFERROR(TRIM(INDEX($A265:$AB265,MATCH(Lists!$J$3,$A$1:$AB$1,0))&amp;""),"")</f>
        <v/>
      </c>
      <c r="AF265" s="42">
        <f>IFERROR(TRIM(INDEX($A265:$AB265,MATCH(Lists!$J$4,$A$1:$AB$1,0))&amp;""),"")</f>
        <v/>
      </c>
      <c r="AG265" s="42">
        <f>IFERROR(TRIM(INDEX($A265:$AB265,MATCH(Lists!$J$5,$A$1:$AB$1,0))&amp;""),"")</f>
        <v/>
      </c>
      <c r="AH265" s="42">
        <f>IFERROR(TRIM(INDEX($A265:$AB265,MATCH(Lists!$J$6,$A$1:$AB$1,0))&amp;""),"")</f>
        <v/>
      </c>
    </row>
    <row r="266">
      <c r="AC266" s="41" t="n"/>
      <c r="AD266" s="42">
        <f>IFERROR(TRIM(INDEX($A266:$AB266,MATCH(Lists!$J$2,$A$1:$AB$1,0))&amp;""),"")</f>
        <v/>
      </c>
      <c r="AE266" s="42">
        <f>IFERROR(TRIM(INDEX($A266:$AB266,MATCH(Lists!$J$3,$A$1:$AB$1,0))&amp;""),"")</f>
        <v/>
      </c>
      <c r="AF266" s="42">
        <f>IFERROR(TRIM(INDEX($A266:$AB266,MATCH(Lists!$J$4,$A$1:$AB$1,0))&amp;""),"")</f>
        <v/>
      </c>
      <c r="AG266" s="42">
        <f>IFERROR(TRIM(INDEX($A266:$AB266,MATCH(Lists!$J$5,$A$1:$AB$1,0))&amp;""),"")</f>
        <v/>
      </c>
      <c r="AH266" s="42">
        <f>IFERROR(TRIM(INDEX($A266:$AB266,MATCH(Lists!$J$6,$A$1:$AB$1,0))&amp;""),"")</f>
        <v/>
      </c>
    </row>
    <row r="267">
      <c r="AC267" s="41" t="n"/>
      <c r="AD267" s="42">
        <f>IFERROR(TRIM(INDEX($A267:$AB267,MATCH(Lists!$J$2,$A$1:$AB$1,0))&amp;""),"")</f>
        <v/>
      </c>
      <c r="AE267" s="42">
        <f>IFERROR(TRIM(INDEX($A267:$AB267,MATCH(Lists!$J$3,$A$1:$AB$1,0))&amp;""),"")</f>
        <v/>
      </c>
      <c r="AF267" s="42">
        <f>IFERROR(TRIM(INDEX($A267:$AB267,MATCH(Lists!$J$4,$A$1:$AB$1,0))&amp;""),"")</f>
        <v/>
      </c>
      <c r="AG267" s="42">
        <f>IFERROR(TRIM(INDEX($A267:$AB267,MATCH(Lists!$J$5,$A$1:$AB$1,0))&amp;""),"")</f>
        <v/>
      </c>
      <c r="AH267" s="42">
        <f>IFERROR(TRIM(INDEX($A267:$AB267,MATCH(Lists!$J$6,$A$1:$AB$1,0))&amp;""),"")</f>
        <v/>
      </c>
    </row>
    <row r="268">
      <c r="AC268" s="41" t="n"/>
      <c r="AD268" s="42">
        <f>IFERROR(TRIM(INDEX($A268:$AB268,MATCH(Lists!$J$2,$A$1:$AB$1,0))&amp;""),"")</f>
        <v/>
      </c>
      <c r="AE268" s="42">
        <f>IFERROR(TRIM(INDEX($A268:$AB268,MATCH(Lists!$J$3,$A$1:$AB$1,0))&amp;""),"")</f>
        <v/>
      </c>
      <c r="AF268" s="42">
        <f>IFERROR(TRIM(INDEX($A268:$AB268,MATCH(Lists!$J$4,$A$1:$AB$1,0))&amp;""),"")</f>
        <v/>
      </c>
      <c r="AG268" s="42">
        <f>IFERROR(TRIM(INDEX($A268:$AB268,MATCH(Lists!$J$5,$A$1:$AB$1,0))&amp;""),"")</f>
        <v/>
      </c>
      <c r="AH268" s="42">
        <f>IFERROR(TRIM(INDEX($A268:$AB268,MATCH(Lists!$J$6,$A$1:$AB$1,0))&amp;""),"")</f>
        <v/>
      </c>
    </row>
    <row r="269">
      <c r="AC269" s="41" t="n"/>
      <c r="AD269" s="42">
        <f>IFERROR(TRIM(INDEX($A269:$AB269,MATCH(Lists!$J$2,$A$1:$AB$1,0))&amp;""),"")</f>
        <v/>
      </c>
      <c r="AE269" s="42">
        <f>IFERROR(TRIM(INDEX($A269:$AB269,MATCH(Lists!$J$3,$A$1:$AB$1,0))&amp;""),"")</f>
        <v/>
      </c>
      <c r="AF269" s="42">
        <f>IFERROR(TRIM(INDEX($A269:$AB269,MATCH(Lists!$J$4,$A$1:$AB$1,0))&amp;""),"")</f>
        <v/>
      </c>
      <c r="AG269" s="42">
        <f>IFERROR(TRIM(INDEX($A269:$AB269,MATCH(Lists!$J$5,$A$1:$AB$1,0))&amp;""),"")</f>
        <v/>
      </c>
      <c r="AH269" s="42">
        <f>IFERROR(TRIM(INDEX($A269:$AB269,MATCH(Lists!$J$6,$A$1:$AB$1,0))&amp;""),"")</f>
        <v/>
      </c>
    </row>
    <row r="270">
      <c r="AC270" s="41" t="n"/>
      <c r="AD270" s="42">
        <f>IFERROR(TRIM(INDEX($A270:$AB270,MATCH(Lists!$J$2,$A$1:$AB$1,0))&amp;""),"")</f>
        <v/>
      </c>
      <c r="AE270" s="42">
        <f>IFERROR(TRIM(INDEX($A270:$AB270,MATCH(Lists!$J$3,$A$1:$AB$1,0))&amp;""),"")</f>
        <v/>
      </c>
      <c r="AF270" s="42">
        <f>IFERROR(TRIM(INDEX($A270:$AB270,MATCH(Lists!$J$4,$A$1:$AB$1,0))&amp;""),"")</f>
        <v/>
      </c>
      <c r="AG270" s="42">
        <f>IFERROR(TRIM(INDEX($A270:$AB270,MATCH(Lists!$J$5,$A$1:$AB$1,0))&amp;""),"")</f>
        <v/>
      </c>
      <c r="AH270" s="42">
        <f>IFERROR(TRIM(INDEX($A270:$AB270,MATCH(Lists!$J$6,$A$1:$AB$1,0))&amp;""),"")</f>
        <v/>
      </c>
    </row>
    <row r="271">
      <c r="AC271" s="41" t="n"/>
      <c r="AD271" s="42">
        <f>IFERROR(TRIM(INDEX($A271:$AB271,MATCH(Lists!$J$2,$A$1:$AB$1,0))&amp;""),"")</f>
        <v/>
      </c>
      <c r="AE271" s="42">
        <f>IFERROR(TRIM(INDEX($A271:$AB271,MATCH(Lists!$J$3,$A$1:$AB$1,0))&amp;""),"")</f>
        <v/>
      </c>
      <c r="AF271" s="42">
        <f>IFERROR(TRIM(INDEX($A271:$AB271,MATCH(Lists!$J$4,$A$1:$AB$1,0))&amp;""),"")</f>
        <v/>
      </c>
      <c r="AG271" s="42">
        <f>IFERROR(TRIM(INDEX($A271:$AB271,MATCH(Lists!$J$5,$A$1:$AB$1,0))&amp;""),"")</f>
        <v/>
      </c>
      <c r="AH271" s="42">
        <f>IFERROR(TRIM(INDEX($A271:$AB271,MATCH(Lists!$J$6,$A$1:$AB$1,0))&amp;""),"")</f>
        <v/>
      </c>
    </row>
    <row r="272">
      <c r="AC272" s="41" t="n"/>
      <c r="AD272" s="42">
        <f>IFERROR(TRIM(INDEX($A272:$AB272,MATCH(Lists!$J$2,$A$1:$AB$1,0))&amp;""),"")</f>
        <v/>
      </c>
      <c r="AE272" s="42">
        <f>IFERROR(TRIM(INDEX($A272:$AB272,MATCH(Lists!$J$3,$A$1:$AB$1,0))&amp;""),"")</f>
        <v/>
      </c>
      <c r="AF272" s="42">
        <f>IFERROR(TRIM(INDEX($A272:$AB272,MATCH(Lists!$J$4,$A$1:$AB$1,0))&amp;""),"")</f>
        <v/>
      </c>
      <c r="AG272" s="42">
        <f>IFERROR(TRIM(INDEX($A272:$AB272,MATCH(Lists!$J$5,$A$1:$AB$1,0))&amp;""),"")</f>
        <v/>
      </c>
      <c r="AH272" s="42">
        <f>IFERROR(TRIM(INDEX($A272:$AB272,MATCH(Lists!$J$6,$A$1:$AB$1,0))&amp;""),"")</f>
        <v/>
      </c>
    </row>
    <row r="273">
      <c r="AC273" s="41" t="n"/>
      <c r="AD273" s="42">
        <f>IFERROR(TRIM(INDEX($A273:$AB273,MATCH(Lists!$J$2,$A$1:$AB$1,0))&amp;""),"")</f>
        <v/>
      </c>
      <c r="AE273" s="42">
        <f>IFERROR(TRIM(INDEX($A273:$AB273,MATCH(Lists!$J$3,$A$1:$AB$1,0))&amp;""),"")</f>
        <v/>
      </c>
      <c r="AF273" s="42">
        <f>IFERROR(TRIM(INDEX($A273:$AB273,MATCH(Lists!$J$4,$A$1:$AB$1,0))&amp;""),"")</f>
        <v/>
      </c>
      <c r="AG273" s="42">
        <f>IFERROR(TRIM(INDEX($A273:$AB273,MATCH(Lists!$J$5,$A$1:$AB$1,0))&amp;""),"")</f>
        <v/>
      </c>
      <c r="AH273" s="42">
        <f>IFERROR(TRIM(INDEX($A273:$AB273,MATCH(Lists!$J$6,$A$1:$AB$1,0))&amp;""),"")</f>
        <v/>
      </c>
    </row>
    <row r="274">
      <c r="AC274" s="41" t="n"/>
      <c r="AD274" s="42">
        <f>IFERROR(TRIM(INDEX($A274:$AB274,MATCH(Lists!$J$2,$A$1:$AB$1,0))&amp;""),"")</f>
        <v/>
      </c>
      <c r="AE274" s="42">
        <f>IFERROR(TRIM(INDEX($A274:$AB274,MATCH(Lists!$J$3,$A$1:$AB$1,0))&amp;""),"")</f>
        <v/>
      </c>
      <c r="AF274" s="42">
        <f>IFERROR(TRIM(INDEX($A274:$AB274,MATCH(Lists!$J$4,$A$1:$AB$1,0))&amp;""),"")</f>
        <v/>
      </c>
      <c r="AG274" s="42">
        <f>IFERROR(TRIM(INDEX($A274:$AB274,MATCH(Lists!$J$5,$A$1:$AB$1,0))&amp;""),"")</f>
        <v/>
      </c>
      <c r="AH274" s="42">
        <f>IFERROR(TRIM(INDEX($A274:$AB274,MATCH(Lists!$J$6,$A$1:$AB$1,0))&amp;""),"")</f>
        <v/>
      </c>
    </row>
    <row r="275">
      <c r="AC275" s="41" t="n"/>
      <c r="AD275" s="42">
        <f>IFERROR(TRIM(INDEX($A275:$AB275,MATCH(Lists!$J$2,$A$1:$AB$1,0))&amp;""),"")</f>
        <v/>
      </c>
      <c r="AE275" s="42">
        <f>IFERROR(TRIM(INDEX($A275:$AB275,MATCH(Lists!$J$3,$A$1:$AB$1,0))&amp;""),"")</f>
        <v/>
      </c>
      <c r="AF275" s="42">
        <f>IFERROR(TRIM(INDEX($A275:$AB275,MATCH(Lists!$J$4,$A$1:$AB$1,0))&amp;""),"")</f>
        <v/>
      </c>
      <c r="AG275" s="42">
        <f>IFERROR(TRIM(INDEX($A275:$AB275,MATCH(Lists!$J$5,$A$1:$AB$1,0))&amp;""),"")</f>
        <v/>
      </c>
      <c r="AH275" s="42">
        <f>IFERROR(TRIM(INDEX($A275:$AB275,MATCH(Lists!$J$6,$A$1:$AB$1,0))&amp;""),"")</f>
        <v/>
      </c>
    </row>
    <row r="276">
      <c r="AC276" s="41" t="n"/>
      <c r="AD276" s="42">
        <f>IFERROR(TRIM(INDEX($A276:$AB276,MATCH(Lists!$J$2,$A$1:$AB$1,0))&amp;""),"")</f>
        <v/>
      </c>
      <c r="AE276" s="42">
        <f>IFERROR(TRIM(INDEX($A276:$AB276,MATCH(Lists!$J$3,$A$1:$AB$1,0))&amp;""),"")</f>
        <v/>
      </c>
      <c r="AF276" s="42">
        <f>IFERROR(TRIM(INDEX($A276:$AB276,MATCH(Lists!$J$4,$A$1:$AB$1,0))&amp;""),"")</f>
        <v/>
      </c>
      <c r="AG276" s="42">
        <f>IFERROR(TRIM(INDEX($A276:$AB276,MATCH(Lists!$J$5,$A$1:$AB$1,0))&amp;""),"")</f>
        <v/>
      </c>
      <c r="AH276" s="42">
        <f>IFERROR(TRIM(INDEX($A276:$AB276,MATCH(Lists!$J$6,$A$1:$AB$1,0))&amp;""),"")</f>
        <v/>
      </c>
    </row>
    <row r="277">
      <c r="AC277" s="41" t="n"/>
      <c r="AD277" s="42">
        <f>IFERROR(TRIM(INDEX($A277:$AB277,MATCH(Lists!$J$2,$A$1:$AB$1,0))&amp;""),"")</f>
        <v/>
      </c>
      <c r="AE277" s="42">
        <f>IFERROR(TRIM(INDEX($A277:$AB277,MATCH(Lists!$J$3,$A$1:$AB$1,0))&amp;""),"")</f>
        <v/>
      </c>
      <c r="AF277" s="42">
        <f>IFERROR(TRIM(INDEX($A277:$AB277,MATCH(Lists!$J$4,$A$1:$AB$1,0))&amp;""),"")</f>
        <v/>
      </c>
      <c r="AG277" s="42">
        <f>IFERROR(TRIM(INDEX($A277:$AB277,MATCH(Lists!$J$5,$A$1:$AB$1,0))&amp;""),"")</f>
        <v/>
      </c>
      <c r="AH277" s="42">
        <f>IFERROR(TRIM(INDEX($A277:$AB277,MATCH(Lists!$J$6,$A$1:$AB$1,0))&amp;""),"")</f>
        <v/>
      </c>
    </row>
    <row r="278">
      <c r="AC278" s="41" t="n"/>
      <c r="AD278" s="42">
        <f>IFERROR(TRIM(INDEX($A278:$AB278,MATCH(Lists!$J$2,$A$1:$AB$1,0))&amp;""),"")</f>
        <v/>
      </c>
      <c r="AE278" s="42">
        <f>IFERROR(TRIM(INDEX($A278:$AB278,MATCH(Lists!$J$3,$A$1:$AB$1,0))&amp;""),"")</f>
        <v/>
      </c>
      <c r="AF278" s="42">
        <f>IFERROR(TRIM(INDEX($A278:$AB278,MATCH(Lists!$J$4,$A$1:$AB$1,0))&amp;""),"")</f>
        <v/>
      </c>
      <c r="AG278" s="42">
        <f>IFERROR(TRIM(INDEX($A278:$AB278,MATCH(Lists!$J$5,$A$1:$AB$1,0))&amp;""),"")</f>
        <v/>
      </c>
      <c r="AH278" s="42">
        <f>IFERROR(TRIM(INDEX($A278:$AB278,MATCH(Lists!$J$6,$A$1:$AB$1,0))&amp;""),"")</f>
        <v/>
      </c>
    </row>
    <row r="279">
      <c r="AC279" s="41" t="n"/>
      <c r="AD279" s="42">
        <f>IFERROR(TRIM(INDEX($A279:$AB279,MATCH(Lists!$J$2,$A$1:$AB$1,0))&amp;""),"")</f>
        <v/>
      </c>
      <c r="AE279" s="42">
        <f>IFERROR(TRIM(INDEX($A279:$AB279,MATCH(Lists!$J$3,$A$1:$AB$1,0))&amp;""),"")</f>
        <v/>
      </c>
      <c r="AF279" s="42">
        <f>IFERROR(TRIM(INDEX($A279:$AB279,MATCH(Lists!$J$4,$A$1:$AB$1,0))&amp;""),"")</f>
        <v/>
      </c>
      <c r="AG279" s="42">
        <f>IFERROR(TRIM(INDEX($A279:$AB279,MATCH(Lists!$J$5,$A$1:$AB$1,0))&amp;""),"")</f>
        <v/>
      </c>
      <c r="AH279" s="42">
        <f>IFERROR(TRIM(INDEX($A279:$AB279,MATCH(Lists!$J$6,$A$1:$AB$1,0))&amp;""),"")</f>
        <v/>
      </c>
    </row>
    <row r="280">
      <c r="AC280" s="41" t="n"/>
      <c r="AD280" s="42">
        <f>IFERROR(TRIM(INDEX($A280:$AB280,MATCH(Lists!$J$2,$A$1:$AB$1,0))&amp;""),"")</f>
        <v/>
      </c>
      <c r="AE280" s="42">
        <f>IFERROR(TRIM(INDEX($A280:$AB280,MATCH(Lists!$J$3,$A$1:$AB$1,0))&amp;""),"")</f>
        <v/>
      </c>
      <c r="AF280" s="42">
        <f>IFERROR(TRIM(INDEX($A280:$AB280,MATCH(Lists!$J$4,$A$1:$AB$1,0))&amp;""),"")</f>
        <v/>
      </c>
      <c r="AG280" s="42">
        <f>IFERROR(TRIM(INDEX($A280:$AB280,MATCH(Lists!$J$5,$A$1:$AB$1,0))&amp;""),"")</f>
        <v/>
      </c>
      <c r="AH280" s="42">
        <f>IFERROR(TRIM(INDEX($A280:$AB280,MATCH(Lists!$J$6,$A$1:$AB$1,0))&amp;""),"")</f>
        <v/>
      </c>
    </row>
    <row r="281">
      <c r="AC281" s="41" t="n"/>
      <c r="AD281" s="42">
        <f>IFERROR(TRIM(INDEX($A281:$AB281,MATCH(Lists!$J$2,$A$1:$AB$1,0))&amp;""),"")</f>
        <v/>
      </c>
      <c r="AE281" s="42">
        <f>IFERROR(TRIM(INDEX($A281:$AB281,MATCH(Lists!$J$3,$A$1:$AB$1,0))&amp;""),"")</f>
        <v/>
      </c>
      <c r="AF281" s="42">
        <f>IFERROR(TRIM(INDEX($A281:$AB281,MATCH(Lists!$J$4,$A$1:$AB$1,0))&amp;""),"")</f>
        <v/>
      </c>
      <c r="AG281" s="42">
        <f>IFERROR(TRIM(INDEX($A281:$AB281,MATCH(Lists!$J$5,$A$1:$AB$1,0))&amp;""),"")</f>
        <v/>
      </c>
      <c r="AH281" s="42">
        <f>IFERROR(TRIM(INDEX($A281:$AB281,MATCH(Lists!$J$6,$A$1:$AB$1,0))&amp;""),"")</f>
        <v/>
      </c>
    </row>
    <row r="282">
      <c r="AC282" s="41" t="n"/>
      <c r="AD282" s="42">
        <f>IFERROR(TRIM(INDEX($A282:$AB282,MATCH(Lists!$J$2,$A$1:$AB$1,0))&amp;""),"")</f>
        <v/>
      </c>
      <c r="AE282" s="42">
        <f>IFERROR(TRIM(INDEX($A282:$AB282,MATCH(Lists!$J$3,$A$1:$AB$1,0))&amp;""),"")</f>
        <v/>
      </c>
      <c r="AF282" s="42">
        <f>IFERROR(TRIM(INDEX($A282:$AB282,MATCH(Lists!$J$4,$A$1:$AB$1,0))&amp;""),"")</f>
        <v/>
      </c>
      <c r="AG282" s="42">
        <f>IFERROR(TRIM(INDEX($A282:$AB282,MATCH(Lists!$J$5,$A$1:$AB$1,0))&amp;""),"")</f>
        <v/>
      </c>
      <c r="AH282" s="42">
        <f>IFERROR(TRIM(INDEX($A282:$AB282,MATCH(Lists!$J$6,$A$1:$AB$1,0))&amp;""),"")</f>
        <v/>
      </c>
    </row>
    <row r="283">
      <c r="AC283" s="41" t="n"/>
      <c r="AD283" s="42">
        <f>IFERROR(TRIM(INDEX($A283:$AB283,MATCH(Lists!$J$2,$A$1:$AB$1,0))&amp;""),"")</f>
        <v/>
      </c>
      <c r="AE283" s="42">
        <f>IFERROR(TRIM(INDEX($A283:$AB283,MATCH(Lists!$J$3,$A$1:$AB$1,0))&amp;""),"")</f>
        <v/>
      </c>
      <c r="AF283" s="42">
        <f>IFERROR(TRIM(INDEX($A283:$AB283,MATCH(Lists!$J$4,$A$1:$AB$1,0))&amp;""),"")</f>
        <v/>
      </c>
      <c r="AG283" s="42">
        <f>IFERROR(TRIM(INDEX($A283:$AB283,MATCH(Lists!$J$5,$A$1:$AB$1,0))&amp;""),"")</f>
        <v/>
      </c>
      <c r="AH283" s="42">
        <f>IFERROR(TRIM(INDEX($A283:$AB283,MATCH(Lists!$J$6,$A$1:$AB$1,0))&amp;""),"")</f>
        <v/>
      </c>
    </row>
    <row r="284">
      <c r="AC284" s="41" t="n"/>
      <c r="AD284" s="42">
        <f>IFERROR(TRIM(INDEX($A284:$AB284,MATCH(Lists!$J$2,$A$1:$AB$1,0))&amp;""),"")</f>
        <v/>
      </c>
      <c r="AE284" s="42">
        <f>IFERROR(TRIM(INDEX($A284:$AB284,MATCH(Lists!$J$3,$A$1:$AB$1,0))&amp;""),"")</f>
        <v/>
      </c>
      <c r="AF284" s="42">
        <f>IFERROR(TRIM(INDEX($A284:$AB284,MATCH(Lists!$J$4,$A$1:$AB$1,0))&amp;""),"")</f>
        <v/>
      </c>
      <c r="AG284" s="42">
        <f>IFERROR(TRIM(INDEX($A284:$AB284,MATCH(Lists!$J$5,$A$1:$AB$1,0))&amp;""),"")</f>
        <v/>
      </c>
      <c r="AH284" s="42">
        <f>IFERROR(TRIM(INDEX($A284:$AB284,MATCH(Lists!$J$6,$A$1:$AB$1,0))&amp;""),"")</f>
        <v/>
      </c>
    </row>
    <row r="285">
      <c r="AC285" s="41" t="n"/>
      <c r="AD285" s="42">
        <f>IFERROR(TRIM(INDEX($A285:$AB285,MATCH(Lists!$J$2,$A$1:$AB$1,0))&amp;""),"")</f>
        <v/>
      </c>
      <c r="AE285" s="42">
        <f>IFERROR(TRIM(INDEX($A285:$AB285,MATCH(Lists!$J$3,$A$1:$AB$1,0))&amp;""),"")</f>
        <v/>
      </c>
      <c r="AF285" s="42">
        <f>IFERROR(TRIM(INDEX($A285:$AB285,MATCH(Lists!$J$4,$A$1:$AB$1,0))&amp;""),"")</f>
        <v/>
      </c>
      <c r="AG285" s="42">
        <f>IFERROR(TRIM(INDEX($A285:$AB285,MATCH(Lists!$J$5,$A$1:$AB$1,0))&amp;""),"")</f>
        <v/>
      </c>
      <c r="AH285" s="42">
        <f>IFERROR(TRIM(INDEX($A285:$AB285,MATCH(Lists!$J$6,$A$1:$AB$1,0))&amp;""),"")</f>
        <v/>
      </c>
    </row>
    <row r="286">
      <c r="AC286" s="41" t="n"/>
      <c r="AD286" s="42">
        <f>IFERROR(TRIM(INDEX($A286:$AB286,MATCH(Lists!$J$2,$A$1:$AB$1,0))&amp;""),"")</f>
        <v/>
      </c>
      <c r="AE286" s="42">
        <f>IFERROR(TRIM(INDEX($A286:$AB286,MATCH(Lists!$J$3,$A$1:$AB$1,0))&amp;""),"")</f>
        <v/>
      </c>
      <c r="AF286" s="42">
        <f>IFERROR(TRIM(INDEX($A286:$AB286,MATCH(Lists!$J$4,$A$1:$AB$1,0))&amp;""),"")</f>
        <v/>
      </c>
      <c r="AG286" s="42">
        <f>IFERROR(TRIM(INDEX($A286:$AB286,MATCH(Lists!$J$5,$A$1:$AB$1,0))&amp;""),"")</f>
        <v/>
      </c>
      <c r="AH286" s="42">
        <f>IFERROR(TRIM(INDEX($A286:$AB286,MATCH(Lists!$J$6,$A$1:$AB$1,0))&amp;""),"")</f>
        <v/>
      </c>
    </row>
    <row r="287">
      <c r="AC287" s="41" t="n"/>
      <c r="AD287" s="42">
        <f>IFERROR(TRIM(INDEX($A287:$AB287,MATCH(Lists!$J$2,$A$1:$AB$1,0))&amp;""),"")</f>
        <v/>
      </c>
      <c r="AE287" s="42">
        <f>IFERROR(TRIM(INDEX($A287:$AB287,MATCH(Lists!$J$3,$A$1:$AB$1,0))&amp;""),"")</f>
        <v/>
      </c>
      <c r="AF287" s="42">
        <f>IFERROR(TRIM(INDEX($A287:$AB287,MATCH(Lists!$J$4,$A$1:$AB$1,0))&amp;""),"")</f>
        <v/>
      </c>
      <c r="AG287" s="42">
        <f>IFERROR(TRIM(INDEX($A287:$AB287,MATCH(Lists!$J$5,$A$1:$AB$1,0))&amp;""),"")</f>
        <v/>
      </c>
      <c r="AH287" s="42">
        <f>IFERROR(TRIM(INDEX($A287:$AB287,MATCH(Lists!$J$6,$A$1:$AB$1,0))&amp;""),"")</f>
        <v/>
      </c>
    </row>
    <row r="288">
      <c r="AC288" s="41" t="n"/>
      <c r="AD288" s="42">
        <f>IFERROR(TRIM(INDEX($A288:$AB288,MATCH(Lists!$J$2,$A$1:$AB$1,0))&amp;""),"")</f>
        <v/>
      </c>
      <c r="AE288" s="42">
        <f>IFERROR(TRIM(INDEX($A288:$AB288,MATCH(Lists!$J$3,$A$1:$AB$1,0))&amp;""),"")</f>
        <v/>
      </c>
      <c r="AF288" s="42">
        <f>IFERROR(TRIM(INDEX($A288:$AB288,MATCH(Lists!$J$4,$A$1:$AB$1,0))&amp;""),"")</f>
        <v/>
      </c>
      <c r="AG288" s="42">
        <f>IFERROR(TRIM(INDEX($A288:$AB288,MATCH(Lists!$J$5,$A$1:$AB$1,0))&amp;""),"")</f>
        <v/>
      </c>
      <c r="AH288" s="42">
        <f>IFERROR(TRIM(INDEX($A288:$AB288,MATCH(Lists!$J$6,$A$1:$AB$1,0))&amp;""),"")</f>
        <v/>
      </c>
    </row>
    <row r="289">
      <c r="AC289" s="41" t="n"/>
      <c r="AD289" s="42">
        <f>IFERROR(TRIM(INDEX($A289:$AB289,MATCH(Lists!$J$2,$A$1:$AB$1,0))&amp;""),"")</f>
        <v/>
      </c>
      <c r="AE289" s="42">
        <f>IFERROR(TRIM(INDEX($A289:$AB289,MATCH(Lists!$J$3,$A$1:$AB$1,0))&amp;""),"")</f>
        <v/>
      </c>
      <c r="AF289" s="42">
        <f>IFERROR(TRIM(INDEX($A289:$AB289,MATCH(Lists!$J$4,$A$1:$AB$1,0))&amp;""),"")</f>
        <v/>
      </c>
      <c r="AG289" s="42">
        <f>IFERROR(TRIM(INDEX($A289:$AB289,MATCH(Lists!$J$5,$A$1:$AB$1,0))&amp;""),"")</f>
        <v/>
      </c>
      <c r="AH289" s="42">
        <f>IFERROR(TRIM(INDEX($A289:$AB289,MATCH(Lists!$J$6,$A$1:$AB$1,0))&amp;""),"")</f>
        <v/>
      </c>
    </row>
    <row r="290">
      <c r="AC290" s="41" t="n"/>
      <c r="AD290" s="42">
        <f>IFERROR(TRIM(INDEX($A290:$AB290,MATCH(Lists!$J$2,$A$1:$AB$1,0))&amp;""),"")</f>
        <v/>
      </c>
      <c r="AE290" s="42">
        <f>IFERROR(TRIM(INDEX($A290:$AB290,MATCH(Lists!$J$3,$A$1:$AB$1,0))&amp;""),"")</f>
        <v/>
      </c>
      <c r="AF290" s="42">
        <f>IFERROR(TRIM(INDEX($A290:$AB290,MATCH(Lists!$J$4,$A$1:$AB$1,0))&amp;""),"")</f>
        <v/>
      </c>
      <c r="AG290" s="42">
        <f>IFERROR(TRIM(INDEX($A290:$AB290,MATCH(Lists!$J$5,$A$1:$AB$1,0))&amp;""),"")</f>
        <v/>
      </c>
      <c r="AH290" s="42">
        <f>IFERROR(TRIM(INDEX($A290:$AB290,MATCH(Lists!$J$6,$A$1:$AB$1,0))&amp;""),"")</f>
        <v/>
      </c>
    </row>
    <row r="291">
      <c r="AC291" s="41" t="n"/>
      <c r="AD291" s="42">
        <f>IFERROR(TRIM(INDEX($A291:$AB291,MATCH(Lists!$J$2,$A$1:$AB$1,0))&amp;""),"")</f>
        <v/>
      </c>
      <c r="AE291" s="42">
        <f>IFERROR(TRIM(INDEX($A291:$AB291,MATCH(Lists!$J$3,$A$1:$AB$1,0))&amp;""),"")</f>
        <v/>
      </c>
      <c r="AF291" s="42">
        <f>IFERROR(TRIM(INDEX($A291:$AB291,MATCH(Lists!$J$4,$A$1:$AB$1,0))&amp;""),"")</f>
        <v/>
      </c>
      <c r="AG291" s="42">
        <f>IFERROR(TRIM(INDEX($A291:$AB291,MATCH(Lists!$J$5,$A$1:$AB$1,0))&amp;""),"")</f>
        <v/>
      </c>
      <c r="AH291" s="42">
        <f>IFERROR(TRIM(INDEX($A291:$AB291,MATCH(Lists!$J$6,$A$1:$AB$1,0))&amp;""),"")</f>
        <v/>
      </c>
    </row>
    <row r="292">
      <c r="AC292" s="41" t="n"/>
      <c r="AD292" s="42">
        <f>IFERROR(TRIM(INDEX($A292:$AB292,MATCH(Lists!$J$2,$A$1:$AB$1,0))&amp;""),"")</f>
        <v/>
      </c>
      <c r="AE292" s="42">
        <f>IFERROR(TRIM(INDEX($A292:$AB292,MATCH(Lists!$J$3,$A$1:$AB$1,0))&amp;""),"")</f>
        <v/>
      </c>
      <c r="AF292" s="42">
        <f>IFERROR(TRIM(INDEX($A292:$AB292,MATCH(Lists!$J$4,$A$1:$AB$1,0))&amp;""),"")</f>
        <v/>
      </c>
      <c r="AG292" s="42">
        <f>IFERROR(TRIM(INDEX($A292:$AB292,MATCH(Lists!$J$5,$A$1:$AB$1,0))&amp;""),"")</f>
        <v/>
      </c>
      <c r="AH292" s="42">
        <f>IFERROR(TRIM(INDEX($A292:$AB292,MATCH(Lists!$J$6,$A$1:$AB$1,0))&amp;""),"")</f>
        <v/>
      </c>
    </row>
    <row r="293">
      <c r="AC293" s="41" t="n"/>
      <c r="AD293" s="42">
        <f>IFERROR(TRIM(INDEX($A293:$AB293,MATCH(Lists!$J$2,$A$1:$AB$1,0))&amp;""),"")</f>
        <v/>
      </c>
      <c r="AE293" s="42">
        <f>IFERROR(TRIM(INDEX($A293:$AB293,MATCH(Lists!$J$3,$A$1:$AB$1,0))&amp;""),"")</f>
        <v/>
      </c>
      <c r="AF293" s="42">
        <f>IFERROR(TRIM(INDEX($A293:$AB293,MATCH(Lists!$J$4,$A$1:$AB$1,0))&amp;""),"")</f>
        <v/>
      </c>
      <c r="AG293" s="42">
        <f>IFERROR(TRIM(INDEX($A293:$AB293,MATCH(Lists!$J$5,$A$1:$AB$1,0))&amp;""),"")</f>
        <v/>
      </c>
      <c r="AH293" s="42">
        <f>IFERROR(TRIM(INDEX($A293:$AB293,MATCH(Lists!$J$6,$A$1:$AB$1,0))&amp;""),"")</f>
        <v/>
      </c>
    </row>
    <row r="294">
      <c r="AC294" s="41" t="n"/>
      <c r="AD294" s="42">
        <f>IFERROR(TRIM(INDEX($A294:$AB294,MATCH(Lists!$J$2,$A$1:$AB$1,0))&amp;""),"")</f>
        <v/>
      </c>
      <c r="AE294" s="42">
        <f>IFERROR(TRIM(INDEX($A294:$AB294,MATCH(Lists!$J$3,$A$1:$AB$1,0))&amp;""),"")</f>
        <v/>
      </c>
      <c r="AF294" s="42">
        <f>IFERROR(TRIM(INDEX($A294:$AB294,MATCH(Lists!$J$4,$A$1:$AB$1,0))&amp;""),"")</f>
        <v/>
      </c>
      <c r="AG294" s="42">
        <f>IFERROR(TRIM(INDEX($A294:$AB294,MATCH(Lists!$J$5,$A$1:$AB$1,0))&amp;""),"")</f>
        <v/>
      </c>
      <c r="AH294" s="42">
        <f>IFERROR(TRIM(INDEX($A294:$AB294,MATCH(Lists!$J$6,$A$1:$AB$1,0))&amp;""),"")</f>
        <v/>
      </c>
    </row>
    <row r="295">
      <c r="AC295" s="41" t="n"/>
      <c r="AD295" s="42">
        <f>IFERROR(TRIM(INDEX($A295:$AB295,MATCH(Lists!$J$2,$A$1:$AB$1,0))&amp;""),"")</f>
        <v/>
      </c>
      <c r="AE295" s="42">
        <f>IFERROR(TRIM(INDEX($A295:$AB295,MATCH(Lists!$J$3,$A$1:$AB$1,0))&amp;""),"")</f>
        <v/>
      </c>
      <c r="AF295" s="42">
        <f>IFERROR(TRIM(INDEX($A295:$AB295,MATCH(Lists!$J$4,$A$1:$AB$1,0))&amp;""),"")</f>
        <v/>
      </c>
      <c r="AG295" s="42">
        <f>IFERROR(TRIM(INDEX($A295:$AB295,MATCH(Lists!$J$5,$A$1:$AB$1,0))&amp;""),"")</f>
        <v/>
      </c>
      <c r="AH295" s="42">
        <f>IFERROR(TRIM(INDEX($A295:$AB295,MATCH(Lists!$J$6,$A$1:$AB$1,0))&amp;""),"")</f>
        <v/>
      </c>
    </row>
    <row r="296">
      <c r="AC296" s="41" t="n"/>
      <c r="AD296" s="42">
        <f>IFERROR(TRIM(INDEX($A296:$AB296,MATCH(Lists!$J$2,$A$1:$AB$1,0))&amp;""),"")</f>
        <v/>
      </c>
      <c r="AE296" s="42">
        <f>IFERROR(TRIM(INDEX($A296:$AB296,MATCH(Lists!$J$3,$A$1:$AB$1,0))&amp;""),"")</f>
        <v/>
      </c>
      <c r="AF296" s="42">
        <f>IFERROR(TRIM(INDEX($A296:$AB296,MATCH(Lists!$J$4,$A$1:$AB$1,0))&amp;""),"")</f>
        <v/>
      </c>
      <c r="AG296" s="42">
        <f>IFERROR(TRIM(INDEX($A296:$AB296,MATCH(Lists!$J$5,$A$1:$AB$1,0))&amp;""),"")</f>
        <v/>
      </c>
      <c r="AH296" s="42">
        <f>IFERROR(TRIM(INDEX($A296:$AB296,MATCH(Lists!$J$6,$A$1:$AB$1,0))&amp;""),"")</f>
        <v/>
      </c>
    </row>
    <row r="297">
      <c r="AC297" s="41" t="n"/>
      <c r="AD297" s="42">
        <f>IFERROR(TRIM(INDEX($A297:$AB297,MATCH(Lists!$J$2,$A$1:$AB$1,0))&amp;""),"")</f>
        <v/>
      </c>
      <c r="AE297" s="42">
        <f>IFERROR(TRIM(INDEX($A297:$AB297,MATCH(Lists!$J$3,$A$1:$AB$1,0))&amp;""),"")</f>
        <v/>
      </c>
      <c r="AF297" s="42">
        <f>IFERROR(TRIM(INDEX($A297:$AB297,MATCH(Lists!$J$4,$A$1:$AB$1,0))&amp;""),"")</f>
        <v/>
      </c>
      <c r="AG297" s="42">
        <f>IFERROR(TRIM(INDEX($A297:$AB297,MATCH(Lists!$J$5,$A$1:$AB$1,0))&amp;""),"")</f>
        <v/>
      </c>
      <c r="AH297" s="42">
        <f>IFERROR(TRIM(INDEX($A297:$AB297,MATCH(Lists!$J$6,$A$1:$AB$1,0))&amp;""),"")</f>
        <v/>
      </c>
    </row>
    <row r="298">
      <c r="AC298" s="41" t="n"/>
      <c r="AD298" s="42">
        <f>IFERROR(TRIM(INDEX($A298:$AB298,MATCH(Lists!$J$2,$A$1:$AB$1,0))&amp;""),"")</f>
        <v/>
      </c>
      <c r="AE298" s="42">
        <f>IFERROR(TRIM(INDEX($A298:$AB298,MATCH(Lists!$J$3,$A$1:$AB$1,0))&amp;""),"")</f>
        <v/>
      </c>
      <c r="AF298" s="42">
        <f>IFERROR(TRIM(INDEX($A298:$AB298,MATCH(Lists!$J$4,$A$1:$AB$1,0))&amp;""),"")</f>
        <v/>
      </c>
      <c r="AG298" s="42">
        <f>IFERROR(TRIM(INDEX($A298:$AB298,MATCH(Lists!$J$5,$A$1:$AB$1,0))&amp;""),"")</f>
        <v/>
      </c>
      <c r="AH298" s="42">
        <f>IFERROR(TRIM(INDEX($A298:$AB298,MATCH(Lists!$J$6,$A$1:$AB$1,0))&amp;""),"")</f>
        <v/>
      </c>
    </row>
    <row r="299">
      <c r="AC299" s="41" t="n"/>
      <c r="AD299" s="42">
        <f>IFERROR(TRIM(INDEX($A299:$AB299,MATCH(Lists!$J$2,$A$1:$AB$1,0))&amp;""),"")</f>
        <v/>
      </c>
      <c r="AE299" s="42">
        <f>IFERROR(TRIM(INDEX($A299:$AB299,MATCH(Lists!$J$3,$A$1:$AB$1,0))&amp;""),"")</f>
        <v/>
      </c>
      <c r="AF299" s="42">
        <f>IFERROR(TRIM(INDEX($A299:$AB299,MATCH(Lists!$J$4,$A$1:$AB$1,0))&amp;""),"")</f>
        <v/>
      </c>
      <c r="AG299" s="42">
        <f>IFERROR(TRIM(INDEX($A299:$AB299,MATCH(Lists!$J$5,$A$1:$AB$1,0))&amp;""),"")</f>
        <v/>
      </c>
      <c r="AH299" s="42">
        <f>IFERROR(TRIM(INDEX($A299:$AB299,MATCH(Lists!$J$6,$A$1:$AB$1,0))&amp;""),"")</f>
        <v/>
      </c>
    </row>
    <row r="300">
      <c r="AC300" s="41" t="n"/>
      <c r="AD300" s="42">
        <f>IFERROR(TRIM(INDEX($A300:$AB300,MATCH(Lists!$J$2,$A$1:$AB$1,0))&amp;""),"")</f>
        <v/>
      </c>
      <c r="AE300" s="42">
        <f>IFERROR(TRIM(INDEX($A300:$AB300,MATCH(Lists!$J$3,$A$1:$AB$1,0))&amp;""),"")</f>
        <v/>
      </c>
      <c r="AF300" s="42">
        <f>IFERROR(TRIM(INDEX($A300:$AB300,MATCH(Lists!$J$4,$A$1:$AB$1,0))&amp;""),"")</f>
        <v/>
      </c>
      <c r="AG300" s="42">
        <f>IFERROR(TRIM(INDEX($A300:$AB300,MATCH(Lists!$J$5,$A$1:$AB$1,0))&amp;""),"")</f>
        <v/>
      </c>
      <c r="AH300" s="42">
        <f>IFERROR(TRIM(INDEX($A300:$AB300,MATCH(Lists!$J$6,$A$1:$AB$1,0))&amp;""),"")</f>
        <v/>
      </c>
    </row>
    <row r="301">
      <c r="AC301" s="41" t="n"/>
      <c r="AD301" s="42">
        <f>IFERROR(TRIM(INDEX($A301:$AB301,MATCH(Lists!$J$2,$A$1:$AB$1,0))&amp;""),"")</f>
        <v/>
      </c>
      <c r="AE301" s="42">
        <f>IFERROR(TRIM(INDEX($A301:$AB301,MATCH(Lists!$J$3,$A$1:$AB$1,0))&amp;""),"")</f>
        <v/>
      </c>
      <c r="AF301" s="42">
        <f>IFERROR(TRIM(INDEX($A301:$AB301,MATCH(Lists!$J$4,$A$1:$AB$1,0))&amp;""),"")</f>
        <v/>
      </c>
      <c r="AG301" s="42">
        <f>IFERROR(TRIM(INDEX($A301:$AB301,MATCH(Lists!$J$5,$A$1:$AB$1,0))&amp;""),"")</f>
        <v/>
      </c>
      <c r="AH301" s="42">
        <f>IFERROR(TRIM(INDEX($A301:$AB301,MATCH(Lists!$J$6,$A$1:$AB$1,0))&amp;""),"")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30" customWidth="1" min="3" max="3"/>
    <col width="3" customWidth="1" min="4" max="4"/>
    <col width="28" customWidth="1" min="5" max="5"/>
    <col width="3" customWidth="1" min="6" max="6"/>
    <col width="14" customWidth="1" min="7" max="7"/>
    <col width="3" customWidth="1" min="8" max="8"/>
    <col width="28" customWidth="1" min="9" max="9"/>
    <col width="50" customWidth="1" min="10" max="10"/>
  </cols>
  <sheetData>
    <row r="1" ht="44" customHeight="1">
      <c r="A1" s="3" t="inlineStr">
        <is>
          <t>Status (edit me)</t>
        </is>
      </c>
      <c r="C1" s="3" t="inlineStr">
        <is>
          <t>Session formats (match your form)</t>
        </is>
      </c>
      <c r="E1" s="3" t="inlineStr">
        <is>
          <t>Pitched at (match your form)</t>
        </is>
      </c>
      <c r="G1" s="3" t="inlineStr">
        <is>
          <t>Blind review</t>
        </is>
      </c>
      <c r="I1" s="3" t="inlineStr">
        <is>
          <t>Column names to look for</t>
        </is>
      </c>
      <c r="J1" s="3" t="inlineStr">
        <is>
          <t>Header in your export (edit if you renamed a question)</t>
        </is>
      </c>
    </row>
    <row r="2">
      <c r="A2" s="21" t="inlineStr">
        <is>
          <t>Shortlist</t>
        </is>
      </c>
      <c r="C2" s="21" t="inlineStr">
        <is>
          <t>Talk (30 min)</t>
        </is>
      </c>
      <c r="E2" s="21" t="inlineStr">
        <is>
          <t>Beginners</t>
        </is>
      </c>
      <c r="G2" s="21" t="inlineStr">
        <is>
          <t>Yes</t>
        </is>
      </c>
      <c r="I2" s="19" t="inlineStr">
        <is>
          <t>Speaker name</t>
        </is>
      </c>
      <c r="J2" s="21" t="inlineStr">
        <is>
          <t>Full name</t>
        </is>
      </c>
    </row>
    <row r="3">
      <c r="A3" s="21" t="inlineStr">
        <is>
          <t>Accept</t>
        </is>
      </c>
      <c r="C3" s="21" t="inlineStr">
        <is>
          <t>Lightning talk (10 min)</t>
        </is>
      </c>
      <c r="E3" s="21" t="inlineStr">
        <is>
          <t>Intermediate</t>
        </is>
      </c>
      <c r="G3" s="21" t="inlineStr">
        <is>
          <t>No</t>
        </is>
      </c>
      <c r="I3" s="19" t="inlineStr">
        <is>
          <t>Company</t>
        </is>
      </c>
      <c r="J3" s="21" t="inlineStr">
        <is>
          <t>Company or organisation</t>
        </is>
      </c>
    </row>
    <row r="4">
      <c r="A4" s="21" t="inlineStr">
        <is>
          <t>Decline</t>
        </is>
      </c>
      <c r="C4" s="21" t="inlineStr">
        <is>
          <t>Workshop (90 min)</t>
        </is>
      </c>
      <c r="E4" s="21" t="inlineStr">
        <is>
          <t>Advanced</t>
        </is>
      </c>
      <c r="I4" s="19" t="inlineStr">
        <is>
          <t>Talk title</t>
        </is>
      </c>
      <c r="J4" s="21" t="inlineStr">
        <is>
          <t>Talk title</t>
        </is>
      </c>
    </row>
    <row r="5">
      <c r="A5" s="21" t="inlineStr">
        <is>
          <t>Waiting</t>
        </is>
      </c>
      <c r="C5" s="21" t="inlineStr">
        <is>
          <t>Panel</t>
        </is>
      </c>
      <c r="E5" s="21" t="inlineStr">
        <is>
          <t>Anyone, really</t>
        </is>
      </c>
      <c r="I5" s="19" t="inlineStr">
        <is>
          <t>Session format</t>
        </is>
      </c>
      <c r="J5" s="21" t="inlineStr">
        <is>
          <t>Session format</t>
        </is>
      </c>
    </row>
    <row r="6">
      <c r="I6" s="19" t="inlineStr">
        <is>
          <t>Pitched at</t>
        </is>
      </c>
      <c r="J6" s="21" t="inlineStr">
        <is>
          <t>Who is it pitched at?</t>
        </is>
      </c>
    </row>
    <row r="8">
      <c r="I8" s="14" t="inlineStr">
        <is>
          <t>The sheet finds columns by these names, so column order does not matter.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2026-10-26T22:46:37Z</dcterms:created>
  <dcterms:modified xmlns:dcterms="http://purl.org/dc/terms/" xmlns:xsi="http://www.w3.org/2001/XMLSchema-instance" xsi:type="dcterms:W3CDTF">2026-10-26T22:46:41Z</dcterms:modified>
</cp:coreProperties>
</file>