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tems" sheetId="2" state="visible" r:id="rId2"/>
    <sheet xmlns:r="http://schemas.openxmlformats.org/officeDocument/2006/relationships" name="Catalogue" sheetId="3" state="visible" r:id="rId3"/>
    <sheet xmlns:r="http://schemas.openxmlformats.org/officeDocument/2006/relationships" name="Bid sheets" sheetId="4" state="visible" r:id="rId4"/>
    <sheet xmlns:r="http://schemas.openxmlformats.org/officeDocument/2006/relationships" name="Thank-you list" sheetId="5" state="visible" r:id="rId5"/>
    <sheet xmlns:r="http://schemas.openxmlformats.org/officeDocument/2006/relationships" name="Lists" sheetId="6" state="visible" r:id="rId6"/>
  </sheets>
  <definedNames>
    <definedName name="_xlnm.Print_Area" localSheetId="2">Catalogue!$A$1:INDEX(Catalogue!$F:$F,3+MAX(1,Catalogue!$I$1))</definedName>
    <definedName name="_xlnm.Print_Titles" localSheetId="2">'Catalogue'!$3:$3</definedName>
    <definedName name="_xlnm.Print_Area" localSheetId="3">'Bid sheets'!$A$1:$D$35</definedName>
    <definedName name="_xlnm.Print_Titles" localSheetId="4">'Thank-you list'!$3:$3</definedName>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b val="1"/>
      <color rgb="00231A2E"/>
      <sz val="18"/>
    </font>
    <font>
      <name val="Arial"/>
      <color rgb="005E5468"/>
      <sz val="11"/>
    </font>
    <font>
      <name val="Arial"/>
      <b val="1"/>
      <color rgb="008A1C12"/>
      <sz val="10"/>
    </font>
    <font>
      <name val="Arial"/>
      <b val="1"/>
      <color rgb="00231A2E"/>
      <sz val="12"/>
    </font>
    <font>
      <name val="Arial"/>
      <b val="1"/>
      <color rgb="00FBF5E9"/>
      <sz val="10"/>
    </font>
    <font>
      <name val="Arial"/>
      <b val="1"/>
      <color rgb="00231A2E"/>
      <sz val="10"/>
    </font>
    <font>
      <name val="Arial"/>
      <b val="1"/>
      <color rgb="00231A2E"/>
      <sz val="11"/>
    </font>
    <font>
      <name val="Arial"/>
      <i val="1"/>
      <color rgb="005E5468"/>
      <sz val="10"/>
    </font>
    <font>
      <name val="Arial"/>
      <color rgb="005E5468"/>
      <sz val="10"/>
    </font>
    <font>
      <name val="Arial"/>
      <color rgb="00231A2E"/>
      <sz val="10"/>
    </font>
    <font>
      <name val="Arial"/>
      <i val="1"/>
      <color rgb="005E5468"/>
      <sz val="9"/>
    </font>
    <font>
      <name val="Arial"/>
      <b val="1"/>
      <color rgb="00231A2E"/>
      <sz val="16"/>
    </font>
    <font>
      <name val="Arial"/>
      <color rgb="005E5468"/>
      <sz val="12"/>
    </font>
    <font>
      <name val="Arial"/>
      <b val="1"/>
      <color rgb="00231A2E"/>
      <sz val="13"/>
    </font>
    <font>
      <name val="Arial"/>
      <color rgb="00231A2E"/>
      <sz val="11"/>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5E5468"/>
      </patternFill>
    </fill>
    <fill>
      <patternFill patternType="solid">
        <fgColor rgb="007A4A00"/>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6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center" wrapText="1"/>
    </xf>
    <xf numFmtId="0" fontId="6" fillId="0" borderId="1" applyAlignment="1" pivotButton="0" quotePrefix="0" xfId="0">
      <alignment vertical="center" wrapText="1"/>
    </xf>
    <xf numFmtId="0" fontId="7" fillId="3" borderId="1" applyAlignment="1" pivotButton="0" quotePrefix="0" xfId="0">
      <alignment horizontal="center" vertical="center"/>
    </xf>
    <xf numFmtId="0" fontId="8" fillId="0" borderId="1" applyAlignment="1" pivotButton="0" quotePrefix="0" xfId="0">
      <alignment horizontal="center" vertical="center"/>
    </xf>
    <xf numFmtId="0" fontId="7" fillId="4" borderId="1" applyAlignment="1" pivotButton="0" quotePrefix="0" xfId="0">
      <alignment horizontal="center" vertical="center"/>
    </xf>
    <xf numFmtId="0" fontId="9" fillId="0" borderId="1" applyAlignment="1" pivotButton="0" quotePrefix="0" xfId="0">
      <alignment vertical="center" wrapText="1"/>
    </xf>
    <xf numFmtId="9" fontId="7" fillId="3" borderId="1" applyAlignment="1" pivotButton="0" quotePrefix="0" xfId="0">
      <alignment horizontal="center" vertical="center"/>
    </xf>
    <xf numFmtId="9" fontId="8" fillId="0" borderId="1" applyAlignment="1" pivotButton="0" quotePrefix="0" xfId="0">
      <alignment horizontal="center" vertical="center"/>
    </xf>
    <xf numFmtId="9" fontId="7" fillId="4" borderId="1" applyAlignment="1" pivotButton="0" quotePrefix="0" xfId="0">
      <alignment horizontal="center" vertical="center"/>
    </xf>
    <xf numFmtId="3" fontId="7" fillId="3" borderId="1" applyAlignment="1" pivotButton="0" quotePrefix="0" xfId="0">
      <alignment horizontal="center" vertical="center"/>
    </xf>
    <xf numFmtId="3" fontId="8" fillId="0" borderId="1" applyAlignment="1" pivotButton="0" quotePrefix="0" xfId="0">
      <alignment horizontal="center" vertical="center"/>
    </xf>
    <xf numFmtId="3" fontId="7" fillId="4" borderId="1" applyAlignment="1" pivotButton="0" quotePrefix="0" xfId="0">
      <alignment horizontal="center" vertical="center"/>
    </xf>
    <xf numFmtId="1" fontId="7" fillId="3" borderId="1" applyAlignment="1" pivotButton="0" quotePrefix="0" xfId="0">
      <alignment horizontal="center" vertical="center"/>
    </xf>
    <xf numFmtId="1" fontId="8" fillId="0" borderId="1" applyAlignment="1" pivotButton="0" quotePrefix="0" xfId="0">
      <alignment horizontal="center" vertical="center"/>
    </xf>
    <xf numFmtId="1" fontId="7" fillId="4" borderId="1" applyAlignment="1" pivotButton="0" quotePrefix="0" xfId="0">
      <alignment horizontal="center" vertical="center"/>
    </xf>
    <xf numFmtId="0" fontId="0" fillId="0" borderId="4" pivotButton="0" quotePrefix="0" xfId="0"/>
    <xf numFmtId="0" fontId="0" fillId="0" borderId="5" pivotButton="0" quotePrefix="0" xfId="0"/>
    <xf numFmtId="0" fontId="4" fillId="0" borderId="1" applyAlignment="1" pivotButton="0" quotePrefix="0" xfId="0">
      <alignment horizontal="center" vertical="top"/>
    </xf>
    <xf numFmtId="0" fontId="6" fillId="0" borderId="1" applyAlignment="1" pivotButton="0" quotePrefix="0" xfId="0">
      <alignment vertical="top" wrapText="1"/>
    </xf>
    <xf numFmtId="0" fontId="10" fillId="0" borderId="1" applyAlignment="1" pivotButton="0" quotePrefix="0" xfId="0">
      <alignment vertical="top" wrapText="1"/>
    </xf>
    <xf numFmtId="0" fontId="0" fillId="0" borderId="1" pivotButton="0" quotePrefix="0" xfId="0"/>
    <xf numFmtId="0" fontId="6" fillId="3" borderId="1" pivotButton="0" quotePrefix="0" xfId="0"/>
    <xf numFmtId="0" fontId="10" fillId="0" borderId="0" pivotButton="0" quotePrefix="0" xfId="0"/>
    <xf numFmtId="0" fontId="6" fillId="4" borderId="1" pivotButton="0" quotePrefix="0" xfId="0"/>
    <xf numFmtId="0" fontId="5" fillId="2" borderId="1" pivotButton="0" quotePrefix="0" xfId="0"/>
    <xf numFmtId="0" fontId="10" fillId="0" borderId="0" applyAlignment="1" pivotButton="0" quotePrefix="0" xfId="0">
      <alignment vertical="top" wrapText="1"/>
    </xf>
    <xf numFmtId="0" fontId="3" fillId="5" borderId="0" applyAlignment="1" pivotButton="0" quotePrefix="0" xfId="0">
      <alignment vertical="top" wrapText="1"/>
    </xf>
    <xf numFmtId="0" fontId="11" fillId="0" borderId="0" pivotButton="0" quotePrefix="0" xfId="0"/>
    <xf numFmtId="0" fontId="5" fillId="6" borderId="1" applyAlignment="1" pivotButton="0" quotePrefix="0" xfId="0">
      <alignment vertical="center" wrapText="1"/>
    </xf>
    <xf numFmtId="0" fontId="5" fillId="7" borderId="1" applyAlignment="1" pivotButton="0" quotePrefix="0" xfId="0">
      <alignment vertical="center" wrapText="1"/>
    </xf>
    <xf numFmtId="0" fontId="8" fillId="0" borderId="0" pivotButton="0" quotePrefix="0" xfId="0"/>
    <xf numFmtId="0" fontId="10" fillId="4" borderId="1" applyAlignment="1" pivotButton="0" quotePrefix="0" xfId="0">
      <alignment horizontal="center"/>
    </xf>
    <xf numFmtId="0" fontId="10" fillId="4" borderId="1" pivotButton="0" quotePrefix="0" xfId="0"/>
    <xf numFmtId="3" fontId="10" fillId="4" borderId="1" applyAlignment="1" pivotButton="0" quotePrefix="0" xfId="0">
      <alignment horizontal="center"/>
    </xf>
    <xf numFmtId="0" fontId="12" fillId="0" borderId="0" pivotButton="0" quotePrefix="0" xfId="0"/>
    <xf numFmtId="0" fontId="6" fillId="4" borderId="1" applyAlignment="1" pivotButton="0" quotePrefix="0" xfId="0">
      <alignment horizontal="center"/>
    </xf>
    <xf numFmtId="0" fontId="7" fillId="0" borderId="1" applyAlignment="1" pivotButton="0" quotePrefix="0" xfId="0">
      <alignment horizontal="center" vertical="top"/>
    </xf>
    <xf numFmtId="3" fontId="10" fillId="0" borderId="1" applyAlignment="1" pivotButton="0" quotePrefix="0" xfId="0">
      <alignment horizontal="center" vertical="top"/>
    </xf>
    <xf numFmtId="0" fontId="13" fillId="0" borderId="0" pivotButton="0" quotePrefix="0" xfId="0"/>
    <xf numFmtId="0" fontId="4" fillId="0" borderId="0" applyAlignment="1" pivotButton="0" quotePrefix="0" xfId="0">
      <alignment vertical="center"/>
    </xf>
    <xf numFmtId="0" fontId="12" fillId="3" borderId="1" applyAlignment="1" pivotButton="0" quotePrefix="0" xfId="0">
      <alignment horizontal="center" vertical="center"/>
    </xf>
    <xf numFmtId="0" fontId="14" fillId="4" borderId="1" applyAlignment="1" pivotButton="0" quotePrefix="0" xfId="0">
      <alignment horizontal="left" vertical="top" wrapText="1"/>
    </xf>
    <xf numFmtId="0" fontId="0" fillId="4" borderId="1" pivotButton="0" quotePrefix="0" xfId="0"/>
    <xf numFmtId="0" fontId="9" fillId="5" borderId="0" applyAlignment="1" pivotButton="0" quotePrefix="0" xfId="0">
      <alignment vertical="top" wrapText="1"/>
    </xf>
    <xf numFmtId="0" fontId="15" fillId="4" borderId="1" applyAlignment="1" pivotButton="0" quotePrefix="0" xfId="0">
      <alignment horizontal="left" vertical="top" wrapText="1"/>
    </xf>
    <xf numFmtId="3" fontId="15" fillId="4" borderId="1" applyAlignment="1" pivotButton="0" quotePrefix="0" xfId="0">
      <alignment horizontal="center" vertical="top" wrapText="1"/>
    </xf>
    <xf numFmtId="3" fontId="7" fillId="4" borderId="1" applyAlignment="1" pivotButton="0" quotePrefix="0" xfId="0">
      <alignment horizontal="center" vertical="top" wrapText="1"/>
    </xf>
    <xf numFmtId="0" fontId="3" fillId="0" borderId="0" applyAlignment="1" pivotButton="0" quotePrefix="0" xfId="0">
      <alignment vertical="top" wrapText="1"/>
    </xf>
    <xf numFmtId="0" fontId="15" fillId="4" borderId="1" applyAlignment="1" pivotButton="0" quotePrefix="0" xfId="0">
      <alignment horizontal="center" vertical="center"/>
    </xf>
    <xf numFmtId="3" fontId="15" fillId="4" borderId="1" applyAlignment="1" pivotButton="0" quotePrefix="0" xfId="0">
      <alignment horizontal="center" vertical="center"/>
    </xf>
    <xf numFmtId="0" fontId="15" fillId="0" borderId="1" pivotButton="0" quotePrefix="0" xfId="0"/>
    <xf numFmtId="0" fontId="11" fillId="0" borderId="0" applyAlignment="1" pivotButton="0" quotePrefix="0" xfId="0">
      <alignment vertical="top" wrapText="1"/>
    </xf>
    <xf numFmtId="0" fontId="9" fillId="0" borderId="0" pivotButton="0" quotePrefix="0" xfId="0"/>
    <xf numFmtId="0" fontId="5" fillId="8" borderId="1" applyAlignment="1" pivotButton="0" quotePrefix="0" xfId="0">
      <alignment vertical="center" wrapText="1"/>
    </xf>
    <xf numFmtId="0" fontId="6" fillId="0" borderId="0" pivotButton="0" quotePrefix="0" xfId="0"/>
    <xf numFmtId="0" fontId="10" fillId="3" borderId="1" applyAlignment="1" pivotButton="0" quotePrefix="0" xfId="0">
      <alignment horizontal="center"/>
    </xf>
    <xf numFmtId="0" fontId="10" fillId="3" borderId="1" pivotButton="0" quotePrefix="0" xfId="0"/>
    <xf numFmtId="0" fontId="10" fillId="0" borderId="1" pivotButton="0" quotePrefix="0" xfId="0"/>
  </cellXfs>
  <cellStyles count="1">
    <cellStyle name="Normal" xfId="0" builtinId="0" hidden="0"/>
  </cellStyles>
  <dxfs count="1">
    <dxf>
      <fill>
        <patternFill patternType="solid">
          <fgColor rgb="00E4DEFA"/>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D9" authorId="0" shapeId="0">
      <text>
        <t>Your choice, not a rule. Type a share such as 50% or 0.5. Leave empty and the opening bids stay blank.</t>
      </text>
    </comment>
  </commentList>
</comments>
</file>

<file path=xl/comments/comment2.xml><?xml version="1.0" encoding="utf-8"?>
<comments xmlns="http://schemas.openxmlformats.org/spreadsheetml/2006/main">
  <authors>
    <author>HornetForms</author>
  </authors>
  <commentList>
    <comment ref="A1" authorId="0" shapeId="0">
      <text>
        <t>Paste your HornetForms CSV here, starting at this cell, headers included. Rows 2 to 11 are EXAMPLE data: clear A2 to T11 first.</t>
      </text>
    </comment>
    <comment ref="AB1" authorId="0" shapeId="0">
      <text>
        <t>Grey columns are worked out for you from the pasted export. Please do not type here. Item numbers follow Submitted at, oldest first.</t>
      </text>
    </comment>
    <comment ref="AJ1" authorId="0" shapeId="0">
      <text>
        <t>OK, or what is missing: no value (blank or 0) or a short description. Set the length on Start here.</t>
      </text>
    </comment>
  </commentList>
</comments>
</file>

<file path=xl/comments/comment3.xml><?xml version="1.0" encoding="utf-8"?>
<comments xmlns="http://schemas.openxmlformats.org/spreadsheetml/2006/main">
  <authors>
    <author>HornetForms</author>
  </authors>
  <commentList>
    <comment ref="C3" authorId="0" shapeId="0">
      <text>
        <t>Type an item number from the Catalogue tab, then print this tab. Repeat for each item.</t>
      </text>
    </comment>
  </commentList>
</comments>
</file>

<file path=xl/comments/comment4.xml><?xml version="1.0" encoding="utf-8"?>
<comments xmlns="http://schemas.openxmlformats.org/spreadsheetml/2006/main">
  <authors>
    <author>HornetForms</author>
  </authors>
  <commentList>
    <comment ref="G3" authorId="0" shapeId="0">
      <text>
        <t>Pick Yes once you have sent a thank-you. Each row belongs to an item number, which stays the same when you paste a newer export (see Start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231A2E"/>
    <outlinePr summaryBelow="1" summaryRight="1"/>
    <pageSetUpPr/>
  </sheetPr>
  <dimension ref="B2:G44"/>
  <sheetViews>
    <sheetView showGridLines="0" workbookViewId="0">
      <selection activeCell="A1" sqref="A1"/>
    </sheetView>
  </sheetViews>
  <sheetFormatPr baseColWidth="8" defaultRowHeight="15"/>
  <cols>
    <col width="3" customWidth="1" min="1" max="1"/>
    <col width="6" customWidth="1" min="2" max="2"/>
    <col width="40" customWidth="1" min="3" max="3"/>
    <col width="16" customWidth="1" min="4" max="4"/>
    <col width="18" customWidth="1" min="5" max="5"/>
    <col width="14" customWidth="1" min="6" max="6"/>
    <col width="70" customWidth="1" min="7" max="7"/>
  </cols>
  <sheetData>
    <row r="2">
      <c r="B2" s="1" t="inlineStr">
        <is>
          <t>Silent auction workbook</t>
        </is>
      </c>
    </row>
    <row r="3">
      <c r="B3" s="2" t="inlineStr">
        <is>
          <t>Turn donation form answers into a catalogue, bid sheets and a thank-you list. Works in Excel and Google Sheets.</t>
        </is>
      </c>
    </row>
    <row r="4">
      <c r="B4" s="3">
        <f>IF(COUNTIF(Items!$A$2:$A$201,"EXAMPLE*")&gt;0,"You are looking at EXAMPLE data. Clear A2 to T11 on Items, then paste your own export.","")</f>
        <v/>
      </c>
    </row>
    <row r="5">
      <c r="B5" s="3">
        <f>IF(AND(COUNTIF(Items!$A$2:$A$201,"EXAMPLE*")=0,COUNT(D9:D14)&lt;6),"Type your opening bid share and bid steps in the yellow cells. Until you do, opening bids stay blank.","")</f>
        <v/>
      </c>
    </row>
    <row r="6" ht="58" customHeight="1">
      <c r="B6" s="4" t="inlineStr">
        <is>
          <t>Your settings</t>
        </is>
      </c>
      <c r="C6" s="5" t="inlineStr">
        <is>
          <t>Setting</t>
        </is>
      </c>
      <c r="D6" s="5" t="inlineStr">
        <is>
          <t>Your value</t>
        </is>
      </c>
      <c r="E6" s="5" t="inlineStr">
        <is>
          <t>Example (used only while the EXAMPLE rows are on Items)</t>
        </is>
      </c>
      <c r="F6" s="5" t="inlineStr">
        <is>
          <t>In use</t>
        </is>
      </c>
      <c r="G6" s="5" t="inlineStr">
        <is>
          <t>What it does</t>
        </is>
      </c>
    </row>
    <row r="7" ht="30" customHeight="1">
      <c r="C7" s="6" t="inlineStr">
        <is>
          <t>Event name</t>
        </is>
      </c>
      <c r="D7" s="7" t="n"/>
      <c r="E7" s="8" t="inlineStr">
        <is>
          <t>Our silent auction</t>
        </is>
      </c>
      <c r="F7" s="9">
        <f>IF(TRIM(D7&amp;"")="",E7,D7)</f>
        <v/>
      </c>
      <c r="G7" s="10" t="inlineStr">
        <is>
          <t>Printed at the top of the catalogue and every bid sheet.</t>
        </is>
      </c>
    </row>
    <row r="8" ht="30" customHeight="1">
      <c r="C8" s="6" t="inlineStr">
        <is>
          <t>Currency symbol</t>
        </is>
      </c>
      <c r="D8" s="7" t="n"/>
      <c r="E8" s="8" t="inlineStr">
        <is>
          <t>$</t>
        </is>
      </c>
      <c r="F8" s="9">
        <f>IF(TRIM(D8&amp;"")="",E8,D8)</f>
        <v/>
      </c>
      <c r="G8" s="10" t="inlineStr">
        <is>
          <t>Shown in the column names, for example Opening bid ($).</t>
        </is>
      </c>
    </row>
    <row r="9" ht="30" customHeight="1">
      <c r="C9" s="6" t="inlineStr">
        <is>
          <t>Opening bid as a share of the value</t>
        </is>
      </c>
      <c r="D9" s="11" t="n"/>
      <c r="E9" s="12" t="n">
        <v>0.4</v>
      </c>
      <c r="F9" s="13">
        <f>IF(ISNUMBER(D9),D9,IF(COUNTIF(Items!$A$2:$A$201,"EXAMPLE*")&gt;0,E9,""))</f>
        <v/>
      </c>
      <c r="G9" s="10" t="inlineStr">
        <is>
          <t>Your choice, not a rule. Type your own share, for example 50%. The opening bid is the estimated value times this share, rounded up to the bid increment.</t>
        </is>
      </c>
    </row>
    <row r="10" ht="30" customHeight="1">
      <c r="C10" s="6" t="inlineStr">
        <is>
          <t>Small items: value under</t>
        </is>
      </c>
      <c r="D10" s="14" t="n"/>
      <c r="E10" s="15" t="n">
        <v>100</v>
      </c>
      <c r="F10" s="16">
        <f>IF(ISNUMBER(D10),D10,IF(COUNTIF(Items!$A$2:$A$201,"EXAMPLE*")&gt;0,E10,""))</f>
        <v/>
      </c>
      <c r="G10" s="10" t="inlineStr">
        <is>
          <t>Items worth less than this use the small step.</t>
        </is>
      </c>
    </row>
    <row r="11" ht="30" customHeight="1">
      <c r="C11" s="6" t="inlineStr">
        <is>
          <t>Small items: raise bids by</t>
        </is>
      </c>
      <c r="D11" s="14" t="n"/>
      <c r="E11" s="15" t="n">
        <v>5</v>
      </c>
      <c r="F11" s="16">
        <f>IF(ISNUMBER(D11),D11,IF(COUNTIF(Items!$A$2:$A$201,"EXAMPLE*")&gt;0,E11,""))</f>
        <v/>
      </c>
      <c r="G11" s="10" t="inlineStr">
        <is>
          <t>The bid increment for small items.</t>
        </is>
      </c>
    </row>
    <row r="12" ht="30" customHeight="1">
      <c r="C12" s="6" t="inlineStr">
        <is>
          <t>Medium items: value under</t>
        </is>
      </c>
      <c r="D12" s="14" t="n"/>
      <c r="E12" s="15" t="n">
        <v>500</v>
      </c>
      <c r="F12" s="16">
        <f>IF(ISNUMBER(D12),D12,IF(COUNTIF(Items!$A$2:$A$201,"EXAMPLE*")&gt;0,E12,""))</f>
        <v/>
      </c>
      <c r="G12" s="10" t="inlineStr">
        <is>
          <t>Items worth at least the small limit and less than this use the medium step.</t>
        </is>
      </c>
    </row>
    <row r="13" ht="30" customHeight="1">
      <c r="C13" s="6" t="inlineStr">
        <is>
          <t>Medium items: raise bids by</t>
        </is>
      </c>
      <c r="D13" s="14" t="n"/>
      <c r="E13" s="15" t="n">
        <v>10</v>
      </c>
      <c r="F13" s="16">
        <f>IF(ISNUMBER(D13),D13,IF(COUNTIF(Items!$A$2:$A$201,"EXAMPLE*")&gt;0,E13,""))</f>
        <v/>
      </c>
      <c r="G13" s="10" t="inlineStr">
        <is>
          <t>The bid increment for medium items.</t>
        </is>
      </c>
    </row>
    <row r="14" ht="30" customHeight="1">
      <c r="C14" s="6" t="inlineStr">
        <is>
          <t>Larger items: raise bids by</t>
        </is>
      </c>
      <c r="D14" s="14" t="n"/>
      <c r="E14" s="15" t="n">
        <v>25</v>
      </c>
      <c r="F14" s="16">
        <f>IF(ISNUMBER(D14),D14,IF(COUNTIF(Items!$A$2:$A$201,"EXAMPLE*")&gt;0,E14,""))</f>
        <v/>
      </c>
      <c r="G14" s="10" t="inlineStr">
        <is>
          <t>The bid increment for everything else.</t>
        </is>
      </c>
    </row>
    <row r="15" ht="30" customHeight="1">
      <c r="C15" s="6" t="inlineStr">
        <is>
          <t>Flag descriptions shorter than (characters)</t>
        </is>
      </c>
      <c r="D15" s="17" t="n"/>
      <c r="E15" s="18" t="n">
        <v>40</v>
      </c>
      <c r="F15" s="19">
        <f>IF(ISNUMBER(D15),D15,IF(COUNTIF(Items!$A$2:$A$201,"EXAMPLE*")&gt;0,E15,""))</f>
        <v/>
      </c>
      <c r="G15" s="10" t="inlineStr">
        <is>
          <t>Short descriptions get a flag on Items, so you can ask the donor for more.</t>
        </is>
      </c>
    </row>
    <row r="17">
      <c r="B17" s="5" t="inlineStr">
        <is>
          <t>Step</t>
        </is>
      </c>
      <c r="C17" s="5" t="inlineStr">
        <is>
          <t>What to do</t>
        </is>
      </c>
      <c r="D17" s="5" t="inlineStr">
        <is>
          <t>How</t>
        </is>
      </c>
      <c r="E17" s="20" t="n"/>
      <c r="F17" s="20" t="n"/>
      <c r="G17" s="21" t="n"/>
    </row>
    <row r="18" ht="51" customHeight="1">
      <c r="B18" s="22" t="n">
        <v>1</v>
      </c>
      <c r="C18" s="23" t="inlineStr">
        <is>
          <t>Fill in your settings</t>
        </is>
      </c>
      <c r="D18" s="24" t="inlineStr">
        <is>
          <t>Use the yellow cells above: event name, currency symbol, opening bid share and the bid steps. These are your choices. The example column only shows how it works and is used only while the EXAMPLE rows are on Items.</t>
        </is>
      </c>
      <c r="E18" s="25" t="n"/>
      <c r="F18" s="25" t="n"/>
      <c r="G18" s="25" t="n"/>
    </row>
    <row r="19" ht="32" customHeight="1">
      <c r="B19" s="22" t="n">
        <v>2</v>
      </c>
      <c r="C19" s="23" t="inlineStr">
        <is>
          <t>Get your donations out of HornetForms</t>
        </is>
      </c>
      <c r="D19" s="24" t="inlineStr">
        <is>
          <t>Download the CSV from your form's Responses page.</t>
        </is>
      </c>
      <c r="E19" s="25" t="n"/>
      <c r="F19" s="25" t="n"/>
      <c r="G19" s="25" t="n"/>
    </row>
    <row r="20" ht="36" customHeight="1">
      <c r="B20" s="22" t="n">
        <v>3</v>
      </c>
      <c r="C20" s="23" t="inlineStr">
        <is>
          <t>Paste them on Items</t>
        </is>
      </c>
      <c r="D20" s="24" t="inlineStr">
        <is>
          <t>On Items, clear A2 to T11 (the EXAMPLE rows), then click A1 and paste your CSV, headers included.</t>
        </is>
      </c>
      <c r="E20" s="25" t="n"/>
      <c r="F20" s="25" t="n"/>
      <c r="G20" s="25" t="n"/>
    </row>
    <row r="21" ht="36" customHeight="1">
      <c r="B21" s="22" t="n">
        <v>4</v>
      </c>
      <c r="C21" s="23" t="inlineStr">
        <is>
          <t>Check each item</t>
        </is>
      </c>
      <c r="D21" s="24" t="inlineStr">
        <is>
          <t>Grey columns to the right of the paste area show the item number, opening bid and credit line. "Check this item" flags a missing value or a short description, so you know whom to ask.</t>
        </is>
      </c>
      <c r="E21" s="25" t="n"/>
      <c r="F21" s="25" t="n"/>
      <c r="G21" s="25" t="n"/>
    </row>
    <row r="22" ht="32" customHeight="1">
      <c r="B22" s="22" t="n">
        <v>5</v>
      </c>
      <c r="C22" s="23" t="inlineStr">
        <is>
          <t>Print the catalogue</t>
        </is>
      </c>
      <c r="D22" s="24" t="inlineStr">
        <is>
          <t>The Catalogue tab lists every item by number. It prints to the page width.</t>
        </is>
      </c>
      <c r="E22" s="25" t="n"/>
      <c r="F22" s="25" t="n"/>
      <c r="G22" s="25" t="n"/>
    </row>
    <row r="23" ht="36" customHeight="1">
      <c r="B23" s="22" t="n">
        <v>6</v>
      </c>
      <c r="C23" s="23" t="inlineStr">
        <is>
          <t>Print the bid sheets</t>
        </is>
      </c>
      <c r="D23" s="24" t="inlineStr">
        <is>
          <t>On Bid sheets, type an item number in the yellow cell and print. Change the number and print again for each item. Short on time? Print the blank bid sheet PDF and fill it in by hand.</t>
        </is>
      </c>
      <c r="E23" s="25" t="n"/>
      <c r="F23" s="25" t="n"/>
      <c r="G23" s="25" t="n"/>
    </row>
    <row r="24" ht="32" customHeight="1">
      <c r="B24" s="22" t="n">
        <v>7</v>
      </c>
      <c r="C24" s="23" t="inlineStr">
        <is>
          <t>Say thank you</t>
        </is>
      </c>
      <c r="D24" s="24" t="inlineStr">
        <is>
          <t>Thank-you list shows every donor with their email. Mark "Thank-you sent" as you go.</t>
        </is>
      </c>
      <c r="E24" s="25" t="n"/>
      <c r="F24" s="25" t="n"/>
      <c r="G24" s="25" t="n"/>
    </row>
    <row r="26">
      <c r="B26" s="4" t="inlineStr">
        <is>
          <t>Colour key</t>
        </is>
      </c>
    </row>
    <row r="27">
      <c r="C27" s="26" t="inlineStr">
        <is>
          <t>Yellow</t>
        </is>
      </c>
      <c r="D27" s="27" t="inlineStr">
        <is>
          <t>You type or pick here.</t>
        </is>
      </c>
    </row>
    <row r="28">
      <c r="C28" s="28" t="inlineStr">
        <is>
          <t>Grey</t>
        </is>
      </c>
      <c r="D28" s="27" t="inlineStr">
        <is>
          <t>Worked out for you. Please do not type here.</t>
        </is>
      </c>
    </row>
    <row r="29">
      <c r="C29" s="29" t="inlineStr">
        <is>
          <t>Dark</t>
        </is>
      </c>
      <c r="D29" s="27" t="inlineStr">
        <is>
          <t>Column names. Keep the pasted headers as they come from HornetForms.</t>
        </is>
      </c>
    </row>
    <row r="31">
      <c r="B31" s="4" t="inlineStr">
        <is>
          <t>Good to know</t>
        </is>
      </c>
    </row>
    <row r="32" ht="34" customHeight="1">
      <c r="C32" s="30" t="inlineStr">
        <is>
          <t>Item numbers follow the order donations came in, oldest first. Pasting a newer export keeps the old numbers. Deleting a donation moves the numbers after it, so print bid sheets once the list is final.</t>
        </is>
      </c>
    </row>
    <row r="33" ht="34" customHeight="1">
      <c r="C33" s="30" t="inlineStr">
        <is>
          <t>The bid increment depends on the estimated value. The opening bid is the value times your share, rounded up to the increment, and never less than one increment.</t>
        </is>
      </c>
    </row>
    <row r="34" ht="28" customHeight="1">
      <c r="C34" s="30" t="inlineStr">
        <is>
          <t>Each line on a bid sheet shows a minimum bid, one increment above the line before. A bid must also beat the bid above it.</t>
        </is>
      </c>
    </row>
    <row r="35" ht="34" customHeight="1">
      <c r="C35" s="30" t="inlineStr">
        <is>
          <t>The credit line uses the catalogue name when the donor picked "Use a different name", the business name for a business, and the donor's name otherwise. It stays blank for "No public credit, please".</t>
        </is>
      </c>
    </row>
    <row r="36" ht="28" customHeight="1">
      <c r="C36" s="30" t="inlineStr">
        <is>
          <t>Values are the donor's own estimate. Check any that look off before you print.</t>
        </is>
      </c>
    </row>
    <row r="37" ht="28" customHeight="1">
      <c r="C37" s="30" t="inlineStr">
        <is>
          <t>The bid sheets are paper sheets for the night: bidders write their bidder number and bid by hand.</t>
        </is>
      </c>
    </row>
    <row r="38" ht="28" customHeight="1">
      <c r="C38" s="30" t="inlineStr">
        <is>
          <t>Items and Thank-you list hold donors' emails and phone numbers. Keep this file where only the committee can open it.</t>
        </is>
      </c>
    </row>
    <row r="39" ht="28" customHeight="1">
      <c r="C39" s="30" t="inlineStr">
        <is>
          <t>There is room for 200 items.</t>
        </is>
      </c>
    </row>
    <row r="41">
      <c r="B41" s="4" t="inlineStr">
        <is>
          <t>Example data</t>
        </is>
      </c>
    </row>
    <row r="42" ht="32" customHeight="1">
      <c r="C42" s="31" t="inlineStr">
        <is>
          <t>Rows 2 to 11 on Items are EXAMPLE data: the items, donors, emails (example.com) and phone numbers (555-01xx) are made up. Their Response IDs start with EXAMPLE. Clear them before you paste your own.</t>
        </is>
      </c>
    </row>
    <row r="44">
      <c r="C44" s="32" t="inlineStr">
        <is>
          <t>Made with HornetForms, https://hornetforms.com/blog/silent-auction-donation-form</t>
        </is>
      </c>
    </row>
  </sheetData>
  <mergeCells count="17">
    <mergeCell ref="D22:G22"/>
    <mergeCell ref="D23:G23"/>
    <mergeCell ref="D18:G18"/>
    <mergeCell ref="C35:G35"/>
    <mergeCell ref="D17:G17"/>
    <mergeCell ref="C34:G34"/>
    <mergeCell ref="C32:G32"/>
    <mergeCell ref="C38:G38"/>
    <mergeCell ref="C42:G42"/>
    <mergeCell ref="D20:G20"/>
    <mergeCell ref="C33:G33"/>
    <mergeCell ref="D21:G21"/>
    <mergeCell ref="D24:G24"/>
    <mergeCell ref="C37:G37"/>
    <mergeCell ref="D19:G19"/>
    <mergeCell ref="C36:G36"/>
    <mergeCell ref="C39:G39"/>
  </mergeCells>
  <dataValidations count="2">
    <dataValidation sqref="D9" showDropDown="0" showInputMessage="0" showErrorMessage="1" allowBlank="0" errorTitle="Opening bid share" error="Type a share between 1% and 100%." type="decimal" errorStyle="warning" operator="between">
      <formula1>0.01</formula1>
      <formula2>1</formula2>
    </dataValidation>
    <dataValidation sqref="D10 D11 D12 D13 D14 D15" showDropDown="0" showInputMessage="0" showErrorMessage="1" allowBlank="0" errorTitle="Number" error="Type a number greater than 0." type="decimal" errorStyle="warning" operator="greaterThan">
      <formula1>0</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tabColor rgb="00F5B83D"/>
    <outlinePr summaryBelow="1" summaryRight="1"/>
    <pageSetUpPr/>
  </sheetPr>
  <dimension ref="A1:AS2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24"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22" customWidth="1" min="25" max="25"/>
    <col width="22" customWidth="1" min="26" max="26"/>
    <col width="2" customWidth="1" min="27" max="27"/>
    <col width="10" customWidth="1" min="28" max="28"/>
    <col width="30" customWidth="1" min="29" max="29"/>
    <col width="40" customWidth="1" min="30" max="30"/>
    <col width="26" customWidth="1" min="31" max="31"/>
    <col width="13" customWidth="1" min="32" max="32"/>
    <col width="13" customWidth="1" min="33" max="33"/>
    <col width="13" customWidth="1" min="34" max="34"/>
    <col width="26" customWidth="1" min="35" max="35"/>
    <col width="24" customWidth="1" min="36" max="36"/>
    <col width="20" customWidth="1" min="37" max="37"/>
    <col width="22" customWidth="1" min="38" max="38"/>
    <col width="24" customWidth="1" min="39" max="39"/>
    <col width="22" customWidth="1" min="40" max="40"/>
    <col width="24" customWidth="1" min="41" max="41"/>
    <col width="20" customWidth="1" min="42" max="42"/>
    <col width="20" customWidth="1" min="43" max="43"/>
    <col width="10" customWidth="1" min="44" max="44"/>
    <col width="12" customWidth="1" min="45" max="45"/>
  </cols>
  <sheetData>
    <row r="1" ht="48" customHeight="1">
      <c r="A1" s="5" t="inlineStr">
        <is>
          <t>Response ID</t>
        </is>
      </c>
      <c r="B1" s="5" t="inlineStr">
        <is>
          <t>Submitted at</t>
        </is>
      </c>
      <c r="C1" s="5" t="inlineStr">
        <is>
          <t>Started at</t>
        </is>
      </c>
      <c r="D1" s="5" t="inlineStr">
        <is>
          <t>Who is donating?</t>
        </is>
      </c>
      <c r="E1" s="5" t="inlineStr">
        <is>
          <t>Business or organisation name</t>
        </is>
      </c>
      <c r="F1" s="5" t="inlineStr">
        <is>
          <t>Your name</t>
        </is>
      </c>
      <c r="G1" s="5" t="inlineStr">
        <is>
          <t>Email</t>
        </is>
      </c>
      <c r="H1" s="5" t="inlineStr">
        <is>
          <t>Phone</t>
        </is>
      </c>
      <c r="I1" s="5" t="inlineStr">
        <is>
          <t>How should we credit you?</t>
        </is>
      </c>
      <c r="J1" s="5" t="inlineStr">
        <is>
          <t>Name to print in the catalogue</t>
        </is>
      </c>
      <c r="K1" s="5" t="inlineStr">
        <is>
          <t>Business logo for the catalogue</t>
        </is>
      </c>
      <c r="L1" s="5" t="inlineStr">
        <is>
          <t>source</t>
        </is>
      </c>
      <c r="M1" s="5" t="inlineStr">
        <is>
          <t>Item name</t>
        </is>
      </c>
      <c r="N1" s="5" t="inlineStr">
        <is>
          <t>Describe the item as bidders should read it</t>
        </is>
      </c>
      <c r="O1" s="5" t="inlineStr">
        <is>
          <t>Estimated value</t>
        </is>
      </c>
      <c r="P1" s="5" t="inlineStr">
        <is>
          <t>Restrictions or expiry</t>
        </is>
      </c>
      <c r="Q1" s="5" t="inlineStr">
        <is>
          <t>Photo of the item</t>
        </is>
      </c>
      <c r="R1" s="5" t="inlineStr">
        <is>
          <t>How will the item reach us?</t>
        </is>
      </c>
      <c r="S1" s="5" t="inlineStr">
        <is>
          <t>Pickup address and best times</t>
        </is>
      </c>
      <c r="T1" s="5" t="inlineStr">
        <is>
          <t>Form version</t>
        </is>
      </c>
      <c r="U1" s="5" t="n"/>
      <c r="V1" s="5" t="n"/>
      <c r="W1" s="5" t="n"/>
      <c r="X1" s="5" t="n"/>
      <c r="Y1" s="5" t="n"/>
      <c r="Z1" s="5" t="n"/>
      <c r="AA1" s="33" t="n"/>
      <c r="AB1" s="34" t="inlineStr">
        <is>
          <t>Item number (worked out)</t>
        </is>
      </c>
      <c r="AC1" s="34" t="inlineStr">
        <is>
          <t>Item (worked out)</t>
        </is>
      </c>
      <c r="AD1" s="34" t="inlineStr">
        <is>
          <t>Description (worked out)</t>
        </is>
      </c>
      <c r="AE1" s="34" t="inlineStr">
        <is>
          <t>Restrictions or expiry (worked out)</t>
        </is>
      </c>
      <c r="AF1" s="34" t="inlineStr">
        <is>
          <t>Estimated value (worked out)</t>
        </is>
      </c>
      <c r="AG1" s="34" t="inlineStr">
        <is>
          <t>Bid increment (worked out)</t>
        </is>
      </c>
      <c r="AH1" s="34" t="inlineStr">
        <is>
          <t>Opening bid (worked out)</t>
        </is>
      </c>
      <c r="AI1" s="34" t="inlineStr">
        <is>
          <t>Credit line (worked out)</t>
        </is>
      </c>
      <c r="AJ1" s="34" t="inlineStr">
        <is>
          <t>Check this item (worked out)</t>
        </is>
      </c>
      <c r="AK1" s="34" t="inlineStr">
        <is>
          <t>Donor name (worked out)</t>
        </is>
      </c>
      <c r="AL1" s="34" t="inlineStr">
        <is>
          <t>Business (worked out)</t>
        </is>
      </c>
      <c r="AM1" s="34" t="inlineStr">
        <is>
          <t>Email (worked out)</t>
        </is>
      </c>
      <c r="AN1" s="34" t="inlineStr">
        <is>
          <t>Credit choice (worked out)</t>
        </is>
      </c>
      <c r="AO1" s="34" t="inlineStr">
        <is>
          <t>How it reaches us (worked out)</t>
        </is>
      </c>
      <c r="AP1" s="34" t="inlineStr">
        <is>
          <t>Who is donating (helper)</t>
        </is>
      </c>
      <c r="AQ1" s="34" t="inlineStr">
        <is>
          <t>Catalogue name (helper)</t>
        </is>
      </c>
      <c r="AR1" s="34" t="inlineStr">
        <is>
          <t>Has an item 1/0 (helper)</t>
        </is>
      </c>
      <c r="AS1" s="34" t="inlineStr">
        <is>
          <t>Order key (helper)</t>
        </is>
      </c>
    </row>
    <row r="2">
      <c r="A2" s="35" t="inlineStr">
        <is>
          <t>EXAMPLE-10 (delete me)</t>
        </is>
      </c>
      <c r="B2" s="35" t="inlineStr">
        <is>
          <t>2026-09-10T18:20:00.000Z</t>
        </is>
      </c>
      <c r="C2" s="35" t="inlineStr">
        <is>
          <t>2026-09-10T18:16:00.000Z</t>
        </is>
      </c>
      <c r="D2" s="35" t="inlineStr">
        <is>
          <t>Me personally</t>
        </is>
      </c>
      <c r="E2" s="35" t="n"/>
      <c r="F2" s="35" t="inlineStr">
        <is>
          <t>Taylor Pretend</t>
        </is>
      </c>
      <c r="G2" s="35" t="inlineStr">
        <is>
          <t>taylor@example.com</t>
        </is>
      </c>
      <c r="H2" s="35" t="inlineStr">
        <is>
          <t>555-0120</t>
        </is>
      </c>
      <c r="I2" s="35" t="inlineStr">
        <is>
          <t>Use the name above</t>
        </is>
      </c>
      <c r="J2" s="35" t="n"/>
      <c r="K2" s="35" t="n"/>
      <c r="L2" s="35" t="n"/>
      <c r="M2" s="35" t="inlineStr">
        <is>
          <t>Coffee lover's basket</t>
        </is>
      </c>
      <c r="N2" s="35" t="inlineStr">
        <is>
          <t>Two bags of local coffee beans, a hand grinder and two big mugs, packed in a wicker basket.</t>
        </is>
      </c>
      <c r="O2" s="35" t="n">
        <v>45</v>
      </c>
      <c r="P2" s="35" t="n"/>
      <c r="Q2" s="35" t="inlineStr">
        <is>
          <t>basket.jpg</t>
        </is>
      </c>
      <c r="R2" s="35" t="inlineStr">
        <is>
          <t>I'll drop it off</t>
        </is>
      </c>
      <c r="S2" s="35" t="n"/>
      <c r="T2" s="35" t="n">
        <v>1</v>
      </c>
      <c r="AB2" s="36">
        <f>IF($AR2=1,COUNTIF($AS$2:$AS$201,"&lt;"&amp;$AS2)+1,"")</f>
        <v/>
      </c>
      <c r="AC2" s="37">
        <f>IFERROR(TRIM(INDEX($A2:$Z2,MATCH(Lists!$B$9,$A$1:$Z$1,0))&amp;""),"")</f>
        <v/>
      </c>
      <c r="AD2" s="37">
        <f>IF($AR2=1,IFERROR(TRIM(INDEX($A2:$Z2,MATCH(Lists!$B$10,$A$1:$Z$1,0))&amp;""),""),"")</f>
        <v/>
      </c>
      <c r="AE2" s="37">
        <f>IF($AR2=1,IFERROR(TRIM(INDEX($A2:$Z2,MATCH(Lists!$B$12,$A$1:$Z$1,0))&amp;""),""),"")</f>
        <v/>
      </c>
      <c r="AF2" s="38">
        <f>IF($AR2=1,IFERROR(IF(TRIM(INDEX($A2:$Z2,MATCH(Lists!$B$11,$A$1:$Z$1,0))&amp;"")="","",VALUE(TRIM(INDEX($A2:$Z2,MATCH(Lists!$B$11,$A$1:$Z$1,0))&amp;""))),""),"")</f>
        <v/>
      </c>
      <c r="AG2" s="38">
        <f>IF(OR($AR2=0,$AF2="",'Start here'!$F$10="",'Start here'!$F$11="",'Start here'!$F$12="",'Start here'!$F$13="",'Start here'!$F$14=""),"",IF($AF2&lt;'Start here'!$F$10,'Start here'!$F$11,IF($AF2&lt;'Start here'!$F$12,'Start here'!$F$13,'Start here'!$F$14)))</f>
        <v/>
      </c>
      <c r="AH2" s="38">
        <f>IF(OR($AG2="",'Start here'!$F$9=""),"",IF($AF2&lt;=0,"",IFERROR(MAX($AG2,ROUNDUP(ROUND($AF2*'Start here'!$F$9/$AG2,6),0)*$AG2),"")))</f>
        <v/>
      </c>
      <c r="AI2" s="37">
        <f>IF($AR2=0,"",IF($AN2=Lists!$B$19,"",IF(AND($AN2=Lists!$B$18,$AQ2&lt;&gt;""),$AQ2,IF(AND($AP2=Lists!$B$17,$AL2&lt;&gt;""),$AL2,$AK2))))</f>
        <v/>
      </c>
      <c r="AJ2" s="37">
        <f>IF($AR2=0,"",IF(IF($AF2="",", no value",IF($AF2&lt;=0,", no value",""))&amp;IF('Start here'!$F$15="","",IF(LEN($AD2)&lt;'Start here'!$F$15,", short description",""))="","OK",MID(IF($AF2="",", no value",IF($AF2&lt;=0,", no value",""))&amp;IF('Start here'!$F$15="","",IF(LEN($AD2)&lt;'Start here'!$F$15,", short description","")),3,200)))</f>
        <v/>
      </c>
      <c r="AK2" s="37">
        <f>IF($AR2=1,IFERROR(TRIM(INDEX($A2:$Z2,MATCH(Lists!$B$5,$A$1:$Z$1,0))&amp;""),""),"")</f>
        <v/>
      </c>
      <c r="AL2" s="37">
        <f>IF($AR2=1,IFERROR(TRIM(INDEX($A2:$Z2,MATCH(Lists!$B$4,$A$1:$Z$1,0))&amp;""),""),"")</f>
        <v/>
      </c>
      <c r="AM2" s="37">
        <f>IF($AR2=1,IFERROR(TRIM(INDEX($A2:$Z2,MATCH(Lists!$B$6,$A$1:$Z$1,0))&amp;""),""),"")</f>
        <v/>
      </c>
      <c r="AN2" s="37">
        <f>IF($AR2=1,IFERROR(TRIM(INDEX($A2:$Z2,MATCH(Lists!$B$7,$A$1:$Z$1,0))&amp;""),""),"")</f>
        <v/>
      </c>
      <c r="AO2" s="37">
        <f>IF($AR2=1,IFERROR(TRIM(INDEX($A2:$Z2,MATCH(Lists!$B$13,$A$1:$Z$1,0))&amp;""),""),"")</f>
        <v/>
      </c>
      <c r="AP2" s="37">
        <f>IF($AR2=1,IFERROR(TRIM(INDEX($A2:$Z2,MATCH(Lists!$B$3,$A$1:$Z$1,0))&amp;""),""),"")</f>
        <v/>
      </c>
      <c r="AQ2" s="37">
        <f>IF($AR2=1,IFERROR(TRIM(INDEX($A2:$Z2,MATCH(Lists!$B$8,$A$1:$Z$1,0))&amp;""),""),"")</f>
        <v/>
      </c>
      <c r="AR2" s="36">
        <f>IF(LEN($AC2)&gt;0,1,0)</f>
        <v/>
      </c>
      <c r="AS2" s="37">
        <f>IF($AR2=1,IF(IFERROR(IF(ISNUMBER(INDEX($A2:$Z2,MATCH(Lists!$B$2,$A$1:$Z$1,0))),INDEX($A2:$Z2,MATCH(Lists!$B$2,$A$1:$Z$1,0)),DATE(VALUE(LEFT(IFERROR(TRIM(INDEX($A2:$Z2,MATCH(Lists!$B$2,$A$1:$Z$1,0))&amp;""),""),4)),VALUE(MID(IFERROR(TRIM(INDEX($A2:$Z2,MATCH(Lists!$B$2,$A$1:$Z$1,0))&amp;""),""),6,2)),VALUE(MID(IFERROR(TRIM(INDEX($A2:$Z2,MATCH(Lists!$B$2,$A$1:$Z$1,0))&amp;""),""),9,2)))+TIME(VALUE(MID(IFERROR(TRIM(INDEX($A2:$Z2,MATCH(Lists!$B$2,$A$1:$Z$1,0))&amp;""),""),12,2)),VALUE(MID(IFERROR(TRIM(INDEX($A2:$Z2,MATCH(Lists!$B$2,$A$1:$Z$1,0))&amp;""),""),15,2)),VALUE(MID(IFERROR(TRIM(INDEX($A2:$Z2,MATCH(Lists!$B$2,$A$1:$Z$1,0))&amp;""),""),18,2)))),"")="",100000+ROW()/10^7,IFERROR(IF(ISNUMBER(INDEX($A2:$Z2,MATCH(Lists!$B$2,$A$1:$Z$1,0))),INDEX($A2:$Z2,MATCH(Lists!$B$2,$A$1:$Z$1,0)),DATE(VALUE(LEFT(IFERROR(TRIM(INDEX($A2:$Z2,MATCH(Lists!$B$2,$A$1:$Z$1,0))&amp;""),""),4)),VALUE(MID(IFERROR(TRIM(INDEX($A2:$Z2,MATCH(Lists!$B$2,$A$1:$Z$1,0))&amp;""),""),6,2)),VALUE(MID(IFERROR(TRIM(INDEX($A2:$Z2,MATCH(Lists!$B$2,$A$1:$Z$1,0))&amp;""),""),9,2)))+TIME(VALUE(MID(IFERROR(TRIM(INDEX($A2:$Z2,MATCH(Lists!$B$2,$A$1:$Z$1,0))&amp;""),""),12,2)),VALUE(MID(IFERROR(TRIM(INDEX($A2:$Z2,MATCH(Lists!$B$2,$A$1:$Z$1,0))&amp;""),""),15,2)),VALUE(MID(IFERROR(TRIM(INDEX($A2:$Z2,MATCH(Lists!$B$2,$A$1:$Z$1,0))&amp;""),""),18,2)))),"")-ROW()/10^7),"")</f>
        <v/>
      </c>
    </row>
    <row r="3">
      <c r="A3" s="35" t="inlineStr">
        <is>
          <t>EXAMPLE-09 (delete me)</t>
        </is>
      </c>
      <c r="B3" s="35" t="inlineStr">
        <is>
          <t>2026-09-09T18:19:00.000Z</t>
        </is>
      </c>
      <c r="C3" s="35" t="inlineStr">
        <is>
          <t>2026-09-09T18:15:00.000Z</t>
        </is>
      </c>
      <c r="D3" s="35" t="inlineStr">
        <is>
          <t>A business or organisation</t>
        </is>
      </c>
      <c r="E3" s="35" t="inlineStr">
        <is>
          <t>Example Photo Co</t>
        </is>
      </c>
      <c r="F3" s="35" t="inlineStr">
        <is>
          <t>Riley Notreal</t>
        </is>
      </c>
      <c r="G3" s="35" t="inlineStr">
        <is>
          <t>riley@example.com</t>
        </is>
      </c>
      <c r="H3" s="35" t="inlineStr">
        <is>
          <t>555-0119</t>
        </is>
      </c>
      <c r="I3" s="35" t="inlineStr">
        <is>
          <t>Use the name above</t>
        </is>
      </c>
      <c r="J3" s="35" t="n"/>
      <c r="K3" s="35" t="inlineStr">
        <is>
          <t>photo-logo.png</t>
        </is>
      </c>
      <c r="L3" s="35" t="inlineStr">
        <is>
          <t>board-letter</t>
        </is>
      </c>
      <c r="M3" s="35" t="inlineStr">
        <is>
          <t>Family photo session</t>
        </is>
      </c>
      <c r="N3" s="35" t="inlineStr">
        <is>
          <t>One hour outdoors with a pro photographer and 15 edited digital photos to keep and print as you like.</t>
        </is>
      </c>
      <c r="O3" s="35" t="n">
        <v>250</v>
      </c>
      <c r="P3" s="35" t="inlineStr">
        <is>
          <t>Weekdays only. Book two weeks ahead.</t>
        </is>
      </c>
      <c r="Q3" s="35" t="n"/>
      <c r="R3" s="35" t="inlineStr">
        <is>
          <t>It's a voucher or certificate I'll email</t>
        </is>
      </c>
      <c r="S3" s="35" t="n"/>
      <c r="T3" s="35" t="n">
        <v>1</v>
      </c>
      <c r="AB3" s="36">
        <f>IF($AR3=1,COUNTIF($AS$2:$AS$201,"&lt;"&amp;$AS3)+1,"")</f>
        <v/>
      </c>
      <c r="AC3" s="37">
        <f>IFERROR(TRIM(INDEX($A3:$Z3,MATCH(Lists!$B$9,$A$1:$Z$1,0))&amp;""),"")</f>
        <v/>
      </c>
      <c r="AD3" s="37">
        <f>IF($AR3=1,IFERROR(TRIM(INDEX($A3:$Z3,MATCH(Lists!$B$10,$A$1:$Z$1,0))&amp;""),""),"")</f>
        <v/>
      </c>
      <c r="AE3" s="37">
        <f>IF($AR3=1,IFERROR(TRIM(INDEX($A3:$Z3,MATCH(Lists!$B$12,$A$1:$Z$1,0))&amp;""),""),"")</f>
        <v/>
      </c>
      <c r="AF3" s="38">
        <f>IF($AR3=1,IFERROR(IF(TRIM(INDEX($A3:$Z3,MATCH(Lists!$B$11,$A$1:$Z$1,0))&amp;"")="","",VALUE(TRIM(INDEX($A3:$Z3,MATCH(Lists!$B$11,$A$1:$Z$1,0))&amp;""))),""),"")</f>
        <v/>
      </c>
      <c r="AG3" s="38">
        <f>IF(OR($AR3=0,$AF3="",'Start here'!$F$10="",'Start here'!$F$11="",'Start here'!$F$12="",'Start here'!$F$13="",'Start here'!$F$14=""),"",IF($AF3&lt;'Start here'!$F$10,'Start here'!$F$11,IF($AF3&lt;'Start here'!$F$12,'Start here'!$F$13,'Start here'!$F$14)))</f>
        <v/>
      </c>
      <c r="AH3" s="38">
        <f>IF(OR($AG3="",'Start here'!$F$9=""),"",IF($AF3&lt;=0,"",IFERROR(MAX($AG3,ROUNDUP(ROUND($AF3*'Start here'!$F$9/$AG3,6),0)*$AG3),"")))</f>
        <v/>
      </c>
      <c r="AI3" s="37">
        <f>IF($AR3=0,"",IF($AN3=Lists!$B$19,"",IF(AND($AN3=Lists!$B$18,$AQ3&lt;&gt;""),$AQ3,IF(AND($AP3=Lists!$B$17,$AL3&lt;&gt;""),$AL3,$AK3))))</f>
        <v/>
      </c>
      <c r="AJ3" s="37">
        <f>IF($AR3=0,"",IF(IF($AF3="",", no value",IF($AF3&lt;=0,", no value",""))&amp;IF('Start here'!$F$15="","",IF(LEN($AD3)&lt;'Start here'!$F$15,", short description",""))="","OK",MID(IF($AF3="",", no value",IF($AF3&lt;=0,", no value",""))&amp;IF('Start here'!$F$15="","",IF(LEN($AD3)&lt;'Start here'!$F$15,", short description","")),3,200)))</f>
        <v/>
      </c>
      <c r="AK3" s="37">
        <f>IF($AR3=1,IFERROR(TRIM(INDEX($A3:$Z3,MATCH(Lists!$B$5,$A$1:$Z$1,0))&amp;""),""),"")</f>
        <v/>
      </c>
      <c r="AL3" s="37">
        <f>IF($AR3=1,IFERROR(TRIM(INDEX($A3:$Z3,MATCH(Lists!$B$4,$A$1:$Z$1,0))&amp;""),""),"")</f>
        <v/>
      </c>
      <c r="AM3" s="37">
        <f>IF($AR3=1,IFERROR(TRIM(INDEX($A3:$Z3,MATCH(Lists!$B$6,$A$1:$Z$1,0))&amp;""),""),"")</f>
        <v/>
      </c>
      <c r="AN3" s="37">
        <f>IF($AR3=1,IFERROR(TRIM(INDEX($A3:$Z3,MATCH(Lists!$B$7,$A$1:$Z$1,0))&amp;""),""),"")</f>
        <v/>
      </c>
      <c r="AO3" s="37">
        <f>IF($AR3=1,IFERROR(TRIM(INDEX($A3:$Z3,MATCH(Lists!$B$13,$A$1:$Z$1,0))&amp;""),""),"")</f>
        <v/>
      </c>
      <c r="AP3" s="37">
        <f>IF($AR3=1,IFERROR(TRIM(INDEX($A3:$Z3,MATCH(Lists!$B$3,$A$1:$Z$1,0))&amp;""),""),"")</f>
        <v/>
      </c>
      <c r="AQ3" s="37">
        <f>IF($AR3=1,IFERROR(TRIM(INDEX($A3:$Z3,MATCH(Lists!$B$8,$A$1:$Z$1,0))&amp;""),""),"")</f>
        <v/>
      </c>
      <c r="AR3" s="36">
        <f>IF(LEN($AC3)&gt;0,1,0)</f>
        <v/>
      </c>
      <c r="AS3" s="37">
        <f>IF($AR3=1,IF(IFERROR(IF(ISNUMBER(INDEX($A3:$Z3,MATCH(Lists!$B$2,$A$1:$Z$1,0))),INDEX($A3:$Z3,MATCH(Lists!$B$2,$A$1:$Z$1,0)),DATE(VALUE(LEFT(IFERROR(TRIM(INDEX($A3:$Z3,MATCH(Lists!$B$2,$A$1:$Z$1,0))&amp;""),""),4)),VALUE(MID(IFERROR(TRIM(INDEX($A3:$Z3,MATCH(Lists!$B$2,$A$1:$Z$1,0))&amp;""),""),6,2)),VALUE(MID(IFERROR(TRIM(INDEX($A3:$Z3,MATCH(Lists!$B$2,$A$1:$Z$1,0))&amp;""),""),9,2)))+TIME(VALUE(MID(IFERROR(TRIM(INDEX($A3:$Z3,MATCH(Lists!$B$2,$A$1:$Z$1,0))&amp;""),""),12,2)),VALUE(MID(IFERROR(TRIM(INDEX($A3:$Z3,MATCH(Lists!$B$2,$A$1:$Z$1,0))&amp;""),""),15,2)),VALUE(MID(IFERROR(TRIM(INDEX($A3:$Z3,MATCH(Lists!$B$2,$A$1:$Z$1,0))&amp;""),""),18,2)))),"")="",100000+ROW()/10^7,IFERROR(IF(ISNUMBER(INDEX($A3:$Z3,MATCH(Lists!$B$2,$A$1:$Z$1,0))),INDEX($A3:$Z3,MATCH(Lists!$B$2,$A$1:$Z$1,0)),DATE(VALUE(LEFT(IFERROR(TRIM(INDEX($A3:$Z3,MATCH(Lists!$B$2,$A$1:$Z$1,0))&amp;""),""),4)),VALUE(MID(IFERROR(TRIM(INDEX($A3:$Z3,MATCH(Lists!$B$2,$A$1:$Z$1,0))&amp;""),""),6,2)),VALUE(MID(IFERROR(TRIM(INDEX($A3:$Z3,MATCH(Lists!$B$2,$A$1:$Z$1,0))&amp;""),""),9,2)))+TIME(VALUE(MID(IFERROR(TRIM(INDEX($A3:$Z3,MATCH(Lists!$B$2,$A$1:$Z$1,0))&amp;""),""),12,2)),VALUE(MID(IFERROR(TRIM(INDEX($A3:$Z3,MATCH(Lists!$B$2,$A$1:$Z$1,0))&amp;""),""),15,2)),VALUE(MID(IFERROR(TRIM(INDEX($A3:$Z3,MATCH(Lists!$B$2,$A$1:$Z$1,0))&amp;""),""),18,2)))),"")-ROW()/10^7),"")</f>
        <v/>
      </c>
    </row>
    <row r="4">
      <c r="A4" s="35" t="inlineStr">
        <is>
          <t>EXAMPLE-08 (delete me)</t>
        </is>
      </c>
      <c r="B4" s="35" t="inlineStr">
        <is>
          <t>2026-09-08T18:18:00.000Z</t>
        </is>
      </c>
      <c r="C4" s="35" t="inlineStr">
        <is>
          <t>2026-09-08T18:14:00.000Z</t>
        </is>
      </c>
      <c r="D4" s="35" t="inlineStr">
        <is>
          <t>Me personally</t>
        </is>
      </c>
      <c r="E4" s="35" t="n"/>
      <c r="F4" s="35" t="inlineStr">
        <is>
          <t>Morgan Madeup</t>
        </is>
      </c>
      <c r="G4" s="35" t="inlineStr">
        <is>
          <t>morgan@example.com</t>
        </is>
      </c>
      <c r="H4" s="35" t="inlineStr">
        <is>
          <t>555-0118</t>
        </is>
      </c>
      <c r="I4" s="35" t="inlineStr">
        <is>
          <t>Use the name above</t>
        </is>
      </c>
      <c r="J4" s="35" t="n"/>
      <c r="K4" s="35" t="n"/>
      <c r="L4" s="35" t="inlineStr">
        <is>
          <t>newsletter</t>
        </is>
      </c>
      <c r="M4" s="35" t="inlineStr">
        <is>
          <t>A homemade cake every month for three months</t>
        </is>
      </c>
      <c r="N4" s="35" t="inlineStr">
        <is>
          <t>A two-layer cake of your choice delivered to your door once a month for three months. Chocolate is popular.</t>
        </is>
      </c>
      <c r="O4" s="35" t="n">
        <v>60</v>
      </c>
      <c r="P4" s="35" t="inlineStr">
        <is>
          <t>Delivery within 10 km of the school.</t>
        </is>
      </c>
      <c r="Q4" s="35" t="n"/>
      <c r="R4" s="35" t="inlineStr">
        <is>
          <t>I'll drop it off</t>
        </is>
      </c>
      <c r="S4" s="35" t="n"/>
      <c r="T4" s="35" t="n">
        <v>1</v>
      </c>
      <c r="AB4" s="36">
        <f>IF($AR4=1,COUNTIF($AS$2:$AS$201,"&lt;"&amp;$AS4)+1,"")</f>
        <v/>
      </c>
      <c r="AC4" s="37">
        <f>IFERROR(TRIM(INDEX($A4:$Z4,MATCH(Lists!$B$9,$A$1:$Z$1,0))&amp;""),"")</f>
        <v/>
      </c>
      <c r="AD4" s="37">
        <f>IF($AR4=1,IFERROR(TRIM(INDEX($A4:$Z4,MATCH(Lists!$B$10,$A$1:$Z$1,0))&amp;""),""),"")</f>
        <v/>
      </c>
      <c r="AE4" s="37">
        <f>IF($AR4=1,IFERROR(TRIM(INDEX($A4:$Z4,MATCH(Lists!$B$12,$A$1:$Z$1,0))&amp;""),""),"")</f>
        <v/>
      </c>
      <c r="AF4" s="38">
        <f>IF($AR4=1,IFERROR(IF(TRIM(INDEX($A4:$Z4,MATCH(Lists!$B$11,$A$1:$Z$1,0))&amp;"")="","",VALUE(TRIM(INDEX($A4:$Z4,MATCH(Lists!$B$11,$A$1:$Z$1,0))&amp;""))),""),"")</f>
        <v/>
      </c>
      <c r="AG4" s="38">
        <f>IF(OR($AR4=0,$AF4="",'Start here'!$F$10="",'Start here'!$F$11="",'Start here'!$F$12="",'Start here'!$F$13="",'Start here'!$F$14=""),"",IF($AF4&lt;'Start here'!$F$10,'Start here'!$F$11,IF($AF4&lt;'Start here'!$F$12,'Start here'!$F$13,'Start here'!$F$14)))</f>
        <v/>
      </c>
      <c r="AH4" s="38">
        <f>IF(OR($AG4="",'Start here'!$F$9=""),"",IF($AF4&lt;=0,"",IFERROR(MAX($AG4,ROUNDUP(ROUND($AF4*'Start here'!$F$9/$AG4,6),0)*$AG4),"")))</f>
        <v/>
      </c>
      <c r="AI4" s="37">
        <f>IF($AR4=0,"",IF($AN4=Lists!$B$19,"",IF(AND($AN4=Lists!$B$18,$AQ4&lt;&gt;""),$AQ4,IF(AND($AP4=Lists!$B$17,$AL4&lt;&gt;""),$AL4,$AK4))))</f>
        <v/>
      </c>
      <c r="AJ4" s="37">
        <f>IF($AR4=0,"",IF(IF($AF4="",", no value",IF($AF4&lt;=0,", no value",""))&amp;IF('Start here'!$F$15="","",IF(LEN($AD4)&lt;'Start here'!$F$15,", short description",""))="","OK",MID(IF($AF4="",", no value",IF($AF4&lt;=0,", no value",""))&amp;IF('Start here'!$F$15="","",IF(LEN($AD4)&lt;'Start here'!$F$15,", short description","")),3,200)))</f>
        <v/>
      </c>
      <c r="AK4" s="37">
        <f>IF($AR4=1,IFERROR(TRIM(INDEX($A4:$Z4,MATCH(Lists!$B$5,$A$1:$Z$1,0))&amp;""),""),"")</f>
        <v/>
      </c>
      <c r="AL4" s="37">
        <f>IF($AR4=1,IFERROR(TRIM(INDEX($A4:$Z4,MATCH(Lists!$B$4,$A$1:$Z$1,0))&amp;""),""),"")</f>
        <v/>
      </c>
      <c r="AM4" s="37">
        <f>IF($AR4=1,IFERROR(TRIM(INDEX($A4:$Z4,MATCH(Lists!$B$6,$A$1:$Z$1,0))&amp;""),""),"")</f>
        <v/>
      </c>
      <c r="AN4" s="37">
        <f>IF($AR4=1,IFERROR(TRIM(INDEX($A4:$Z4,MATCH(Lists!$B$7,$A$1:$Z$1,0))&amp;""),""),"")</f>
        <v/>
      </c>
      <c r="AO4" s="37">
        <f>IF($AR4=1,IFERROR(TRIM(INDEX($A4:$Z4,MATCH(Lists!$B$13,$A$1:$Z$1,0))&amp;""),""),"")</f>
        <v/>
      </c>
      <c r="AP4" s="37">
        <f>IF($AR4=1,IFERROR(TRIM(INDEX($A4:$Z4,MATCH(Lists!$B$3,$A$1:$Z$1,0))&amp;""),""),"")</f>
        <v/>
      </c>
      <c r="AQ4" s="37">
        <f>IF($AR4=1,IFERROR(TRIM(INDEX($A4:$Z4,MATCH(Lists!$B$8,$A$1:$Z$1,0))&amp;""),""),"")</f>
        <v/>
      </c>
      <c r="AR4" s="36">
        <f>IF(LEN($AC4)&gt;0,1,0)</f>
        <v/>
      </c>
      <c r="AS4" s="37">
        <f>IF($AR4=1,IF(IFERROR(IF(ISNUMBER(INDEX($A4:$Z4,MATCH(Lists!$B$2,$A$1:$Z$1,0))),INDEX($A4:$Z4,MATCH(Lists!$B$2,$A$1:$Z$1,0)),DATE(VALUE(LEFT(IFERROR(TRIM(INDEX($A4:$Z4,MATCH(Lists!$B$2,$A$1:$Z$1,0))&amp;""),""),4)),VALUE(MID(IFERROR(TRIM(INDEX($A4:$Z4,MATCH(Lists!$B$2,$A$1:$Z$1,0))&amp;""),""),6,2)),VALUE(MID(IFERROR(TRIM(INDEX($A4:$Z4,MATCH(Lists!$B$2,$A$1:$Z$1,0))&amp;""),""),9,2)))+TIME(VALUE(MID(IFERROR(TRIM(INDEX($A4:$Z4,MATCH(Lists!$B$2,$A$1:$Z$1,0))&amp;""),""),12,2)),VALUE(MID(IFERROR(TRIM(INDEX($A4:$Z4,MATCH(Lists!$B$2,$A$1:$Z$1,0))&amp;""),""),15,2)),VALUE(MID(IFERROR(TRIM(INDEX($A4:$Z4,MATCH(Lists!$B$2,$A$1:$Z$1,0))&amp;""),""),18,2)))),"")="",100000+ROW()/10^7,IFERROR(IF(ISNUMBER(INDEX($A4:$Z4,MATCH(Lists!$B$2,$A$1:$Z$1,0))),INDEX($A4:$Z4,MATCH(Lists!$B$2,$A$1:$Z$1,0)),DATE(VALUE(LEFT(IFERROR(TRIM(INDEX($A4:$Z4,MATCH(Lists!$B$2,$A$1:$Z$1,0))&amp;""),""),4)),VALUE(MID(IFERROR(TRIM(INDEX($A4:$Z4,MATCH(Lists!$B$2,$A$1:$Z$1,0))&amp;""),""),6,2)),VALUE(MID(IFERROR(TRIM(INDEX($A4:$Z4,MATCH(Lists!$B$2,$A$1:$Z$1,0))&amp;""),""),9,2)))+TIME(VALUE(MID(IFERROR(TRIM(INDEX($A4:$Z4,MATCH(Lists!$B$2,$A$1:$Z$1,0))&amp;""),""),12,2)),VALUE(MID(IFERROR(TRIM(INDEX($A4:$Z4,MATCH(Lists!$B$2,$A$1:$Z$1,0))&amp;""),""),15,2)),VALUE(MID(IFERROR(TRIM(INDEX($A4:$Z4,MATCH(Lists!$B$2,$A$1:$Z$1,0))&amp;""),""),18,2)))),"")-ROW()/10^7),"")</f>
        <v/>
      </c>
    </row>
    <row r="5">
      <c r="A5" s="35" t="inlineStr">
        <is>
          <t>EXAMPLE-07 (delete me)</t>
        </is>
      </c>
      <c r="B5" s="35" t="inlineStr">
        <is>
          <t>2026-09-07T18:17:00.000Z</t>
        </is>
      </c>
      <c r="C5" s="35" t="inlineStr">
        <is>
          <t>2026-09-07T18:13:00.000Z</t>
        </is>
      </c>
      <c r="D5" s="35" t="inlineStr">
        <is>
          <t>A business or organisation</t>
        </is>
      </c>
      <c r="E5" s="35" t="inlineStr">
        <is>
          <t>Example Yoga Room</t>
        </is>
      </c>
      <c r="F5" s="35" t="inlineStr">
        <is>
          <t>Lee Fictional</t>
        </is>
      </c>
      <c r="G5" s="35" t="inlineStr">
        <is>
          <t>lee@example.com</t>
        </is>
      </c>
      <c r="H5" s="35" t="inlineStr">
        <is>
          <t>555-0117</t>
        </is>
      </c>
      <c r="I5" s="35" t="inlineStr">
        <is>
          <t>Use a different name</t>
        </is>
      </c>
      <c r="J5" s="35" t="inlineStr">
        <is>
          <t>Example Yoga Room team</t>
        </is>
      </c>
      <c r="K5" s="35" t="inlineStr">
        <is>
          <t>yoga-logo.png</t>
        </is>
      </c>
      <c r="L5" s="35" t="n"/>
      <c r="M5" s="35" t="inlineStr">
        <is>
          <t>Ten-class yoga pass</t>
        </is>
      </c>
      <c r="N5" s="35" t="inlineStr">
        <is>
          <t>Ten drop-in classes at any level, from gentle stretch to power flow. Mats and blocks are free to borrow.</t>
        </is>
      </c>
      <c r="O5" s="35" t="n">
        <v>150</v>
      </c>
      <c r="P5" s="35" t="inlineStr">
        <is>
          <t>Use within six months of the auction.</t>
        </is>
      </c>
      <c r="Q5" s="35" t="n"/>
      <c r="R5" s="35" t="inlineStr">
        <is>
          <t>It's a voucher or certificate I'll email</t>
        </is>
      </c>
      <c r="S5" s="35" t="n"/>
      <c r="T5" s="35" t="n">
        <v>1</v>
      </c>
      <c r="AB5" s="36">
        <f>IF($AR5=1,COUNTIF($AS$2:$AS$201,"&lt;"&amp;$AS5)+1,"")</f>
        <v/>
      </c>
      <c r="AC5" s="37">
        <f>IFERROR(TRIM(INDEX($A5:$Z5,MATCH(Lists!$B$9,$A$1:$Z$1,0))&amp;""),"")</f>
        <v/>
      </c>
      <c r="AD5" s="37">
        <f>IF($AR5=1,IFERROR(TRIM(INDEX($A5:$Z5,MATCH(Lists!$B$10,$A$1:$Z$1,0))&amp;""),""),"")</f>
        <v/>
      </c>
      <c r="AE5" s="37">
        <f>IF($AR5=1,IFERROR(TRIM(INDEX($A5:$Z5,MATCH(Lists!$B$12,$A$1:$Z$1,0))&amp;""),""),"")</f>
        <v/>
      </c>
      <c r="AF5" s="38">
        <f>IF($AR5=1,IFERROR(IF(TRIM(INDEX($A5:$Z5,MATCH(Lists!$B$11,$A$1:$Z$1,0))&amp;"")="","",VALUE(TRIM(INDEX($A5:$Z5,MATCH(Lists!$B$11,$A$1:$Z$1,0))&amp;""))),""),"")</f>
        <v/>
      </c>
      <c r="AG5" s="38">
        <f>IF(OR($AR5=0,$AF5="",'Start here'!$F$10="",'Start here'!$F$11="",'Start here'!$F$12="",'Start here'!$F$13="",'Start here'!$F$14=""),"",IF($AF5&lt;'Start here'!$F$10,'Start here'!$F$11,IF($AF5&lt;'Start here'!$F$12,'Start here'!$F$13,'Start here'!$F$14)))</f>
        <v/>
      </c>
      <c r="AH5" s="38">
        <f>IF(OR($AG5="",'Start here'!$F$9=""),"",IF($AF5&lt;=0,"",IFERROR(MAX($AG5,ROUNDUP(ROUND($AF5*'Start here'!$F$9/$AG5,6),0)*$AG5),"")))</f>
        <v/>
      </c>
      <c r="AI5" s="37">
        <f>IF($AR5=0,"",IF($AN5=Lists!$B$19,"",IF(AND($AN5=Lists!$B$18,$AQ5&lt;&gt;""),$AQ5,IF(AND($AP5=Lists!$B$17,$AL5&lt;&gt;""),$AL5,$AK5))))</f>
        <v/>
      </c>
      <c r="AJ5" s="37">
        <f>IF($AR5=0,"",IF(IF($AF5="",", no value",IF($AF5&lt;=0,", no value",""))&amp;IF('Start here'!$F$15="","",IF(LEN($AD5)&lt;'Start here'!$F$15,", short description",""))="","OK",MID(IF($AF5="",", no value",IF($AF5&lt;=0,", no value",""))&amp;IF('Start here'!$F$15="","",IF(LEN($AD5)&lt;'Start here'!$F$15,", short description","")),3,200)))</f>
        <v/>
      </c>
      <c r="AK5" s="37">
        <f>IF($AR5=1,IFERROR(TRIM(INDEX($A5:$Z5,MATCH(Lists!$B$5,$A$1:$Z$1,0))&amp;""),""),"")</f>
        <v/>
      </c>
      <c r="AL5" s="37">
        <f>IF($AR5=1,IFERROR(TRIM(INDEX($A5:$Z5,MATCH(Lists!$B$4,$A$1:$Z$1,0))&amp;""),""),"")</f>
        <v/>
      </c>
      <c r="AM5" s="37">
        <f>IF($AR5=1,IFERROR(TRIM(INDEX($A5:$Z5,MATCH(Lists!$B$6,$A$1:$Z$1,0))&amp;""),""),"")</f>
        <v/>
      </c>
      <c r="AN5" s="37">
        <f>IF($AR5=1,IFERROR(TRIM(INDEX($A5:$Z5,MATCH(Lists!$B$7,$A$1:$Z$1,0))&amp;""),""),"")</f>
        <v/>
      </c>
      <c r="AO5" s="37">
        <f>IF($AR5=1,IFERROR(TRIM(INDEX($A5:$Z5,MATCH(Lists!$B$13,$A$1:$Z$1,0))&amp;""),""),"")</f>
        <v/>
      </c>
      <c r="AP5" s="37">
        <f>IF($AR5=1,IFERROR(TRIM(INDEX($A5:$Z5,MATCH(Lists!$B$3,$A$1:$Z$1,0))&amp;""),""),"")</f>
        <v/>
      </c>
      <c r="AQ5" s="37">
        <f>IF($AR5=1,IFERROR(TRIM(INDEX($A5:$Z5,MATCH(Lists!$B$8,$A$1:$Z$1,0))&amp;""),""),"")</f>
        <v/>
      </c>
      <c r="AR5" s="36">
        <f>IF(LEN($AC5)&gt;0,1,0)</f>
        <v/>
      </c>
      <c r="AS5" s="37">
        <f>IF($AR5=1,IF(IFERROR(IF(ISNUMBER(INDEX($A5:$Z5,MATCH(Lists!$B$2,$A$1:$Z$1,0))),INDEX($A5:$Z5,MATCH(Lists!$B$2,$A$1:$Z$1,0)),DATE(VALUE(LEFT(IFERROR(TRIM(INDEX($A5:$Z5,MATCH(Lists!$B$2,$A$1:$Z$1,0))&amp;""),""),4)),VALUE(MID(IFERROR(TRIM(INDEX($A5:$Z5,MATCH(Lists!$B$2,$A$1:$Z$1,0))&amp;""),""),6,2)),VALUE(MID(IFERROR(TRIM(INDEX($A5:$Z5,MATCH(Lists!$B$2,$A$1:$Z$1,0))&amp;""),""),9,2)))+TIME(VALUE(MID(IFERROR(TRIM(INDEX($A5:$Z5,MATCH(Lists!$B$2,$A$1:$Z$1,0))&amp;""),""),12,2)),VALUE(MID(IFERROR(TRIM(INDEX($A5:$Z5,MATCH(Lists!$B$2,$A$1:$Z$1,0))&amp;""),""),15,2)),VALUE(MID(IFERROR(TRIM(INDEX($A5:$Z5,MATCH(Lists!$B$2,$A$1:$Z$1,0))&amp;""),""),18,2)))),"")="",100000+ROW()/10^7,IFERROR(IF(ISNUMBER(INDEX($A5:$Z5,MATCH(Lists!$B$2,$A$1:$Z$1,0))),INDEX($A5:$Z5,MATCH(Lists!$B$2,$A$1:$Z$1,0)),DATE(VALUE(LEFT(IFERROR(TRIM(INDEX($A5:$Z5,MATCH(Lists!$B$2,$A$1:$Z$1,0))&amp;""),""),4)),VALUE(MID(IFERROR(TRIM(INDEX($A5:$Z5,MATCH(Lists!$B$2,$A$1:$Z$1,0))&amp;""),""),6,2)),VALUE(MID(IFERROR(TRIM(INDEX($A5:$Z5,MATCH(Lists!$B$2,$A$1:$Z$1,0))&amp;""),""),9,2)))+TIME(VALUE(MID(IFERROR(TRIM(INDEX($A5:$Z5,MATCH(Lists!$B$2,$A$1:$Z$1,0))&amp;""),""),12,2)),VALUE(MID(IFERROR(TRIM(INDEX($A5:$Z5,MATCH(Lists!$B$2,$A$1:$Z$1,0))&amp;""),""),15,2)),VALUE(MID(IFERROR(TRIM(INDEX($A5:$Z5,MATCH(Lists!$B$2,$A$1:$Z$1,0))&amp;""),""),18,2)))),"")-ROW()/10^7),"")</f>
        <v/>
      </c>
    </row>
    <row r="6">
      <c r="A6" s="35" t="inlineStr">
        <is>
          <t>EXAMPLE-06 (delete me)</t>
        </is>
      </c>
      <c r="B6" s="35" t="inlineStr">
        <is>
          <t>2026-09-06T18:16:00.000Z</t>
        </is>
      </c>
      <c r="C6" s="35" t="inlineStr">
        <is>
          <t>2026-09-06T18:12:00.000Z</t>
        </is>
      </c>
      <c r="D6" s="35" t="inlineStr">
        <is>
          <t>A business or organisation</t>
        </is>
      </c>
      <c r="E6" s="35" t="inlineStr">
        <is>
          <t>Example Hardware</t>
        </is>
      </c>
      <c r="F6" s="35" t="inlineStr">
        <is>
          <t>Alex Sampleton</t>
        </is>
      </c>
      <c r="G6" s="35" t="inlineStr">
        <is>
          <t>alex@example.com</t>
        </is>
      </c>
      <c r="H6" s="35" t="inlineStr">
        <is>
          <t>555-0116</t>
        </is>
      </c>
      <c r="I6" s="35" t="inlineStr">
        <is>
          <t>Use the name above</t>
        </is>
      </c>
      <c r="J6" s="35" t="n"/>
      <c r="K6" s="35" t="n"/>
      <c r="L6" s="35" t="inlineStr">
        <is>
          <t>board-letter</t>
        </is>
      </c>
      <c r="M6" s="35" t="inlineStr">
        <is>
          <t>Garden tool set</t>
        </is>
      </c>
      <c r="N6" s="35" t="inlineStr">
        <is>
          <t>A spade, fork, rake, hand trowel and pruning shears, all new, with a canvas tool bag to keep them in.</t>
        </is>
      </c>
      <c r="O6" s="35" t="n">
        <v>75</v>
      </c>
      <c r="P6" s="35" t="n"/>
      <c r="Q6" s="35" t="n"/>
      <c r="R6" s="35" t="inlineStr">
        <is>
          <t>Please pick it up</t>
        </is>
      </c>
      <c r="S6" s="35" t="inlineStr">
        <is>
          <t>12 Example Road, weekdays 9 to 5</t>
        </is>
      </c>
      <c r="T6" s="35" t="n">
        <v>1</v>
      </c>
      <c r="AB6" s="36">
        <f>IF($AR6=1,COUNTIF($AS$2:$AS$201,"&lt;"&amp;$AS6)+1,"")</f>
        <v/>
      </c>
      <c r="AC6" s="37">
        <f>IFERROR(TRIM(INDEX($A6:$Z6,MATCH(Lists!$B$9,$A$1:$Z$1,0))&amp;""),"")</f>
        <v/>
      </c>
      <c r="AD6" s="37">
        <f>IF($AR6=1,IFERROR(TRIM(INDEX($A6:$Z6,MATCH(Lists!$B$10,$A$1:$Z$1,0))&amp;""),""),"")</f>
        <v/>
      </c>
      <c r="AE6" s="37">
        <f>IF($AR6=1,IFERROR(TRIM(INDEX($A6:$Z6,MATCH(Lists!$B$12,$A$1:$Z$1,0))&amp;""),""),"")</f>
        <v/>
      </c>
      <c r="AF6" s="38">
        <f>IF($AR6=1,IFERROR(IF(TRIM(INDEX($A6:$Z6,MATCH(Lists!$B$11,$A$1:$Z$1,0))&amp;"")="","",VALUE(TRIM(INDEX($A6:$Z6,MATCH(Lists!$B$11,$A$1:$Z$1,0))&amp;""))),""),"")</f>
        <v/>
      </c>
      <c r="AG6" s="38">
        <f>IF(OR($AR6=0,$AF6="",'Start here'!$F$10="",'Start here'!$F$11="",'Start here'!$F$12="",'Start here'!$F$13="",'Start here'!$F$14=""),"",IF($AF6&lt;'Start here'!$F$10,'Start here'!$F$11,IF($AF6&lt;'Start here'!$F$12,'Start here'!$F$13,'Start here'!$F$14)))</f>
        <v/>
      </c>
      <c r="AH6" s="38">
        <f>IF(OR($AG6="",'Start here'!$F$9=""),"",IF($AF6&lt;=0,"",IFERROR(MAX($AG6,ROUNDUP(ROUND($AF6*'Start here'!$F$9/$AG6,6),0)*$AG6),"")))</f>
        <v/>
      </c>
      <c r="AI6" s="37">
        <f>IF($AR6=0,"",IF($AN6=Lists!$B$19,"",IF(AND($AN6=Lists!$B$18,$AQ6&lt;&gt;""),$AQ6,IF(AND($AP6=Lists!$B$17,$AL6&lt;&gt;""),$AL6,$AK6))))</f>
        <v/>
      </c>
      <c r="AJ6" s="37">
        <f>IF($AR6=0,"",IF(IF($AF6="",", no value",IF($AF6&lt;=0,", no value",""))&amp;IF('Start here'!$F$15="","",IF(LEN($AD6)&lt;'Start here'!$F$15,", short description",""))="","OK",MID(IF($AF6="",", no value",IF($AF6&lt;=0,", no value",""))&amp;IF('Start here'!$F$15="","",IF(LEN($AD6)&lt;'Start here'!$F$15,", short description","")),3,200)))</f>
        <v/>
      </c>
      <c r="AK6" s="37">
        <f>IF($AR6=1,IFERROR(TRIM(INDEX($A6:$Z6,MATCH(Lists!$B$5,$A$1:$Z$1,0))&amp;""),""),"")</f>
        <v/>
      </c>
      <c r="AL6" s="37">
        <f>IF($AR6=1,IFERROR(TRIM(INDEX($A6:$Z6,MATCH(Lists!$B$4,$A$1:$Z$1,0))&amp;""),""),"")</f>
        <v/>
      </c>
      <c r="AM6" s="37">
        <f>IF($AR6=1,IFERROR(TRIM(INDEX($A6:$Z6,MATCH(Lists!$B$6,$A$1:$Z$1,0))&amp;""),""),"")</f>
        <v/>
      </c>
      <c r="AN6" s="37">
        <f>IF($AR6=1,IFERROR(TRIM(INDEX($A6:$Z6,MATCH(Lists!$B$7,$A$1:$Z$1,0))&amp;""),""),"")</f>
        <v/>
      </c>
      <c r="AO6" s="37">
        <f>IF($AR6=1,IFERROR(TRIM(INDEX($A6:$Z6,MATCH(Lists!$B$13,$A$1:$Z$1,0))&amp;""),""),"")</f>
        <v/>
      </c>
      <c r="AP6" s="37">
        <f>IF($AR6=1,IFERROR(TRIM(INDEX($A6:$Z6,MATCH(Lists!$B$3,$A$1:$Z$1,0))&amp;""),""),"")</f>
        <v/>
      </c>
      <c r="AQ6" s="37">
        <f>IF($AR6=1,IFERROR(TRIM(INDEX($A6:$Z6,MATCH(Lists!$B$8,$A$1:$Z$1,0))&amp;""),""),"")</f>
        <v/>
      </c>
      <c r="AR6" s="36">
        <f>IF(LEN($AC6)&gt;0,1,0)</f>
        <v/>
      </c>
      <c r="AS6" s="37">
        <f>IF($AR6=1,IF(IFERROR(IF(ISNUMBER(INDEX($A6:$Z6,MATCH(Lists!$B$2,$A$1:$Z$1,0))),INDEX($A6:$Z6,MATCH(Lists!$B$2,$A$1:$Z$1,0)),DATE(VALUE(LEFT(IFERROR(TRIM(INDEX($A6:$Z6,MATCH(Lists!$B$2,$A$1:$Z$1,0))&amp;""),""),4)),VALUE(MID(IFERROR(TRIM(INDEX($A6:$Z6,MATCH(Lists!$B$2,$A$1:$Z$1,0))&amp;""),""),6,2)),VALUE(MID(IFERROR(TRIM(INDEX($A6:$Z6,MATCH(Lists!$B$2,$A$1:$Z$1,0))&amp;""),""),9,2)))+TIME(VALUE(MID(IFERROR(TRIM(INDEX($A6:$Z6,MATCH(Lists!$B$2,$A$1:$Z$1,0))&amp;""),""),12,2)),VALUE(MID(IFERROR(TRIM(INDEX($A6:$Z6,MATCH(Lists!$B$2,$A$1:$Z$1,0))&amp;""),""),15,2)),VALUE(MID(IFERROR(TRIM(INDEX($A6:$Z6,MATCH(Lists!$B$2,$A$1:$Z$1,0))&amp;""),""),18,2)))),"")="",100000+ROW()/10^7,IFERROR(IF(ISNUMBER(INDEX($A6:$Z6,MATCH(Lists!$B$2,$A$1:$Z$1,0))),INDEX($A6:$Z6,MATCH(Lists!$B$2,$A$1:$Z$1,0)),DATE(VALUE(LEFT(IFERROR(TRIM(INDEX($A6:$Z6,MATCH(Lists!$B$2,$A$1:$Z$1,0))&amp;""),""),4)),VALUE(MID(IFERROR(TRIM(INDEX($A6:$Z6,MATCH(Lists!$B$2,$A$1:$Z$1,0))&amp;""),""),6,2)),VALUE(MID(IFERROR(TRIM(INDEX($A6:$Z6,MATCH(Lists!$B$2,$A$1:$Z$1,0))&amp;""),""),9,2)))+TIME(VALUE(MID(IFERROR(TRIM(INDEX($A6:$Z6,MATCH(Lists!$B$2,$A$1:$Z$1,0))&amp;""),""),12,2)),VALUE(MID(IFERROR(TRIM(INDEX($A6:$Z6,MATCH(Lists!$B$2,$A$1:$Z$1,0))&amp;""),""),15,2)),VALUE(MID(IFERROR(TRIM(INDEX($A6:$Z6,MATCH(Lists!$B$2,$A$1:$Z$1,0))&amp;""),""),18,2)))),"")-ROW()/10^7),"")</f>
        <v/>
      </c>
    </row>
    <row r="7">
      <c r="A7" s="35" t="inlineStr">
        <is>
          <t>EXAMPLE-05 (delete me)</t>
        </is>
      </c>
      <c r="B7" s="35" t="inlineStr">
        <is>
          <t>2026-09-05T18:15:00.000Z</t>
        </is>
      </c>
      <c r="C7" s="35" t="inlineStr">
        <is>
          <t>2026-09-05T18:11:00.000Z</t>
        </is>
      </c>
      <c r="D7" s="35" t="inlineStr">
        <is>
          <t>Me personally</t>
        </is>
      </c>
      <c r="E7" s="35" t="n"/>
      <c r="F7" s="35" t="inlineStr">
        <is>
          <t>Jordan Test</t>
        </is>
      </c>
      <c r="G7" s="35" t="inlineStr">
        <is>
          <t>jordan@example.com</t>
        </is>
      </c>
      <c r="H7" s="35" t="inlineStr">
        <is>
          <t>555-0115</t>
        </is>
      </c>
      <c r="I7" s="35" t="inlineStr">
        <is>
          <t>Use the name above</t>
        </is>
      </c>
      <c r="J7" s="35" t="n"/>
      <c r="K7" s="35" t="n"/>
      <c r="L7" s="35" t="inlineStr">
        <is>
          <t>newsletter</t>
        </is>
      </c>
      <c r="M7" s="35" t="inlineStr">
        <is>
          <t>Signed team football</t>
        </is>
      </c>
      <c r="N7" s="35" t="inlineStr">
        <is>
          <t>A football signed by this year's town team after the cup final. Comes in a clear display box.</t>
        </is>
      </c>
      <c r="O7" s="35" t="n">
        <v>0</v>
      </c>
      <c r="P7" s="35" t="n"/>
      <c r="Q7" s="35" t="inlineStr">
        <is>
          <t>football.jpg</t>
        </is>
      </c>
      <c r="R7" s="35" t="inlineStr">
        <is>
          <t>I'll drop it off</t>
        </is>
      </c>
      <c r="S7" s="35" t="n"/>
      <c r="T7" s="35" t="n">
        <v>1</v>
      </c>
      <c r="AB7" s="36">
        <f>IF($AR7=1,COUNTIF($AS$2:$AS$201,"&lt;"&amp;$AS7)+1,"")</f>
        <v/>
      </c>
      <c r="AC7" s="37">
        <f>IFERROR(TRIM(INDEX($A7:$Z7,MATCH(Lists!$B$9,$A$1:$Z$1,0))&amp;""),"")</f>
        <v/>
      </c>
      <c r="AD7" s="37">
        <f>IF($AR7=1,IFERROR(TRIM(INDEX($A7:$Z7,MATCH(Lists!$B$10,$A$1:$Z$1,0))&amp;""),""),"")</f>
        <v/>
      </c>
      <c r="AE7" s="37">
        <f>IF($AR7=1,IFERROR(TRIM(INDEX($A7:$Z7,MATCH(Lists!$B$12,$A$1:$Z$1,0))&amp;""),""),"")</f>
        <v/>
      </c>
      <c r="AF7" s="38">
        <f>IF($AR7=1,IFERROR(IF(TRIM(INDEX($A7:$Z7,MATCH(Lists!$B$11,$A$1:$Z$1,0))&amp;"")="","",VALUE(TRIM(INDEX($A7:$Z7,MATCH(Lists!$B$11,$A$1:$Z$1,0))&amp;""))),""),"")</f>
        <v/>
      </c>
      <c r="AG7" s="38">
        <f>IF(OR($AR7=0,$AF7="",'Start here'!$F$10="",'Start here'!$F$11="",'Start here'!$F$12="",'Start here'!$F$13="",'Start here'!$F$14=""),"",IF($AF7&lt;'Start here'!$F$10,'Start here'!$F$11,IF($AF7&lt;'Start here'!$F$12,'Start here'!$F$13,'Start here'!$F$14)))</f>
        <v/>
      </c>
      <c r="AH7" s="38">
        <f>IF(OR($AG7="",'Start here'!$F$9=""),"",IF($AF7&lt;=0,"",IFERROR(MAX($AG7,ROUNDUP(ROUND($AF7*'Start here'!$F$9/$AG7,6),0)*$AG7),"")))</f>
        <v/>
      </c>
      <c r="AI7" s="37">
        <f>IF($AR7=0,"",IF($AN7=Lists!$B$19,"",IF(AND($AN7=Lists!$B$18,$AQ7&lt;&gt;""),$AQ7,IF(AND($AP7=Lists!$B$17,$AL7&lt;&gt;""),$AL7,$AK7))))</f>
        <v/>
      </c>
      <c r="AJ7" s="37">
        <f>IF($AR7=0,"",IF(IF($AF7="",", no value",IF($AF7&lt;=0,", no value",""))&amp;IF('Start here'!$F$15="","",IF(LEN($AD7)&lt;'Start here'!$F$15,", short description",""))="","OK",MID(IF($AF7="",", no value",IF($AF7&lt;=0,", no value",""))&amp;IF('Start here'!$F$15="","",IF(LEN($AD7)&lt;'Start here'!$F$15,", short description","")),3,200)))</f>
        <v/>
      </c>
      <c r="AK7" s="37">
        <f>IF($AR7=1,IFERROR(TRIM(INDEX($A7:$Z7,MATCH(Lists!$B$5,$A$1:$Z$1,0))&amp;""),""),"")</f>
        <v/>
      </c>
      <c r="AL7" s="37">
        <f>IF($AR7=1,IFERROR(TRIM(INDEX($A7:$Z7,MATCH(Lists!$B$4,$A$1:$Z$1,0))&amp;""),""),"")</f>
        <v/>
      </c>
      <c r="AM7" s="37">
        <f>IF($AR7=1,IFERROR(TRIM(INDEX($A7:$Z7,MATCH(Lists!$B$6,$A$1:$Z$1,0))&amp;""),""),"")</f>
        <v/>
      </c>
      <c r="AN7" s="37">
        <f>IF($AR7=1,IFERROR(TRIM(INDEX($A7:$Z7,MATCH(Lists!$B$7,$A$1:$Z$1,0))&amp;""),""),"")</f>
        <v/>
      </c>
      <c r="AO7" s="37">
        <f>IF($AR7=1,IFERROR(TRIM(INDEX($A7:$Z7,MATCH(Lists!$B$13,$A$1:$Z$1,0))&amp;""),""),"")</f>
        <v/>
      </c>
      <c r="AP7" s="37">
        <f>IF($AR7=1,IFERROR(TRIM(INDEX($A7:$Z7,MATCH(Lists!$B$3,$A$1:$Z$1,0))&amp;""),""),"")</f>
        <v/>
      </c>
      <c r="AQ7" s="37">
        <f>IF($AR7=1,IFERROR(TRIM(INDEX($A7:$Z7,MATCH(Lists!$B$8,$A$1:$Z$1,0))&amp;""),""),"")</f>
        <v/>
      </c>
      <c r="AR7" s="36">
        <f>IF(LEN($AC7)&gt;0,1,0)</f>
        <v/>
      </c>
      <c r="AS7" s="37">
        <f>IF($AR7=1,IF(IFERROR(IF(ISNUMBER(INDEX($A7:$Z7,MATCH(Lists!$B$2,$A$1:$Z$1,0))),INDEX($A7:$Z7,MATCH(Lists!$B$2,$A$1:$Z$1,0)),DATE(VALUE(LEFT(IFERROR(TRIM(INDEX($A7:$Z7,MATCH(Lists!$B$2,$A$1:$Z$1,0))&amp;""),""),4)),VALUE(MID(IFERROR(TRIM(INDEX($A7:$Z7,MATCH(Lists!$B$2,$A$1:$Z$1,0))&amp;""),""),6,2)),VALUE(MID(IFERROR(TRIM(INDEX($A7:$Z7,MATCH(Lists!$B$2,$A$1:$Z$1,0))&amp;""),""),9,2)))+TIME(VALUE(MID(IFERROR(TRIM(INDEX($A7:$Z7,MATCH(Lists!$B$2,$A$1:$Z$1,0))&amp;""),""),12,2)),VALUE(MID(IFERROR(TRIM(INDEX($A7:$Z7,MATCH(Lists!$B$2,$A$1:$Z$1,0))&amp;""),""),15,2)),VALUE(MID(IFERROR(TRIM(INDEX($A7:$Z7,MATCH(Lists!$B$2,$A$1:$Z$1,0))&amp;""),""),18,2)))),"")="",100000+ROW()/10^7,IFERROR(IF(ISNUMBER(INDEX($A7:$Z7,MATCH(Lists!$B$2,$A$1:$Z$1,0))),INDEX($A7:$Z7,MATCH(Lists!$B$2,$A$1:$Z$1,0)),DATE(VALUE(LEFT(IFERROR(TRIM(INDEX($A7:$Z7,MATCH(Lists!$B$2,$A$1:$Z$1,0))&amp;""),""),4)),VALUE(MID(IFERROR(TRIM(INDEX($A7:$Z7,MATCH(Lists!$B$2,$A$1:$Z$1,0))&amp;""),""),6,2)),VALUE(MID(IFERROR(TRIM(INDEX($A7:$Z7,MATCH(Lists!$B$2,$A$1:$Z$1,0))&amp;""),""),9,2)))+TIME(VALUE(MID(IFERROR(TRIM(INDEX($A7:$Z7,MATCH(Lists!$B$2,$A$1:$Z$1,0))&amp;""),""),12,2)),VALUE(MID(IFERROR(TRIM(INDEX($A7:$Z7,MATCH(Lists!$B$2,$A$1:$Z$1,0))&amp;""),""),15,2)),VALUE(MID(IFERROR(TRIM(INDEX($A7:$Z7,MATCH(Lists!$B$2,$A$1:$Z$1,0))&amp;""),""),18,2)))),"")-ROW()/10^7),"")</f>
        <v/>
      </c>
    </row>
    <row r="8">
      <c r="A8" s="35" t="inlineStr">
        <is>
          <t>EXAMPLE-04 (delete me)</t>
        </is>
      </c>
      <c r="B8" s="35" t="inlineStr">
        <is>
          <t>2026-09-04T18:14:00.000Z</t>
        </is>
      </c>
      <c r="C8" s="35" t="inlineStr">
        <is>
          <t>2026-09-04T18:10:00.000Z</t>
        </is>
      </c>
      <c r="D8" s="35" t="inlineStr">
        <is>
          <t>A business or organisation</t>
        </is>
      </c>
      <c r="E8" s="35" t="inlineStr">
        <is>
          <t>Example Art Studio</t>
        </is>
      </c>
      <c r="F8" s="35" t="inlineStr">
        <is>
          <t>Sam Demo</t>
        </is>
      </c>
      <c r="G8" s="35" t="inlineStr">
        <is>
          <t>sam@example.com</t>
        </is>
      </c>
      <c r="H8" s="35" t="inlineStr">
        <is>
          <t>555-0114</t>
        </is>
      </c>
      <c r="I8" s="35" t="inlineStr">
        <is>
          <t>Use the name above</t>
        </is>
      </c>
      <c r="J8" s="35" t="n"/>
      <c r="K8" s="35" t="n"/>
      <c r="L8" s="35" t="n"/>
      <c r="M8" s="35" t="inlineStr">
        <is>
          <t>Four kids' art classes</t>
        </is>
      </c>
      <c r="N8" s="35" t="inlineStr">
        <is>
          <t>Art classes.</t>
        </is>
      </c>
      <c r="O8" s="35" t="n">
        <v>90</v>
      </c>
      <c r="P8" s="35" t="inlineStr">
        <is>
          <t>Ages 6 to 11.</t>
        </is>
      </c>
      <c r="Q8" s="35" t="n"/>
      <c r="R8" s="35" t="inlineStr">
        <is>
          <t>It's a voucher or certificate I'll email</t>
        </is>
      </c>
      <c r="S8" s="35" t="n"/>
      <c r="T8" s="35" t="n">
        <v>1</v>
      </c>
      <c r="AB8" s="36">
        <f>IF($AR8=1,COUNTIF($AS$2:$AS$201,"&lt;"&amp;$AS8)+1,"")</f>
        <v/>
      </c>
      <c r="AC8" s="37">
        <f>IFERROR(TRIM(INDEX($A8:$Z8,MATCH(Lists!$B$9,$A$1:$Z$1,0))&amp;""),"")</f>
        <v/>
      </c>
      <c r="AD8" s="37">
        <f>IF($AR8=1,IFERROR(TRIM(INDEX($A8:$Z8,MATCH(Lists!$B$10,$A$1:$Z$1,0))&amp;""),""),"")</f>
        <v/>
      </c>
      <c r="AE8" s="37">
        <f>IF($AR8=1,IFERROR(TRIM(INDEX($A8:$Z8,MATCH(Lists!$B$12,$A$1:$Z$1,0))&amp;""),""),"")</f>
        <v/>
      </c>
      <c r="AF8" s="38">
        <f>IF($AR8=1,IFERROR(IF(TRIM(INDEX($A8:$Z8,MATCH(Lists!$B$11,$A$1:$Z$1,0))&amp;"")="","",VALUE(TRIM(INDEX($A8:$Z8,MATCH(Lists!$B$11,$A$1:$Z$1,0))&amp;""))),""),"")</f>
        <v/>
      </c>
      <c r="AG8" s="38">
        <f>IF(OR($AR8=0,$AF8="",'Start here'!$F$10="",'Start here'!$F$11="",'Start here'!$F$12="",'Start here'!$F$13="",'Start here'!$F$14=""),"",IF($AF8&lt;'Start here'!$F$10,'Start here'!$F$11,IF($AF8&lt;'Start here'!$F$12,'Start here'!$F$13,'Start here'!$F$14)))</f>
        <v/>
      </c>
      <c r="AH8" s="38">
        <f>IF(OR($AG8="",'Start here'!$F$9=""),"",IF($AF8&lt;=0,"",IFERROR(MAX($AG8,ROUNDUP(ROUND($AF8*'Start here'!$F$9/$AG8,6),0)*$AG8),"")))</f>
        <v/>
      </c>
      <c r="AI8" s="37">
        <f>IF($AR8=0,"",IF($AN8=Lists!$B$19,"",IF(AND($AN8=Lists!$B$18,$AQ8&lt;&gt;""),$AQ8,IF(AND($AP8=Lists!$B$17,$AL8&lt;&gt;""),$AL8,$AK8))))</f>
        <v/>
      </c>
      <c r="AJ8" s="37">
        <f>IF($AR8=0,"",IF(IF($AF8="",", no value",IF($AF8&lt;=0,", no value",""))&amp;IF('Start here'!$F$15="","",IF(LEN($AD8)&lt;'Start here'!$F$15,", short description",""))="","OK",MID(IF($AF8="",", no value",IF($AF8&lt;=0,", no value",""))&amp;IF('Start here'!$F$15="","",IF(LEN($AD8)&lt;'Start here'!$F$15,", short description","")),3,200)))</f>
        <v/>
      </c>
      <c r="AK8" s="37">
        <f>IF($AR8=1,IFERROR(TRIM(INDEX($A8:$Z8,MATCH(Lists!$B$5,$A$1:$Z$1,0))&amp;""),""),"")</f>
        <v/>
      </c>
      <c r="AL8" s="37">
        <f>IF($AR8=1,IFERROR(TRIM(INDEX($A8:$Z8,MATCH(Lists!$B$4,$A$1:$Z$1,0))&amp;""),""),"")</f>
        <v/>
      </c>
      <c r="AM8" s="37">
        <f>IF($AR8=1,IFERROR(TRIM(INDEX($A8:$Z8,MATCH(Lists!$B$6,$A$1:$Z$1,0))&amp;""),""),"")</f>
        <v/>
      </c>
      <c r="AN8" s="37">
        <f>IF($AR8=1,IFERROR(TRIM(INDEX($A8:$Z8,MATCH(Lists!$B$7,$A$1:$Z$1,0))&amp;""),""),"")</f>
        <v/>
      </c>
      <c r="AO8" s="37">
        <f>IF($AR8=1,IFERROR(TRIM(INDEX($A8:$Z8,MATCH(Lists!$B$13,$A$1:$Z$1,0))&amp;""),""),"")</f>
        <v/>
      </c>
      <c r="AP8" s="37">
        <f>IF($AR8=1,IFERROR(TRIM(INDEX($A8:$Z8,MATCH(Lists!$B$3,$A$1:$Z$1,0))&amp;""),""),"")</f>
        <v/>
      </c>
      <c r="AQ8" s="37">
        <f>IF($AR8=1,IFERROR(TRIM(INDEX($A8:$Z8,MATCH(Lists!$B$8,$A$1:$Z$1,0))&amp;""),""),"")</f>
        <v/>
      </c>
      <c r="AR8" s="36">
        <f>IF(LEN($AC8)&gt;0,1,0)</f>
        <v/>
      </c>
      <c r="AS8" s="37">
        <f>IF($AR8=1,IF(IFERROR(IF(ISNUMBER(INDEX($A8:$Z8,MATCH(Lists!$B$2,$A$1:$Z$1,0))),INDEX($A8:$Z8,MATCH(Lists!$B$2,$A$1:$Z$1,0)),DATE(VALUE(LEFT(IFERROR(TRIM(INDEX($A8:$Z8,MATCH(Lists!$B$2,$A$1:$Z$1,0))&amp;""),""),4)),VALUE(MID(IFERROR(TRIM(INDEX($A8:$Z8,MATCH(Lists!$B$2,$A$1:$Z$1,0))&amp;""),""),6,2)),VALUE(MID(IFERROR(TRIM(INDEX($A8:$Z8,MATCH(Lists!$B$2,$A$1:$Z$1,0))&amp;""),""),9,2)))+TIME(VALUE(MID(IFERROR(TRIM(INDEX($A8:$Z8,MATCH(Lists!$B$2,$A$1:$Z$1,0))&amp;""),""),12,2)),VALUE(MID(IFERROR(TRIM(INDEX($A8:$Z8,MATCH(Lists!$B$2,$A$1:$Z$1,0))&amp;""),""),15,2)),VALUE(MID(IFERROR(TRIM(INDEX($A8:$Z8,MATCH(Lists!$B$2,$A$1:$Z$1,0))&amp;""),""),18,2)))),"")="",100000+ROW()/10^7,IFERROR(IF(ISNUMBER(INDEX($A8:$Z8,MATCH(Lists!$B$2,$A$1:$Z$1,0))),INDEX($A8:$Z8,MATCH(Lists!$B$2,$A$1:$Z$1,0)),DATE(VALUE(LEFT(IFERROR(TRIM(INDEX($A8:$Z8,MATCH(Lists!$B$2,$A$1:$Z$1,0))&amp;""),""),4)),VALUE(MID(IFERROR(TRIM(INDEX($A8:$Z8,MATCH(Lists!$B$2,$A$1:$Z$1,0))&amp;""),""),6,2)),VALUE(MID(IFERROR(TRIM(INDEX($A8:$Z8,MATCH(Lists!$B$2,$A$1:$Z$1,0))&amp;""),""),9,2)))+TIME(VALUE(MID(IFERROR(TRIM(INDEX($A8:$Z8,MATCH(Lists!$B$2,$A$1:$Z$1,0))&amp;""),""),12,2)),VALUE(MID(IFERROR(TRIM(INDEX($A8:$Z8,MATCH(Lists!$B$2,$A$1:$Z$1,0))&amp;""),""),15,2)),VALUE(MID(IFERROR(TRIM(INDEX($A8:$Z8,MATCH(Lists!$B$2,$A$1:$Z$1,0))&amp;""),""),18,2)))),"")-ROW()/10^7),"")</f>
        <v/>
      </c>
    </row>
    <row r="9">
      <c r="A9" s="35" t="inlineStr">
        <is>
          <t>EXAMPLE-03 (delete me)</t>
        </is>
      </c>
      <c r="B9" s="35" t="inlineStr">
        <is>
          <t>2026-09-03T18:13:00.000Z</t>
        </is>
      </c>
      <c r="C9" s="35" t="inlineStr">
        <is>
          <t>2026-09-03T18:09:00.000Z</t>
        </is>
      </c>
      <c r="D9" s="35" t="inlineStr">
        <is>
          <t>Me personally</t>
        </is>
      </c>
      <c r="E9" s="35" t="n"/>
      <c r="F9" s="35" t="inlineStr">
        <is>
          <t>Casey Placeholder</t>
        </is>
      </c>
      <c r="G9" s="35" t="inlineStr">
        <is>
          <t>casey@example.com</t>
        </is>
      </c>
      <c r="H9" s="35" t="inlineStr">
        <is>
          <t>555-0113</t>
        </is>
      </c>
      <c r="I9" s="35" t="inlineStr">
        <is>
          <t>No public credit, please</t>
        </is>
      </c>
      <c r="J9" s="35" t="n"/>
      <c r="K9" s="35" t="n"/>
      <c r="L9" s="35" t="inlineStr">
        <is>
          <t>board-letter</t>
        </is>
      </c>
      <c r="M9" s="35" t="inlineStr">
        <is>
          <t>Weekend at a lakeside cabin</t>
        </is>
      </c>
      <c r="N9" s="35" t="inlineStr">
        <is>
          <t>Two nights for up to four people in a quiet cabin by the lake. Kitchen, wood stove and a canoe to borrow.</t>
        </is>
      </c>
      <c r="O9" s="35" t="n">
        <v>600</v>
      </c>
      <c r="P9" s="35" t="inlineStr">
        <is>
          <t>Book by 31 October. Spring and autumn weekends only.</t>
        </is>
      </c>
      <c r="Q9" s="35" t="inlineStr">
        <is>
          <t>cabin.jpg</t>
        </is>
      </c>
      <c r="R9" s="35" t="inlineStr">
        <is>
          <t>It's a voucher or certificate I'll email</t>
        </is>
      </c>
      <c r="S9" s="35" t="n"/>
      <c r="T9" s="35" t="n">
        <v>1</v>
      </c>
      <c r="AB9" s="36">
        <f>IF($AR9=1,COUNTIF($AS$2:$AS$201,"&lt;"&amp;$AS9)+1,"")</f>
        <v/>
      </c>
      <c r="AC9" s="37">
        <f>IFERROR(TRIM(INDEX($A9:$Z9,MATCH(Lists!$B$9,$A$1:$Z$1,0))&amp;""),"")</f>
        <v/>
      </c>
      <c r="AD9" s="37">
        <f>IF($AR9=1,IFERROR(TRIM(INDEX($A9:$Z9,MATCH(Lists!$B$10,$A$1:$Z$1,0))&amp;""),""),"")</f>
        <v/>
      </c>
      <c r="AE9" s="37">
        <f>IF($AR9=1,IFERROR(TRIM(INDEX($A9:$Z9,MATCH(Lists!$B$12,$A$1:$Z$1,0))&amp;""),""),"")</f>
        <v/>
      </c>
      <c r="AF9" s="38">
        <f>IF($AR9=1,IFERROR(IF(TRIM(INDEX($A9:$Z9,MATCH(Lists!$B$11,$A$1:$Z$1,0))&amp;"")="","",VALUE(TRIM(INDEX($A9:$Z9,MATCH(Lists!$B$11,$A$1:$Z$1,0))&amp;""))),""),"")</f>
        <v/>
      </c>
      <c r="AG9" s="38">
        <f>IF(OR($AR9=0,$AF9="",'Start here'!$F$10="",'Start here'!$F$11="",'Start here'!$F$12="",'Start here'!$F$13="",'Start here'!$F$14=""),"",IF($AF9&lt;'Start here'!$F$10,'Start here'!$F$11,IF($AF9&lt;'Start here'!$F$12,'Start here'!$F$13,'Start here'!$F$14)))</f>
        <v/>
      </c>
      <c r="AH9" s="38">
        <f>IF(OR($AG9="",'Start here'!$F$9=""),"",IF($AF9&lt;=0,"",IFERROR(MAX($AG9,ROUNDUP(ROUND($AF9*'Start here'!$F$9/$AG9,6),0)*$AG9),"")))</f>
        <v/>
      </c>
      <c r="AI9" s="37">
        <f>IF($AR9=0,"",IF($AN9=Lists!$B$19,"",IF(AND($AN9=Lists!$B$18,$AQ9&lt;&gt;""),$AQ9,IF(AND($AP9=Lists!$B$17,$AL9&lt;&gt;""),$AL9,$AK9))))</f>
        <v/>
      </c>
      <c r="AJ9" s="37">
        <f>IF($AR9=0,"",IF(IF($AF9="",", no value",IF($AF9&lt;=0,", no value",""))&amp;IF('Start here'!$F$15="","",IF(LEN($AD9)&lt;'Start here'!$F$15,", short description",""))="","OK",MID(IF($AF9="",", no value",IF($AF9&lt;=0,", no value",""))&amp;IF('Start here'!$F$15="","",IF(LEN($AD9)&lt;'Start here'!$F$15,", short description","")),3,200)))</f>
        <v/>
      </c>
      <c r="AK9" s="37">
        <f>IF($AR9=1,IFERROR(TRIM(INDEX($A9:$Z9,MATCH(Lists!$B$5,$A$1:$Z$1,0))&amp;""),""),"")</f>
        <v/>
      </c>
      <c r="AL9" s="37">
        <f>IF($AR9=1,IFERROR(TRIM(INDEX($A9:$Z9,MATCH(Lists!$B$4,$A$1:$Z$1,0))&amp;""),""),"")</f>
        <v/>
      </c>
      <c r="AM9" s="37">
        <f>IF($AR9=1,IFERROR(TRIM(INDEX($A9:$Z9,MATCH(Lists!$B$6,$A$1:$Z$1,0))&amp;""),""),"")</f>
        <v/>
      </c>
      <c r="AN9" s="37">
        <f>IF($AR9=1,IFERROR(TRIM(INDEX($A9:$Z9,MATCH(Lists!$B$7,$A$1:$Z$1,0))&amp;""),""),"")</f>
        <v/>
      </c>
      <c r="AO9" s="37">
        <f>IF($AR9=1,IFERROR(TRIM(INDEX($A9:$Z9,MATCH(Lists!$B$13,$A$1:$Z$1,0))&amp;""),""),"")</f>
        <v/>
      </c>
      <c r="AP9" s="37">
        <f>IF($AR9=1,IFERROR(TRIM(INDEX($A9:$Z9,MATCH(Lists!$B$3,$A$1:$Z$1,0))&amp;""),""),"")</f>
        <v/>
      </c>
      <c r="AQ9" s="37">
        <f>IF($AR9=1,IFERROR(TRIM(INDEX($A9:$Z9,MATCH(Lists!$B$8,$A$1:$Z$1,0))&amp;""),""),"")</f>
        <v/>
      </c>
      <c r="AR9" s="36">
        <f>IF(LEN($AC9)&gt;0,1,0)</f>
        <v/>
      </c>
      <c r="AS9" s="37">
        <f>IF($AR9=1,IF(IFERROR(IF(ISNUMBER(INDEX($A9:$Z9,MATCH(Lists!$B$2,$A$1:$Z$1,0))),INDEX($A9:$Z9,MATCH(Lists!$B$2,$A$1:$Z$1,0)),DATE(VALUE(LEFT(IFERROR(TRIM(INDEX($A9:$Z9,MATCH(Lists!$B$2,$A$1:$Z$1,0))&amp;""),""),4)),VALUE(MID(IFERROR(TRIM(INDEX($A9:$Z9,MATCH(Lists!$B$2,$A$1:$Z$1,0))&amp;""),""),6,2)),VALUE(MID(IFERROR(TRIM(INDEX($A9:$Z9,MATCH(Lists!$B$2,$A$1:$Z$1,0))&amp;""),""),9,2)))+TIME(VALUE(MID(IFERROR(TRIM(INDEX($A9:$Z9,MATCH(Lists!$B$2,$A$1:$Z$1,0))&amp;""),""),12,2)),VALUE(MID(IFERROR(TRIM(INDEX($A9:$Z9,MATCH(Lists!$B$2,$A$1:$Z$1,0))&amp;""),""),15,2)),VALUE(MID(IFERROR(TRIM(INDEX($A9:$Z9,MATCH(Lists!$B$2,$A$1:$Z$1,0))&amp;""),""),18,2)))),"")="",100000+ROW()/10^7,IFERROR(IF(ISNUMBER(INDEX($A9:$Z9,MATCH(Lists!$B$2,$A$1:$Z$1,0))),INDEX($A9:$Z9,MATCH(Lists!$B$2,$A$1:$Z$1,0)),DATE(VALUE(LEFT(IFERROR(TRIM(INDEX($A9:$Z9,MATCH(Lists!$B$2,$A$1:$Z$1,0))&amp;""),""),4)),VALUE(MID(IFERROR(TRIM(INDEX($A9:$Z9,MATCH(Lists!$B$2,$A$1:$Z$1,0))&amp;""),""),6,2)),VALUE(MID(IFERROR(TRIM(INDEX($A9:$Z9,MATCH(Lists!$B$2,$A$1:$Z$1,0))&amp;""),""),9,2)))+TIME(VALUE(MID(IFERROR(TRIM(INDEX($A9:$Z9,MATCH(Lists!$B$2,$A$1:$Z$1,0))&amp;""),""),12,2)),VALUE(MID(IFERROR(TRIM(INDEX($A9:$Z9,MATCH(Lists!$B$2,$A$1:$Z$1,0))&amp;""),""),15,2)),VALUE(MID(IFERROR(TRIM(INDEX($A9:$Z9,MATCH(Lists!$B$2,$A$1:$Z$1,0))&amp;""),""),18,2)))),"")-ROW()/10^7),"")</f>
        <v/>
      </c>
    </row>
    <row r="10">
      <c r="A10" s="35" t="inlineStr">
        <is>
          <t>EXAMPLE-02 (delete me)</t>
        </is>
      </c>
      <c r="B10" s="35" t="inlineStr">
        <is>
          <t>2026-09-02T18:12:00.000Z</t>
        </is>
      </c>
      <c r="C10" s="35" t="inlineStr">
        <is>
          <t>2026-09-02T18:08:00.000Z</t>
        </is>
      </c>
      <c r="D10" s="35" t="inlineStr">
        <is>
          <t>Me personally</t>
        </is>
      </c>
      <c r="E10" s="35" t="n"/>
      <c r="F10" s="35" t="inlineStr">
        <is>
          <t>Robin Sample</t>
        </is>
      </c>
      <c r="G10" s="35" t="inlineStr">
        <is>
          <t>robin@example.com</t>
        </is>
      </c>
      <c r="H10" s="35" t="inlineStr">
        <is>
          <t>555-0112</t>
        </is>
      </c>
      <c r="I10" s="35" t="inlineStr">
        <is>
          <t>Use a different name</t>
        </is>
      </c>
      <c r="J10" s="35" t="inlineStr">
        <is>
          <t>The Sample Family</t>
        </is>
      </c>
      <c r="K10" s="35" t="n"/>
      <c r="L10" s="35" t="inlineStr">
        <is>
          <t>newsletter</t>
        </is>
      </c>
      <c r="M10" s="35" t="inlineStr">
        <is>
          <t>Handmade lap quilt</t>
        </is>
      </c>
      <c r="N10" s="35" t="inlineStr">
        <is>
          <t>A cotton lap quilt in blues and greens, about 120 by 150 cm, sewn by hand over one winter. Machine washable.</t>
        </is>
      </c>
      <c r="O10" s="35" t="n">
        <v>350</v>
      </c>
      <c r="P10" s="35" t="n"/>
      <c r="Q10" s="35" t="inlineStr">
        <is>
          <t>quilt-front.jpg, quilt-back.jpg</t>
        </is>
      </c>
      <c r="R10" s="35" t="inlineStr">
        <is>
          <t>I'll drop it off</t>
        </is>
      </c>
      <c r="S10" s="35" t="n"/>
      <c r="T10" s="35" t="n">
        <v>1</v>
      </c>
      <c r="AB10" s="36">
        <f>IF($AR10=1,COUNTIF($AS$2:$AS$201,"&lt;"&amp;$AS10)+1,"")</f>
        <v/>
      </c>
      <c r="AC10" s="37">
        <f>IFERROR(TRIM(INDEX($A10:$Z10,MATCH(Lists!$B$9,$A$1:$Z$1,0))&amp;""),"")</f>
        <v/>
      </c>
      <c r="AD10" s="37">
        <f>IF($AR10=1,IFERROR(TRIM(INDEX($A10:$Z10,MATCH(Lists!$B$10,$A$1:$Z$1,0))&amp;""),""),"")</f>
        <v/>
      </c>
      <c r="AE10" s="37">
        <f>IF($AR10=1,IFERROR(TRIM(INDEX($A10:$Z10,MATCH(Lists!$B$12,$A$1:$Z$1,0))&amp;""),""),"")</f>
        <v/>
      </c>
      <c r="AF10" s="38">
        <f>IF($AR10=1,IFERROR(IF(TRIM(INDEX($A10:$Z10,MATCH(Lists!$B$11,$A$1:$Z$1,0))&amp;"")="","",VALUE(TRIM(INDEX($A10:$Z10,MATCH(Lists!$B$11,$A$1:$Z$1,0))&amp;""))),""),"")</f>
        <v/>
      </c>
      <c r="AG10" s="38">
        <f>IF(OR($AR10=0,$AF10="",'Start here'!$F$10="",'Start here'!$F$11="",'Start here'!$F$12="",'Start here'!$F$13="",'Start here'!$F$14=""),"",IF($AF10&lt;'Start here'!$F$10,'Start here'!$F$11,IF($AF10&lt;'Start here'!$F$12,'Start here'!$F$13,'Start here'!$F$14)))</f>
        <v/>
      </c>
      <c r="AH10" s="38">
        <f>IF(OR($AG10="",'Start here'!$F$9=""),"",IF($AF10&lt;=0,"",IFERROR(MAX($AG10,ROUNDUP(ROUND($AF10*'Start here'!$F$9/$AG10,6),0)*$AG10),"")))</f>
        <v/>
      </c>
      <c r="AI10" s="37">
        <f>IF($AR10=0,"",IF($AN10=Lists!$B$19,"",IF(AND($AN10=Lists!$B$18,$AQ10&lt;&gt;""),$AQ10,IF(AND($AP10=Lists!$B$17,$AL10&lt;&gt;""),$AL10,$AK10))))</f>
        <v/>
      </c>
      <c r="AJ10" s="37">
        <f>IF($AR10=0,"",IF(IF($AF10="",", no value",IF($AF10&lt;=0,", no value",""))&amp;IF('Start here'!$F$15="","",IF(LEN($AD10)&lt;'Start here'!$F$15,", short description",""))="","OK",MID(IF($AF10="",", no value",IF($AF10&lt;=0,", no value",""))&amp;IF('Start here'!$F$15="","",IF(LEN($AD10)&lt;'Start here'!$F$15,", short description","")),3,200)))</f>
        <v/>
      </c>
      <c r="AK10" s="37">
        <f>IF($AR10=1,IFERROR(TRIM(INDEX($A10:$Z10,MATCH(Lists!$B$5,$A$1:$Z$1,0))&amp;""),""),"")</f>
        <v/>
      </c>
      <c r="AL10" s="37">
        <f>IF($AR10=1,IFERROR(TRIM(INDEX($A10:$Z10,MATCH(Lists!$B$4,$A$1:$Z$1,0))&amp;""),""),"")</f>
        <v/>
      </c>
      <c r="AM10" s="37">
        <f>IF($AR10=1,IFERROR(TRIM(INDEX($A10:$Z10,MATCH(Lists!$B$6,$A$1:$Z$1,0))&amp;""),""),"")</f>
        <v/>
      </c>
      <c r="AN10" s="37">
        <f>IF($AR10=1,IFERROR(TRIM(INDEX($A10:$Z10,MATCH(Lists!$B$7,$A$1:$Z$1,0))&amp;""),""),"")</f>
        <v/>
      </c>
      <c r="AO10" s="37">
        <f>IF($AR10=1,IFERROR(TRIM(INDEX($A10:$Z10,MATCH(Lists!$B$13,$A$1:$Z$1,0))&amp;""),""),"")</f>
        <v/>
      </c>
      <c r="AP10" s="37">
        <f>IF($AR10=1,IFERROR(TRIM(INDEX($A10:$Z10,MATCH(Lists!$B$3,$A$1:$Z$1,0))&amp;""),""),"")</f>
        <v/>
      </c>
      <c r="AQ10" s="37">
        <f>IF($AR10=1,IFERROR(TRIM(INDEX($A10:$Z10,MATCH(Lists!$B$8,$A$1:$Z$1,0))&amp;""),""),"")</f>
        <v/>
      </c>
      <c r="AR10" s="36">
        <f>IF(LEN($AC10)&gt;0,1,0)</f>
        <v/>
      </c>
      <c r="AS10" s="37">
        <f>IF($AR10=1,IF(IFERROR(IF(ISNUMBER(INDEX($A10:$Z10,MATCH(Lists!$B$2,$A$1:$Z$1,0))),INDEX($A10:$Z10,MATCH(Lists!$B$2,$A$1:$Z$1,0)),DATE(VALUE(LEFT(IFERROR(TRIM(INDEX($A10:$Z10,MATCH(Lists!$B$2,$A$1:$Z$1,0))&amp;""),""),4)),VALUE(MID(IFERROR(TRIM(INDEX($A10:$Z10,MATCH(Lists!$B$2,$A$1:$Z$1,0))&amp;""),""),6,2)),VALUE(MID(IFERROR(TRIM(INDEX($A10:$Z10,MATCH(Lists!$B$2,$A$1:$Z$1,0))&amp;""),""),9,2)))+TIME(VALUE(MID(IFERROR(TRIM(INDEX($A10:$Z10,MATCH(Lists!$B$2,$A$1:$Z$1,0))&amp;""),""),12,2)),VALUE(MID(IFERROR(TRIM(INDEX($A10:$Z10,MATCH(Lists!$B$2,$A$1:$Z$1,0))&amp;""),""),15,2)),VALUE(MID(IFERROR(TRIM(INDEX($A10:$Z10,MATCH(Lists!$B$2,$A$1:$Z$1,0))&amp;""),""),18,2)))),"")="",100000+ROW()/10^7,IFERROR(IF(ISNUMBER(INDEX($A10:$Z10,MATCH(Lists!$B$2,$A$1:$Z$1,0))),INDEX($A10:$Z10,MATCH(Lists!$B$2,$A$1:$Z$1,0)),DATE(VALUE(LEFT(IFERROR(TRIM(INDEX($A10:$Z10,MATCH(Lists!$B$2,$A$1:$Z$1,0))&amp;""),""),4)),VALUE(MID(IFERROR(TRIM(INDEX($A10:$Z10,MATCH(Lists!$B$2,$A$1:$Z$1,0))&amp;""),""),6,2)),VALUE(MID(IFERROR(TRIM(INDEX($A10:$Z10,MATCH(Lists!$B$2,$A$1:$Z$1,0))&amp;""),""),9,2)))+TIME(VALUE(MID(IFERROR(TRIM(INDEX($A10:$Z10,MATCH(Lists!$B$2,$A$1:$Z$1,0))&amp;""),""),12,2)),VALUE(MID(IFERROR(TRIM(INDEX($A10:$Z10,MATCH(Lists!$B$2,$A$1:$Z$1,0))&amp;""),""),15,2)),VALUE(MID(IFERROR(TRIM(INDEX($A10:$Z10,MATCH(Lists!$B$2,$A$1:$Z$1,0))&amp;""),""),18,2)))),"")-ROW()/10^7),"")</f>
        <v/>
      </c>
    </row>
    <row r="11">
      <c r="A11" s="35" t="inlineStr">
        <is>
          <t>EXAMPLE-01 (delete me)</t>
        </is>
      </c>
      <c r="B11" s="35" t="inlineStr">
        <is>
          <t>2026-09-01T18:11:00.000Z</t>
        </is>
      </c>
      <c r="C11" s="35" t="inlineStr">
        <is>
          <t>2026-09-01T18:07:00.000Z</t>
        </is>
      </c>
      <c r="D11" s="35" t="inlineStr">
        <is>
          <t>A business or organisation</t>
        </is>
      </c>
      <c r="E11" s="35" t="inlineStr">
        <is>
          <t>Example Bistro</t>
        </is>
      </c>
      <c r="F11" s="35" t="inlineStr">
        <is>
          <t>Pat Example</t>
        </is>
      </c>
      <c r="G11" s="35" t="inlineStr">
        <is>
          <t>pat@example.com</t>
        </is>
      </c>
      <c r="H11" s="35" t="inlineStr">
        <is>
          <t>555-0111</t>
        </is>
      </c>
      <c r="I11" s="35" t="inlineStr">
        <is>
          <t>Use the name above</t>
        </is>
      </c>
      <c r="J11" s="35" t="n"/>
      <c r="K11" s="35" t="inlineStr">
        <is>
          <t>bistro-logo.png</t>
        </is>
      </c>
      <c r="L11" s="35" t="inlineStr">
        <is>
          <t>board-letter</t>
        </is>
      </c>
      <c r="M11" s="35" t="inlineStr">
        <is>
          <t>Dinner for two at Example Bistro</t>
        </is>
      </c>
      <c r="N11" s="35" t="inlineStr">
        <is>
          <t>A three-course dinner for two with a glass of wine each. Pick any starter, main and dessert.</t>
        </is>
      </c>
      <c r="O11" s="35" t="n">
        <v>120</v>
      </c>
      <c r="P11" s="35" t="inlineStr">
        <is>
          <t>Valid until 30 June. Not on Friday or Saturday nights.</t>
        </is>
      </c>
      <c r="Q11" s="35" t="n"/>
      <c r="R11" s="35" t="inlineStr">
        <is>
          <t>It's a voucher or certificate I'll email</t>
        </is>
      </c>
      <c r="S11" s="35" t="n"/>
      <c r="T11" s="35" t="n">
        <v>1</v>
      </c>
      <c r="AB11" s="36">
        <f>IF($AR11=1,COUNTIF($AS$2:$AS$201,"&lt;"&amp;$AS11)+1,"")</f>
        <v/>
      </c>
      <c r="AC11" s="37">
        <f>IFERROR(TRIM(INDEX($A11:$Z11,MATCH(Lists!$B$9,$A$1:$Z$1,0))&amp;""),"")</f>
        <v/>
      </c>
      <c r="AD11" s="37">
        <f>IF($AR11=1,IFERROR(TRIM(INDEX($A11:$Z11,MATCH(Lists!$B$10,$A$1:$Z$1,0))&amp;""),""),"")</f>
        <v/>
      </c>
      <c r="AE11" s="37">
        <f>IF($AR11=1,IFERROR(TRIM(INDEX($A11:$Z11,MATCH(Lists!$B$12,$A$1:$Z$1,0))&amp;""),""),"")</f>
        <v/>
      </c>
      <c r="AF11" s="38">
        <f>IF($AR11=1,IFERROR(IF(TRIM(INDEX($A11:$Z11,MATCH(Lists!$B$11,$A$1:$Z$1,0))&amp;"")="","",VALUE(TRIM(INDEX($A11:$Z11,MATCH(Lists!$B$11,$A$1:$Z$1,0))&amp;""))),""),"")</f>
        <v/>
      </c>
      <c r="AG11" s="38">
        <f>IF(OR($AR11=0,$AF11="",'Start here'!$F$10="",'Start here'!$F$11="",'Start here'!$F$12="",'Start here'!$F$13="",'Start here'!$F$14=""),"",IF($AF11&lt;'Start here'!$F$10,'Start here'!$F$11,IF($AF11&lt;'Start here'!$F$12,'Start here'!$F$13,'Start here'!$F$14)))</f>
        <v/>
      </c>
      <c r="AH11" s="38">
        <f>IF(OR($AG11="",'Start here'!$F$9=""),"",IF($AF11&lt;=0,"",IFERROR(MAX($AG11,ROUNDUP(ROUND($AF11*'Start here'!$F$9/$AG11,6),0)*$AG11),"")))</f>
        <v/>
      </c>
      <c r="AI11" s="37">
        <f>IF($AR11=0,"",IF($AN11=Lists!$B$19,"",IF(AND($AN11=Lists!$B$18,$AQ11&lt;&gt;""),$AQ11,IF(AND($AP11=Lists!$B$17,$AL11&lt;&gt;""),$AL11,$AK11))))</f>
        <v/>
      </c>
      <c r="AJ11" s="37">
        <f>IF($AR11=0,"",IF(IF($AF11="",", no value",IF($AF11&lt;=0,", no value",""))&amp;IF('Start here'!$F$15="","",IF(LEN($AD11)&lt;'Start here'!$F$15,", short description",""))="","OK",MID(IF($AF11="",", no value",IF($AF11&lt;=0,", no value",""))&amp;IF('Start here'!$F$15="","",IF(LEN($AD11)&lt;'Start here'!$F$15,", short description","")),3,200)))</f>
        <v/>
      </c>
      <c r="AK11" s="37">
        <f>IF($AR11=1,IFERROR(TRIM(INDEX($A11:$Z11,MATCH(Lists!$B$5,$A$1:$Z$1,0))&amp;""),""),"")</f>
        <v/>
      </c>
      <c r="AL11" s="37">
        <f>IF($AR11=1,IFERROR(TRIM(INDEX($A11:$Z11,MATCH(Lists!$B$4,$A$1:$Z$1,0))&amp;""),""),"")</f>
        <v/>
      </c>
      <c r="AM11" s="37">
        <f>IF($AR11=1,IFERROR(TRIM(INDEX($A11:$Z11,MATCH(Lists!$B$6,$A$1:$Z$1,0))&amp;""),""),"")</f>
        <v/>
      </c>
      <c r="AN11" s="37">
        <f>IF($AR11=1,IFERROR(TRIM(INDEX($A11:$Z11,MATCH(Lists!$B$7,$A$1:$Z$1,0))&amp;""),""),"")</f>
        <v/>
      </c>
      <c r="AO11" s="37">
        <f>IF($AR11=1,IFERROR(TRIM(INDEX($A11:$Z11,MATCH(Lists!$B$13,$A$1:$Z$1,0))&amp;""),""),"")</f>
        <v/>
      </c>
      <c r="AP11" s="37">
        <f>IF($AR11=1,IFERROR(TRIM(INDEX($A11:$Z11,MATCH(Lists!$B$3,$A$1:$Z$1,0))&amp;""),""),"")</f>
        <v/>
      </c>
      <c r="AQ11" s="37">
        <f>IF($AR11=1,IFERROR(TRIM(INDEX($A11:$Z11,MATCH(Lists!$B$8,$A$1:$Z$1,0))&amp;""),""),"")</f>
        <v/>
      </c>
      <c r="AR11" s="36">
        <f>IF(LEN($AC11)&gt;0,1,0)</f>
        <v/>
      </c>
      <c r="AS11" s="37">
        <f>IF($AR11=1,IF(IFERROR(IF(ISNUMBER(INDEX($A11:$Z11,MATCH(Lists!$B$2,$A$1:$Z$1,0))),INDEX($A11:$Z11,MATCH(Lists!$B$2,$A$1:$Z$1,0)),DATE(VALUE(LEFT(IFERROR(TRIM(INDEX($A11:$Z11,MATCH(Lists!$B$2,$A$1:$Z$1,0))&amp;""),""),4)),VALUE(MID(IFERROR(TRIM(INDEX($A11:$Z11,MATCH(Lists!$B$2,$A$1:$Z$1,0))&amp;""),""),6,2)),VALUE(MID(IFERROR(TRIM(INDEX($A11:$Z11,MATCH(Lists!$B$2,$A$1:$Z$1,0))&amp;""),""),9,2)))+TIME(VALUE(MID(IFERROR(TRIM(INDEX($A11:$Z11,MATCH(Lists!$B$2,$A$1:$Z$1,0))&amp;""),""),12,2)),VALUE(MID(IFERROR(TRIM(INDEX($A11:$Z11,MATCH(Lists!$B$2,$A$1:$Z$1,0))&amp;""),""),15,2)),VALUE(MID(IFERROR(TRIM(INDEX($A11:$Z11,MATCH(Lists!$B$2,$A$1:$Z$1,0))&amp;""),""),18,2)))),"")="",100000+ROW()/10^7,IFERROR(IF(ISNUMBER(INDEX($A11:$Z11,MATCH(Lists!$B$2,$A$1:$Z$1,0))),INDEX($A11:$Z11,MATCH(Lists!$B$2,$A$1:$Z$1,0)),DATE(VALUE(LEFT(IFERROR(TRIM(INDEX($A11:$Z11,MATCH(Lists!$B$2,$A$1:$Z$1,0))&amp;""),""),4)),VALUE(MID(IFERROR(TRIM(INDEX($A11:$Z11,MATCH(Lists!$B$2,$A$1:$Z$1,0))&amp;""),""),6,2)),VALUE(MID(IFERROR(TRIM(INDEX($A11:$Z11,MATCH(Lists!$B$2,$A$1:$Z$1,0))&amp;""),""),9,2)))+TIME(VALUE(MID(IFERROR(TRIM(INDEX($A11:$Z11,MATCH(Lists!$B$2,$A$1:$Z$1,0))&amp;""),""),12,2)),VALUE(MID(IFERROR(TRIM(INDEX($A11:$Z11,MATCH(Lists!$B$2,$A$1:$Z$1,0))&amp;""),""),15,2)),VALUE(MID(IFERROR(TRIM(INDEX($A11:$Z11,MATCH(Lists!$B$2,$A$1:$Z$1,0))&amp;""),""),18,2)))),"")-ROW()/10^7),"")</f>
        <v/>
      </c>
    </row>
    <row r="12">
      <c r="AB12" s="36">
        <f>IF($AR12=1,COUNTIF($AS$2:$AS$201,"&lt;"&amp;$AS12)+1,"")</f>
        <v/>
      </c>
      <c r="AC12" s="37">
        <f>IFERROR(TRIM(INDEX($A12:$Z12,MATCH(Lists!$B$9,$A$1:$Z$1,0))&amp;""),"")</f>
        <v/>
      </c>
      <c r="AD12" s="37">
        <f>IF($AR12=1,IFERROR(TRIM(INDEX($A12:$Z12,MATCH(Lists!$B$10,$A$1:$Z$1,0))&amp;""),""),"")</f>
        <v/>
      </c>
      <c r="AE12" s="37">
        <f>IF($AR12=1,IFERROR(TRIM(INDEX($A12:$Z12,MATCH(Lists!$B$12,$A$1:$Z$1,0))&amp;""),""),"")</f>
        <v/>
      </c>
      <c r="AF12" s="38">
        <f>IF($AR12=1,IFERROR(IF(TRIM(INDEX($A12:$Z12,MATCH(Lists!$B$11,$A$1:$Z$1,0))&amp;"")="","",VALUE(TRIM(INDEX($A12:$Z12,MATCH(Lists!$B$11,$A$1:$Z$1,0))&amp;""))),""),"")</f>
        <v/>
      </c>
      <c r="AG12" s="38">
        <f>IF(OR($AR12=0,$AF12="",'Start here'!$F$10="",'Start here'!$F$11="",'Start here'!$F$12="",'Start here'!$F$13="",'Start here'!$F$14=""),"",IF($AF12&lt;'Start here'!$F$10,'Start here'!$F$11,IF($AF12&lt;'Start here'!$F$12,'Start here'!$F$13,'Start here'!$F$14)))</f>
        <v/>
      </c>
      <c r="AH12" s="38">
        <f>IF(OR($AG12="",'Start here'!$F$9=""),"",IF($AF12&lt;=0,"",IFERROR(MAX($AG12,ROUNDUP(ROUND($AF12*'Start here'!$F$9/$AG12,6),0)*$AG12),"")))</f>
        <v/>
      </c>
      <c r="AI12" s="37">
        <f>IF($AR12=0,"",IF($AN12=Lists!$B$19,"",IF(AND($AN12=Lists!$B$18,$AQ12&lt;&gt;""),$AQ12,IF(AND($AP12=Lists!$B$17,$AL12&lt;&gt;""),$AL12,$AK12))))</f>
        <v/>
      </c>
      <c r="AJ12" s="37">
        <f>IF($AR12=0,"",IF(IF($AF12="",", no value",IF($AF12&lt;=0,", no value",""))&amp;IF('Start here'!$F$15="","",IF(LEN($AD12)&lt;'Start here'!$F$15,", short description",""))="","OK",MID(IF($AF12="",", no value",IF($AF12&lt;=0,", no value",""))&amp;IF('Start here'!$F$15="","",IF(LEN($AD12)&lt;'Start here'!$F$15,", short description","")),3,200)))</f>
        <v/>
      </c>
      <c r="AK12" s="37">
        <f>IF($AR12=1,IFERROR(TRIM(INDEX($A12:$Z12,MATCH(Lists!$B$5,$A$1:$Z$1,0))&amp;""),""),"")</f>
        <v/>
      </c>
      <c r="AL12" s="37">
        <f>IF($AR12=1,IFERROR(TRIM(INDEX($A12:$Z12,MATCH(Lists!$B$4,$A$1:$Z$1,0))&amp;""),""),"")</f>
        <v/>
      </c>
      <c r="AM12" s="37">
        <f>IF($AR12=1,IFERROR(TRIM(INDEX($A12:$Z12,MATCH(Lists!$B$6,$A$1:$Z$1,0))&amp;""),""),"")</f>
        <v/>
      </c>
      <c r="AN12" s="37">
        <f>IF($AR12=1,IFERROR(TRIM(INDEX($A12:$Z12,MATCH(Lists!$B$7,$A$1:$Z$1,0))&amp;""),""),"")</f>
        <v/>
      </c>
      <c r="AO12" s="37">
        <f>IF($AR12=1,IFERROR(TRIM(INDEX($A12:$Z12,MATCH(Lists!$B$13,$A$1:$Z$1,0))&amp;""),""),"")</f>
        <v/>
      </c>
      <c r="AP12" s="37">
        <f>IF($AR12=1,IFERROR(TRIM(INDEX($A12:$Z12,MATCH(Lists!$B$3,$A$1:$Z$1,0))&amp;""),""),"")</f>
        <v/>
      </c>
      <c r="AQ12" s="37">
        <f>IF($AR12=1,IFERROR(TRIM(INDEX($A12:$Z12,MATCH(Lists!$B$8,$A$1:$Z$1,0))&amp;""),""),"")</f>
        <v/>
      </c>
      <c r="AR12" s="36">
        <f>IF(LEN($AC12)&gt;0,1,0)</f>
        <v/>
      </c>
      <c r="AS12" s="37">
        <f>IF($AR12=1,IF(IFERROR(IF(ISNUMBER(INDEX($A12:$Z12,MATCH(Lists!$B$2,$A$1:$Z$1,0))),INDEX($A12:$Z12,MATCH(Lists!$B$2,$A$1:$Z$1,0)),DATE(VALUE(LEFT(IFERROR(TRIM(INDEX($A12:$Z12,MATCH(Lists!$B$2,$A$1:$Z$1,0))&amp;""),""),4)),VALUE(MID(IFERROR(TRIM(INDEX($A12:$Z12,MATCH(Lists!$B$2,$A$1:$Z$1,0))&amp;""),""),6,2)),VALUE(MID(IFERROR(TRIM(INDEX($A12:$Z12,MATCH(Lists!$B$2,$A$1:$Z$1,0))&amp;""),""),9,2)))+TIME(VALUE(MID(IFERROR(TRIM(INDEX($A12:$Z12,MATCH(Lists!$B$2,$A$1:$Z$1,0))&amp;""),""),12,2)),VALUE(MID(IFERROR(TRIM(INDEX($A12:$Z12,MATCH(Lists!$B$2,$A$1:$Z$1,0))&amp;""),""),15,2)),VALUE(MID(IFERROR(TRIM(INDEX($A12:$Z12,MATCH(Lists!$B$2,$A$1:$Z$1,0))&amp;""),""),18,2)))),"")="",100000+ROW()/10^7,IFERROR(IF(ISNUMBER(INDEX($A12:$Z12,MATCH(Lists!$B$2,$A$1:$Z$1,0))),INDEX($A12:$Z12,MATCH(Lists!$B$2,$A$1:$Z$1,0)),DATE(VALUE(LEFT(IFERROR(TRIM(INDEX($A12:$Z12,MATCH(Lists!$B$2,$A$1:$Z$1,0))&amp;""),""),4)),VALUE(MID(IFERROR(TRIM(INDEX($A12:$Z12,MATCH(Lists!$B$2,$A$1:$Z$1,0))&amp;""),""),6,2)),VALUE(MID(IFERROR(TRIM(INDEX($A12:$Z12,MATCH(Lists!$B$2,$A$1:$Z$1,0))&amp;""),""),9,2)))+TIME(VALUE(MID(IFERROR(TRIM(INDEX($A12:$Z12,MATCH(Lists!$B$2,$A$1:$Z$1,0))&amp;""),""),12,2)),VALUE(MID(IFERROR(TRIM(INDEX($A12:$Z12,MATCH(Lists!$B$2,$A$1:$Z$1,0))&amp;""),""),15,2)),VALUE(MID(IFERROR(TRIM(INDEX($A12:$Z12,MATCH(Lists!$B$2,$A$1:$Z$1,0))&amp;""),""),18,2)))),"")-ROW()/10^7),"")</f>
        <v/>
      </c>
    </row>
    <row r="13">
      <c r="AB13" s="36">
        <f>IF($AR13=1,COUNTIF($AS$2:$AS$201,"&lt;"&amp;$AS13)+1,"")</f>
        <v/>
      </c>
      <c r="AC13" s="37">
        <f>IFERROR(TRIM(INDEX($A13:$Z13,MATCH(Lists!$B$9,$A$1:$Z$1,0))&amp;""),"")</f>
        <v/>
      </c>
      <c r="AD13" s="37">
        <f>IF($AR13=1,IFERROR(TRIM(INDEX($A13:$Z13,MATCH(Lists!$B$10,$A$1:$Z$1,0))&amp;""),""),"")</f>
        <v/>
      </c>
      <c r="AE13" s="37">
        <f>IF($AR13=1,IFERROR(TRIM(INDEX($A13:$Z13,MATCH(Lists!$B$12,$A$1:$Z$1,0))&amp;""),""),"")</f>
        <v/>
      </c>
      <c r="AF13" s="38">
        <f>IF($AR13=1,IFERROR(IF(TRIM(INDEX($A13:$Z13,MATCH(Lists!$B$11,$A$1:$Z$1,0))&amp;"")="","",VALUE(TRIM(INDEX($A13:$Z13,MATCH(Lists!$B$11,$A$1:$Z$1,0))&amp;""))),""),"")</f>
        <v/>
      </c>
      <c r="AG13" s="38">
        <f>IF(OR($AR13=0,$AF13="",'Start here'!$F$10="",'Start here'!$F$11="",'Start here'!$F$12="",'Start here'!$F$13="",'Start here'!$F$14=""),"",IF($AF13&lt;'Start here'!$F$10,'Start here'!$F$11,IF($AF13&lt;'Start here'!$F$12,'Start here'!$F$13,'Start here'!$F$14)))</f>
        <v/>
      </c>
      <c r="AH13" s="38">
        <f>IF(OR($AG13="",'Start here'!$F$9=""),"",IF($AF13&lt;=0,"",IFERROR(MAX($AG13,ROUNDUP(ROUND($AF13*'Start here'!$F$9/$AG13,6),0)*$AG13),"")))</f>
        <v/>
      </c>
      <c r="AI13" s="37">
        <f>IF($AR13=0,"",IF($AN13=Lists!$B$19,"",IF(AND($AN13=Lists!$B$18,$AQ13&lt;&gt;""),$AQ13,IF(AND($AP13=Lists!$B$17,$AL13&lt;&gt;""),$AL13,$AK13))))</f>
        <v/>
      </c>
      <c r="AJ13" s="37">
        <f>IF($AR13=0,"",IF(IF($AF13="",", no value",IF($AF13&lt;=0,", no value",""))&amp;IF('Start here'!$F$15="","",IF(LEN($AD13)&lt;'Start here'!$F$15,", short description",""))="","OK",MID(IF($AF13="",", no value",IF($AF13&lt;=0,", no value",""))&amp;IF('Start here'!$F$15="","",IF(LEN($AD13)&lt;'Start here'!$F$15,", short description","")),3,200)))</f>
        <v/>
      </c>
      <c r="AK13" s="37">
        <f>IF($AR13=1,IFERROR(TRIM(INDEX($A13:$Z13,MATCH(Lists!$B$5,$A$1:$Z$1,0))&amp;""),""),"")</f>
        <v/>
      </c>
      <c r="AL13" s="37">
        <f>IF($AR13=1,IFERROR(TRIM(INDEX($A13:$Z13,MATCH(Lists!$B$4,$A$1:$Z$1,0))&amp;""),""),"")</f>
        <v/>
      </c>
      <c r="AM13" s="37">
        <f>IF($AR13=1,IFERROR(TRIM(INDEX($A13:$Z13,MATCH(Lists!$B$6,$A$1:$Z$1,0))&amp;""),""),"")</f>
        <v/>
      </c>
      <c r="AN13" s="37">
        <f>IF($AR13=1,IFERROR(TRIM(INDEX($A13:$Z13,MATCH(Lists!$B$7,$A$1:$Z$1,0))&amp;""),""),"")</f>
        <v/>
      </c>
      <c r="AO13" s="37">
        <f>IF($AR13=1,IFERROR(TRIM(INDEX($A13:$Z13,MATCH(Lists!$B$13,$A$1:$Z$1,0))&amp;""),""),"")</f>
        <v/>
      </c>
      <c r="AP13" s="37">
        <f>IF($AR13=1,IFERROR(TRIM(INDEX($A13:$Z13,MATCH(Lists!$B$3,$A$1:$Z$1,0))&amp;""),""),"")</f>
        <v/>
      </c>
      <c r="AQ13" s="37">
        <f>IF($AR13=1,IFERROR(TRIM(INDEX($A13:$Z13,MATCH(Lists!$B$8,$A$1:$Z$1,0))&amp;""),""),"")</f>
        <v/>
      </c>
      <c r="AR13" s="36">
        <f>IF(LEN($AC13)&gt;0,1,0)</f>
        <v/>
      </c>
      <c r="AS13" s="37">
        <f>IF($AR13=1,IF(IFERROR(IF(ISNUMBER(INDEX($A13:$Z13,MATCH(Lists!$B$2,$A$1:$Z$1,0))),INDEX($A13:$Z13,MATCH(Lists!$B$2,$A$1:$Z$1,0)),DATE(VALUE(LEFT(IFERROR(TRIM(INDEX($A13:$Z13,MATCH(Lists!$B$2,$A$1:$Z$1,0))&amp;""),""),4)),VALUE(MID(IFERROR(TRIM(INDEX($A13:$Z13,MATCH(Lists!$B$2,$A$1:$Z$1,0))&amp;""),""),6,2)),VALUE(MID(IFERROR(TRIM(INDEX($A13:$Z13,MATCH(Lists!$B$2,$A$1:$Z$1,0))&amp;""),""),9,2)))+TIME(VALUE(MID(IFERROR(TRIM(INDEX($A13:$Z13,MATCH(Lists!$B$2,$A$1:$Z$1,0))&amp;""),""),12,2)),VALUE(MID(IFERROR(TRIM(INDEX($A13:$Z13,MATCH(Lists!$B$2,$A$1:$Z$1,0))&amp;""),""),15,2)),VALUE(MID(IFERROR(TRIM(INDEX($A13:$Z13,MATCH(Lists!$B$2,$A$1:$Z$1,0))&amp;""),""),18,2)))),"")="",100000+ROW()/10^7,IFERROR(IF(ISNUMBER(INDEX($A13:$Z13,MATCH(Lists!$B$2,$A$1:$Z$1,0))),INDEX($A13:$Z13,MATCH(Lists!$B$2,$A$1:$Z$1,0)),DATE(VALUE(LEFT(IFERROR(TRIM(INDEX($A13:$Z13,MATCH(Lists!$B$2,$A$1:$Z$1,0))&amp;""),""),4)),VALUE(MID(IFERROR(TRIM(INDEX($A13:$Z13,MATCH(Lists!$B$2,$A$1:$Z$1,0))&amp;""),""),6,2)),VALUE(MID(IFERROR(TRIM(INDEX($A13:$Z13,MATCH(Lists!$B$2,$A$1:$Z$1,0))&amp;""),""),9,2)))+TIME(VALUE(MID(IFERROR(TRIM(INDEX($A13:$Z13,MATCH(Lists!$B$2,$A$1:$Z$1,0))&amp;""),""),12,2)),VALUE(MID(IFERROR(TRIM(INDEX($A13:$Z13,MATCH(Lists!$B$2,$A$1:$Z$1,0))&amp;""),""),15,2)),VALUE(MID(IFERROR(TRIM(INDEX($A13:$Z13,MATCH(Lists!$B$2,$A$1:$Z$1,0))&amp;""),""),18,2)))),"")-ROW()/10^7),"")</f>
        <v/>
      </c>
    </row>
    <row r="14">
      <c r="AB14" s="36">
        <f>IF($AR14=1,COUNTIF($AS$2:$AS$201,"&lt;"&amp;$AS14)+1,"")</f>
        <v/>
      </c>
      <c r="AC14" s="37">
        <f>IFERROR(TRIM(INDEX($A14:$Z14,MATCH(Lists!$B$9,$A$1:$Z$1,0))&amp;""),"")</f>
        <v/>
      </c>
      <c r="AD14" s="37">
        <f>IF($AR14=1,IFERROR(TRIM(INDEX($A14:$Z14,MATCH(Lists!$B$10,$A$1:$Z$1,0))&amp;""),""),"")</f>
        <v/>
      </c>
      <c r="AE14" s="37">
        <f>IF($AR14=1,IFERROR(TRIM(INDEX($A14:$Z14,MATCH(Lists!$B$12,$A$1:$Z$1,0))&amp;""),""),"")</f>
        <v/>
      </c>
      <c r="AF14" s="38">
        <f>IF($AR14=1,IFERROR(IF(TRIM(INDEX($A14:$Z14,MATCH(Lists!$B$11,$A$1:$Z$1,0))&amp;"")="","",VALUE(TRIM(INDEX($A14:$Z14,MATCH(Lists!$B$11,$A$1:$Z$1,0))&amp;""))),""),"")</f>
        <v/>
      </c>
      <c r="AG14" s="38">
        <f>IF(OR($AR14=0,$AF14="",'Start here'!$F$10="",'Start here'!$F$11="",'Start here'!$F$12="",'Start here'!$F$13="",'Start here'!$F$14=""),"",IF($AF14&lt;'Start here'!$F$10,'Start here'!$F$11,IF($AF14&lt;'Start here'!$F$12,'Start here'!$F$13,'Start here'!$F$14)))</f>
        <v/>
      </c>
      <c r="AH14" s="38">
        <f>IF(OR($AG14="",'Start here'!$F$9=""),"",IF($AF14&lt;=0,"",IFERROR(MAX($AG14,ROUNDUP(ROUND($AF14*'Start here'!$F$9/$AG14,6),0)*$AG14),"")))</f>
        <v/>
      </c>
      <c r="AI14" s="37">
        <f>IF($AR14=0,"",IF($AN14=Lists!$B$19,"",IF(AND($AN14=Lists!$B$18,$AQ14&lt;&gt;""),$AQ14,IF(AND($AP14=Lists!$B$17,$AL14&lt;&gt;""),$AL14,$AK14))))</f>
        <v/>
      </c>
      <c r="AJ14" s="37">
        <f>IF($AR14=0,"",IF(IF($AF14="",", no value",IF($AF14&lt;=0,", no value",""))&amp;IF('Start here'!$F$15="","",IF(LEN($AD14)&lt;'Start here'!$F$15,", short description",""))="","OK",MID(IF($AF14="",", no value",IF($AF14&lt;=0,", no value",""))&amp;IF('Start here'!$F$15="","",IF(LEN($AD14)&lt;'Start here'!$F$15,", short description","")),3,200)))</f>
        <v/>
      </c>
      <c r="AK14" s="37">
        <f>IF($AR14=1,IFERROR(TRIM(INDEX($A14:$Z14,MATCH(Lists!$B$5,$A$1:$Z$1,0))&amp;""),""),"")</f>
        <v/>
      </c>
      <c r="AL14" s="37">
        <f>IF($AR14=1,IFERROR(TRIM(INDEX($A14:$Z14,MATCH(Lists!$B$4,$A$1:$Z$1,0))&amp;""),""),"")</f>
        <v/>
      </c>
      <c r="AM14" s="37">
        <f>IF($AR14=1,IFERROR(TRIM(INDEX($A14:$Z14,MATCH(Lists!$B$6,$A$1:$Z$1,0))&amp;""),""),"")</f>
        <v/>
      </c>
      <c r="AN14" s="37">
        <f>IF($AR14=1,IFERROR(TRIM(INDEX($A14:$Z14,MATCH(Lists!$B$7,$A$1:$Z$1,0))&amp;""),""),"")</f>
        <v/>
      </c>
      <c r="AO14" s="37">
        <f>IF($AR14=1,IFERROR(TRIM(INDEX($A14:$Z14,MATCH(Lists!$B$13,$A$1:$Z$1,0))&amp;""),""),"")</f>
        <v/>
      </c>
      <c r="AP14" s="37">
        <f>IF($AR14=1,IFERROR(TRIM(INDEX($A14:$Z14,MATCH(Lists!$B$3,$A$1:$Z$1,0))&amp;""),""),"")</f>
        <v/>
      </c>
      <c r="AQ14" s="37">
        <f>IF($AR14=1,IFERROR(TRIM(INDEX($A14:$Z14,MATCH(Lists!$B$8,$A$1:$Z$1,0))&amp;""),""),"")</f>
        <v/>
      </c>
      <c r="AR14" s="36">
        <f>IF(LEN($AC14)&gt;0,1,0)</f>
        <v/>
      </c>
      <c r="AS14" s="37">
        <f>IF($AR14=1,IF(IFERROR(IF(ISNUMBER(INDEX($A14:$Z14,MATCH(Lists!$B$2,$A$1:$Z$1,0))),INDEX($A14:$Z14,MATCH(Lists!$B$2,$A$1:$Z$1,0)),DATE(VALUE(LEFT(IFERROR(TRIM(INDEX($A14:$Z14,MATCH(Lists!$B$2,$A$1:$Z$1,0))&amp;""),""),4)),VALUE(MID(IFERROR(TRIM(INDEX($A14:$Z14,MATCH(Lists!$B$2,$A$1:$Z$1,0))&amp;""),""),6,2)),VALUE(MID(IFERROR(TRIM(INDEX($A14:$Z14,MATCH(Lists!$B$2,$A$1:$Z$1,0))&amp;""),""),9,2)))+TIME(VALUE(MID(IFERROR(TRIM(INDEX($A14:$Z14,MATCH(Lists!$B$2,$A$1:$Z$1,0))&amp;""),""),12,2)),VALUE(MID(IFERROR(TRIM(INDEX($A14:$Z14,MATCH(Lists!$B$2,$A$1:$Z$1,0))&amp;""),""),15,2)),VALUE(MID(IFERROR(TRIM(INDEX($A14:$Z14,MATCH(Lists!$B$2,$A$1:$Z$1,0))&amp;""),""),18,2)))),"")="",100000+ROW()/10^7,IFERROR(IF(ISNUMBER(INDEX($A14:$Z14,MATCH(Lists!$B$2,$A$1:$Z$1,0))),INDEX($A14:$Z14,MATCH(Lists!$B$2,$A$1:$Z$1,0)),DATE(VALUE(LEFT(IFERROR(TRIM(INDEX($A14:$Z14,MATCH(Lists!$B$2,$A$1:$Z$1,0))&amp;""),""),4)),VALUE(MID(IFERROR(TRIM(INDEX($A14:$Z14,MATCH(Lists!$B$2,$A$1:$Z$1,0))&amp;""),""),6,2)),VALUE(MID(IFERROR(TRIM(INDEX($A14:$Z14,MATCH(Lists!$B$2,$A$1:$Z$1,0))&amp;""),""),9,2)))+TIME(VALUE(MID(IFERROR(TRIM(INDEX($A14:$Z14,MATCH(Lists!$B$2,$A$1:$Z$1,0))&amp;""),""),12,2)),VALUE(MID(IFERROR(TRIM(INDEX($A14:$Z14,MATCH(Lists!$B$2,$A$1:$Z$1,0))&amp;""),""),15,2)),VALUE(MID(IFERROR(TRIM(INDEX($A14:$Z14,MATCH(Lists!$B$2,$A$1:$Z$1,0))&amp;""),""),18,2)))),"")-ROW()/10^7),"")</f>
        <v/>
      </c>
    </row>
    <row r="15">
      <c r="AB15" s="36">
        <f>IF($AR15=1,COUNTIF($AS$2:$AS$201,"&lt;"&amp;$AS15)+1,"")</f>
        <v/>
      </c>
      <c r="AC15" s="37">
        <f>IFERROR(TRIM(INDEX($A15:$Z15,MATCH(Lists!$B$9,$A$1:$Z$1,0))&amp;""),"")</f>
        <v/>
      </c>
      <c r="AD15" s="37">
        <f>IF($AR15=1,IFERROR(TRIM(INDEX($A15:$Z15,MATCH(Lists!$B$10,$A$1:$Z$1,0))&amp;""),""),"")</f>
        <v/>
      </c>
      <c r="AE15" s="37">
        <f>IF($AR15=1,IFERROR(TRIM(INDEX($A15:$Z15,MATCH(Lists!$B$12,$A$1:$Z$1,0))&amp;""),""),"")</f>
        <v/>
      </c>
      <c r="AF15" s="38">
        <f>IF($AR15=1,IFERROR(IF(TRIM(INDEX($A15:$Z15,MATCH(Lists!$B$11,$A$1:$Z$1,0))&amp;"")="","",VALUE(TRIM(INDEX($A15:$Z15,MATCH(Lists!$B$11,$A$1:$Z$1,0))&amp;""))),""),"")</f>
        <v/>
      </c>
      <c r="AG15" s="38">
        <f>IF(OR($AR15=0,$AF15="",'Start here'!$F$10="",'Start here'!$F$11="",'Start here'!$F$12="",'Start here'!$F$13="",'Start here'!$F$14=""),"",IF($AF15&lt;'Start here'!$F$10,'Start here'!$F$11,IF($AF15&lt;'Start here'!$F$12,'Start here'!$F$13,'Start here'!$F$14)))</f>
        <v/>
      </c>
      <c r="AH15" s="38">
        <f>IF(OR($AG15="",'Start here'!$F$9=""),"",IF($AF15&lt;=0,"",IFERROR(MAX($AG15,ROUNDUP(ROUND($AF15*'Start here'!$F$9/$AG15,6),0)*$AG15),"")))</f>
        <v/>
      </c>
      <c r="AI15" s="37">
        <f>IF($AR15=0,"",IF($AN15=Lists!$B$19,"",IF(AND($AN15=Lists!$B$18,$AQ15&lt;&gt;""),$AQ15,IF(AND($AP15=Lists!$B$17,$AL15&lt;&gt;""),$AL15,$AK15))))</f>
        <v/>
      </c>
      <c r="AJ15" s="37">
        <f>IF($AR15=0,"",IF(IF($AF15="",", no value",IF($AF15&lt;=0,", no value",""))&amp;IF('Start here'!$F$15="","",IF(LEN($AD15)&lt;'Start here'!$F$15,", short description",""))="","OK",MID(IF($AF15="",", no value",IF($AF15&lt;=0,", no value",""))&amp;IF('Start here'!$F$15="","",IF(LEN($AD15)&lt;'Start here'!$F$15,", short description","")),3,200)))</f>
        <v/>
      </c>
      <c r="AK15" s="37">
        <f>IF($AR15=1,IFERROR(TRIM(INDEX($A15:$Z15,MATCH(Lists!$B$5,$A$1:$Z$1,0))&amp;""),""),"")</f>
        <v/>
      </c>
      <c r="AL15" s="37">
        <f>IF($AR15=1,IFERROR(TRIM(INDEX($A15:$Z15,MATCH(Lists!$B$4,$A$1:$Z$1,0))&amp;""),""),"")</f>
        <v/>
      </c>
      <c r="AM15" s="37">
        <f>IF($AR15=1,IFERROR(TRIM(INDEX($A15:$Z15,MATCH(Lists!$B$6,$A$1:$Z$1,0))&amp;""),""),"")</f>
        <v/>
      </c>
      <c r="AN15" s="37">
        <f>IF($AR15=1,IFERROR(TRIM(INDEX($A15:$Z15,MATCH(Lists!$B$7,$A$1:$Z$1,0))&amp;""),""),"")</f>
        <v/>
      </c>
      <c r="AO15" s="37">
        <f>IF($AR15=1,IFERROR(TRIM(INDEX($A15:$Z15,MATCH(Lists!$B$13,$A$1:$Z$1,0))&amp;""),""),"")</f>
        <v/>
      </c>
      <c r="AP15" s="37">
        <f>IF($AR15=1,IFERROR(TRIM(INDEX($A15:$Z15,MATCH(Lists!$B$3,$A$1:$Z$1,0))&amp;""),""),"")</f>
        <v/>
      </c>
      <c r="AQ15" s="37">
        <f>IF($AR15=1,IFERROR(TRIM(INDEX($A15:$Z15,MATCH(Lists!$B$8,$A$1:$Z$1,0))&amp;""),""),"")</f>
        <v/>
      </c>
      <c r="AR15" s="36">
        <f>IF(LEN($AC15)&gt;0,1,0)</f>
        <v/>
      </c>
      <c r="AS15" s="37">
        <f>IF($AR15=1,IF(IFERROR(IF(ISNUMBER(INDEX($A15:$Z15,MATCH(Lists!$B$2,$A$1:$Z$1,0))),INDEX($A15:$Z15,MATCH(Lists!$B$2,$A$1:$Z$1,0)),DATE(VALUE(LEFT(IFERROR(TRIM(INDEX($A15:$Z15,MATCH(Lists!$B$2,$A$1:$Z$1,0))&amp;""),""),4)),VALUE(MID(IFERROR(TRIM(INDEX($A15:$Z15,MATCH(Lists!$B$2,$A$1:$Z$1,0))&amp;""),""),6,2)),VALUE(MID(IFERROR(TRIM(INDEX($A15:$Z15,MATCH(Lists!$B$2,$A$1:$Z$1,0))&amp;""),""),9,2)))+TIME(VALUE(MID(IFERROR(TRIM(INDEX($A15:$Z15,MATCH(Lists!$B$2,$A$1:$Z$1,0))&amp;""),""),12,2)),VALUE(MID(IFERROR(TRIM(INDEX($A15:$Z15,MATCH(Lists!$B$2,$A$1:$Z$1,0))&amp;""),""),15,2)),VALUE(MID(IFERROR(TRIM(INDEX($A15:$Z15,MATCH(Lists!$B$2,$A$1:$Z$1,0))&amp;""),""),18,2)))),"")="",100000+ROW()/10^7,IFERROR(IF(ISNUMBER(INDEX($A15:$Z15,MATCH(Lists!$B$2,$A$1:$Z$1,0))),INDEX($A15:$Z15,MATCH(Lists!$B$2,$A$1:$Z$1,0)),DATE(VALUE(LEFT(IFERROR(TRIM(INDEX($A15:$Z15,MATCH(Lists!$B$2,$A$1:$Z$1,0))&amp;""),""),4)),VALUE(MID(IFERROR(TRIM(INDEX($A15:$Z15,MATCH(Lists!$B$2,$A$1:$Z$1,0))&amp;""),""),6,2)),VALUE(MID(IFERROR(TRIM(INDEX($A15:$Z15,MATCH(Lists!$B$2,$A$1:$Z$1,0))&amp;""),""),9,2)))+TIME(VALUE(MID(IFERROR(TRIM(INDEX($A15:$Z15,MATCH(Lists!$B$2,$A$1:$Z$1,0))&amp;""),""),12,2)),VALUE(MID(IFERROR(TRIM(INDEX($A15:$Z15,MATCH(Lists!$B$2,$A$1:$Z$1,0))&amp;""),""),15,2)),VALUE(MID(IFERROR(TRIM(INDEX($A15:$Z15,MATCH(Lists!$B$2,$A$1:$Z$1,0))&amp;""),""),18,2)))),"")-ROW()/10^7),"")</f>
        <v/>
      </c>
    </row>
    <row r="16">
      <c r="AB16" s="36">
        <f>IF($AR16=1,COUNTIF($AS$2:$AS$201,"&lt;"&amp;$AS16)+1,"")</f>
        <v/>
      </c>
      <c r="AC16" s="37">
        <f>IFERROR(TRIM(INDEX($A16:$Z16,MATCH(Lists!$B$9,$A$1:$Z$1,0))&amp;""),"")</f>
        <v/>
      </c>
      <c r="AD16" s="37">
        <f>IF($AR16=1,IFERROR(TRIM(INDEX($A16:$Z16,MATCH(Lists!$B$10,$A$1:$Z$1,0))&amp;""),""),"")</f>
        <v/>
      </c>
      <c r="AE16" s="37">
        <f>IF($AR16=1,IFERROR(TRIM(INDEX($A16:$Z16,MATCH(Lists!$B$12,$A$1:$Z$1,0))&amp;""),""),"")</f>
        <v/>
      </c>
      <c r="AF16" s="38">
        <f>IF($AR16=1,IFERROR(IF(TRIM(INDEX($A16:$Z16,MATCH(Lists!$B$11,$A$1:$Z$1,0))&amp;"")="","",VALUE(TRIM(INDEX($A16:$Z16,MATCH(Lists!$B$11,$A$1:$Z$1,0))&amp;""))),""),"")</f>
        <v/>
      </c>
      <c r="AG16" s="38">
        <f>IF(OR($AR16=0,$AF16="",'Start here'!$F$10="",'Start here'!$F$11="",'Start here'!$F$12="",'Start here'!$F$13="",'Start here'!$F$14=""),"",IF($AF16&lt;'Start here'!$F$10,'Start here'!$F$11,IF($AF16&lt;'Start here'!$F$12,'Start here'!$F$13,'Start here'!$F$14)))</f>
        <v/>
      </c>
      <c r="AH16" s="38">
        <f>IF(OR($AG16="",'Start here'!$F$9=""),"",IF($AF16&lt;=0,"",IFERROR(MAX($AG16,ROUNDUP(ROUND($AF16*'Start here'!$F$9/$AG16,6),0)*$AG16),"")))</f>
        <v/>
      </c>
      <c r="AI16" s="37">
        <f>IF($AR16=0,"",IF($AN16=Lists!$B$19,"",IF(AND($AN16=Lists!$B$18,$AQ16&lt;&gt;""),$AQ16,IF(AND($AP16=Lists!$B$17,$AL16&lt;&gt;""),$AL16,$AK16))))</f>
        <v/>
      </c>
      <c r="AJ16" s="37">
        <f>IF($AR16=0,"",IF(IF($AF16="",", no value",IF($AF16&lt;=0,", no value",""))&amp;IF('Start here'!$F$15="","",IF(LEN($AD16)&lt;'Start here'!$F$15,", short description",""))="","OK",MID(IF($AF16="",", no value",IF($AF16&lt;=0,", no value",""))&amp;IF('Start here'!$F$15="","",IF(LEN($AD16)&lt;'Start here'!$F$15,", short description","")),3,200)))</f>
        <v/>
      </c>
      <c r="AK16" s="37">
        <f>IF($AR16=1,IFERROR(TRIM(INDEX($A16:$Z16,MATCH(Lists!$B$5,$A$1:$Z$1,0))&amp;""),""),"")</f>
        <v/>
      </c>
      <c r="AL16" s="37">
        <f>IF($AR16=1,IFERROR(TRIM(INDEX($A16:$Z16,MATCH(Lists!$B$4,$A$1:$Z$1,0))&amp;""),""),"")</f>
        <v/>
      </c>
      <c r="AM16" s="37">
        <f>IF($AR16=1,IFERROR(TRIM(INDEX($A16:$Z16,MATCH(Lists!$B$6,$A$1:$Z$1,0))&amp;""),""),"")</f>
        <v/>
      </c>
      <c r="AN16" s="37">
        <f>IF($AR16=1,IFERROR(TRIM(INDEX($A16:$Z16,MATCH(Lists!$B$7,$A$1:$Z$1,0))&amp;""),""),"")</f>
        <v/>
      </c>
      <c r="AO16" s="37">
        <f>IF($AR16=1,IFERROR(TRIM(INDEX($A16:$Z16,MATCH(Lists!$B$13,$A$1:$Z$1,0))&amp;""),""),"")</f>
        <v/>
      </c>
      <c r="AP16" s="37">
        <f>IF($AR16=1,IFERROR(TRIM(INDEX($A16:$Z16,MATCH(Lists!$B$3,$A$1:$Z$1,0))&amp;""),""),"")</f>
        <v/>
      </c>
      <c r="AQ16" s="37">
        <f>IF($AR16=1,IFERROR(TRIM(INDEX($A16:$Z16,MATCH(Lists!$B$8,$A$1:$Z$1,0))&amp;""),""),"")</f>
        <v/>
      </c>
      <c r="AR16" s="36">
        <f>IF(LEN($AC16)&gt;0,1,0)</f>
        <v/>
      </c>
      <c r="AS16" s="37">
        <f>IF($AR16=1,IF(IFERROR(IF(ISNUMBER(INDEX($A16:$Z16,MATCH(Lists!$B$2,$A$1:$Z$1,0))),INDEX($A16:$Z16,MATCH(Lists!$B$2,$A$1:$Z$1,0)),DATE(VALUE(LEFT(IFERROR(TRIM(INDEX($A16:$Z16,MATCH(Lists!$B$2,$A$1:$Z$1,0))&amp;""),""),4)),VALUE(MID(IFERROR(TRIM(INDEX($A16:$Z16,MATCH(Lists!$B$2,$A$1:$Z$1,0))&amp;""),""),6,2)),VALUE(MID(IFERROR(TRIM(INDEX($A16:$Z16,MATCH(Lists!$B$2,$A$1:$Z$1,0))&amp;""),""),9,2)))+TIME(VALUE(MID(IFERROR(TRIM(INDEX($A16:$Z16,MATCH(Lists!$B$2,$A$1:$Z$1,0))&amp;""),""),12,2)),VALUE(MID(IFERROR(TRIM(INDEX($A16:$Z16,MATCH(Lists!$B$2,$A$1:$Z$1,0))&amp;""),""),15,2)),VALUE(MID(IFERROR(TRIM(INDEX($A16:$Z16,MATCH(Lists!$B$2,$A$1:$Z$1,0))&amp;""),""),18,2)))),"")="",100000+ROW()/10^7,IFERROR(IF(ISNUMBER(INDEX($A16:$Z16,MATCH(Lists!$B$2,$A$1:$Z$1,0))),INDEX($A16:$Z16,MATCH(Lists!$B$2,$A$1:$Z$1,0)),DATE(VALUE(LEFT(IFERROR(TRIM(INDEX($A16:$Z16,MATCH(Lists!$B$2,$A$1:$Z$1,0))&amp;""),""),4)),VALUE(MID(IFERROR(TRIM(INDEX($A16:$Z16,MATCH(Lists!$B$2,$A$1:$Z$1,0))&amp;""),""),6,2)),VALUE(MID(IFERROR(TRIM(INDEX($A16:$Z16,MATCH(Lists!$B$2,$A$1:$Z$1,0))&amp;""),""),9,2)))+TIME(VALUE(MID(IFERROR(TRIM(INDEX($A16:$Z16,MATCH(Lists!$B$2,$A$1:$Z$1,0))&amp;""),""),12,2)),VALUE(MID(IFERROR(TRIM(INDEX($A16:$Z16,MATCH(Lists!$B$2,$A$1:$Z$1,0))&amp;""),""),15,2)),VALUE(MID(IFERROR(TRIM(INDEX($A16:$Z16,MATCH(Lists!$B$2,$A$1:$Z$1,0))&amp;""),""),18,2)))),"")-ROW()/10^7),"")</f>
        <v/>
      </c>
    </row>
    <row r="17">
      <c r="AB17" s="36">
        <f>IF($AR17=1,COUNTIF($AS$2:$AS$201,"&lt;"&amp;$AS17)+1,"")</f>
        <v/>
      </c>
      <c r="AC17" s="37">
        <f>IFERROR(TRIM(INDEX($A17:$Z17,MATCH(Lists!$B$9,$A$1:$Z$1,0))&amp;""),"")</f>
        <v/>
      </c>
      <c r="AD17" s="37">
        <f>IF($AR17=1,IFERROR(TRIM(INDEX($A17:$Z17,MATCH(Lists!$B$10,$A$1:$Z$1,0))&amp;""),""),"")</f>
        <v/>
      </c>
      <c r="AE17" s="37">
        <f>IF($AR17=1,IFERROR(TRIM(INDEX($A17:$Z17,MATCH(Lists!$B$12,$A$1:$Z$1,0))&amp;""),""),"")</f>
        <v/>
      </c>
      <c r="AF17" s="38">
        <f>IF($AR17=1,IFERROR(IF(TRIM(INDEX($A17:$Z17,MATCH(Lists!$B$11,$A$1:$Z$1,0))&amp;"")="","",VALUE(TRIM(INDEX($A17:$Z17,MATCH(Lists!$B$11,$A$1:$Z$1,0))&amp;""))),""),"")</f>
        <v/>
      </c>
      <c r="AG17" s="38">
        <f>IF(OR($AR17=0,$AF17="",'Start here'!$F$10="",'Start here'!$F$11="",'Start here'!$F$12="",'Start here'!$F$13="",'Start here'!$F$14=""),"",IF($AF17&lt;'Start here'!$F$10,'Start here'!$F$11,IF($AF17&lt;'Start here'!$F$12,'Start here'!$F$13,'Start here'!$F$14)))</f>
        <v/>
      </c>
      <c r="AH17" s="38">
        <f>IF(OR($AG17="",'Start here'!$F$9=""),"",IF($AF17&lt;=0,"",IFERROR(MAX($AG17,ROUNDUP(ROUND($AF17*'Start here'!$F$9/$AG17,6),0)*$AG17),"")))</f>
        <v/>
      </c>
      <c r="AI17" s="37">
        <f>IF($AR17=0,"",IF($AN17=Lists!$B$19,"",IF(AND($AN17=Lists!$B$18,$AQ17&lt;&gt;""),$AQ17,IF(AND($AP17=Lists!$B$17,$AL17&lt;&gt;""),$AL17,$AK17))))</f>
        <v/>
      </c>
      <c r="AJ17" s="37">
        <f>IF($AR17=0,"",IF(IF($AF17="",", no value",IF($AF17&lt;=0,", no value",""))&amp;IF('Start here'!$F$15="","",IF(LEN($AD17)&lt;'Start here'!$F$15,", short description",""))="","OK",MID(IF($AF17="",", no value",IF($AF17&lt;=0,", no value",""))&amp;IF('Start here'!$F$15="","",IF(LEN($AD17)&lt;'Start here'!$F$15,", short description","")),3,200)))</f>
        <v/>
      </c>
      <c r="AK17" s="37">
        <f>IF($AR17=1,IFERROR(TRIM(INDEX($A17:$Z17,MATCH(Lists!$B$5,$A$1:$Z$1,0))&amp;""),""),"")</f>
        <v/>
      </c>
      <c r="AL17" s="37">
        <f>IF($AR17=1,IFERROR(TRIM(INDEX($A17:$Z17,MATCH(Lists!$B$4,$A$1:$Z$1,0))&amp;""),""),"")</f>
        <v/>
      </c>
      <c r="AM17" s="37">
        <f>IF($AR17=1,IFERROR(TRIM(INDEX($A17:$Z17,MATCH(Lists!$B$6,$A$1:$Z$1,0))&amp;""),""),"")</f>
        <v/>
      </c>
      <c r="AN17" s="37">
        <f>IF($AR17=1,IFERROR(TRIM(INDEX($A17:$Z17,MATCH(Lists!$B$7,$A$1:$Z$1,0))&amp;""),""),"")</f>
        <v/>
      </c>
      <c r="AO17" s="37">
        <f>IF($AR17=1,IFERROR(TRIM(INDEX($A17:$Z17,MATCH(Lists!$B$13,$A$1:$Z$1,0))&amp;""),""),"")</f>
        <v/>
      </c>
      <c r="AP17" s="37">
        <f>IF($AR17=1,IFERROR(TRIM(INDEX($A17:$Z17,MATCH(Lists!$B$3,$A$1:$Z$1,0))&amp;""),""),"")</f>
        <v/>
      </c>
      <c r="AQ17" s="37">
        <f>IF($AR17=1,IFERROR(TRIM(INDEX($A17:$Z17,MATCH(Lists!$B$8,$A$1:$Z$1,0))&amp;""),""),"")</f>
        <v/>
      </c>
      <c r="AR17" s="36">
        <f>IF(LEN($AC17)&gt;0,1,0)</f>
        <v/>
      </c>
      <c r="AS17" s="37">
        <f>IF($AR17=1,IF(IFERROR(IF(ISNUMBER(INDEX($A17:$Z17,MATCH(Lists!$B$2,$A$1:$Z$1,0))),INDEX($A17:$Z17,MATCH(Lists!$B$2,$A$1:$Z$1,0)),DATE(VALUE(LEFT(IFERROR(TRIM(INDEX($A17:$Z17,MATCH(Lists!$B$2,$A$1:$Z$1,0))&amp;""),""),4)),VALUE(MID(IFERROR(TRIM(INDEX($A17:$Z17,MATCH(Lists!$B$2,$A$1:$Z$1,0))&amp;""),""),6,2)),VALUE(MID(IFERROR(TRIM(INDEX($A17:$Z17,MATCH(Lists!$B$2,$A$1:$Z$1,0))&amp;""),""),9,2)))+TIME(VALUE(MID(IFERROR(TRIM(INDEX($A17:$Z17,MATCH(Lists!$B$2,$A$1:$Z$1,0))&amp;""),""),12,2)),VALUE(MID(IFERROR(TRIM(INDEX($A17:$Z17,MATCH(Lists!$B$2,$A$1:$Z$1,0))&amp;""),""),15,2)),VALUE(MID(IFERROR(TRIM(INDEX($A17:$Z17,MATCH(Lists!$B$2,$A$1:$Z$1,0))&amp;""),""),18,2)))),"")="",100000+ROW()/10^7,IFERROR(IF(ISNUMBER(INDEX($A17:$Z17,MATCH(Lists!$B$2,$A$1:$Z$1,0))),INDEX($A17:$Z17,MATCH(Lists!$B$2,$A$1:$Z$1,0)),DATE(VALUE(LEFT(IFERROR(TRIM(INDEX($A17:$Z17,MATCH(Lists!$B$2,$A$1:$Z$1,0))&amp;""),""),4)),VALUE(MID(IFERROR(TRIM(INDEX($A17:$Z17,MATCH(Lists!$B$2,$A$1:$Z$1,0))&amp;""),""),6,2)),VALUE(MID(IFERROR(TRIM(INDEX($A17:$Z17,MATCH(Lists!$B$2,$A$1:$Z$1,0))&amp;""),""),9,2)))+TIME(VALUE(MID(IFERROR(TRIM(INDEX($A17:$Z17,MATCH(Lists!$B$2,$A$1:$Z$1,0))&amp;""),""),12,2)),VALUE(MID(IFERROR(TRIM(INDEX($A17:$Z17,MATCH(Lists!$B$2,$A$1:$Z$1,0))&amp;""),""),15,2)),VALUE(MID(IFERROR(TRIM(INDEX($A17:$Z17,MATCH(Lists!$B$2,$A$1:$Z$1,0))&amp;""),""),18,2)))),"")-ROW()/10^7),"")</f>
        <v/>
      </c>
    </row>
    <row r="18">
      <c r="AB18" s="36">
        <f>IF($AR18=1,COUNTIF($AS$2:$AS$201,"&lt;"&amp;$AS18)+1,"")</f>
        <v/>
      </c>
      <c r="AC18" s="37">
        <f>IFERROR(TRIM(INDEX($A18:$Z18,MATCH(Lists!$B$9,$A$1:$Z$1,0))&amp;""),"")</f>
        <v/>
      </c>
      <c r="AD18" s="37">
        <f>IF($AR18=1,IFERROR(TRIM(INDEX($A18:$Z18,MATCH(Lists!$B$10,$A$1:$Z$1,0))&amp;""),""),"")</f>
        <v/>
      </c>
      <c r="AE18" s="37">
        <f>IF($AR18=1,IFERROR(TRIM(INDEX($A18:$Z18,MATCH(Lists!$B$12,$A$1:$Z$1,0))&amp;""),""),"")</f>
        <v/>
      </c>
      <c r="AF18" s="38">
        <f>IF($AR18=1,IFERROR(IF(TRIM(INDEX($A18:$Z18,MATCH(Lists!$B$11,$A$1:$Z$1,0))&amp;"")="","",VALUE(TRIM(INDEX($A18:$Z18,MATCH(Lists!$B$11,$A$1:$Z$1,0))&amp;""))),""),"")</f>
        <v/>
      </c>
      <c r="AG18" s="38">
        <f>IF(OR($AR18=0,$AF18="",'Start here'!$F$10="",'Start here'!$F$11="",'Start here'!$F$12="",'Start here'!$F$13="",'Start here'!$F$14=""),"",IF($AF18&lt;'Start here'!$F$10,'Start here'!$F$11,IF($AF18&lt;'Start here'!$F$12,'Start here'!$F$13,'Start here'!$F$14)))</f>
        <v/>
      </c>
      <c r="AH18" s="38">
        <f>IF(OR($AG18="",'Start here'!$F$9=""),"",IF($AF18&lt;=0,"",IFERROR(MAX($AG18,ROUNDUP(ROUND($AF18*'Start here'!$F$9/$AG18,6),0)*$AG18),"")))</f>
        <v/>
      </c>
      <c r="AI18" s="37">
        <f>IF($AR18=0,"",IF($AN18=Lists!$B$19,"",IF(AND($AN18=Lists!$B$18,$AQ18&lt;&gt;""),$AQ18,IF(AND($AP18=Lists!$B$17,$AL18&lt;&gt;""),$AL18,$AK18))))</f>
        <v/>
      </c>
      <c r="AJ18" s="37">
        <f>IF($AR18=0,"",IF(IF($AF18="",", no value",IF($AF18&lt;=0,", no value",""))&amp;IF('Start here'!$F$15="","",IF(LEN($AD18)&lt;'Start here'!$F$15,", short description",""))="","OK",MID(IF($AF18="",", no value",IF($AF18&lt;=0,", no value",""))&amp;IF('Start here'!$F$15="","",IF(LEN($AD18)&lt;'Start here'!$F$15,", short description","")),3,200)))</f>
        <v/>
      </c>
      <c r="AK18" s="37">
        <f>IF($AR18=1,IFERROR(TRIM(INDEX($A18:$Z18,MATCH(Lists!$B$5,$A$1:$Z$1,0))&amp;""),""),"")</f>
        <v/>
      </c>
      <c r="AL18" s="37">
        <f>IF($AR18=1,IFERROR(TRIM(INDEX($A18:$Z18,MATCH(Lists!$B$4,$A$1:$Z$1,0))&amp;""),""),"")</f>
        <v/>
      </c>
      <c r="AM18" s="37">
        <f>IF($AR18=1,IFERROR(TRIM(INDEX($A18:$Z18,MATCH(Lists!$B$6,$A$1:$Z$1,0))&amp;""),""),"")</f>
        <v/>
      </c>
      <c r="AN18" s="37">
        <f>IF($AR18=1,IFERROR(TRIM(INDEX($A18:$Z18,MATCH(Lists!$B$7,$A$1:$Z$1,0))&amp;""),""),"")</f>
        <v/>
      </c>
      <c r="AO18" s="37">
        <f>IF($AR18=1,IFERROR(TRIM(INDEX($A18:$Z18,MATCH(Lists!$B$13,$A$1:$Z$1,0))&amp;""),""),"")</f>
        <v/>
      </c>
      <c r="AP18" s="37">
        <f>IF($AR18=1,IFERROR(TRIM(INDEX($A18:$Z18,MATCH(Lists!$B$3,$A$1:$Z$1,0))&amp;""),""),"")</f>
        <v/>
      </c>
      <c r="AQ18" s="37">
        <f>IF($AR18=1,IFERROR(TRIM(INDEX($A18:$Z18,MATCH(Lists!$B$8,$A$1:$Z$1,0))&amp;""),""),"")</f>
        <v/>
      </c>
      <c r="AR18" s="36">
        <f>IF(LEN($AC18)&gt;0,1,0)</f>
        <v/>
      </c>
      <c r="AS18" s="37">
        <f>IF($AR18=1,IF(IFERROR(IF(ISNUMBER(INDEX($A18:$Z18,MATCH(Lists!$B$2,$A$1:$Z$1,0))),INDEX($A18:$Z18,MATCH(Lists!$B$2,$A$1:$Z$1,0)),DATE(VALUE(LEFT(IFERROR(TRIM(INDEX($A18:$Z18,MATCH(Lists!$B$2,$A$1:$Z$1,0))&amp;""),""),4)),VALUE(MID(IFERROR(TRIM(INDEX($A18:$Z18,MATCH(Lists!$B$2,$A$1:$Z$1,0))&amp;""),""),6,2)),VALUE(MID(IFERROR(TRIM(INDEX($A18:$Z18,MATCH(Lists!$B$2,$A$1:$Z$1,0))&amp;""),""),9,2)))+TIME(VALUE(MID(IFERROR(TRIM(INDEX($A18:$Z18,MATCH(Lists!$B$2,$A$1:$Z$1,0))&amp;""),""),12,2)),VALUE(MID(IFERROR(TRIM(INDEX($A18:$Z18,MATCH(Lists!$B$2,$A$1:$Z$1,0))&amp;""),""),15,2)),VALUE(MID(IFERROR(TRIM(INDEX($A18:$Z18,MATCH(Lists!$B$2,$A$1:$Z$1,0))&amp;""),""),18,2)))),"")="",100000+ROW()/10^7,IFERROR(IF(ISNUMBER(INDEX($A18:$Z18,MATCH(Lists!$B$2,$A$1:$Z$1,0))),INDEX($A18:$Z18,MATCH(Lists!$B$2,$A$1:$Z$1,0)),DATE(VALUE(LEFT(IFERROR(TRIM(INDEX($A18:$Z18,MATCH(Lists!$B$2,$A$1:$Z$1,0))&amp;""),""),4)),VALUE(MID(IFERROR(TRIM(INDEX($A18:$Z18,MATCH(Lists!$B$2,$A$1:$Z$1,0))&amp;""),""),6,2)),VALUE(MID(IFERROR(TRIM(INDEX($A18:$Z18,MATCH(Lists!$B$2,$A$1:$Z$1,0))&amp;""),""),9,2)))+TIME(VALUE(MID(IFERROR(TRIM(INDEX($A18:$Z18,MATCH(Lists!$B$2,$A$1:$Z$1,0))&amp;""),""),12,2)),VALUE(MID(IFERROR(TRIM(INDEX($A18:$Z18,MATCH(Lists!$B$2,$A$1:$Z$1,0))&amp;""),""),15,2)),VALUE(MID(IFERROR(TRIM(INDEX($A18:$Z18,MATCH(Lists!$B$2,$A$1:$Z$1,0))&amp;""),""),18,2)))),"")-ROW()/10^7),"")</f>
        <v/>
      </c>
    </row>
    <row r="19">
      <c r="AB19" s="36">
        <f>IF($AR19=1,COUNTIF($AS$2:$AS$201,"&lt;"&amp;$AS19)+1,"")</f>
        <v/>
      </c>
      <c r="AC19" s="37">
        <f>IFERROR(TRIM(INDEX($A19:$Z19,MATCH(Lists!$B$9,$A$1:$Z$1,0))&amp;""),"")</f>
        <v/>
      </c>
      <c r="AD19" s="37">
        <f>IF($AR19=1,IFERROR(TRIM(INDEX($A19:$Z19,MATCH(Lists!$B$10,$A$1:$Z$1,0))&amp;""),""),"")</f>
        <v/>
      </c>
      <c r="AE19" s="37">
        <f>IF($AR19=1,IFERROR(TRIM(INDEX($A19:$Z19,MATCH(Lists!$B$12,$A$1:$Z$1,0))&amp;""),""),"")</f>
        <v/>
      </c>
      <c r="AF19" s="38">
        <f>IF($AR19=1,IFERROR(IF(TRIM(INDEX($A19:$Z19,MATCH(Lists!$B$11,$A$1:$Z$1,0))&amp;"")="","",VALUE(TRIM(INDEX($A19:$Z19,MATCH(Lists!$B$11,$A$1:$Z$1,0))&amp;""))),""),"")</f>
        <v/>
      </c>
      <c r="AG19" s="38">
        <f>IF(OR($AR19=0,$AF19="",'Start here'!$F$10="",'Start here'!$F$11="",'Start here'!$F$12="",'Start here'!$F$13="",'Start here'!$F$14=""),"",IF($AF19&lt;'Start here'!$F$10,'Start here'!$F$11,IF($AF19&lt;'Start here'!$F$12,'Start here'!$F$13,'Start here'!$F$14)))</f>
        <v/>
      </c>
      <c r="AH19" s="38">
        <f>IF(OR($AG19="",'Start here'!$F$9=""),"",IF($AF19&lt;=0,"",IFERROR(MAX($AG19,ROUNDUP(ROUND($AF19*'Start here'!$F$9/$AG19,6),0)*$AG19),"")))</f>
        <v/>
      </c>
      <c r="AI19" s="37">
        <f>IF($AR19=0,"",IF($AN19=Lists!$B$19,"",IF(AND($AN19=Lists!$B$18,$AQ19&lt;&gt;""),$AQ19,IF(AND($AP19=Lists!$B$17,$AL19&lt;&gt;""),$AL19,$AK19))))</f>
        <v/>
      </c>
      <c r="AJ19" s="37">
        <f>IF($AR19=0,"",IF(IF($AF19="",", no value",IF($AF19&lt;=0,", no value",""))&amp;IF('Start here'!$F$15="","",IF(LEN($AD19)&lt;'Start here'!$F$15,", short description",""))="","OK",MID(IF($AF19="",", no value",IF($AF19&lt;=0,", no value",""))&amp;IF('Start here'!$F$15="","",IF(LEN($AD19)&lt;'Start here'!$F$15,", short description","")),3,200)))</f>
        <v/>
      </c>
      <c r="AK19" s="37">
        <f>IF($AR19=1,IFERROR(TRIM(INDEX($A19:$Z19,MATCH(Lists!$B$5,$A$1:$Z$1,0))&amp;""),""),"")</f>
        <v/>
      </c>
      <c r="AL19" s="37">
        <f>IF($AR19=1,IFERROR(TRIM(INDEX($A19:$Z19,MATCH(Lists!$B$4,$A$1:$Z$1,0))&amp;""),""),"")</f>
        <v/>
      </c>
      <c r="AM19" s="37">
        <f>IF($AR19=1,IFERROR(TRIM(INDEX($A19:$Z19,MATCH(Lists!$B$6,$A$1:$Z$1,0))&amp;""),""),"")</f>
        <v/>
      </c>
      <c r="AN19" s="37">
        <f>IF($AR19=1,IFERROR(TRIM(INDEX($A19:$Z19,MATCH(Lists!$B$7,$A$1:$Z$1,0))&amp;""),""),"")</f>
        <v/>
      </c>
      <c r="AO19" s="37">
        <f>IF($AR19=1,IFERROR(TRIM(INDEX($A19:$Z19,MATCH(Lists!$B$13,$A$1:$Z$1,0))&amp;""),""),"")</f>
        <v/>
      </c>
      <c r="AP19" s="37">
        <f>IF($AR19=1,IFERROR(TRIM(INDEX($A19:$Z19,MATCH(Lists!$B$3,$A$1:$Z$1,0))&amp;""),""),"")</f>
        <v/>
      </c>
      <c r="AQ19" s="37">
        <f>IF($AR19=1,IFERROR(TRIM(INDEX($A19:$Z19,MATCH(Lists!$B$8,$A$1:$Z$1,0))&amp;""),""),"")</f>
        <v/>
      </c>
      <c r="AR19" s="36">
        <f>IF(LEN($AC19)&gt;0,1,0)</f>
        <v/>
      </c>
      <c r="AS19" s="37">
        <f>IF($AR19=1,IF(IFERROR(IF(ISNUMBER(INDEX($A19:$Z19,MATCH(Lists!$B$2,$A$1:$Z$1,0))),INDEX($A19:$Z19,MATCH(Lists!$B$2,$A$1:$Z$1,0)),DATE(VALUE(LEFT(IFERROR(TRIM(INDEX($A19:$Z19,MATCH(Lists!$B$2,$A$1:$Z$1,0))&amp;""),""),4)),VALUE(MID(IFERROR(TRIM(INDEX($A19:$Z19,MATCH(Lists!$B$2,$A$1:$Z$1,0))&amp;""),""),6,2)),VALUE(MID(IFERROR(TRIM(INDEX($A19:$Z19,MATCH(Lists!$B$2,$A$1:$Z$1,0))&amp;""),""),9,2)))+TIME(VALUE(MID(IFERROR(TRIM(INDEX($A19:$Z19,MATCH(Lists!$B$2,$A$1:$Z$1,0))&amp;""),""),12,2)),VALUE(MID(IFERROR(TRIM(INDEX($A19:$Z19,MATCH(Lists!$B$2,$A$1:$Z$1,0))&amp;""),""),15,2)),VALUE(MID(IFERROR(TRIM(INDEX($A19:$Z19,MATCH(Lists!$B$2,$A$1:$Z$1,0))&amp;""),""),18,2)))),"")="",100000+ROW()/10^7,IFERROR(IF(ISNUMBER(INDEX($A19:$Z19,MATCH(Lists!$B$2,$A$1:$Z$1,0))),INDEX($A19:$Z19,MATCH(Lists!$B$2,$A$1:$Z$1,0)),DATE(VALUE(LEFT(IFERROR(TRIM(INDEX($A19:$Z19,MATCH(Lists!$B$2,$A$1:$Z$1,0))&amp;""),""),4)),VALUE(MID(IFERROR(TRIM(INDEX($A19:$Z19,MATCH(Lists!$B$2,$A$1:$Z$1,0))&amp;""),""),6,2)),VALUE(MID(IFERROR(TRIM(INDEX($A19:$Z19,MATCH(Lists!$B$2,$A$1:$Z$1,0))&amp;""),""),9,2)))+TIME(VALUE(MID(IFERROR(TRIM(INDEX($A19:$Z19,MATCH(Lists!$B$2,$A$1:$Z$1,0))&amp;""),""),12,2)),VALUE(MID(IFERROR(TRIM(INDEX($A19:$Z19,MATCH(Lists!$B$2,$A$1:$Z$1,0))&amp;""),""),15,2)),VALUE(MID(IFERROR(TRIM(INDEX($A19:$Z19,MATCH(Lists!$B$2,$A$1:$Z$1,0))&amp;""),""),18,2)))),"")-ROW()/10^7),"")</f>
        <v/>
      </c>
    </row>
    <row r="20">
      <c r="AB20" s="36">
        <f>IF($AR20=1,COUNTIF($AS$2:$AS$201,"&lt;"&amp;$AS20)+1,"")</f>
        <v/>
      </c>
      <c r="AC20" s="37">
        <f>IFERROR(TRIM(INDEX($A20:$Z20,MATCH(Lists!$B$9,$A$1:$Z$1,0))&amp;""),"")</f>
        <v/>
      </c>
      <c r="AD20" s="37">
        <f>IF($AR20=1,IFERROR(TRIM(INDEX($A20:$Z20,MATCH(Lists!$B$10,$A$1:$Z$1,0))&amp;""),""),"")</f>
        <v/>
      </c>
      <c r="AE20" s="37">
        <f>IF($AR20=1,IFERROR(TRIM(INDEX($A20:$Z20,MATCH(Lists!$B$12,$A$1:$Z$1,0))&amp;""),""),"")</f>
        <v/>
      </c>
      <c r="AF20" s="38">
        <f>IF($AR20=1,IFERROR(IF(TRIM(INDEX($A20:$Z20,MATCH(Lists!$B$11,$A$1:$Z$1,0))&amp;"")="","",VALUE(TRIM(INDEX($A20:$Z20,MATCH(Lists!$B$11,$A$1:$Z$1,0))&amp;""))),""),"")</f>
        <v/>
      </c>
      <c r="AG20" s="38">
        <f>IF(OR($AR20=0,$AF20="",'Start here'!$F$10="",'Start here'!$F$11="",'Start here'!$F$12="",'Start here'!$F$13="",'Start here'!$F$14=""),"",IF($AF20&lt;'Start here'!$F$10,'Start here'!$F$11,IF($AF20&lt;'Start here'!$F$12,'Start here'!$F$13,'Start here'!$F$14)))</f>
        <v/>
      </c>
      <c r="AH20" s="38">
        <f>IF(OR($AG20="",'Start here'!$F$9=""),"",IF($AF20&lt;=0,"",IFERROR(MAX($AG20,ROUNDUP(ROUND($AF20*'Start here'!$F$9/$AG20,6),0)*$AG20),"")))</f>
        <v/>
      </c>
      <c r="AI20" s="37">
        <f>IF($AR20=0,"",IF($AN20=Lists!$B$19,"",IF(AND($AN20=Lists!$B$18,$AQ20&lt;&gt;""),$AQ20,IF(AND($AP20=Lists!$B$17,$AL20&lt;&gt;""),$AL20,$AK20))))</f>
        <v/>
      </c>
      <c r="AJ20" s="37">
        <f>IF($AR20=0,"",IF(IF($AF20="",", no value",IF($AF20&lt;=0,", no value",""))&amp;IF('Start here'!$F$15="","",IF(LEN($AD20)&lt;'Start here'!$F$15,", short description",""))="","OK",MID(IF($AF20="",", no value",IF($AF20&lt;=0,", no value",""))&amp;IF('Start here'!$F$15="","",IF(LEN($AD20)&lt;'Start here'!$F$15,", short description","")),3,200)))</f>
        <v/>
      </c>
      <c r="AK20" s="37">
        <f>IF($AR20=1,IFERROR(TRIM(INDEX($A20:$Z20,MATCH(Lists!$B$5,$A$1:$Z$1,0))&amp;""),""),"")</f>
        <v/>
      </c>
      <c r="AL20" s="37">
        <f>IF($AR20=1,IFERROR(TRIM(INDEX($A20:$Z20,MATCH(Lists!$B$4,$A$1:$Z$1,0))&amp;""),""),"")</f>
        <v/>
      </c>
      <c r="AM20" s="37">
        <f>IF($AR20=1,IFERROR(TRIM(INDEX($A20:$Z20,MATCH(Lists!$B$6,$A$1:$Z$1,0))&amp;""),""),"")</f>
        <v/>
      </c>
      <c r="AN20" s="37">
        <f>IF($AR20=1,IFERROR(TRIM(INDEX($A20:$Z20,MATCH(Lists!$B$7,$A$1:$Z$1,0))&amp;""),""),"")</f>
        <v/>
      </c>
      <c r="AO20" s="37">
        <f>IF($AR20=1,IFERROR(TRIM(INDEX($A20:$Z20,MATCH(Lists!$B$13,$A$1:$Z$1,0))&amp;""),""),"")</f>
        <v/>
      </c>
      <c r="AP20" s="37">
        <f>IF($AR20=1,IFERROR(TRIM(INDEX($A20:$Z20,MATCH(Lists!$B$3,$A$1:$Z$1,0))&amp;""),""),"")</f>
        <v/>
      </c>
      <c r="AQ20" s="37">
        <f>IF($AR20=1,IFERROR(TRIM(INDEX($A20:$Z20,MATCH(Lists!$B$8,$A$1:$Z$1,0))&amp;""),""),"")</f>
        <v/>
      </c>
      <c r="AR20" s="36">
        <f>IF(LEN($AC20)&gt;0,1,0)</f>
        <v/>
      </c>
      <c r="AS20" s="37">
        <f>IF($AR20=1,IF(IFERROR(IF(ISNUMBER(INDEX($A20:$Z20,MATCH(Lists!$B$2,$A$1:$Z$1,0))),INDEX($A20:$Z20,MATCH(Lists!$B$2,$A$1:$Z$1,0)),DATE(VALUE(LEFT(IFERROR(TRIM(INDEX($A20:$Z20,MATCH(Lists!$B$2,$A$1:$Z$1,0))&amp;""),""),4)),VALUE(MID(IFERROR(TRIM(INDEX($A20:$Z20,MATCH(Lists!$B$2,$A$1:$Z$1,0))&amp;""),""),6,2)),VALUE(MID(IFERROR(TRIM(INDEX($A20:$Z20,MATCH(Lists!$B$2,$A$1:$Z$1,0))&amp;""),""),9,2)))+TIME(VALUE(MID(IFERROR(TRIM(INDEX($A20:$Z20,MATCH(Lists!$B$2,$A$1:$Z$1,0))&amp;""),""),12,2)),VALUE(MID(IFERROR(TRIM(INDEX($A20:$Z20,MATCH(Lists!$B$2,$A$1:$Z$1,0))&amp;""),""),15,2)),VALUE(MID(IFERROR(TRIM(INDEX($A20:$Z20,MATCH(Lists!$B$2,$A$1:$Z$1,0))&amp;""),""),18,2)))),"")="",100000+ROW()/10^7,IFERROR(IF(ISNUMBER(INDEX($A20:$Z20,MATCH(Lists!$B$2,$A$1:$Z$1,0))),INDEX($A20:$Z20,MATCH(Lists!$B$2,$A$1:$Z$1,0)),DATE(VALUE(LEFT(IFERROR(TRIM(INDEX($A20:$Z20,MATCH(Lists!$B$2,$A$1:$Z$1,0))&amp;""),""),4)),VALUE(MID(IFERROR(TRIM(INDEX($A20:$Z20,MATCH(Lists!$B$2,$A$1:$Z$1,0))&amp;""),""),6,2)),VALUE(MID(IFERROR(TRIM(INDEX($A20:$Z20,MATCH(Lists!$B$2,$A$1:$Z$1,0))&amp;""),""),9,2)))+TIME(VALUE(MID(IFERROR(TRIM(INDEX($A20:$Z20,MATCH(Lists!$B$2,$A$1:$Z$1,0))&amp;""),""),12,2)),VALUE(MID(IFERROR(TRIM(INDEX($A20:$Z20,MATCH(Lists!$B$2,$A$1:$Z$1,0))&amp;""),""),15,2)),VALUE(MID(IFERROR(TRIM(INDEX($A20:$Z20,MATCH(Lists!$B$2,$A$1:$Z$1,0))&amp;""),""),18,2)))),"")-ROW()/10^7),"")</f>
        <v/>
      </c>
    </row>
    <row r="21">
      <c r="AB21" s="36">
        <f>IF($AR21=1,COUNTIF($AS$2:$AS$201,"&lt;"&amp;$AS21)+1,"")</f>
        <v/>
      </c>
      <c r="AC21" s="37">
        <f>IFERROR(TRIM(INDEX($A21:$Z21,MATCH(Lists!$B$9,$A$1:$Z$1,0))&amp;""),"")</f>
        <v/>
      </c>
      <c r="AD21" s="37">
        <f>IF($AR21=1,IFERROR(TRIM(INDEX($A21:$Z21,MATCH(Lists!$B$10,$A$1:$Z$1,0))&amp;""),""),"")</f>
        <v/>
      </c>
      <c r="AE21" s="37">
        <f>IF($AR21=1,IFERROR(TRIM(INDEX($A21:$Z21,MATCH(Lists!$B$12,$A$1:$Z$1,0))&amp;""),""),"")</f>
        <v/>
      </c>
      <c r="AF21" s="38">
        <f>IF($AR21=1,IFERROR(IF(TRIM(INDEX($A21:$Z21,MATCH(Lists!$B$11,$A$1:$Z$1,0))&amp;"")="","",VALUE(TRIM(INDEX($A21:$Z21,MATCH(Lists!$B$11,$A$1:$Z$1,0))&amp;""))),""),"")</f>
        <v/>
      </c>
      <c r="AG21" s="38">
        <f>IF(OR($AR21=0,$AF21="",'Start here'!$F$10="",'Start here'!$F$11="",'Start here'!$F$12="",'Start here'!$F$13="",'Start here'!$F$14=""),"",IF($AF21&lt;'Start here'!$F$10,'Start here'!$F$11,IF($AF21&lt;'Start here'!$F$12,'Start here'!$F$13,'Start here'!$F$14)))</f>
        <v/>
      </c>
      <c r="AH21" s="38">
        <f>IF(OR($AG21="",'Start here'!$F$9=""),"",IF($AF21&lt;=0,"",IFERROR(MAX($AG21,ROUNDUP(ROUND($AF21*'Start here'!$F$9/$AG21,6),0)*$AG21),"")))</f>
        <v/>
      </c>
      <c r="AI21" s="37">
        <f>IF($AR21=0,"",IF($AN21=Lists!$B$19,"",IF(AND($AN21=Lists!$B$18,$AQ21&lt;&gt;""),$AQ21,IF(AND($AP21=Lists!$B$17,$AL21&lt;&gt;""),$AL21,$AK21))))</f>
        <v/>
      </c>
      <c r="AJ21" s="37">
        <f>IF($AR21=0,"",IF(IF($AF21="",", no value",IF($AF21&lt;=0,", no value",""))&amp;IF('Start here'!$F$15="","",IF(LEN($AD21)&lt;'Start here'!$F$15,", short description",""))="","OK",MID(IF($AF21="",", no value",IF($AF21&lt;=0,", no value",""))&amp;IF('Start here'!$F$15="","",IF(LEN($AD21)&lt;'Start here'!$F$15,", short description","")),3,200)))</f>
        <v/>
      </c>
      <c r="AK21" s="37">
        <f>IF($AR21=1,IFERROR(TRIM(INDEX($A21:$Z21,MATCH(Lists!$B$5,$A$1:$Z$1,0))&amp;""),""),"")</f>
        <v/>
      </c>
      <c r="AL21" s="37">
        <f>IF($AR21=1,IFERROR(TRIM(INDEX($A21:$Z21,MATCH(Lists!$B$4,$A$1:$Z$1,0))&amp;""),""),"")</f>
        <v/>
      </c>
      <c r="AM21" s="37">
        <f>IF($AR21=1,IFERROR(TRIM(INDEX($A21:$Z21,MATCH(Lists!$B$6,$A$1:$Z$1,0))&amp;""),""),"")</f>
        <v/>
      </c>
      <c r="AN21" s="37">
        <f>IF($AR21=1,IFERROR(TRIM(INDEX($A21:$Z21,MATCH(Lists!$B$7,$A$1:$Z$1,0))&amp;""),""),"")</f>
        <v/>
      </c>
      <c r="AO21" s="37">
        <f>IF($AR21=1,IFERROR(TRIM(INDEX($A21:$Z21,MATCH(Lists!$B$13,$A$1:$Z$1,0))&amp;""),""),"")</f>
        <v/>
      </c>
      <c r="AP21" s="37">
        <f>IF($AR21=1,IFERROR(TRIM(INDEX($A21:$Z21,MATCH(Lists!$B$3,$A$1:$Z$1,0))&amp;""),""),"")</f>
        <v/>
      </c>
      <c r="AQ21" s="37">
        <f>IF($AR21=1,IFERROR(TRIM(INDEX($A21:$Z21,MATCH(Lists!$B$8,$A$1:$Z$1,0))&amp;""),""),"")</f>
        <v/>
      </c>
      <c r="AR21" s="36">
        <f>IF(LEN($AC21)&gt;0,1,0)</f>
        <v/>
      </c>
      <c r="AS21" s="37">
        <f>IF($AR21=1,IF(IFERROR(IF(ISNUMBER(INDEX($A21:$Z21,MATCH(Lists!$B$2,$A$1:$Z$1,0))),INDEX($A21:$Z21,MATCH(Lists!$B$2,$A$1:$Z$1,0)),DATE(VALUE(LEFT(IFERROR(TRIM(INDEX($A21:$Z21,MATCH(Lists!$B$2,$A$1:$Z$1,0))&amp;""),""),4)),VALUE(MID(IFERROR(TRIM(INDEX($A21:$Z21,MATCH(Lists!$B$2,$A$1:$Z$1,0))&amp;""),""),6,2)),VALUE(MID(IFERROR(TRIM(INDEX($A21:$Z21,MATCH(Lists!$B$2,$A$1:$Z$1,0))&amp;""),""),9,2)))+TIME(VALUE(MID(IFERROR(TRIM(INDEX($A21:$Z21,MATCH(Lists!$B$2,$A$1:$Z$1,0))&amp;""),""),12,2)),VALUE(MID(IFERROR(TRIM(INDEX($A21:$Z21,MATCH(Lists!$B$2,$A$1:$Z$1,0))&amp;""),""),15,2)),VALUE(MID(IFERROR(TRIM(INDEX($A21:$Z21,MATCH(Lists!$B$2,$A$1:$Z$1,0))&amp;""),""),18,2)))),"")="",100000+ROW()/10^7,IFERROR(IF(ISNUMBER(INDEX($A21:$Z21,MATCH(Lists!$B$2,$A$1:$Z$1,0))),INDEX($A21:$Z21,MATCH(Lists!$B$2,$A$1:$Z$1,0)),DATE(VALUE(LEFT(IFERROR(TRIM(INDEX($A21:$Z21,MATCH(Lists!$B$2,$A$1:$Z$1,0))&amp;""),""),4)),VALUE(MID(IFERROR(TRIM(INDEX($A21:$Z21,MATCH(Lists!$B$2,$A$1:$Z$1,0))&amp;""),""),6,2)),VALUE(MID(IFERROR(TRIM(INDEX($A21:$Z21,MATCH(Lists!$B$2,$A$1:$Z$1,0))&amp;""),""),9,2)))+TIME(VALUE(MID(IFERROR(TRIM(INDEX($A21:$Z21,MATCH(Lists!$B$2,$A$1:$Z$1,0))&amp;""),""),12,2)),VALUE(MID(IFERROR(TRIM(INDEX($A21:$Z21,MATCH(Lists!$B$2,$A$1:$Z$1,0))&amp;""),""),15,2)),VALUE(MID(IFERROR(TRIM(INDEX($A21:$Z21,MATCH(Lists!$B$2,$A$1:$Z$1,0))&amp;""),""),18,2)))),"")-ROW()/10^7),"")</f>
        <v/>
      </c>
    </row>
    <row r="22">
      <c r="AB22" s="36">
        <f>IF($AR22=1,COUNTIF($AS$2:$AS$201,"&lt;"&amp;$AS22)+1,"")</f>
        <v/>
      </c>
      <c r="AC22" s="37">
        <f>IFERROR(TRIM(INDEX($A22:$Z22,MATCH(Lists!$B$9,$A$1:$Z$1,0))&amp;""),"")</f>
        <v/>
      </c>
      <c r="AD22" s="37">
        <f>IF($AR22=1,IFERROR(TRIM(INDEX($A22:$Z22,MATCH(Lists!$B$10,$A$1:$Z$1,0))&amp;""),""),"")</f>
        <v/>
      </c>
      <c r="AE22" s="37">
        <f>IF($AR22=1,IFERROR(TRIM(INDEX($A22:$Z22,MATCH(Lists!$B$12,$A$1:$Z$1,0))&amp;""),""),"")</f>
        <v/>
      </c>
      <c r="AF22" s="38">
        <f>IF($AR22=1,IFERROR(IF(TRIM(INDEX($A22:$Z22,MATCH(Lists!$B$11,$A$1:$Z$1,0))&amp;"")="","",VALUE(TRIM(INDEX($A22:$Z22,MATCH(Lists!$B$11,$A$1:$Z$1,0))&amp;""))),""),"")</f>
        <v/>
      </c>
      <c r="AG22" s="38">
        <f>IF(OR($AR22=0,$AF22="",'Start here'!$F$10="",'Start here'!$F$11="",'Start here'!$F$12="",'Start here'!$F$13="",'Start here'!$F$14=""),"",IF($AF22&lt;'Start here'!$F$10,'Start here'!$F$11,IF($AF22&lt;'Start here'!$F$12,'Start here'!$F$13,'Start here'!$F$14)))</f>
        <v/>
      </c>
      <c r="AH22" s="38">
        <f>IF(OR($AG22="",'Start here'!$F$9=""),"",IF($AF22&lt;=0,"",IFERROR(MAX($AG22,ROUNDUP(ROUND($AF22*'Start here'!$F$9/$AG22,6),0)*$AG22),"")))</f>
        <v/>
      </c>
      <c r="AI22" s="37">
        <f>IF($AR22=0,"",IF($AN22=Lists!$B$19,"",IF(AND($AN22=Lists!$B$18,$AQ22&lt;&gt;""),$AQ22,IF(AND($AP22=Lists!$B$17,$AL22&lt;&gt;""),$AL22,$AK22))))</f>
        <v/>
      </c>
      <c r="AJ22" s="37">
        <f>IF($AR22=0,"",IF(IF($AF22="",", no value",IF($AF22&lt;=0,", no value",""))&amp;IF('Start here'!$F$15="","",IF(LEN($AD22)&lt;'Start here'!$F$15,", short description",""))="","OK",MID(IF($AF22="",", no value",IF($AF22&lt;=0,", no value",""))&amp;IF('Start here'!$F$15="","",IF(LEN($AD22)&lt;'Start here'!$F$15,", short description","")),3,200)))</f>
        <v/>
      </c>
      <c r="AK22" s="37">
        <f>IF($AR22=1,IFERROR(TRIM(INDEX($A22:$Z22,MATCH(Lists!$B$5,$A$1:$Z$1,0))&amp;""),""),"")</f>
        <v/>
      </c>
      <c r="AL22" s="37">
        <f>IF($AR22=1,IFERROR(TRIM(INDEX($A22:$Z22,MATCH(Lists!$B$4,$A$1:$Z$1,0))&amp;""),""),"")</f>
        <v/>
      </c>
      <c r="AM22" s="37">
        <f>IF($AR22=1,IFERROR(TRIM(INDEX($A22:$Z22,MATCH(Lists!$B$6,$A$1:$Z$1,0))&amp;""),""),"")</f>
        <v/>
      </c>
      <c r="AN22" s="37">
        <f>IF($AR22=1,IFERROR(TRIM(INDEX($A22:$Z22,MATCH(Lists!$B$7,$A$1:$Z$1,0))&amp;""),""),"")</f>
        <v/>
      </c>
      <c r="AO22" s="37">
        <f>IF($AR22=1,IFERROR(TRIM(INDEX($A22:$Z22,MATCH(Lists!$B$13,$A$1:$Z$1,0))&amp;""),""),"")</f>
        <v/>
      </c>
      <c r="AP22" s="37">
        <f>IF($AR22=1,IFERROR(TRIM(INDEX($A22:$Z22,MATCH(Lists!$B$3,$A$1:$Z$1,0))&amp;""),""),"")</f>
        <v/>
      </c>
      <c r="AQ22" s="37">
        <f>IF($AR22=1,IFERROR(TRIM(INDEX($A22:$Z22,MATCH(Lists!$B$8,$A$1:$Z$1,0))&amp;""),""),"")</f>
        <v/>
      </c>
      <c r="AR22" s="36">
        <f>IF(LEN($AC22)&gt;0,1,0)</f>
        <v/>
      </c>
      <c r="AS22" s="37">
        <f>IF($AR22=1,IF(IFERROR(IF(ISNUMBER(INDEX($A22:$Z22,MATCH(Lists!$B$2,$A$1:$Z$1,0))),INDEX($A22:$Z22,MATCH(Lists!$B$2,$A$1:$Z$1,0)),DATE(VALUE(LEFT(IFERROR(TRIM(INDEX($A22:$Z22,MATCH(Lists!$B$2,$A$1:$Z$1,0))&amp;""),""),4)),VALUE(MID(IFERROR(TRIM(INDEX($A22:$Z22,MATCH(Lists!$B$2,$A$1:$Z$1,0))&amp;""),""),6,2)),VALUE(MID(IFERROR(TRIM(INDEX($A22:$Z22,MATCH(Lists!$B$2,$A$1:$Z$1,0))&amp;""),""),9,2)))+TIME(VALUE(MID(IFERROR(TRIM(INDEX($A22:$Z22,MATCH(Lists!$B$2,$A$1:$Z$1,0))&amp;""),""),12,2)),VALUE(MID(IFERROR(TRIM(INDEX($A22:$Z22,MATCH(Lists!$B$2,$A$1:$Z$1,0))&amp;""),""),15,2)),VALUE(MID(IFERROR(TRIM(INDEX($A22:$Z22,MATCH(Lists!$B$2,$A$1:$Z$1,0))&amp;""),""),18,2)))),"")="",100000+ROW()/10^7,IFERROR(IF(ISNUMBER(INDEX($A22:$Z22,MATCH(Lists!$B$2,$A$1:$Z$1,0))),INDEX($A22:$Z22,MATCH(Lists!$B$2,$A$1:$Z$1,0)),DATE(VALUE(LEFT(IFERROR(TRIM(INDEX($A22:$Z22,MATCH(Lists!$B$2,$A$1:$Z$1,0))&amp;""),""),4)),VALUE(MID(IFERROR(TRIM(INDEX($A22:$Z22,MATCH(Lists!$B$2,$A$1:$Z$1,0))&amp;""),""),6,2)),VALUE(MID(IFERROR(TRIM(INDEX($A22:$Z22,MATCH(Lists!$B$2,$A$1:$Z$1,0))&amp;""),""),9,2)))+TIME(VALUE(MID(IFERROR(TRIM(INDEX($A22:$Z22,MATCH(Lists!$B$2,$A$1:$Z$1,0))&amp;""),""),12,2)),VALUE(MID(IFERROR(TRIM(INDEX($A22:$Z22,MATCH(Lists!$B$2,$A$1:$Z$1,0))&amp;""),""),15,2)),VALUE(MID(IFERROR(TRIM(INDEX($A22:$Z22,MATCH(Lists!$B$2,$A$1:$Z$1,0))&amp;""),""),18,2)))),"")-ROW()/10^7),"")</f>
        <v/>
      </c>
    </row>
    <row r="23">
      <c r="AB23" s="36">
        <f>IF($AR23=1,COUNTIF($AS$2:$AS$201,"&lt;"&amp;$AS23)+1,"")</f>
        <v/>
      </c>
      <c r="AC23" s="37">
        <f>IFERROR(TRIM(INDEX($A23:$Z23,MATCH(Lists!$B$9,$A$1:$Z$1,0))&amp;""),"")</f>
        <v/>
      </c>
      <c r="AD23" s="37">
        <f>IF($AR23=1,IFERROR(TRIM(INDEX($A23:$Z23,MATCH(Lists!$B$10,$A$1:$Z$1,0))&amp;""),""),"")</f>
        <v/>
      </c>
      <c r="AE23" s="37">
        <f>IF($AR23=1,IFERROR(TRIM(INDEX($A23:$Z23,MATCH(Lists!$B$12,$A$1:$Z$1,0))&amp;""),""),"")</f>
        <v/>
      </c>
      <c r="AF23" s="38">
        <f>IF($AR23=1,IFERROR(IF(TRIM(INDEX($A23:$Z23,MATCH(Lists!$B$11,$A$1:$Z$1,0))&amp;"")="","",VALUE(TRIM(INDEX($A23:$Z23,MATCH(Lists!$B$11,$A$1:$Z$1,0))&amp;""))),""),"")</f>
        <v/>
      </c>
      <c r="AG23" s="38">
        <f>IF(OR($AR23=0,$AF23="",'Start here'!$F$10="",'Start here'!$F$11="",'Start here'!$F$12="",'Start here'!$F$13="",'Start here'!$F$14=""),"",IF($AF23&lt;'Start here'!$F$10,'Start here'!$F$11,IF($AF23&lt;'Start here'!$F$12,'Start here'!$F$13,'Start here'!$F$14)))</f>
        <v/>
      </c>
      <c r="AH23" s="38">
        <f>IF(OR($AG23="",'Start here'!$F$9=""),"",IF($AF23&lt;=0,"",IFERROR(MAX($AG23,ROUNDUP(ROUND($AF23*'Start here'!$F$9/$AG23,6),0)*$AG23),"")))</f>
        <v/>
      </c>
      <c r="AI23" s="37">
        <f>IF($AR23=0,"",IF($AN23=Lists!$B$19,"",IF(AND($AN23=Lists!$B$18,$AQ23&lt;&gt;""),$AQ23,IF(AND($AP23=Lists!$B$17,$AL23&lt;&gt;""),$AL23,$AK23))))</f>
        <v/>
      </c>
      <c r="AJ23" s="37">
        <f>IF($AR23=0,"",IF(IF($AF23="",", no value",IF($AF23&lt;=0,", no value",""))&amp;IF('Start here'!$F$15="","",IF(LEN($AD23)&lt;'Start here'!$F$15,", short description",""))="","OK",MID(IF($AF23="",", no value",IF($AF23&lt;=0,", no value",""))&amp;IF('Start here'!$F$15="","",IF(LEN($AD23)&lt;'Start here'!$F$15,", short description","")),3,200)))</f>
        <v/>
      </c>
      <c r="AK23" s="37">
        <f>IF($AR23=1,IFERROR(TRIM(INDEX($A23:$Z23,MATCH(Lists!$B$5,$A$1:$Z$1,0))&amp;""),""),"")</f>
        <v/>
      </c>
      <c r="AL23" s="37">
        <f>IF($AR23=1,IFERROR(TRIM(INDEX($A23:$Z23,MATCH(Lists!$B$4,$A$1:$Z$1,0))&amp;""),""),"")</f>
        <v/>
      </c>
      <c r="AM23" s="37">
        <f>IF($AR23=1,IFERROR(TRIM(INDEX($A23:$Z23,MATCH(Lists!$B$6,$A$1:$Z$1,0))&amp;""),""),"")</f>
        <v/>
      </c>
      <c r="AN23" s="37">
        <f>IF($AR23=1,IFERROR(TRIM(INDEX($A23:$Z23,MATCH(Lists!$B$7,$A$1:$Z$1,0))&amp;""),""),"")</f>
        <v/>
      </c>
      <c r="AO23" s="37">
        <f>IF($AR23=1,IFERROR(TRIM(INDEX($A23:$Z23,MATCH(Lists!$B$13,$A$1:$Z$1,0))&amp;""),""),"")</f>
        <v/>
      </c>
      <c r="AP23" s="37">
        <f>IF($AR23=1,IFERROR(TRIM(INDEX($A23:$Z23,MATCH(Lists!$B$3,$A$1:$Z$1,0))&amp;""),""),"")</f>
        <v/>
      </c>
      <c r="AQ23" s="37">
        <f>IF($AR23=1,IFERROR(TRIM(INDEX($A23:$Z23,MATCH(Lists!$B$8,$A$1:$Z$1,0))&amp;""),""),"")</f>
        <v/>
      </c>
      <c r="AR23" s="36">
        <f>IF(LEN($AC23)&gt;0,1,0)</f>
        <v/>
      </c>
      <c r="AS23" s="37">
        <f>IF($AR23=1,IF(IFERROR(IF(ISNUMBER(INDEX($A23:$Z23,MATCH(Lists!$B$2,$A$1:$Z$1,0))),INDEX($A23:$Z23,MATCH(Lists!$B$2,$A$1:$Z$1,0)),DATE(VALUE(LEFT(IFERROR(TRIM(INDEX($A23:$Z23,MATCH(Lists!$B$2,$A$1:$Z$1,0))&amp;""),""),4)),VALUE(MID(IFERROR(TRIM(INDEX($A23:$Z23,MATCH(Lists!$B$2,$A$1:$Z$1,0))&amp;""),""),6,2)),VALUE(MID(IFERROR(TRIM(INDEX($A23:$Z23,MATCH(Lists!$B$2,$A$1:$Z$1,0))&amp;""),""),9,2)))+TIME(VALUE(MID(IFERROR(TRIM(INDEX($A23:$Z23,MATCH(Lists!$B$2,$A$1:$Z$1,0))&amp;""),""),12,2)),VALUE(MID(IFERROR(TRIM(INDEX($A23:$Z23,MATCH(Lists!$B$2,$A$1:$Z$1,0))&amp;""),""),15,2)),VALUE(MID(IFERROR(TRIM(INDEX($A23:$Z23,MATCH(Lists!$B$2,$A$1:$Z$1,0))&amp;""),""),18,2)))),"")="",100000+ROW()/10^7,IFERROR(IF(ISNUMBER(INDEX($A23:$Z23,MATCH(Lists!$B$2,$A$1:$Z$1,0))),INDEX($A23:$Z23,MATCH(Lists!$B$2,$A$1:$Z$1,0)),DATE(VALUE(LEFT(IFERROR(TRIM(INDEX($A23:$Z23,MATCH(Lists!$B$2,$A$1:$Z$1,0))&amp;""),""),4)),VALUE(MID(IFERROR(TRIM(INDEX($A23:$Z23,MATCH(Lists!$B$2,$A$1:$Z$1,0))&amp;""),""),6,2)),VALUE(MID(IFERROR(TRIM(INDEX($A23:$Z23,MATCH(Lists!$B$2,$A$1:$Z$1,0))&amp;""),""),9,2)))+TIME(VALUE(MID(IFERROR(TRIM(INDEX($A23:$Z23,MATCH(Lists!$B$2,$A$1:$Z$1,0))&amp;""),""),12,2)),VALUE(MID(IFERROR(TRIM(INDEX($A23:$Z23,MATCH(Lists!$B$2,$A$1:$Z$1,0))&amp;""),""),15,2)),VALUE(MID(IFERROR(TRIM(INDEX($A23:$Z23,MATCH(Lists!$B$2,$A$1:$Z$1,0))&amp;""),""),18,2)))),"")-ROW()/10^7),"")</f>
        <v/>
      </c>
    </row>
    <row r="24">
      <c r="AB24" s="36">
        <f>IF($AR24=1,COUNTIF($AS$2:$AS$201,"&lt;"&amp;$AS24)+1,"")</f>
        <v/>
      </c>
      <c r="AC24" s="37">
        <f>IFERROR(TRIM(INDEX($A24:$Z24,MATCH(Lists!$B$9,$A$1:$Z$1,0))&amp;""),"")</f>
        <v/>
      </c>
      <c r="AD24" s="37">
        <f>IF($AR24=1,IFERROR(TRIM(INDEX($A24:$Z24,MATCH(Lists!$B$10,$A$1:$Z$1,0))&amp;""),""),"")</f>
        <v/>
      </c>
      <c r="AE24" s="37">
        <f>IF($AR24=1,IFERROR(TRIM(INDEX($A24:$Z24,MATCH(Lists!$B$12,$A$1:$Z$1,0))&amp;""),""),"")</f>
        <v/>
      </c>
      <c r="AF24" s="38">
        <f>IF($AR24=1,IFERROR(IF(TRIM(INDEX($A24:$Z24,MATCH(Lists!$B$11,$A$1:$Z$1,0))&amp;"")="","",VALUE(TRIM(INDEX($A24:$Z24,MATCH(Lists!$B$11,$A$1:$Z$1,0))&amp;""))),""),"")</f>
        <v/>
      </c>
      <c r="AG24" s="38">
        <f>IF(OR($AR24=0,$AF24="",'Start here'!$F$10="",'Start here'!$F$11="",'Start here'!$F$12="",'Start here'!$F$13="",'Start here'!$F$14=""),"",IF($AF24&lt;'Start here'!$F$10,'Start here'!$F$11,IF($AF24&lt;'Start here'!$F$12,'Start here'!$F$13,'Start here'!$F$14)))</f>
        <v/>
      </c>
      <c r="AH24" s="38">
        <f>IF(OR($AG24="",'Start here'!$F$9=""),"",IF($AF24&lt;=0,"",IFERROR(MAX($AG24,ROUNDUP(ROUND($AF24*'Start here'!$F$9/$AG24,6),0)*$AG24),"")))</f>
        <v/>
      </c>
      <c r="AI24" s="37">
        <f>IF($AR24=0,"",IF($AN24=Lists!$B$19,"",IF(AND($AN24=Lists!$B$18,$AQ24&lt;&gt;""),$AQ24,IF(AND($AP24=Lists!$B$17,$AL24&lt;&gt;""),$AL24,$AK24))))</f>
        <v/>
      </c>
      <c r="AJ24" s="37">
        <f>IF($AR24=0,"",IF(IF($AF24="",", no value",IF($AF24&lt;=0,", no value",""))&amp;IF('Start here'!$F$15="","",IF(LEN($AD24)&lt;'Start here'!$F$15,", short description",""))="","OK",MID(IF($AF24="",", no value",IF($AF24&lt;=0,", no value",""))&amp;IF('Start here'!$F$15="","",IF(LEN($AD24)&lt;'Start here'!$F$15,", short description","")),3,200)))</f>
        <v/>
      </c>
      <c r="AK24" s="37">
        <f>IF($AR24=1,IFERROR(TRIM(INDEX($A24:$Z24,MATCH(Lists!$B$5,$A$1:$Z$1,0))&amp;""),""),"")</f>
        <v/>
      </c>
      <c r="AL24" s="37">
        <f>IF($AR24=1,IFERROR(TRIM(INDEX($A24:$Z24,MATCH(Lists!$B$4,$A$1:$Z$1,0))&amp;""),""),"")</f>
        <v/>
      </c>
      <c r="AM24" s="37">
        <f>IF($AR24=1,IFERROR(TRIM(INDEX($A24:$Z24,MATCH(Lists!$B$6,$A$1:$Z$1,0))&amp;""),""),"")</f>
        <v/>
      </c>
      <c r="AN24" s="37">
        <f>IF($AR24=1,IFERROR(TRIM(INDEX($A24:$Z24,MATCH(Lists!$B$7,$A$1:$Z$1,0))&amp;""),""),"")</f>
        <v/>
      </c>
      <c r="AO24" s="37">
        <f>IF($AR24=1,IFERROR(TRIM(INDEX($A24:$Z24,MATCH(Lists!$B$13,$A$1:$Z$1,0))&amp;""),""),"")</f>
        <v/>
      </c>
      <c r="AP24" s="37">
        <f>IF($AR24=1,IFERROR(TRIM(INDEX($A24:$Z24,MATCH(Lists!$B$3,$A$1:$Z$1,0))&amp;""),""),"")</f>
        <v/>
      </c>
      <c r="AQ24" s="37">
        <f>IF($AR24=1,IFERROR(TRIM(INDEX($A24:$Z24,MATCH(Lists!$B$8,$A$1:$Z$1,0))&amp;""),""),"")</f>
        <v/>
      </c>
      <c r="AR24" s="36">
        <f>IF(LEN($AC24)&gt;0,1,0)</f>
        <v/>
      </c>
      <c r="AS24" s="37">
        <f>IF($AR24=1,IF(IFERROR(IF(ISNUMBER(INDEX($A24:$Z24,MATCH(Lists!$B$2,$A$1:$Z$1,0))),INDEX($A24:$Z24,MATCH(Lists!$B$2,$A$1:$Z$1,0)),DATE(VALUE(LEFT(IFERROR(TRIM(INDEX($A24:$Z24,MATCH(Lists!$B$2,$A$1:$Z$1,0))&amp;""),""),4)),VALUE(MID(IFERROR(TRIM(INDEX($A24:$Z24,MATCH(Lists!$B$2,$A$1:$Z$1,0))&amp;""),""),6,2)),VALUE(MID(IFERROR(TRIM(INDEX($A24:$Z24,MATCH(Lists!$B$2,$A$1:$Z$1,0))&amp;""),""),9,2)))+TIME(VALUE(MID(IFERROR(TRIM(INDEX($A24:$Z24,MATCH(Lists!$B$2,$A$1:$Z$1,0))&amp;""),""),12,2)),VALUE(MID(IFERROR(TRIM(INDEX($A24:$Z24,MATCH(Lists!$B$2,$A$1:$Z$1,0))&amp;""),""),15,2)),VALUE(MID(IFERROR(TRIM(INDEX($A24:$Z24,MATCH(Lists!$B$2,$A$1:$Z$1,0))&amp;""),""),18,2)))),"")="",100000+ROW()/10^7,IFERROR(IF(ISNUMBER(INDEX($A24:$Z24,MATCH(Lists!$B$2,$A$1:$Z$1,0))),INDEX($A24:$Z24,MATCH(Lists!$B$2,$A$1:$Z$1,0)),DATE(VALUE(LEFT(IFERROR(TRIM(INDEX($A24:$Z24,MATCH(Lists!$B$2,$A$1:$Z$1,0))&amp;""),""),4)),VALUE(MID(IFERROR(TRIM(INDEX($A24:$Z24,MATCH(Lists!$B$2,$A$1:$Z$1,0))&amp;""),""),6,2)),VALUE(MID(IFERROR(TRIM(INDEX($A24:$Z24,MATCH(Lists!$B$2,$A$1:$Z$1,0))&amp;""),""),9,2)))+TIME(VALUE(MID(IFERROR(TRIM(INDEX($A24:$Z24,MATCH(Lists!$B$2,$A$1:$Z$1,0))&amp;""),""),12,2)),VALUE(MID(IFERROR(TRIM(INDEX($A24:$Z24,MATCH(Lists!$B$2,$A$1:$Z$1,0))&amp;""),""),15,2)),VALUE(MID(IFERROR(TRIM(INDEX($A24:$Z24,MATCH(Lists!$B$2,$A$1:$Z$1,0))&amp;""),""),18,2)))),"")-ROW()/10^7),"")</f>
        <v/>
      </c>
    </row>
    <row r="25">
      <c r="AB25" s="36">
        <f>IF($AR25=1,COUNTIF($AS$2:$AS$201,"&lt;"&amp;$AS25)+1,"")</f>
        <v/>
      </c>
      <c r="AC25" s="37">
        <f>IFERROR(TRIM(INDEX($A25:$Z25,MATCH(Lists!$B$9,$A$1:$Z$1,0))&amp;""),"")</f>
        <v/>
      </c>
      <c r="AD25" s="37">
        <f>IF($AR25=1,IFERROR(TRIM(INDEX($A25:$Z25,MATCH(Lists!$B$10,$A$1:$Z$1,0))&amp;""),""),"")</f>
        <v/>
      </c>
      <c r="AE25" s="37">
        <f>IF($AR25=1,IFERROR(TRIM(INDEX($A25:$Z25,MATCH(Lists!$B$12,$A$1:$Z$1,0))&amp;""),""),"")</f>
        <v/>
      </c>
      <c r="AF25" s="38">
        <f>IF($AR25=1,IFERROR(IF(TRIM(INDEX($A25:$Z25,MATCH(Lists!$B$11,$A$1:$Z$1,0))&amp;"")="","",VALUE(TRIM(INDEX($A25:$Z25,MATCH(Lists!$B$11,$A$1:$Z$1,0))&amp;""))),""),"")</f>
        <v/>
      </c>
      <c r="AG25" s="38">
        <f>IF(OR($AR25=0,$AF25="",'Start here'!$F$10="",'Start here'!$F$11="",'Start here'!$F$12="",'Start here'!$F$13="",'Start here'!$F$14=""),"",IF($AF25&lt;'Start here'!$F$10,'Start here'!$F$11,IF($AF25&lt;'Start here'!$F$12,'Start here'!$F$13,'Start here'!$F$14)))</f>
        <v/>
      </c>
      <c r="AH25" s="38">
        <f>IF(OR($AG25="",'Start here'!$F$9=""),"",IF($AF25&lt;=0,"",IFERROR(MAX($AG25,ROUNDUP(ROUND($AF25*'Start here'!$F$9/$AG25,6),0)*$AG25),"")))</f>
        <v/>
      </c>
      <c r="AI25" s="37">
        <f>IF($AR25=0,"",IF($AN25=Lists!$B$19,"",IF(AND($AN25=Lists!$B$18,$AQ25&lt;&gt;""),$AQ25,IF(AND($AP25=Lists!$B$17,$AL25&lt;&gt;""),$AL25,$AK25))))</f>
        <v/>
      </c>
      <c r="AJ25" s="37">
        <f>IF($AR25=0,"",IF(IF($AF25="",", no value",IF($AF25&lt;=0,", no value",""))&amp;IF('Start here'!$F$15="","",IF(LEN($AD25)&lt;'Start here'!$F$15,", short description",""))="","OK",MID(IF($AF25="",", no value",IF($AF25&lt;=0,", no value",""))&amp;IF('Start here'!$F$15="","",IF(LEN($AD25)&lt;'Start here'!$F$15,", short description","")),3,200)))</f>
        <v/>
      </c>
      <c r="AK25" s="37">
        <f>IF($AR25=1,IFERROR(TRIM(INDEX($A25:$Z25,MATCH(Lists!$B$5,$A$1:$Z$1,0))&amp;""),""),"")</f>
        <v/>
      </c>
      <c r="AL25" s="37">
        <f>IF($AR25=1,IFERROR(TRIM(INDEX($A25:$Z25,MATCH(Lists!$B$4,$A$1:$Z$1,0))&amp;""),""),"")</f>
        <v/>
      </c>
      <c r="AM25" s="37">
        <f>IF($AR25=1,IFERROR(TRIM(INDEX($A25:$Z25,MATCH(Lists!$B$6,$A$1:$Z$1,0))&amp;""),""),"")</f>
        <v/>
      </c>
      <c r="AN25" s="37">
        <f>IF($AR25=1,IFERROR(TRIM(INDEX($A25:$Z25,MATCH(Lists!$B$7,$A$1:$Z$1,0))&amp;""),""),"")</f>
        <v/>
      </c>
      <c r="AO25" s="37">
        <f>IF($AR25=1,IFERROR(TRIM(INDEX($A25:$Z25,MATCH(Lists!$B$13,$A$1:$Z$1,0))&amp;""),""),"")</f>
        <v/>
      </c>
      <c r="AP25" s="37">
        <f>IF($AR25=1,IFERROR(TRIM(INDEX($A25:$Z25,MATCH(Lists!$B$3,$A$1:$Z$1,0))&amp;""),""),"")</f>
        <v/>
      </c>
      <c r="AQ25" s="37">
        <f>IF($AR25=1,IFERROR(TRIM(INDEX($A25:$Z25,MATCH(Lists!$B$8,$A$1:$Z$1,0))&amp;""),""),"")</f>
        <v/>
      </c>
      <c r="AR25" s="36">
        <f>IF(LEN($AC25)&gt;0,1,0)</f>
        <v/>
      </c>
      <c r="AS25" s="37">
        <f>IF($AR25=1,IF(IFERROR(IF(ISNUMBER(INDEX($A25:$Z25,MATCH(Lists!$B$2,$A$1:$Z$1,0))),INDEX($A25:$Z25,MATCH(Lists!$B$2,$A$1:$Z$1,0)),DATE(VALUE(LEFT(IFERROR(TRIM(INDEX($A25:$Z25,MATCH(Lists!$B$2,$A$1:$Z$1,0))&amp;""),""),4)),VALUE(MID(IFERROR(TRIM(INDEX($A25:$Z25,MATCH(Lists!$B$2,$A$1:$Z$1,0))&amp;""),""),6,2)),VALUE(MID(IFERROR(TRIM(INDEX($A25:$Z25,MATCH(Lists!$B$2,$A$1:$Z$1,0))&amp;""),""),9,2)))+TIME(VALUE(MID(IFERROR(TRIM(INDEX($A25:$Z25,MATCH(Lists!$B$2,$A$1:$Z$1,0))&amp;""),""),12,2)),VALUE(MID(IFERROR(TRIM(INDEX($A25:$Z25,MATCH(Lists!$B$2,$A$1:$Z$1,0))&amp;""),""),15,2)),VALUE(MID(IFERROR(TRIM(INDEX($A25:$Z25,MATCH(Lists!$B$2,$A$1:$Z$1,0))&amp;""),""),18,2)))),"")="",100000+ROW()/10^7,IFERROR(IF(ISNUMBER(INDEX($A25:$Z25,MATCH(Lists!$B$2,$A$1:$Z$1,0))),INDEX($A25:$Z25,MATCH(Lists!$B$2,$A$1:$Z$1,0)),DATE(VALUE(LEFT(IFERROR(TRIM(INDEX($A25:$Z25,MATCH(Lists!$B$2,$A$1:$Z$1,0))&amp;""),""),4)),VALUE(MID(IFERROR(TRIM(INDEX($A25:$Z25,MATCH(Lists!$B$2,$A$1:$Z$1,0))&amp;""),""),6,2)),VALUE(MID(IFERROR(TRIM(INDEX($A25:$Z25,MATCH(Lists!$B$2,$A$1:$Z$1,0))&amp;""),""),9,2)))+TIME(VALUE(MID(IFERROR(TRIM(INDEX($A25:$Z25,MATCH(Lists!$B$2,$A$1:$Z$1,0))&amp;""),""),12,2)),VALUE(MID(IFERROR(TRIM(INDEX($A25:$Z25,MATCH(Lists!$B$2,$A$1:$Z$1,0))&amp;""),""),15,2)),VALUE(MID(IFERROR(TRIM(INDEX($A25:$Z25,MATCH(Lists!$B$2,$A$1:$Z$1,0))&amp;""),""),18,2)))),"")-ROW()/10^7),"")</f>
        <v/>
      </c>
    </row>
    <row r="26">
      <c r="AB26" s="36">
        <f>IF($AR26=1,COUNTIF($AS$2:$AS$201,"&lt;"&amp;$AS26)+1,"")</f>
        <v/>
      </c>
      <c r="AC26" s="37">
        <f>IFERROR(TRIM(INDEX($A26:$Z26,MATCH(Lists!$B$9,$A$1:$Z$1,0))&amp;""),"")</f>
        <v/>
      </c>
      <c r="AD26" s="37">
        <f>IF($AR26=1,IFERROR(TRIM(INDEX($A26:$Z26,MATCH(Lists!$B$10,$A$1:$Z$1,0))&amp;""),""),"")</f>
        <v/>
      </c>
      <c r="AE26" s="37">
        <f>IF($AR26=1,IFERROR(TRIM(INDEX($A26:$Z26,MATCH(Lists!$B$12,$A$1:$Z$1,0))&amp;""),""),"")</f>
        <v/>
      </c>
      <c r="AF26" s="38">
        <f>IF($AR26=1,IFERROR(IF(TRIM(INDEX($A26:$Z26,MATCH(Lists!$B$11,$A$1:$Z$1,0))&amp;"")="","",VALUE(TRIM(INDEX($A26:$Z26,MATCH(Lists!$B$11,$A$1:$Z$1,0))&amp;""))),""),"")</f>
        <v/>
      </c>
      <c r="AG26" s="38">
        <f>IF(OR($AR26=0,$AF26="",'Start here'!$F$10="",'Start here'!$F$11="",'Start here'!$F$12="",'Start here'!$F$13="",'Start here'!$F$14=""),"",IF($AF26&lt;'Start here'!$F$10,'Start here'!$F$11,IF($AF26&lt;'Start here'!$F$12,'Start here'!$F$13,'Start here'!$F$14)))</f>
        <v/>
      </c>
      <c r="AH26" s="38">
        <f>IF(OR($AG26="",'Start here'!$F$9=""),"",IF($AF26&lt;=0,"",IFERROR(MAX($AG26,ROUNDUP(ROUND($AF26*'Start here'!$F$9/$AG26,6),0)*$AG26),"")))</f>
        <v/>
      </c>
      <c r="AI26" s="37">
        <f>IF($AR26=0,"",IF($AN26=Lists!$B$19,"",IF(AND($AN26=Lists!$B$18,$AQ26&lt;&gt;""),$AQ26,IF(AND($AP26=Lists!$B$17,$AL26&lt;&gt;""),$AL26,$AK26))))</f>
        <v/>
      </c>
      <c r="AJ26" s="37">
        <f>IF($AR26=0,"",IF(IF($AF26="",", no value",IF($AF26&lt;=0,", no value",""))&amp;IF('Start here'!$F$15="","",IF(LEN($AD26)&lt;'Start here'!$F$15,", short description",""))="","OK",MID(IF($AF26="",", no value",IF($AF26&lt;=0,", no value",""))&amp;IF('Start here'!$F$15="","",IF(LEN($AD26)&lt;'Start here'!$F$15,", short description","")),3,200)))</f>
        <v/>
      </c>
      <c r="AK26" s="37">
        <f>IF($AR26=1,IFERROR(TRIM(INDEX($A26:$Z26,MATCH(Lists!$B$5,$A$1:$Z$1,0))&amp;""),""),"")</f>
        <v/>
      </c>
      <c r="AL26" s="37">
        <f>IF($AR26=1,IFERROR(TRIM(INDEX($A26:$Z26,MATCH(Lists!$B$4,$A$1:$Z$1,0))&amp;""),""),"")</f>
        <v/>
      </c>
      <c r="AM26" s="37">
        <f>IF($AR26=1,IFERROR(TRIM(INDEX($A26:$Z26,MATCH(Lists!$B$6,$A$1:$Z$1,0))&amp;""),""),"")</f>
        <v/>
      </c>
      <c r="AN26" s="37">
        <f>IF($AR26=1,IFERROR(TRIM(INDEX($A26:$Z26,MATCH(Lists!$B$7,$A$1:$Z$1,0))&amp;""),""),"")</f>
        <v/>
      </c>
      <c r="AO26" s="37">
        <f>IF($AR26=1,IFERROR(TRIM(INDEX($A26:$Z26,MATCH(Lists!$B$13,$A$1:$Z$1,0))&amp;""),""),"")</f>
        <v/>
      </c>
      <c r="AP26" s="37">
        <f>IF($AR26=1,IFERROR(TRIM(INDEX($A26:$Z26,MATCH(Lists!$B$3,$A$1:$Z$1,0))&amp;""),""),"")</f>
        <v/>
      </c>
      <c r="AQ26" s="37">
        <f>IF($AR26=1,IFERROR(TRIM(INDEX($A26:$Z26,MATCH(Lists!$B$8,$A$1:$Z$1,0))&amp;""),""),"")</f>
        <v/>
      </c>
      <c r="AR26" s="36">
        <f>IF(LEN($AC26)&gt;0,1,0)</f>
        <v/>
      </c>
      <c r="AS26" s="37">
        <f>IF($AR26=1,IF(IFERROR(IF(ISNUMBER(INDEX($A26:$Z26,MATCH(Lists!$B$2,$A$1:$Z$1,0))),INDEX($A26:$Z26,MATCH(Lists!$B$2,$A$1:$Z$1,0)),DATE(VALUE(LEFT(IFERROR(TRIM(INDEX($A26:$Z26,MATCH(Lists!$B$2,$A$1:$Z$1,0))&amp;""),""),4)),VALUE(MID(IFERROR(TRIM(INDEX($A26:$Z26,MATCH(Lists!$B$2,$A$1:$Z$1,0))&amp;""),""),6,2)),VALUE(MID(IFERROR(TRIM(INDEX($A26:$Z26,MATCH(Lists!$B$2,$A$1:$Z$1,0))&amp;""),""),9,2)))+TIME(VALUE(MID(IFERROR(TRIM(INDEX($A26:$Z26,MATCH(Lists!$B$2,$A$1:$Z$1,0))&amp;""),""),12,2)),VALUE(MID(IFERROR(TRIM(INDEX($A26:$Z26,MATCH(Lists!$B$2,$A$1:$Z$1,0))&amp;""),""),15,2)),VALUE(MID(IFERROR(TRIM(INDEX($A26:$Z26,MATCH(Lists!$B$2,$A$1:$Z$1,0))&amp;""),""),18,2)))),"")="",100000+ROW()/10^7,IFERROR(IF(ISNUMBER(INDEX($A26:$Z26,MATCH(Lists!$B$2,$A$1:$Z$1,0))),INDEX($A26:$Z26,MATCH(Lists!$B$2,$A$1:$Z$1,0)),DATE(VALUE(LEFT(IFERROR(TRIM(INDEX($A26:$Z26,MATCH(Lists!$B$2,$A$1:$Z$1,0))&amp;""),""),4)),VALUE(MID(IFERROR(TRIM(INDEX($A26:$Z26,MATCH(Lists!$B$2,$A$1:$Z$1,0))&amp;""),""),6,2)),VALUE(MID(IFERROR(TRIM(INDEX($A26:$Z26,MATCH(Lists!$B$2,$A$1:$Z$1,0))&amp;""),""),9,2)))+TIME(VALUE(MID(IFERROR(TRIM(INDEX($A26:$Z26,MATCH(Lists!$B$2,$A$1:$Z$1,0))&amp;""),""),12,2)),VALUE(MID(IFERROR(TRIM(INDEX($A26:$Z26,MATCH(Lists!$B$2,$A$1:$Z$1,0))&amp;""),""),15,2)),VALUE(MID(IFERROR(TRIM(INDEX($A26:$Z26,MATCH(Lists!$B$2,$A$1:$Z$1,0))&amp;""),""),18,2)))),"")-ROW()/10^7),"")</f>
        <v/>
      </c>
    </row>
    <row r="27">
      <c r="AB27" s="36">
        <f>IF($AR27=1,COUNTIF($AS$2:$AS$201,"&lt;"&amp;$AS27)+1,"")</f>
        <v/>
      </c>
      <c r="AC27" s="37">
        <f>IFERROR(TRIM(INDEX($A27:$Z27,MATCH(Lists!$B$9,$A$1:$Z$1,0))&amp;""),"")</f>
        <v/>
      </c>
      <c r="AD27" s="37">
        <f>IF($AR27=1,IFERROR(TRIM(INDEX($A27:$Z27,MATCH(Lists!$B$10,$A$1:$Z$1,0))&amp;""),""),"")</f>
        <v/>
      </c>
      <c r="AE27" s="37">
        <f>IF($AR27=1,IFERROR(TRIM(INDEX($A27:$Z27,MATCH(Lists!$B$12,$A$1:$Z$1,0))&amp;""),""),"")</f>
        <v/>
      </c>
      <c r="AF27" s="38">
        <f>IF($AR27=1,IFERROR(IF(TRIM(INDEX($A27:$Z27,MATCH(Lists!$B$11,$A$1:$Z$1,0))&amp;"")="","",VALUE(TRIM(INDEX($A27:$Z27,MATCH(Lists!$B$11,$A$1:$Z$1,0))&amp;""))),""),"")</f>
        <v/>
      </c>
      <c r="AG27" s="38">
        <f>IF(OR($AR27=0,$AF27="",'Start here'!$F$10="",'Start here'!$F$11="",'Start here'!$F$12="",'Start here'!$F$13="",'Start here'!$F$14=""),"",IF($AF27&lt;'Start here'!$F$10,'Start here'!$F$11,IF($AF27&lt;'Start here'!$F$12,'Start here'!$F$13,'Start here'!$F$14)))</f>
        <v/>
      </c>
      <c r="AH27" s="38">
        <f>IF(OR($AG27="",'Start here'!$F$9=""),"",IF($AF27&lt;=0,"",IFERROR(MAX($AG27,ROUNDUP(ROUND($AF27*'Start here'!$F$9/$AG27,6),0)*$AG27),"")))</f>
        <v/>
      </c>
      <c r="AI27" s="37">
        <f>IF($AR27=0,"",IF($AN27=Lists!$B$19,"",IF(AND($AN27=Lists!$B$18,$AQ27&lt;&gt;""),$AQ27,IF(AND($AP27=Lists!$B$17,$AL27&lt;&gt;""),$AL27,$AK27))))</f>
        <v/>
      </c>
      <c r="AJ27" s="37">
        <f>IF($AR27=0,"",IF(IF($AF27="",", no value",IF($AF27&lt;=0,", no value",""))&amp;IF('Start here'!$F$15="","",IF(LEN($AD27)&lt;'Start here'!$F$15,", short description",""))="","OK",MID(IF($AF27="",", no value",IF($AF27&lt;=0,", no value",""))&amp;IF('Start here'!$F$15="","",IF(LEN($AD27)&lt;'Start here'!$F$15,", short description","")),3,200)))</f>
        <v/>
      </c>
      <c r="AK27" s="37">
        <f>IF($AR27=1,IFERROR(TRIM(INDEX($A27:$Z27,MATCH(Lists!$B$5,$A$1:$Z$1,0))&amp;""),""),"")</f>
        <v/>
      </c>
      <c r="AL27" s="37">
        <f>IF($AR27=1,IFERROR(TRIM(INDEX($A27:$Z27,MATCH(Lists!$B$4,$A$1:$Z$1,0))&amp;""),""),"")</f>
        <v/>
      </c>
      <c r="AM27" s="37">
        <f>IF($AR27=1,IFERROR(TRIM(INDEX($A27:$Z27,MATCH(Lists!$B$6,$A$1:$Z$1,0))&amp;""),""),"")</f>
        <v/>
      </c>
      <c r="AN27" s="37">
        <f>IF($AR27=1,IFERROR(TRIM(INDEX($A27:$Z27,MATCH(Lists!$B$7,$A$1:$Z$1,0))&amp;""),""),"")</f>
        <v/>
      </c>
      <c r="AO27" s="37">
        <f>IF($AR27=1,IFERROR(TRIM(INDEX($A27:$Z27,MATCH(Lists!$B$13,$A$1:$Z$1,0))&amp;""),""),"")</f>
        <v/>
      </c>
      <c r="AP27" s="37">
        <f>IF($AR27=1,IFERROR(TRIM(INDEX($A27:$Z27,MATCH(Lists!$B$3,$A$1:$Z$1,0))&amp;""),""),"")</f>
        <v/>
      </c>
      <c r="AQ27" s="37">
        <f>IF($AR27=1,IFERROR(TRIM(INDEX($A27:$Z27,MATCH(Lists!$B$8,$A$1:$Z$1,0))&amp;""),""),"")</f>
        <v/>
      </c>
      <c r="AR27" s="36">
        <f>IF(LEN($AC27)&gt;0,1,0)</f>
        <v/>
      </c>
      <c r="AS27" s="37">
        <f>IF($AR27=1,IF(IFERROR(IF(ISNUMBER(INDEX($A27:$Z27,MATCH(Lists!$B$2,$A$1:$Z$1,0))),INDEX($A27:$Z27,MATCH(Lists!$B$2,$A$1:$Z$1,0)),DATE(VALUE(LEFT(IFERROR(TRIM(INDEX($A27:$Z27,MATCH(Lists!$B$2,$A$1:$Z$1,0))&amp;""),""),4)),VALUE(MID(IFERROR(TRIM(INDEX($A27:$Z27,MATCH(Lists!$B$2,$A$1:$Z$1,0))&amp;""),""),6,2)),VALUE(MID(IFERROR(TRIM(INDEX($A27:$Z27,MATCH(Lists!$B$2,$A$1:$Z$1,0))&amp;""),""),9,2)))+TIME(VALUE(MID(IFERROR(TRIM(INDEX($A27:$Z27,MATCH(Lists!$B$2,$A$1:$Z$1,0))&amp;""),""),12,2)),VALUE(MID(IFERROR(TRIM(INDEX($A27:$Z27,MATCH(Lists!$B$2,$A$1:$Z$1,0))&amp;""),""),15,2)),VALUE(MID(IFERROR(TRIM(INDEX($A27:$Z27,MATCH(Lists!$B$2,$A$1:$Z$1,0))&amp;""),""),18,2)))),"")="",100000+ROW()/10^7,IFERROR(IF(ISNUMBER(INDEX($A27:$Z27,MATCH(Lists!$B$2,$A$1:$Z$1,0))),INDEX($A27:$Z27,MATCH(Lists!$B$2,$A$1:$Z$1,0)),DATE(VALUE(LEFT(IFERROR(TRIM(INDEX($A27:$Z27,MATCH(Lists!$B$2,$A$1:$Z$1,0))&amp;""),""),4)),VALUE(MID(IFERROR(TRIM(INDEX($A27:$Z27,MATCH(Lists!$B$2,$A$1:$Z$1,0))&amp;""),""),6,2)),VALUE(MID(IFERROR(TRIM(INDEX($A27:$Z27,MATCH(Lists!$B$2,$A$1:$Z$1,0))&amp;""),""),9,2)))+TIME(VALUE(MID(IFERROR(TRIM(INDEX($A27:$Z27,MATCH(Lists!$B$2,$A$1:$Z$1,0))&amp;""),""),12,2)),VALUE(MID(IFERROR(TRIM(INDEX($A27:$Z27,MATCH(Lists!$B$2,$A$1:$Z$1,0))&amp;""),""),15,2)),VALUE(MID(IFERROR(TRIM(INDEX($A27:$Z27,MATCH(Lists!$B$2,$A$1:$Z$1,0))&amp;""),""),18,2)))),"")-ROW()/10^7),"")</f>
        <v/>
      </c>
    </row>
    <row r="28">
      <c r="AB28" s="36">
        <f>IF($AR28=1,COUNTIF($AS$2:$AS$201,"&lt;"&amp;$AS28)+1,"")</f>
        <v/>
      </c>
      <c r="AC28" s="37">
        <f>IFERROR(TRIM(INDEX($A28:$Z28,MATCH(Lists!$B$9,$A$1:$Z$1,0))&amp;""),"")</f>
        <v/>
      </c>
      <c r="AD28" s="37">
        <f>IF($AR28=1,IFERROR(TRIM(INDEX($A28:$Z28,MATCH(Lists!$B$10,$A$1:$Z$1,0))&amp;""),""),"")</f>
        <v/>
      </c>
      <c r="AE28" s="37">
        <f>IF($AR28=1,IFERROR(TRIM(INDEX($A28:$Z28,MATCH(Lists!$B$12,$A$1:$Z$1,0))&amp;""),""),"")</f>
        <v/>
      </c>
      <c r="AF28" s="38">
        <f>IF($AR28=1,IFERROR(IF(TRIM(INDEX($A28:$Z28,MATCH(Lists!$B$11,$A$1:$Z$1,0))&amp;"")="","",VALUE(TRIM(INDEX($A28:$Z28,MATCH(Lists!$B$11,$A$1:$Z$1,0))&amp;""))),""),"")</f>
        <v/>
      </c>
      <c r="AG28" s="38">
        <f>IF(OR($AR28=0,$AF28="",'Start here'!$F$10="",'Start here'!$F$11="",'Start here'!$F$12="",'Start here'!$F$13="",'Start here'!$F$14=""),"",IF($AF28&lt;'Start here'!$F$10,'Start here'!$F$11,IF($AF28&lt;'Start here'!$F$12,'Start here'!$F$13,'Start here'!$F$14)))</f>
        <v/>
      </c>
      <c r="AH28" s="38">
        <f>IF(OR($AG28="",'Start here'!$F$9=""),"",IF($AF28&lt;=0,"",IFERROR(MAX($AG28,ROUNDUP(ROUND($AF28*'Start here'!$F$9/$AG28,6),0)*$AG28),"")))</f>
        <v/>
      </c>
      <c r="AI28" s="37">
        <f>IF($AR28=0,"",IF($AN28=Lists!$B$19,"",IF(AND($AN28=Lists!$B$18,$AQ28&lt;&gt;""),$AQ28,IF(AND($AP28=Lists!$B$17,$AL28&lt;&gt;""),$AL28,$AK28))))</f>
        <v/>
      </c>
      <c r="AJ28" s="37">
        <f>IF($AR28=0,"",IF(IF($AF28="",", no value",IF($AF28&lt;=0,", no value",""))&amp;IF('Start here'!$F$15="","",IF(LEN($AD28)&lt;'Start here'!$F$15,", short description",""))="","OK",MID(IF($AF28="",", no value",IF($AF28&lt;=0,", no value",""))&amp;IF('Start here'!$F$15="","",IF(LEN($AD28)&lt;'Start here'!$F$15,", short description","")),3,200)))</f>
        <v/>
      </c>
      <c r="AK28" s="37">
        <f>IF($AR28=1,IFERROR(TRIM(INDEX($A28:$Z28,MATCH(Lists!$B$5,$A$1:$Z$1,0))&amp;""),""),"")</f>
        <v/>
      </c>
      <c r="AL28" s="37">
        <f>IF($AR28=1,IFERROR(TRIM(INDEX($A28:$Z28,MATCH(Lists!$B$4,$A$1:$Z$1,0))&amp;""),""),"")</f>
        <v/>
      </c>
      <c r="AM28" s="37">
        <f>IF($AR28=1,IFERROR(TRIM(INDEX($A28:$Z28,MATCH(Lists!$B$6,$A$1:$Z$1,0))&amp;""),""),"")</f>
        <v/>
      </c>
      <c r="AN28" s="37">
        <f>IF($AR28=1,IFERROR(TRIM(INDEX($A28:$Z28,MATCH(Lists!$B$7,$A$1:$Z$1,0))&amp;""),""),"")</f>
        <v/>
      </c>
      <c r="AO28" s="37">
        <f>IF($AR28=1,IFERROR(TRIM(INDEX($A28:$Z28,MATCH(Lists!$B$13,$A$1:$Z$1,0))&amp;""),""),"")</f>
        <v/>
      </c>
      <c r="AP28" s="37">
        <f>IF($AR28=1,IFERROR(TRIM(INDEX($A28:$Z28,MATCH(Lists!$B$3,$A$1:$Z$1,0))&amp;""),""),"")</f>
        <v/>
      </c>
      <c r="AQ28" s="37">
        <f>IF($AR28=1,IFERROR(TRIM(INDEX($A28:$Z28,MATCH(Lists!$B$8,$A$1:$Z$1,0))&amp;""),""),"")</f>
        <v/>
      </c>
      <c r="AR28" s="36">
        <f>IF(LEN($AC28)&gt;0,1,0)</f>
        <v/>
      </c>
      <c r="AS28" s="37">
        <f>IF($AR28=1,IF(IFERROR(IF(ISNUMBER(INDEX($A28:$Z28,MATCH(Lists!$B$2,$A$1:$Z$1,0))),INDEX($A28:$Z28,MATCH(Lists!$B$2,$A$1:$Z$1,0)),DATE(VALUE(LEFT(IFERROR(TRIM(INDEX($A28:$Z28,MATCH(Lists!$B$2,$A$1:$Z$1,0))&amp;""),""),4)),VALUE(MID(IFERROR(TRIM(INDEX($A28:$Z28,MATCH(Lists!$B$2,$A$1:$Z$1,0))&amp;""),""),6,2)),VALUE(MID(IFERROR(TRIM(INDEX($A28:$Z28,MATCH(Lists!$B$2,$A$1:$Z$1,0))&amp;""),""),9,2)))+TIME(VALUE(MID(IFERROR(TRIM(INDEX($A28:$Z28,MATCH(Lists!$B$2,$A$1:$Z$1,0))&amp;""),""),12,2)),VALUE(MID(IFERROR(TRIM(INDEX($A28:$Z28,MATCH(Lists!$B$2,$A$1:$Z$1,0))&amp;""),""),15,2)),VALUE(MID(IFERROR(TRIM(INDEX($A28:$Z28,MATCH(Lists!$B$2,$A$1:$Z$1,0))&amp;""),""),18,2)))),"")="",100000+ROW()/10^7,IFERROR(IF(ISNUMBER(INDEX($A28:$Z28,MATCH(Lists!$B$2,$A$1:$Z$1,0))),INDEX($A28:$Z28,MATCH(Lists!$B$2,$A$1:$Z$1,0)),DATE(VALUE(LEFT(IFERROR(TRIM(INDEX($A28:$Z28,MATCH(Lists!$B$2,$A$1:$Z$1,0))&amp;""),""),4)),VALUE(MID(IFERROR(TRIM(INDEX($A28:$Z28,MATCH(Lists!$B$2,$A$1:$Z$1,0))&amp;""),""),6,2)),VALUE(MID(IFERROR(TRIM(INDEX($A28:$Z28,MATCH(Lists!$B$2,$A$1:$Z$1,0))&amp;""),""),9,2)))+TIME(VALUE(MID(IFERROR(TRIM(INDEX($A28:$Z28,MATCH(Lists!$B$2,$A$1:$Z$1,0))&amp;""),""),12,2)),VALUE(MID(IFERROR(TRIM(INDEX($A28:$Z28,MATCH(Lists!$B$2,$A$1:$Z$1,0))&amp;""),""),15,2)),VALUE(MID(IFERROR(TRIM(INDEX($A28:$Z28,MATCH(Lists!$B$2,$A$1:$Z$1,0))&amp;""),""),18,2)))),"")-ROW()/10^7),"")</f>
        <v/>
      </c>
    </row>
    <row r="29">
      <c r="AB29" s="36">
        <f>IF($AR29=1,COUNTIF($AS$2:$AS$201,"&lt;"&amp;$AS29)+1,"")</f>
        <v/>
      </c>
      <c r="AC29" s="37">
        <f>IFERROR(TRIM(INDEX($A29:$Z29,MATCH(Lists!$B$9,$A$1:$Z$1,0))&amp;""),"")</f>
        <v/>
      </c>
      <c r="AD29" s="37">
        <f>IF($AR29=1,IFERROR(TRIM(INDEX($A29:$Z29,MATCH(Lists!$B$10,$A$1:$Z$1,0))&amp;""),""),"")</f>
        <v/>
      </c>
      <c r="AE29" s="37">
        <f>IF($AR29=1,IFERROR(TRIM(INDEX($A29:$Z29,MATCH(Lists!$B$12,$A$1:$Z$1,0))&amp;""),""),"")</f>
        <v/>
      </c>
      <c r="AF29" s="38">
        <f>IF($AR29=1,IFERROR(IF(TRIM(INDEX($A29:$Z29,MATCH(Lists!$B$11,$A$1:$Z$1,0))&amp;"")="","",VALUE(TRIM(INDEX($A29:$Z29,MATCH(Lists!$B$11,$A$1:$Z$1,0))&amp;""))),""),"")</f>
        <v/>
      </c>
      <c r="AG29" s="38">
        <f>IF(OR($AR29=0,$AF29="",'Start here'!$F$10="",'Start here'!$F$11="",'Start here'!$F$12="",'Start here'!$F$13="",'Start here'!$F$14=""),"",IF($AF29&lt;'Start here'!$F$10,'Start here'!$F$11,IF($AF29&lt;'Start here'!$F$12,'Start here'!$F$13,'Start here'!$F$14)))</f>
        <v/>
      </c>
      <c r="AH29" s="38">
        <f>IF(OR($AG29="",'Start here'!$F$9=""),"",IF($AF29&lt;=0,"",IFERROR(MAX($AG29,ROUNDUP(ROUND($AF29*'Start here'!$F$9/$AG29,6),0)*$AG29),"")))</f>
        <v/>
      </c>
      <c r="AI29" s="37">
        <f>IF($AR29=0,"",IF($AN29=Lists!$B$19,"",IF(AND($AN29=Lists!$B$18,$AQ29&lt;&gt;""),$AQ29,IF(AND($AP29=Lists!$B$17,$AL29&lt;&gt;""),$AL29,$AK29))))</f>
        <v/>
      </c>
      <c r="AJ29" s="37">
        <f>IF($AR29=0,"",IF(IF($AF29="",", no value",IF($AF29&lt;=0,", no value",""))&amp;IF('Start here'!$F$15="","",IF(LEN($AD29)&lt;'Start here'!$F$15,", short description",""))="","OK",MID(IF($AF29="",", no value",IF($AF29&lt;=0,", no value",""))&amp;IF('Start here'!$F$15="","",IF(LEN($AD29)&lt;'Start here'!$F$15,", short description","")),3,200)))</f>
        <v/>
      </c>
      <c r="AK29" s="37">
        <f>IF($AR29=1,IFERROR(TRIM(INDEX($A29:$Z29,MATCH(Lists!$B$5,$A$1:$Z$1,0))&amp;""),""),"")</f>
        <v/>
      </c>
      <c r="AL29" s="37">
        <f>IF($AR29=1,IFERROR(TRIM(INDEX($A29:$Z29,MATCH(Lists!$B$4,$A$1:$Z$1,0))&amp;""),""),"")</f>
        <v/>
      </c>
      <c r="AM29" s="37">
        <f>IF($AR29=1,IFERROR(TRIM(INDEX($A29:$Z29,MATCH(Lists!$B$6,$A$1:$Z$1,0))&amp;""),""),"")</f>
        <v/>
      </c>
      <c r="AN29" s="37">
        <f>IF($AR29=1,IFERROR(TRIM(INDEX($A29:$Z29,MATCH(Lists!$B$7,$A$1:$Z$1,0))&amp;""),""),"")</f>
        <v/>
      </c>
      <c r="AO29" s="37">
        <f>IF($AR29=1,IFERROR(TRIM(INDEX($A29:$Z29,MATCH(Lists!$B$13,$A$1:$Z$1,0))&amp;""),""),"")</f>
        <v/>
      </c>
      <c r="AP29" s="37">
        <f>IF($AR29=1,IFERROR(TRIM(INDEX($A29:$Z29,MATCH(Lists!$B$3,$A$1:$Z$1,0))&amp;""),""),"")</f>
        <v/>
      </c>
      <c r="AQ29" s="37">
        <f>IF($AR29=1,IFERROR(TRIM(INDEX($A29:$Z29,MATCH(Lists!$B$8,$A$1:$Z$1,0))&amp;""),""),"")</f>
        <v/>
      </c>
      <c r="AR29" s="36">
        <f>IF(LEN($AC29)&gt;0,1,0)</f>
        <v/>
      </c>
      <c r="AS29" s="37">
        <f>IF($AR29=1,IF(IFERROR(IF(ISNUMBER(INDEX($A29:$Z29,MATCH(Lists!$B$2,$A$1:$Z$1,0))),INDEX($A29:$Z29,MATCH(Lists!$B$2,$A$1:$Z$1,0)),DATE(VALUE(LEFT(IFERROR(TRIM(INDEX($A29:$Z29,MATCH(Lists!$B$2,$A$1:$Z$1,0))&amp;""),""),4)),VALUE(MID(IFERROR(TRIM(INDEX($A29:$Z29,MATCH(Lists!$B$2,$A$1:$Z$1,0))&amp;""),""),6,2)),VALUE(MID(IFERROR(TRIM(INDEX($A29:$Z29,MATCH(Lists!$B$2,$A$1:$Z$1,0))&amp;""),""),9,2)))+TIME(VALUE(MID(IFERROR(TRIM(INDEX($A29:$Z29,MATCH(Lists!$B$2,$A$1:$Z$1,0))&amp;""),""),12,2)),VALUE(MID(IFERROR(TRIM(INDEX($A29:$Z29,MATCH(Lists!$B$2,$A$1:$Z$1,0))&amp;""),""),15,2)),VALUE(MID(IFERROR(TRIM(INDEX($A29:$Z29,MATCH(Lists!$B$2,$A$1:$Z$1,0))&amp;""),""),18,2)))),"")="",100000+ROW()/10^7,IFERROR(IF(ISNUMBER(INDEX($A29:$Z29,MATCH(Lists!$B$2,$A$1:$Z$1,0))),INDEX($A29:$Z29,MATCH(Lists!$B$2,$A$1:$Z$1,0)),DATE(VALUE(LEFT(IFERROR(TRIM(INDEX($A29:$Z29,MATCH(Lists!$B$2,$A$1:$Z$1,0))&amp;""),""),4)),VALUE(MID(IFERROR(TRIM(INDEX($A29:$Z29,MATCH(Lists!$B$2,$A$1:$Z$1,0))&amp;""),""),6,2)),VALUE(MID(IFERROR(TRIM(INDEX($A29:$Z29,MATCH(Lists!$B$2,$A$1:$Z$1,0))&amp;""),""),9,2)))+TIME(VALUE(MID(IFERROR(TRIM(INDEX($A29:$Z29,MATCH(Lists!$B$2,$A$1:$Z$1,0))&amp;""),""),12,2)),VALUE(MID(IFERROR(TRIM(INDEX($A29:$Z29,MATCH(Lists!$B$2,$A$1:$Z$1,0))&amp;""),""),15,2)),VALUE(MID(IFERROR(TRIM(INDEX($A29:$Z29,MATCH(Lists!$B$2,$A$1:$Z$1,0))&amp;""),""),18,2)))),"")-ROW()/10^7),"")</f>
        <v/>
      </c>
    </row>
    <row r="30">
      <c r="AB30" s="36">
        <f>IF($AR30=1,COUNTIF($AS$2:$AS$201,"&lt;"&amp;$AS30)+1,"")</f>
        <v/>
      </c>
      <c r="AC30" s="37">
        <f>IFERROR(TRIM(INDEX($A30:$Z30,MATCH(Lists!$B$9,$A$1:$Z$1,0))&amp;""),"")</f>
        <v/>
      </c>
      <c r="AD30" s="37">
        <f>IF($AR30=1,IFERROR(TRIM(INDEX($A30:$Z30,MATCH(Lists!$B$10,$A$1:$Z$1,0))&amp;""),""),"")</f>
        <v/>
      </c>
      <c r="AE30" s="37">
        <f>IF($AR30=1,IFERROR(TRIM(INDEX($A30:$Z30,MATCH(Lists!$B$12,$A$1:$Z$1,0))&amp;""),""),"")</f>
        <v/>
      </c>
      <c r="AF30" s="38">
        <f>IF($AR30=1,IFERROR(IF(TRIM(INDEX($A30:$Z30,MATCH(Lists!$B$11,$A$1:$Z$1,0))&amp;"")="","",VALUE(TRIM(INDEX($A30:$Z30,MATCH(Lists!$B$11,$A$1:$Z$1,0))&amp;""))),""),"")</f>
        <v/>
      </c>
      <c r="AG30" s="38">
        <f>IF(OR($AR30=0,$AF30="",'Start here'!$F$10="",'Start here'!$F$11="",'Start here'!$F$12="",'Start here'!$F$13="",'Start here'!$F$14=""),"",IF($AF30&lt;'Start here'!$F$10,'Start here'!$F$11,IF($AF30&lt;'Start here'!$F$12,'Start here'!$F$13,'Start here'!$F$14)))</f>
        <v/>
      </c>
      <c r="AH30" s="38">
        <f>IF(OR($AG30="",'Start here'!$F$9=""),"",IF($AF30&lt;=0,"",IFERROR(MAX($AG30,ROUNDUP(ROUND($AF30*'Start here'!$F$9/$AG30,6),0)*$AG30),"")))</f>
        <v/>
      </c>
      <c r="AI30" s="37">
        <f>IF($AR30=0,"",IF($AN30=Lists!$B$19,"",IF(AND($AN30=Lists!$B$18,$AQ30&lt;&gt;""),$AQ30,IF(AND($AP30=Lists!$B$17,$AL30&lt;&gt;""),$AL30,$AK30))))</f>
        <v/>
      </c>
      <c r="AJ30" s="37">
        <f>IF($AR30=0,"",IF(IF($AF30="",", no value",IF($AF30&lt;=0,", no value",""))&amp;IF('Start here'!$F$15="","",IF(LEN($AD30)&lt;'Start here'!$F$15,", short description",""))="","OK",MID(IF($AF30="",", no value",IF($AF30&lt;=0,", no value",""))&amp;IF('Start here'!$F$15="","",IF(LEN($AD30)&lt;'Start here'!$F$15,", short description","")),3,200)))</f>
        <v/>
      </c>
      <c r="AK30" s="37">
        <f>IF($AR30=1,IFERROR(TRIM(INDEX($A30:$Z30,MATCH(Lists!$B$5,$A$1:$Z$1,0))&amp;""),""),"")</f>
        <v/>
      </c>
      <c r="AL30" s="37">
        <f>IF($AR30=1,IFERROR(TRIM(INDEX($A30:$Z30,MATCH(Lists!$B$4,$A$1:$Z$1,0))&amp;""),""),"")</f>
        <v/>
      </c>
      <c r="AM30" s="37">
        <f>IF($AR30=1,IFERROR(TRIM(INDEX($A30:$Z30,MATCH(Lists!$B$6,$A$1:$Z$1,0))&amp;""),""),"")</f>
        <v/>
      </c>
      <c r="AN30" s="37">
        <f>IF($AR30=1,IFERROR(TRIM(INDEX($A30:$Z30,MATCH(Lists!$B$7,$A$1:$Z$1,0))&amp;""),""),"")</f>
        <v/>
      </c>
      <c r="AO30" s="37">
        <f>IF($AR30=1,IFERROR(TRIM(INDEX($A30:$Z30,MATCH(Lists!$B$13,$A$1:$Z$1,0))&amp;""),""),"")</f>
        <v/>
      </c>
      <c r="AP30" s="37">
        <f>IF($AR30=1,IFERROR(TRIM(INDEX($A30:$Z30,MATCH(Lists!$B$3,$A$1:$Z$1,0))&amp;""),""),"")</f>
        <v/>
      </c>
      <c r="AQ30" s="37">
        <f>IF($AR30=1,IFERROR(TRIM(INDEX($A30:$Z30,MATCH(Lists!$B$8,$A$1:$Z$1,0))&amp;""),""),"")</f>
        <v/>
      </c>
      <c r="AR30" s="36">
        <f>IF(LEN($AC30)&gt;0,1,0)</f>
        <v/>
      </c>
      <c r="AS30" s="37">
        <f>IF($AR30=1,IF(IFERROR(IF(ISNUMBER(INDEX($A30:$Z30,MATCH(Lists!$B$2,$A$1:$Z$1,0))),INDEX($A30:$Z30,MATCH(Lists!$B$2,$A$1:$Z$1,0)),DATE(VALUE(LEFT(IFERROR(TRIM(INDEX($A30:$Z30,MATCH(Lists!$B$2,$A$1:$Z$1,0))&amp;""),""),4)),VALUE(MID(IFERROR(TRIM(INDEX($A30:$Z30,MATCH(Lists!$B$2,$A$1:$Z$1,0))&amp;""),""),6,2)),VALUE(MID(IFERROR(TRIM(INDEX($A30:$Z30,MATCH(Lists!$B$2,$A$1:$Z$1,0))&amp;""),""),9,2)))+TIME(VALUE(MID(IFERROR(TRIM(INDEX($A30:$Z30,MATCH(Lists!$B$2,$A$1:$Z$1,0))&amp;""),""),12,2)),VALUE(MID(IFERROR(TRIM(INDEX($A30:$Z30,MATCH(Lists!$B$2,$A$1:$Z$1,0))&amp;""),""),15,2)),VALUE(MID(IFERROR(TRIM(INDEX($A30:$Z30,MATCH(Lists!$B$2,$A$1:$Z$1,0))&amp;""),""),18,2)))),"")="",100000+ROW()/10^7,IFERROR(IF(ISNUMBER(INDEX($A30:$Z30,MATCH(Lists!$B$2,$A$1:$Z$1,0))),INDEX($A30:$Z30,MATCH(Lists!$B$2,$A$1:$Z$1,0)),DATE(VALUE(LEFT(IFERROR(TRIM(INDEX($A30:$Z30,MATCH(Lists!$B$2,$A$1:$Z$1,0))&amp;""),""),4)),VALUE(MID(IFERROR(TRIM(INDEX($A30:$Z30,MATCH(Lists!$B$2,$A$1:$Z$1,0))&amp;""),""),6,2)),VALUE(MID(IFERROR(TRIM(INDEX($A30:$Z30,MATCH(Lists!$B$2,$A$1:$Z$1,0))&amp;""),""),9,2)))+TIME(VALUE(MID(IFERROR(TRIM(INDEX($A30:$Z30,MATCH(Lists!$B$2,$A$1:$Z$1,0))&amp;""),""),12,2)),VALUE(MID(IFERROR(TRIM(INDEX($A30:$Z30,MATCH(Lists!$B$2,$A$1:$Z$1,0))&amp;""),""),15,2)),VALUE(MID(IFERROR(TRIM(INDEX($A30:$Z30,MATCH(Lists!$B$2,$A$1:$Z$1,0))&amp;""),""),18,2)))),"")-ROW()/10^7),"")</f>
        <v/>
      </c>
    </row>
    <row r="31">
      <c r="AB31" s="36">
        <f>IF($AR31=1,COUNTIF($AS$2:$AS$201,"&lt;"&amp;$AS31)+1,"")</f>
        <v/>
      </c>
      <c r="AC31" s="37">
        <f>IFERROR(TRIM(INDEX($A31:$Z31,MATCH(Lists!$B$9,$A$1:$Z$1,0))&amp;""),"")</f>
        <v/>
      </c>
      <c r="AD31" s="37">
        <f>IF($AR31=1,IFERROR(TRIM(INDEX($A31:$Z31,MATCH(Lists!$B$10,$A$1:$Z$1,0))&amp;""),""),"")</f>
        <v/>
      </c>
      <c r="AE31" s="37">
        <f>IF($AR31=1,IFERROR(TRIM(INDEX($A31:$Z31,MATCH(Lists!$B$12,$A$1:$Z$1,0))&amp;""),""),"")</f>
        <v/>
      </c>
      <c r="AF31" s="38">
        <f>IF($AR31=1,IFERROR(IF(TRIM(INDEX($A31:$Z31,MATCH(Lists!$B$11,$A$1:$Z$1,0))&amp;"")="","",VALUE(TRIM(INDEX($A31:$Z31,MATCH(Lists!$B$11,$A$1:$Z$1,0))&amp;""))),""),"")</f>
        <v/>
      </c>
      <c r="AG31" s="38">
        <f>IF(OR($AR31=0,$AF31="",'Start here'!$F$10="",'Start here'!$F$11="",'Start here'!$F$12="",'Start here'!$F$13="",'Start here'!$F$14=""),"",IF($AF31&lt;'Start here'!$F$10,'Start here'!$F$11,IF($AF31&lt;'Start here'!$F$12,'Start here'!$F$13,'Start here'!$F$14)))</f>
        <v/>
      </c>
      <c r="AH31" s="38">
        <f>IF(OR($AG31="",'Start here'!$F$9=""),"",IF($AF31&lt;=0,"",IFERROR(MAX($AG31,ROUNDUP(ROUND($AF31*'Start here'!$F$9/$AG31,6),0)*$AG31),"")))</f>
        <v/>
      </c>
      <c r="AI31" s="37">
        <f>IF($AR31=0,"",IF($AN31=Lists!$B$19,"",IF(AND($AN31=Lists!$B$18,$AQ31&lt;&gt;""),$AQ31,IF(AND($AP31=Lists!$B$17,$AL31&lt;&gt;""),$AL31,$AK31))))</f>
        <v/>
      </c>
      <c r="AJ31" s="37">
        <f>IF($AR31=0,"",IF(IF($AF31="",", no value",IF($AF31&lt;=0,", no value",""))&amp;IF('Start here'!$F$15="","",IF(LEN($AD31)&lt;'Start here'!$F$15,", short description",""))="","OK",MID(IF($AF31="",", no value",IF($AF31&lt;=0,", no value",""))&amp;IF('Start here'!$F$15="","",IF(LEN($AD31)&lt;'Start here'!$F$15,", short description","")),3,200)))</f>
        <v/>
      </c>
      <c r="AK31" s="37">
        <f>IF($AR31=1,IFERROR(TRIM(INDEX($A31:$Z31,MATCH(Lists!$B$5,$A$1:$Z$1,0))&amp;""),""),"")</f>
        <v/>
      </c>
      <c r="AL31" s="37">
        <f>IF($AR31=1,IFERROR(TRIM(INDEX($A31:$Z31,MATCH(Lists!$B$4,$A$1:$Z$1,0))&amp;""),""),"")</f>
        <v/>
      </c>
      <c r="AM31" s="37">
        <f>IF($AR31=1,IFERROR(TRIM(INDEX($A31:$Z31,MATCH(Lists!$B$6,$A$1:$Z$1,0))&amp;""),""),"")</f>
        <v/>
      </c>
      <c r="AN31" s="37">
        <f>IF($AR31=1,IFERROR(TRIM(INDEX($A31:$Z31,MATCH(Lists!$B$7,$A$1:$Z$1,0))&amp;""),""),"")</f>
        <v/>
      </c>
      <c r="AO31" s="37">
        <f>IF($AR31=1,IFERROR(TRIM(INDEX($A31:$Z31,MATCH(Lists!$B$13,$A$1:$Z$1,0))&amp;""),""),"")</f>
        <v/>
      </c>
      <c r="AP31" s="37">
        <f>IF($AR31=1,IFERROR(TRIM(INDEX($A31:$Z31,MATCH(Lists!$B$3,$A$1:$Z$1,0))&amp;""),""),"")</f>
        <v/>
      </c>
      <c r="AQ31" s="37">
        <f>IF($AR31=1,IFERROR(TRIM(INDEX($A31:$Z31,MATCH(Lists!$B$8,$A$1:$Z$1,0))&amp;""),""),"")</f>
        <v/>
      </c>
      <c r="AR31" s="36">
        <f>IF(LEN($AC31)&gt;0,1,0)</f>
        <v/>
      </c>
      <c r="AS31" s="37">
        <f>IF($AR31=1,IF(IFERROR(IF(ISNUMBER(INDEX($A31:$Z31,MATCH(Lists!$B$2,$A$1:$Z$1,0))),INDEX($A31:$Z31,MATCH(Lists!$B$2,$A$1:$Z$1,0)),DATE(VALUE(LEFT(IFERROR(TRIM(INDEX($A31:$Z31,MATCH(Lists!$B$2,$A$1:$Z$1,0))&amp;""),""),4)),VALUE(MID(IFERROR(TRIM(INDEX($A31:$Z31,MATCH(Lists!$B$2,$A$1:$Z$1,0))&amp;""),""),6,2)),VALUE(MID(IFERROR(TRIM(INDEX($A31:$Z31,MATCH(Lists!$B$2,$A$1:$Z$1,0))&amp;""),""),9,2)))+TIME(VALUE(MID(IFERROR(TRIM(INDEX($A31:$Z31,MATCH(Lists!$B$2,$A$1:$Z$1,0))&amp;""),""),12,2)),VALUE(MID(IFERROR(TRIM(INDEX($A31:$Z31,MATCH(Lists!$B$2,$A$1:$Z$1,0))&amp;""),""),15,2)),VALUE(MID(IFERROR(TRIM(INDEX($A31:$Z31,MATCH(Lists!$B$2,$A$1:$Z$1,0))&amp;""),""),18,2)))),"")="",100000+ROW()/10^7,IFERROR(IF(ISNUMBER(INDEX($A31:$Z31,MATCH(Lists!$B$2,$A$1:$Z$1,0))),INDEX($A31:$Z31,MATCH(Lists!$B$2,$A$1:$Z$1,0)),DATE(VALUE(LEFT(IFERROR(TRIM(INDEX($A31:$Z31,MATCH(Lists!$B$2,$A$1:$Z$1,0))&amp;""),""),4)),VALUE(MID(IFERROR(TRIM(INDEX($A31:$Z31,MATCH(Lists!$B$2,$A$1:$Z$1,0))&amp;""),""),6,2)),VALUE(MID(IFERROR(TRIM(INDEX($A31:$Z31,MATCH(Lists!$B$2,$A$1:$Z$1,0))&amp;""),""),9,2)))+TIME(VALUE(MID(IFERROR(TRIM(INDEX($A31:$Z31,MATCH(Lists!$B$2,$A$1:$Z$1,0))&amp;""),""),12,2)),VALUE(MID(IFERROR(TRIM(INDEX($A31:$Z31,MATCH(Lists!$B$2,$A$1:$Z$1,0))&amp;""),""),15,2)),VALUE(MID(IFERROR(TRIM(INDEX($A31:$Z31,MATCH(Lists!$B$2,$A$1:$Z$1,0))&amp;""),""),18,2)))),"")-ROW()/10^7),"")</f>
        <v/>
      </c>
    </row>
    <row r="32">
      <c r="AB32" s="36">
        <f>IF($AR32=1,COUNTIF($AS$2:$AS$201,"&lt;"&amp;$AS32)+1,"")</f>
        <v/>
      </c>
      <c r="AC32" s="37">
        <f>IFERROR(TRIM(INDEX($A32:$Z32,MATCH(Lists!$B$9,$A$1:$Z$1,0))&amp;""),"")</f>
        <v/>
      </c>
      <c r="AD32" s="37">
        <f>IF($AR32=1,IFERROR(TRIM(INDEX($A32:$Z32,MATCH(Lists!$B$10,$A$1:$Z$1,0))&amp;""),""),"")</f>
        <v/>
      </c>
      <c r="AE32" s="37">
        <f>IF($AR32=1,IFERROR(TRIM(INDEX($A32:$Z32,MATCH(Lists!$B$12,$A$1:$Z$1,0))&amp;""),""),"")</f>
        <v/>
      </c>
      <c r="AF32" s="38">
        <f>IF($AR32=1,IFERROR(IF(TRIM(INDEX($A32:$Z32,MATCH(Lists!$B$11,$A$1:$Z$1,0))&amp;"")="","",VALUE(TRIM(INDEX($A32:$Z32,MATCH(Lists!$B$11,$A$1:$Z$1,0))&amp;""))),""),"")</f>
        <v/>
      </c>
      <c r="AG32" s="38">
        <f>IF(OR($AR32=0,$AF32="",'Start here'!$F$10="",'Start here'!$F$11="",'Start here'!$F$12="",'Start here'!$F$13="",'Start here'!$F$14=""),"",IF($AF32&lt;'Start here'!$F$10,'Start here'!$F$11,IF($AF32&lt;'Start here'!$F$12,'Start here'!$F$13,'Start here'!$F$14)))</f>
        <v/>
      </c>
      <c r="AH32" s="38">
        <f>IF(OR($AG32="",'Start here'!$F$9=""),"",IF($AF32&lt;=0,"",IFERROR(MAX($AG32,ROUNDUP(ROUND($AF32*'Start here'!$F$9/$AG32,6),0)*$AG32),"")))</f>
        <v/>
      </c>
      <c r="AI32" s="37">
        <f>IF($AR32=0,"",IF($AN32=Lists!$B$19,"",IF(AND($AN32=Lists!$B$18,$AQ32&lt;&gt;""),$AQ32,IF(AND($AP32=Lists!$B$17,$AL32&lt;&gt;""),$AL32,$AK32))))</f>
        <v/>
      </c>
      <c r="AJ32" s="37">
        <f>IF($AR32=0,"",IF(IF($AF32="",", no value",IF($AF32&lt;=0,", no value",""))&amp;IF('Start here'!$F$15="","",IF(LEN($AD32)&lt;'Start here'!$F$15,", short description",""))="","OK",MID(IF($AF32="",", no value",IF($AF32&lt;=0,", no value",""))&amp;IF('Start here'!$F$15="","",IF(LEN($AD32)&lt;'Start here'!$F$15,", short description","")),3,200)))</f>
        <v/>
      </c>
      <c r="AK32" s="37">
        <f>IF($AR32=1,IFERROR(TRIM(INDEX($A32:$Z32,MATCH(Lists!$B$5,$A$1:$Z$1,0))&amp;""),""),"")</f>
        <v/>
      </c>
      <c r="AL32" s="37">
        <f>IF($AR32=1,IFERROR(TRIM(INDEX($A32:$Z32,MATCH(Lists!$B$4,$A$1:$Z$1,0))&amp;""),""),"")</f>
        <v/>
      </c>
      <c r="AM32" s="37">
        <f>IF($AR32=1,IFERROR(TRIM(INDEX($A32:$Z32,MATCH(Lists!$B$6,$A$1:$Z$1,0))&amp;""),""),"")</f>
        <v/>
      </c>
      <c r="AN32" s="37">
        <f>IF($AR32=1,IFERROR(TRIM(INDEX($A32:$Z32,MATCH(Lists!$B$7,$A$1:$Z$1,0))&amp;""),""),"")</f>
        <v/>
      </c>
      <c r="AO32" s="37">
        <f>IF($AR32=1,IFERROR(TRIM(INDEX($A32:$Z32,MATCH(Lists!$B$13,$A$1:$Z$1,0))&amp;""),""),"")</f>
        <v/>
      </c>
      <c r="AP32" s="37">
        <f>IF($AR32=1,IFERROR(TRIM(INDEX($A32:$Z32,MATCH(Lists!$B$3,$A$1:$Z$1,0))&amp;""),""),"")</f>
        <v/>
      </c>
      <c r="AQ32" s="37">
        <f>IF($AR32=1,IFERROR(TRIM(INDEX($A32:$Z32,MATCH(Lists!$B$8,$A$1:$Z$1,0))&amp;""),""),"")</f>
        <v/>
      </c>
      <c r="AR32" s="36">
        <f>IF(LEN($AC32)&gt;0,1,0)</f>
        <v/>
      </c>
      <c r="AS32" s="37">
        <f>IF($AR32=1,IF(IFERROR(IF(ISNUMBER(INDEX($A32:$Z32,MATCH(Lists!$B$2,$A$1:$Z$1,0))),INDEX($A32:$Z32,MATCH(Lists!$B$2,$A$1:$Z$1,0)),DATE(VALUE(LEFT(IFERROR(TRIM(INDEX($A32:$Z32,MATCH(Lists!$B$2,$A$1:$Z$1,0))&amp;""),""),4)),VALUE(MID(IFERROR(TRIM(INDEX($A32:$Z32,MATCH(Lists!$B$2,$A$1:$Z$1,0))&amp;""),""),6,2)),VALUE(MID(IFERROR(TRIM(INDEX($A32:$Z32,MATCH(Lists!$B$2,$A$1:$Z$1,0))&amp;""),""),9,2)))+TIME(VALUE(MID(IFERROR(TRIM(INDEX($A32:$Z32,MATCH(Lists!$B$2,$A$1:$Z$1,0))&amp;""),""),12,2)),VALUE(MID(IFERROR(TRIM(INDEX($A32:$Z32,MATCH(Lists!$B$2,$A$1:$Z$1,0))&amp;""),""),15,2)),VALUE(MID(IFERROR(TRIM(INDEX($A32:$Z32,MATCH(Lists!$B$2,$A$1:$Z$1,0))&amp;""),""),18,2)))),"")="",100000+ROW()/10^7,IFERROR(IF(ISNUMBER(INDEX($A32:$Z32,MATCH(Lists!$B$2,$A$1:$Z$1,0))),INDEX($A32:$Z32,MATCH(Lists!$B$2,$A$1:$Z$1,0)),DATE(VALUE(LEFT(IFERROR(TRIM(INDEX($A32:$Z32,MATCH(Lists!$B$2,$A$1:$Z$1,0))&amp;""),""),4)),VALUE(MID(IFERROR(TRIM(INDEX($A32:$Z32,MATCH(Lists!$B$2,$A$1:$Z$1,0))&amp;""),""),6,2)),VALUE(MID(IFERROR(TRIM(INDEX($A32:$Z32,MATCH(Lists!$B$2,$A$1:$Z$1,0))&amp;""),""),9,2)))+TIME(VALUE(MID(IFERROR(TRIM(INDEX($A32:$Z32,MATCH(Lists!$B$2,$A$1:$Z$1,0))&amp;""),""),12,2)),VALUE(MID(IFERROR(TRIM(INDEX($A32:$Z32,MATCH(Lists!$B$2,$A$1:$Z$1,0))&amp;""),""),15,2)),VALUE(MID(IFERROR(TRIM(INDEX($A32:$Z32,MATCH(Lists!$B$2,$A$1:$Z$1,0))&amp;""),""),18,2)))),"")-ROW()/10^7),"")</f>
        <v/>
      </c>
    </row>
    <row r="33">
      <c r="AB33" s="36">
        <f>IF($AR33=1,COUNTIF($AS$2:$AS$201,"&lt;"&amp;$AS33)+1,"")</f>
        <v/>
      </c>
      <c r="AC33" s="37">
        <f>IFERROR(TRIM(INDEX($A33:$Z33,MATCH(Lists!$B$9,$A$1:$Z$1,0))&amp;""),"")</f>
        <v/>
      </c>
      <c r="AD33" s="37">
        <f>IF($AR33=1,IFERROR(TRIM(INDEX($A33:$Z33,MATCH(Lists!$B$10,$A$1:$Z$1,0))&amp;""),""),"")</f>
        <v/>
      </c>
      <c r="AE33" s="37">
        <f>IF($AR33=1,IFERROR(TRIM(INDEX($A33:$Z33,MATCH(Lists!$B$12,$A$1:$Z$1,0))&amp;""),""),"")</f>
        <v/>
      </c>
      <c r="AF33" s="38">
        <f>IF($AR33=1,IFERROR(IF(TRIM(INDEX($A33:$Z33,MATCH(Lists!$B$11,$A$1:$Z$1,0))&amp;"")="","",VALUE(TRIM(INDEX($A33:$Z33,MATCH(Lists!$B$11,$A$1:$Z$1,0))&amp;""))),""),"")</f>
        <v/>
      </c>
      <c r="AG33" s="38">
        <f>IF(OR($AR33=0,$AF33="",'Start here'!$F$10="",'Start here'!$F$11="",'Start here'!$F$12="",'Start here'!$F$13="",'Start here'!$F$14=""),"",IF($AF33&lt;'Start here'!$F$10,'Start here'!$F$11,IF($AF33&lt;'Start here'!$F$12,'Start here'!$F$13,'Start here'!$F$14)))</f>
        <v/>
      </c>
      <c r="AH33" s="38">
        <f>IF(OR($AG33="",'Start here'!$F$9=""),"",IF($AF33&lt;=0,"",IFERROR(MAX($AG33,ROUNDUP(ROUND($AF33*'Start here'!$F$9/$AG33,6),0)*$AG33),"")))</f>
        <v/>
      </c>
      <c r="AI33" s="37">
        <f>IF($AR33=0,"",IF($AN33=Lists!$B$19,"",IF(AND($AN33=Lists!$B$18,$AQ33&lt;&gt;""),$AQ33,IF(AND($AP33=Lists!$B$17,$AL33&lt;&gt;""),$AL33,$AK33))))</f>
        <v/>
      </c>
      <c r="AJ33" s="37">
        <f>IF($AR33=0,"",IF(IF($AF33="",", no value",IF($AF33&lt;=0,", no value",""))&amp;IF('Start here'!$F$15="","",IF(LEN($AD33)&lt;'Start here'!$F$15,", short description",""))="","OK",MID(IF($AF33="",", no value",IF($AF33&lt;=0,", no value",""))&amp;IF('Start here'!$F$15="","",IF(LEN($AD33)&lt;'Start here'!$F$15,", short description","")),3,200)))</f>
        <v/>
      </c>
      <c r="AK33" s="37">
        <f>IF($AR33=1,IFERROR(TRIM(INDEX($A33:$Z33,MATCH(Lists!$B$5,$A$1:$Z$1,0))&amp;""),""),"")</f>
        <v/>
      </c>
      <c r="AL33" s="37">
        <f>IF($AR33=1,IFERROR(TRIM(INDEX($A33:$Z33,MATCH(Lists!$B$4,$A$1:$Z$1,0))&amp;""),""),"")</f>
        <v/>
      </c>
      <c r="AM33" s="37">
        <f>IF($AR33=1,IFERROR(TRIM(INDEX($A33:$Z33,MATCH(Lists!$B$6,$A$1:$Z$1,0))&amp;""),""),"")</f>
        <v/>
      </c>
      <c r="AN33" s="37">
        <f>IF($AR33=1,IFERROR(TRIM(INDEX($A33:$Z33,MATCH(Lists!$B$7,$A$1:$Z$1,0))&amp;""),""),"")</f>
        <v/>
      </c>
      <c r="AO33" s="37">
        <f>IF($AR33=1,IFERROR(TRIM(INDEX($A33:$Z33,MATCH(Lists!$B$13,$A$1:$Z$1,0))&amp;""),""),"")</f>
        <v/>
      </c>
      <c r="AP33" s="37">
        <f>IF($AR33=1,IFERROR(TRIM(INDEX($A33:$Z33,MATCH(Lists!$B$3,$A$1:$Z$1,0))&amp;""),""),"")</f>
        <v/>
      </c>
      <c r="AQ33" s="37">
        <f>IF($AR33=1,IFERROR(TRIM(INDEX($A33:$Z33,MATCH(Lists!$B$8,$A$1:$Z$1,0))&amp;""),""),"")</f>
        <v/>
      </c>
      <c r="AR33" s="36">
        <f>IF(LEN($AC33)&gt;0,1,0)</f>
        <v/>
      </c>
      <c r="AS33" s="37">
        <f>IF($AR33=1,IF(IFERROR(IF(ISNUMBER(INDEX($A33:$Z33,MATCH(Lists!$B$2,$A$1:$Z$1,0))),INDEX($A33:$Z33,MATCH(Lists!$B$2,$A$1:$Z$1,0)),DATE(VALUE(LEFT(IFERROR(TRIM(INDEX($A33:$Z33,MATCH(Lists!$B$2,$A$1:$Z$1,0))&amp;""),""),4)),VALUE(MID(IFERROR(TRIM(INDEX($A33:$Z33,MATCH(Lists!$B$2,$A$1:$Z$1,0))&amp;""),""),6,2)),VALUE(MID(IFERROR(TRIM(INDEX($A33:$Z33,MATCH(Lists!$B$2,$A$1:$Z$1,0))&amp;""),""),9,2)))+TIME(VALUE(MID(IFERROR(TRIM(INDEX($A33:$Z33,MATCH(Lists!$B$2,$A$1:$Z$1,0))&amp;""),""),12,2)),VALUE(MID(IFERROR(TRIM(INDEX($A33:$Z33,MATCH(Lists!$B$2,$A$1:$Z$1,0))&amp;""),""),15,2)),VALUE(MID(IFERROR(TRIM(INDEX($A33:$Z33,MATCH(Lists!$B$2,$A$1:$Z$1,0))&amp;""),""),18,2)))),"")="",100000+ROW()/10^7,IFERROR(IF(ISNUMBER(INDEX($A33:$Z33,MATCH(Lists!$B$2,$A$1:$Z$1,0))),INDEX($A33:$Z33,MATCH(Lists!$B$2,$A$1:$Z$1,0)),DATE(VALUE(LEFT(IFERROR(TRIM(INDEX($A33:$Z33,MATCH(Lists!$B$2,$A$1:$Z$1,0))&amp;""),""),4)),VALUE(MID(IFERROR(TRIM(INDEX($A33:$Z33,MATCH(Lists!$B$2,$A$1:$Z$1,0))&amp;""),""),6,2)),VALUE(MID(IFERROR(TRIM(INDEX($A33:$Z33,MATCH(Lists!$B$2,$A$1:$Z$1,0))&amp;""),""),9,2)))+TIME(VALUE(MID(IFERROR(TRIM(INDEX($A33:$Z33,MATCH(Lists!$B$2,$A$1:$Z$1,0))&amp;""),""),12,2)),VALUE(MID(IFERROR(TRIM(INDEX($A33:$Z33,MATCH(Lists!$B$2,$A$1:$Z$1,0))&amp;""),""),15,2)),VALUE(MID(IFERROR(TRIM(INDEX($A33:$Z33,MATCH(Lists!$B$2,$A$1:$Z$1,0))&amp;""),""),18,2)))),"")-ROW()/10^7),"")</f>
        <v/>
      </c>
    </row>
    <row r="34">
      <c r="AB34" s="36">
        <f>IF($AR34=1,COUNTIF($AS$2:$AS$201,"&lt;"&amp;$AS34)+1,"")</f>
        <v/>
      </c>
      <c r="AC34" s="37">
        <f>IFERROR(TRIM(INDEX($A34:$Z34,MATCH(Lists!$B$9,$A$1:$Z$1,0))&amp;""),"")</f>
        <v/>
      </c>
      <c r="AD34" s="37">
        <f>IF($AR34=1,IFERROR(TRIM(INDEX($A34:$Z34,MATCH(Lists!$B$10,$A$1:$Z$1,0))&amp;""),""),"")</f>
        <v/>
      </c>
      <c r="AE34" s="37">
        <f>IF($AR34=1,IFERROR(TRIM(INDEX($A34:$Z34,MATCH(Lists!$B$12,$A$1:$Z$1,0))&amp;""),""),"")</f>
        <v/>
      </c>
      <c r="AF34" s="38">
        <f>IF($AR34=1,IFERROR(IF(TRIM(INDEX($A34:$Z34,MATCH(Lists!$B$11,$A$1:$Z$1,0))&amp;"")="","",VALUE(TRIM(INDEX($A34:$Z34,MATCH(Lists!$B$11,$A$1:$Z$1,0))&amp;""))),""),"")</f>
        <v/>
      </c>
      <c r="AG34" s="38">
        <f>IF(OR($AR34=0,$AF34="",'Start here'!$F$10="",'Start here'!$F$11="",'Start here'!$F$12="",'Start here'!$F$13="",'Start here'!$F$14=""),"",IF($AF34&lt;'Start here'!$F$10,'Start here'!$F$11,IF($AF34&lt;'Start here'!$F$12,'Start here'!$F$13,'Start here'!$F$14)))</f>
        <v/>
      </c>
      <c r="AH34" s="38">
        <f>IF(OR($AG34="",'Start here'!$F$9=""),"",IF($AF34&lt;=0,"",IFERROR(MAX($AG34,ROUNDUP(ROUND($AF34*'Start here'!$F$9/$AG34,6),0)*$AG34),"")))</f>
        <v/>
      </c>
      <c r="AI34" s="37">
        <f>IF($AR34=0,"",IF($AN34=Lists!$B$19,"",IF(AND($AN34=Lists!$B$18,$AQ34&lt;&gt;""),$AQ34,IF(AND($AP34=Lists!$B$17,$AL34&lt;&gt;""),$AL34,$AK34))))</f>
        <v/>
      </c>
      <c r="AJ34" s="37">
        <f>IF($AR34=0,"",IF(IF($AF34="",", no value",IF($AF34&lt;=0,", no value",""))&amp;IF('Start here'!$F$15="","",IF(LEN($AD34)&lt;'Start here'!$F$15,", short description",""))="","OK",MID(IF($AF34="",", no value",IF($AF34&lt;=0,", no value",""))&amp;IF('Start here'!$F$15="","",IF(LEN($AD34)&lt;'Start here'!$F$15,", short description","")),3,200)))</f>
        <v/>
      </c>
      <c r="AK34" s="37">
        <f>IF($AR34=1,IFERROR(TRIM(INDEX($A34:$Z34,MATCH(Lists!$B$5,$A$1:$Z$1,0))&amp;""),""),"")</f>
        <v/>
      </c>
      <c r="AL34" s="37">
        <f>IF($AR34=1,IFERROR(TRIM(INDEX($A34:$Z34,MATCH(Lists!$B$4,$A$1:$Z$1,0))&amp;""),""),"")</f>
        <v/>
      </c>
      <c r="AM34" s="37">
        <f>IF($AR34=1,IFERROR(TRIM(INDEX($A34:$Z34,MATCH(Lists!$B$6,$A$1:$Z$1,0))&amp;""),""),"")</f>
        <v/>
      </c>
      <c r="AN34" s="37">
        <f>IF($AR34=1,IFERROR(TRIM(INDEX($A34:$Z34,MATCH(Lists!$B$7,$A$1:$Z$1,0))&amp;""),""),"")</f>
        <v/>
      </c>
      <c r="AO34" s="37">
        <f>IF($AR34=1,IFERROR(TRIM(INDEX($A34:$Z34,MATCH(Lists!$B$13,$A$1:$Z$1,0))&amp;""),""),"")</f>
        <v/>
      </c>
      <c r="AP34" s="37">
        <f>IF($AR34=1,IFERROR(TRIM(INDEX($A34:$Z34,MATCH(Lists!$B$3,$A$1:$Z$1,0))&amp;""),""),"")</f>
        <v/>
      </c>
      <c r="AQ34" s="37">
        <f>IF($AR34=1,IFERROR(TRIM(INDEX($A34:$Z34,MATCH(Lists!$B$8,$A$1:$Z$1,0))&amp;""),""),"")</f>
        <v/>
      </c>
      <c r="AR34" s="36">
        <f>IF(LEN($AC34)&gt;0,1,0)</f>
        <v/>
      </c>
      <c r="AS34" s="37">
        <f>IF($AR34=1,IF(IFERROR(IF(ISNUMBER(INDEX($A34:$Z34,MATCH(Lists!$B$2,$A$1:$Z$1,0))),INDEX($A34:$Z34,MATCH(Lists!$B$2,$A$1:$Z$1,0)),DATE(VALUE(LEFT(IFERROR(TRIM(INDEX($A34:$Z34,MATCH(Lists!$B$2,$A$1:$Z$1,0))&amp;""),""),4)),VALUE(MID(IFERROR(TRIM(INDEX($A34:$Z34,MATCH(Lists!$B$2,$A$1:$Z$1,0))&amp;""),""),6,2)),VALUE(MID(IFERROR(TRIM(INDEX($A34:$Z34,MATCH(Lists!$B$2,$A$1:$Z$1,0))&amp;""),""),9,2)))+TIME(VALUE(MID(IFERROR(TRIM(INDEX($A34:$Z34,MATCH(Lists!$B$2,$A$1:$Z$1,0))&amp;""),""),12,2)),VALUE(MID(IFERROR(TRIM(INDEX($A34:$Z34,MATCH(Lists!$B$2,$A$1:$Z$1,0))&amp;""),""),15,2)),VALUE(MID(IFERROR(TRIM(INDEX($A34:$Z34,MATCH(Lists!$B$2,$A$1:$Z$1,0))&amp;""),""),18,2)))),"")="",100000+ROW()/10^7,IFERROR(IF(ISNUMBER(INDEX($A34:$Z34,MATCH(Lists!$B$2,$A$1:$Z$1,0))),INDEX($A34:$Z34,MATCH(Lists!$B$2,$A$1:$Z$1,0)),DATE(VALUE(LEFT(IFERROR(TRIM(INDEX($A34:$Z34,MATCH(Lists!$B$2,$A$1:$Z$1,0))&amp;""),""),4)),VALUE(MID(IFERROR(TRIM(INDEX($A34:$Z34,MATCH(Lists!$B$2,$A$1:$Z$1,0))&amp;""),""),6,2)),VALUE(MID(IFERROR(TRIM(INDEX($A34:$Z34,MATCH(Lists!$B$2,$A$1:$Z$1,0))&amp;""),""),9,2)))+TIME(VALUE(MID(IFERROR(TRIM(INDEX($A34:$Z34,MATCH(Lists!$B$2,$A$1:$Z$1,0))&amp;""),""),12,2)),VALUE(MID(IFERROR(TRIM(INDEX($A34:$Z34,MATCH(Lists!$B$2,$A$1:$Z$1,0))&amp;""),""),15,2)),VALUE(MID(IFERROR(TRIM(INDEX($A34:$Z34,MATCH(Lists!$B$2,$A$1:$Z$1,0))&amp;""),""),18,2)))),"")-ROW()/10^7),"")</f>
        <v/>
      </c>
    </row>
    <row r="35">
      <c r="AB35" s="36">
        <f>IF($AR35=1,COUNTIF($AS$2:$AS$201,"&lt;"&amp;$AS35)+1,"")</f>
        <v/>
      </c>
      <c r="AC35" s="37">
        <f>IFERROR(TRIM(INDEX($A35:$Z35,MATCH(Lists!$B$9,$A$1:$Z$1,0))&amp;""),"")</f>
        <v/>
      </c>
      <c r="AD35" s="37">
        <f>IF($AR35=1,IFERROR(TRIM(INDEX($A35:$Z35,MATCH(Lists!$B$10,$A$1:$Z$1,0))&amp;""),""),"")</f>
        <v/>
      </c>
      <c r="AE35" s="37">
        <f>IF($AR35=1,IFERROR(TRIM(INDEX($A35:$Z35,MATCH(Lists!$B$12,$A$1:$Z$1,0))&amp;""),""),"")</f>
        <v/>
      </c>
      <c r="AF35" s="38">
        <f>IF($AR35=1,IFERROR(IF(TRIM(INDEX($A35:$Z35,MATCH(Lists!$B$11,$A$1:$Z$1,0))&amp;"")="","",VALUE(TRIM(INDEX($A35:$Z35,MATCH(Lists!$B$11,$A$1:$Z$1,0))&amp;""))),""),"")</f>
        <v/>
      </c>
      <c r="AG35" s="38">
        <f>IF(OR($AR35=0,$AF35="",'Start here'!$F$10="",'Start here'!$F$11="",'Start here'!$F$12="",'Start here'!$F$13="",'Start here'!$F$14=""),"",IF($AF35&lt;'Start here'!$F$10,'Start here'!$F$11,IF($AF35&lt;'Start here'!$F$12,'Start here'!$F$13,'Start here'!$F$14)))</f>
        <v/>
      </c>
      <c r="AH35" s="38">
        <f>IF(OR($AG35="",'Start here'!$F$9=""),"",IF($AF35&lt;=0,"",IFERROR(MAX($AG35,ROUNDUP(ROUND($AF35*'Start here'!$F$9/$AG35,6),0)*$AG35),"")))</f>
        <v/>
      </c>
      <c r="AI35" s="37">
        <f>IF($AR35=0,"",IF($AN35=Lists!$B$19,"",IF(AND($AN35=Lists!$B$18,$AQ35&lt;&gt;""),$AQ35,IF(AND($AP35=Lists!$B$17,$AL35&lt;&gt;""),$AL35,$AK35))))</f>
        <v/>
      </c>
      <c r="AJ35" s="37">
        <f>IF($AR35=0,"",IF(IF($AF35="",", no value",IF($AF35&lt;=0,", no value",""))&amp;IF('Start here'!$F$15="","",IF(LEN($AD35)&lt;'Start here'!$F$15,", short description",""))="","OK",MID(IF($AF35="",", no value",IF($AF35&lt;=0,", no value",""))&amp;IF('Start here'!$F$15="","",IF(LEN($AD35)&lt;'Start here'!$F$15,", short description","")),3,200)))</f>
        <v/>
      </c>
      <c r="AK35" s="37">
        <f>IF($AR35=1,IFERROR(TRIM(INDEX($A35:$Z35,MATCH(Lists!$B$5,$A$1:$Z$1,0))&amp;""),""),"")</f>
        <v/>
      </c>
      <c r="AL35" s="37">
        <f>IF($AR35=1,IFERROR(TRIM(INDEX($A35:$Z35,MATCH(Lists!$B$4,$A$1:$Z$1,0))&amp;""),""),"")</f>
        <v/>
      </c>
      <c r="AM35" s="37">
        <f>IF($AR35=1,IFERROR(TRIM(INDEX($A35:$Z35,MATCH(Lists!$B$6,$A$1:$Z$1,0))&amp;""),""),"")</f>
        <v/>
      </c>
      <c r="AN35" s="37">
        <f>IF($AR35=1,IFERROR(TRIM(INDEX($A35:$Z35,MATCH(Lists!$B$7,$A$1:$Z$1,0))&amp;""),""),"")</f>
        <v/>
      </c>
      <c r="AO35" s="37">
        <f>IF($AR35=1,IFERROR(TRIM(INDEX($A35:$Z35,MATCH(Lists!$B$13,$A$1:$Z$1,0))&amp;""),""),"")</f>
        <v/>
      </c>
      <c r="AP35" s="37">
        <f>IF($AR35=1,IFERROR(TRIM(INDEX($A35:$Z35,MATCH(Lists!$B$3,$A$1:$Z$1,0))&amp;""),""),"")</f>
        <v/>
      </c>
      <c r="AQ35" s="37">
        <f>IF($AR35=1,IFERROR(TRIM(INDEX($A35:$Z35,MATCH(Lists!$B$8,$A$1:$Z$1,0))&amp;""),""),"")</f>
        <v/>
      </c>
      <c r="AR35" s="36">
        <f>IF(LEN($AC35)&gt;0,1,0)</f>
        <v/>
      </c>
      <c r="AS35" s="37">
        <f>IF($AR35=1,IF(IFERROR(IF(ISNUMBER(INDEX($A35:$Z35,MATCH(Lists!$B$2,$A$1:$Z$1,0))),INDEX($A35:$Z35,MATCH(Lists!$B$2,$A$1:$Z$1,0)),DATE(VALUE(LEFT(IFERROR(TRIM(INDEX($A35:$Z35,MATCH(Lists!$B$2,$A$1:$Z$1,0))&amp;""),""),4)),VALUE(MID(IFERROR(TRIM(INDEX($A35:$Z35,MATCH(Lists!$B$2,$A$1:$Z$1,0))&amp;""),""),6,2)),VALUE(MID(IFERROR(TRIM(INDEX($A35:$Z35,MATCH(Lists!$B$2,$A$1:$Z$1,0))&amp;""),""),9,2)))+TIME(VALUE(MID(IFERROR(TRIM(INDEX($A35:$Z35,MATCH(Lists!$B$2,$A$1:$Z$1,0))&amp;""),""),12,2)),VALUE(MID(IFERROR(TRIM(INDEX($A35:$Z35,MATCH(Lists!$B$2,$A$1:$Z$1,0))&amp;""),""),15,2)),VALUE(MID(IFERROR(TRIM(INDEX($A35:$Z35,MATCH(Lists!$B$2,$A$1:$Z$1,0))&amp;""),""),18,2)))),"")="",100000+ROW()/10^7,IFERROR(IF(ISNUMBER(INDEX($A35:$Z35,MATCH(Lists!$B$2,$A$1:$Z$1,0))),INDEX($A35:$Z35,MATCH(Lists!$B$2,$A$1:$Z$1,0)),DATE(VALUE(LEFT(IFERROR(TRIM(INDEX($A35:$Z35,MATCH(Lists!$B$2,$A$1:$Z$1,0))&amp;""),""),4)),VALUE(MID(IFERROR(TRIM(INDEX($A35:$Z35,MATCH(Lists!$B$2,$A$1:$Z$1,0))&amp;""),""),6,2)),VALUE(MID(IFERROR(TRIM(INDEX($A35:$Z35,MATCH(Lists!$B$2,$A$1:$Z$1,0))&amp;""),""),9,2)))+TIME(VALUE(MID(IFERROR(TRIM(INDEX($A35:$Z35,MATCH(Lists!$B$2,$A$1:$Z$1,0))&amp;""),""),12,2)),VALUE(MID(IFERROR(TRIM(INDEX($A35:$Z35,MATCH(Lists!$B$2,$A$1:$Z$1,0))&amp;""),""),15,2)),VALUE(MID(IFERROR(TRIM(INDEX($A35:$Z35,MATCH(Lists!$B$2,$A$1:$Z$1,0))&amp;""),""),18,2)))),"")-ROW()/10^7),"")</f>
        <v/>
      </c>
    </row>
    <row r="36">
      <c r="AB36" s="36">
        <f>IF($AR36=1,COUNTIF($AS$2:$AS$201,"&lt;"&amp;$AS36)+1,"")</f>
        <v/>
      </c>
      <c r="AC36" s="37">
        <f>IFERROR(TRIM(INDEX($A36:$Z36,MATCH(Lists!$B$9,$A$1:$Z$1,0))&amp;""),"")</f>
        <v/>
      </c>
      <c r="AD36" s="37">
        <f>IF($AR36=1,IFERROR(TRIM(INDEX($A36:$Z36,MATCH(Lists!$B$10,$A$1:$Z$1,0))&amp;""),""),"")</f>
        <v/>
      </c>
      <c r="AE36" s="37">
        <f>IF($AR36=1,IFERROR(TRIM(INDEX($A36:$Z36,MATCH(Lists!$B$12,$A$1:$Z$1,0))&amp;""),""),"")</f>
        <v/>
      </c>
      <c r="AF36" s="38">
        <f>IF($AR36=1,IFERROR(IF(TRIM(INDEX($A36:$Z36,MATCH(Lists!$B$11,$A$1:$Z$1,0))&amp;"")="","",VALUE(TRIM(INDEX($A36:$Z36,MATCH(Lists!$B$11,$A$1:$Z$1,0))&amp;""))),""),"")</f>
        <v/>
      </c>
      <c r="AG36" s="38">
        <f>IF(OR($AR36=0,$AF36="",'Start here'!$F$10="",'Start here'!$F$11="",'Start here'!$F$12="",'Start here'!$F$13="",'Start here'!$F$14=""),"",IF($AF36&lt;'Start here'!$F$10,'Start here'!$F$11,IF($AF36&lt;'Start here'!$F$12,'Start here'!$F$13,'Start here'!$F$14)))</f>
        <v/>
      </c>
      <c r="AH36" s="38">
        <f>IF(OR($AG36="",'Start here'!$F$9=""),"",IF($AF36&lt;=0,"",IFERROR(MAX($AG36,ROUNDUP(ROUND($AF36*'Start here'!$F$9/$AG36,6),0)*$AG36),"")))</f>
        <v/>
      </c>
      <c r="AI36" s="37">
        <f>IF($AR36=0,"",IF($AN36=Lists!$B$19,"",IF(AND($AN36=Lists!$B$18,$AQ36&lt;&gt;""),$AQ36,IF(AND($AP36=Lists!$B$17,$AL36&lt;&gt;""),$AL36,$AK36))))</f>
        <v/>
      </c>
      <c r="AJ36" s="37">
        <f>IF($AR36=0,"",IF(IF($AF36="",", no value",IF($AF36&lt;=0,", no value",""))&amp;IF('Start here'!$F$15="","",IF(LEN($AD36)&lt;'Start here'!$F$15,", short description",""))="","OK",MID(IF($AF36="",", no value",IF($AF36&lt;=0,", no value",""))&amp;IF('Start here'!$F$15="","",IF(LEN($AD36)&lt;'Start here'!$F$15,", short description","")),3,200)))</f>
        <v/>
      </c>
      <c r="AK36" s="37">
        <f>IF($AR36=1,IFERROR(TRIM(INDEX($A36:$Z36,MATCH(Lists!$B$5,$A$1:$Z$1,0))&amp;""),""),"")</f>
        <v/>
      </c>
      <c r="AL36" s="37">
        <f>IF($AR36=1,IFERROR(TRIM(INDEX($A36:$Z36,MATCH(Lists!$B$4,$A$1:$Z$1,0))&amp;""),""),"")</f>
        <v/>
      </c>
      <c r="AM36" s="37">
        <f>IF($AR36=1,IFERROR(TRIM(INDEX($A36:$Z36,MATCH(Lists!$B$6,$A$1:$Z$1,0))&amp;""),""),"")</f>
        <v/>
      </c>
      <c r="AN36" s="37">
        <f>IF($AR36=1,IFERROR(TRIM(INDEX($A36:$Z36,MATCH(Lists!$B$7,$A$1:$Z$1,0))&amp;""),""),"")</f>
        <v/>
      </c>
      <c r="AO36" s="37">
        <f>IF($AR36=1,IFERROR(TRIM(INDEX($A36:$Z36,MATCH(Lists!$B$13,$A$1:$Z$1,0))&amp;""),""),"")</f>
        <v/>
      </c>
      <c r="AP36" s="37">
        <f>IF($AR36=1,IFERROR(TRIM(INDEX($A36:$Z36,MATCH(Lists!$B$3,$A$1:$Z$1,0))&amp;""),""),"")</f>
        <v/>
      </c>
      <c r="AQ36" s="37">
        <f>IF($AR36=1,IFERROR(TRIM(INDEX($A36:$Z36,MATCH(Lists!$B$8,$A$1:$Z$1,0))&amp;""),""),"")</f>
        <v/>
      </c>
      <c r="AR36" s="36">
        <f>IF(LEN($AC36)&gt;0,1,0)</f>
        <v/>
      </c>
      <c r="AS36" s="37">
        <f>IF($AR36=1,IF(IFERROR(IF(ISNUMBER(INDEX($A36:$Z36,MATCH(Lists!$B$2,$A$1:$Z$1,0))),INDEX($A36:$Z36,MATCH(Lists!$B$2,$A$1:$Z$1,0)),DATE(VALUE(LEFT(IFERROR(TRIM(INDEX($A36:$Z36,MATCH(Lists!$B$2,$A$1:$Z$1,0))&amp;""),""),4)),VALUE(MID(IFERROR(TRIM(INDEX($A36:$Z36,MATCH(Lists!$B$2,$A$1:$Z$1,0))&amp;""),""),6,2)),VALUE(MID(IFERROR(TRIM(INDEX($A36:$Z36,MATCH(Lists!$B$2,$A$1:$Z$1,0))&amp;""),""),9,2)))+TIME(VALUE(MID(IFERROR(TRIM(INDEX($A36:$Z36,MATCH(Lists!$B$2,$A$1:$Z$1,0))&amp;""),""),12,2)),VALUE(MID(IFERROR(TRIM(INDEX($A36:$Z36,MATCH(Lists!$B$2,$A$1:$Z$1,0))&amp;""),""),15,2)),VALUE(MID(IFERROR(TRIM(INDEX($A36:$Z36,MATCH(Lists!$B$2,$A$1:$Z$1,0))&amp;""),""),18,2)))),"")="",100000+ROW()/10^7,IFERROR(IF(ISNUMBER(INDEX($A36:$Z36,MATCH(Lists!$B$2,$A$1:$Z$1,0))),INDEX($A36:$Z36,MATCH(Lists!$B$2,$A$1:$Z$1,0)),DATE(VALUE(LEFT(IFERROR(TRIM(INDEX($A36:$Z36,MATCH(Lists!$B$2,$A$1:$Z$1,0))&amp;""),""),4)),VALUE(MID(IFERROR(TRIM(INDEX($A36:$Z36,MATCH(Lists!$B$2,$A$1:$Z$1,0))&amp;""),""),6,2)),VALUE(MID(IFERROR(TRIM(INDEX($A36:$Z36,MATCH(Lists!$B$2,$A$1:$Z$1,0))&amp;""),""),9,2)))+TIME(VALUE(MID(IFERROR(TRIM(INDEX($A36:$Z36,MATCH(Lists!$B$2,$A$1:$Z$1,0))&amp;""),""),12,2)),VALUE(MID(IFERROR(TRIM(INDEX($A36:$Z36,MATCH(Lists!$B$2,$A$1:$Z$1,0))&amp;""),""),15,2)),VALUE(MID(IFERROR(TRIM(INDEX($A36:$Z36,MATCH(Lists!$B$2,$A$1:$Z$1,0))&amp;""),""),18,2)))),"")-ROW()/10^7),"")</f>
        <v/>
      </c>
    </row>
    <row r="37">
      <c r="AB37" s="36">
        <f>IF($AR37=1,COUNTIF($AS$2:$AS$201,"&lt;"&amp;$AS37)+1,"")</f>
        <v/>
      </c>
      <c r="AC37" s="37">
        <f>IFERROR(TRIM(INDEX($A37:$Z37,MATCH(Lists!$B$9,$A$1:$Z$1,0))&amp;""),"")</f>
        <v/>
      </c>
      <c r="AD37" s="37">
        <f>IF($AR37=1,IFERROR(TRIM(INDEX($A37:$Z37,MATCH(Lists!$B$10,$A$1:$Z$1,0))&amp;""),""),"")</f>
        <v/>
      </c>
      <c r="AE37" s="37">
        <f>IF($AR37=1,IFERROR(TRIM(INDEX($A37:$Z37,MATCH(Lists!$B$12,$A$1:$Z$1,0))&amp;""),""),"")</f>
        <v/>
      </c>
      <c r="AF37" s="38">
        <f>IF($AR37=1,IFERROR(IF(TRIM(INDEX($A37:$Z37,MATCH(Lists!$B$11,$A$1:$Z$1,0))&amp;"")="","",VALUE(TRIM(INDEX($A37:$Z37,MATCH(Lists!$B$11,$A$1:$Z$1,0))&amp;""))),""),"")</f>
        <v/>
      </c>
      <c r="AG37" s="38">
        <f>IF(OR($AR37=0,$AF37="",'Start here'!$F$10="",'Start here'!$F$11="",'Start here'!$F$12="",'Start here'!$F$13="",'Start here'!$F$14=""),"",IF($AF37&lt;'Start here'!$F$10,'Start here'!$F$11,IF($AF37&lt;'Start here'!$F$12,'Start here'!$F$13,'Start here'!$F$14)))</f>
        <v/>
      </c>
      <c r="AH37" s="38">
        <f>IF(OR($AG37="",'Start here'!$F$9=""),"",IF($AF37&lt;=0,"",IFERROR(MAX($AG37,ROUNDUP(ROUND($AF37*'Start here'!$F$9/$AG37,6),0)*$AG37),"")))</f>
        <v/>
      </c>
      <c r="AI37" s="37">
        <f>IF($AR37=0,"",IF($AN37=Lists!$B$19,"",IF(AND($AN37=Lists!$B$18,$AQ37&lt;&gt;""),$AQ37,IF(AND($AP37=Lists!$B$17,$AL37&lt;&gt;""),$AL37,$AK37))))</f>
        <v/>
      </c>
      <c r="AJ37" s="37">
        <f>IF($AR37=0,"",IF(IF($AF37="",", no value",IF($AF37&lt;=0,", no value",""))&amp;IF('Start here'!$F$15="","",IF(LEN($AD37)&lt;'Start here'!$F$15,", short description",""))="","OK",MID(IF($AF37="",", no value",IF($AF37&lt;=0,", no value",""))&amp;IF('Start here'!$F$15="","",IF(LEN($AD37)&lt;'Start here'!$F$15,", short description","")),3,200)))</f>
        <v/>
      </c>
      <c r="AK37" s="37">
        <f>IF($AR37=1,IFERROR(TRIM(INDEX($A37:$Z37,MATCH(Lists!$B$5,$A$1:$Z$1,0))&amp;""),""),"")</f>
        <v/>
      </c>
      <c r="AL37" s="37">
        <f>IF($AR37=1,IFERROR(TRIM(INDEX($A37:$Z37,MATCH(Lists!$B$4,$A$1:$Z$1,0))&amp;""),""),"")</f>
        <v/>
      </c>
      <c r="AM37" s="37">
        <f>IF($AR37=1,IFERROR(TRIM(INDEX($A37:$Z37,MATCH(Lists!$B$6,$A$1:$Z$1,0))&amp;""),""),"")</f>
        <v/>
      </c>
      <c r="AN37" s="37">
        <f>IF($AR37=1,IFERROR(TRIM(INDEX($A37:$Z37,MATCH(Lists!$B$7,$A$1:$Z$1,0))&amp;""),""),"")</f>
        <v/>
      </c>
      <c r="AO37" s="37">
        <f>IF($AR37=1,IFERROR(TRIM(INDEX($A37:$Z37,MATCH(Lists!$B$13,$A$1:$Z$1,0))&amp;""),""),"")</f>
        <v/>
      </c>
      <c r="AP37" s="37">
        <f>IF($AR37=1,IFERROR(TRIM(INDEX($A37:$Z37,MATCH(Lists!$B$3,$A$1:$Z$1,0))&amp;""),""),"")</f>
        <v/>
      </c>
      <c r="AQ37" s="37">
        <f>IF($AR37=1,IFERROR(TRIM(INDEX($A37:$Z37,MATCH(Lists!$B$8,$A$1:$Z$1,0))&amp;""),""),"")</f>
        <v/>
      </c>
      <c r="AR37" s="36">
        <f>IF(LEN($AC37)&gt;0,1,0)</f>
        <v/>
      </c>
      <c r="AS37" s="37">
        <f>IF($AR37=1,IF(IFERROR(IF(ISNUMBER(INDEX($A37:$Z37,MATCH(Lists!$B$2,$A$1:$Z$1,0))),INDEX($A37:$Z37,MATCH(Lists!$B$2,$A$1:$Z$1,0)),DATE(VALUE(LEFT(IFERROR(TRIM(INDEX($A37:$Z37,MATCH(Lists!$B$2,$A$1:$Z$1,0))&amp;""),""),4)),VALUE(MID(IFERROR(TRIM(INDEX($A37:$Z37,MATCH(Lists!$B$2,$A$1:$Z$1,0))&amp;""),""),6,2)),VALUE(MID(IFERROR(TRIM(INDEX($A37:$Z37,MATCH(Lists!$B$2,$A$1:$Z$1,0))&amp;""),""),9,2)))+TIME(VALUE(MID(IFERROR(TRIM(INDEX($A37:$Z37,MATCH(Lists!$B$2,$A$1:$Z$1,0))&amp;""),""),12,2)),VALUE(MID(IFERROR(TRIM(INDEX($A37:$Z37,MATCH(Lists!$B$2,$A$1:$Z$1,0))&amp;""),""),15,2)),VALUE(MID(IFERROR(TRIM(INDEX($A37:$Z37,MATCH(Lists!$B$2,$A$1:$Z$1,0))&amp;""),""),18,2)))),"")="",100000+ROW()/10^7,IFERROR(IF(ISNUMBER(INDEX($A37:$Z37,MATCH(Lists!$B$2,$A$1:$Z$1,0))),INDEX($A37:$Z37,MATCH(Lists!$B$2,$A$1:$Z$1,0)),DATE(VALUE(LEFT(IFERROR(TRIM(INDEX($A37:$Z37,MATCH(Lists!$B$2,$A$1:$Z$1,0))&amp;""),""),4)),VALUE(MID(IFERROR(TRIM(INDEX($A37:$Z37,MATCH(Lists!$B$2,$A$1:$Z$1,0))&amp;""),""),6,2)),VALUE(MID(IFERROR(TRIM(INDEX($A37:$Z37,MATCH(Lists!$B$2,$A$1:$Z$1,0))&amp;""),""),9,2)))+TIME(VALUE(MID(IFERROR(TRIM(INDEX($A37:$Z37,MATCH(Lists!$B$2,$A$1:$Z$1,0))&amp;""),""),12,2)),VALUE(MID(IFERROR(TRIM(INDEX($A37:$Z37,MATCH(Lists!$B$2,$A$1:$Z$1,0))&amp;""),""),15,2)),VALUE(MID(IFERROR(TRIM(INDEX($A37:$Z37,MATCH(Lists!$B$2,$A$1:$Z$1,0))&amp;""),""),18,2)))),"")-ROW()/10^7),"")</f>
        <v/>
      </c>
    </row>
    <row r="38">
      <c r="AB38" s="36">
        <f>IF($AR38=1,COUNTIF($AS$2:$AS$201,"&lt;"&amp;$AS38)+1,"")</f>
        <v/>
      </c>
      <c r="AC38" s="37">
        <f>IFERROR(TRIM(INDEX($A38:$Z38,MATCH(Lists!$B$9,$A$1:$Z$1,0))&amp;""),"")</f>
        <v/>
      </c>
      <c r="AD38" s="37">
        <f>IF($AR38=1,IFERROR(TRIM(INDEX($A38:$Z38,MATCH(Lists!$B$10,$A$1:$Z$1,0))&amp;""),""),"")</f>
        <v/>
      </c>
      <c r="AE38" s="37">
        <f>IF($AR38=1,IFERROR(TRIM(INDEX($A38:$Z38,MATCH(Lists!$B$12,$A$1:$Z$1,0))&amp;""),""),"")</f>
        <v/>
      </c>
      <c r="AF38" s="38">
        <f>IF($AR38=1,IFERROR(IF(TRIM(INDEX($A38:$Z38,MATCH(Lists!$B$11,$A$1:$Z$1,0))&amp;"")="","",VALUE(TRIM(INDEX($A38:$Z38,MATCH(Lists!$B$11,$A$1:$Z$1,0))&amp;""))),""),"")</f>
        <v/>
      </c>
      <c r="AG38" s="38">
        <f>IF(OR($AR38=0,$AF38="",'Start here'!$F$10="",'Start here'!$F$11="",'Start here'!$F$12="",'Start here'!$F$13="",'Start here'!$F$14=""),"",IF($AF38&lt;'Start here'!$F$10,'Start here'!$F$11,IF($AF38&lt;'Start here'!$F$12,'Start here'!$F$13,'Start here'!$F$14)))</f>
        <v/>
      </c>
      <c r="AH38" s="38">
        <f>IF(OR($AG38="",'Start here'!$F$9=""),"",IF($AF38&lt;=0,"",IFERROR(MAX($AG38,ROUNDUP(ROUND($AF38*'Start here'!$F$9/$AG38,6),0)*$AG38),"")))</f>
        <v/>
      </c>
      <c r="AI38" s="37">
        <f>IF($AR38=0,"",IF($AN38=Lists!$B$19,"",IF(AND($AN38=Lists!$B$18,$AQ38&lt;&gt;""),$AQ38,IF(AND($AP38=Lists!$B$17,$AL38&lt;&gt;""),$AL38,$AK38))))</f>
        <v/>
      </c>
      <c r="AJ38" s="37">
        <f>IF($AR38=0,"",IF(IF($AF38="",", no value",IF($AF38&lt;=0,", no value",""))&amp;IF('Start here'!$F$15="","",IF(LEN($AD38)&lt;'Start here'!$F$15,", short description",""))="","OK",MID(IF($AF38="",", no value",IF($AF38&lt;=0,", no value",""))&amp;IF('Start here'!$F$15="","",IF(LEN($AD38)&lt;'Start here'!$F$15,", short description","")),3,200)))</f>
        <v/>
      </c>
      <c r="AK38" s="37">
        <f>IF($AR38=1,IFERROR(TRIM(INDEX($A38:$Z38,MATCH(Lists!$B$5,$A$1:$Z$1,0))&amp;""),""),"")</f>
        <v/>
      </c>
      <c r="AL38" s="37">
        <f>IF($AR38=1,IFERROR(TRIM(INDEX($A38:$Z38,MATCH(Lists!$B$4,$A$1:$Z$1,0))&amp;""),""),"")</f>
        <v/>
      </c>
      <c r="AM38" s="37">
        <f>IF($AR38=1,IFERROR(TRIM(INDEX($A38:$Z38,MATCH(Lists!$B$6,$A$1:$Z$1,0))&amp;""),""),"")</f>
        <v/>
      </c>
      <c r="AN38" s="37">
        <f>IF($AR38=1,IFERROR(TRIM(INDEX($A38:$Z38,MATCH(Lists!$B$7,$A$1:$Z$1,0))&amp;""),""),"")</f>
        <v/>
      </c>
      <c r="AO38" s="37">
        <f>IF($AR38=1,IFERROR(TRIM(INDEX($A38:$Z38,MATCH(Lists!$B$13,$A$1:$Z$1,0))&amp;""),""),"")</f>
        <v/>
      </c>
      <c r="AP38" s="37">
        <f>IF($AR38=1,IFERROR(TRIM(INDEX($A38:$Z38,MATCH(Lists!$B$3,$A$1:$Z$1,0))&amp;""),""),"")</f>
        <v/>
      </c>
      <c r="AQ38" s="37">
        <f>IF($AR38=1,IFERROR(TRIM(INDEX($A38:$Z38,MATCH(Lists!$B$8,$A$1:$Z$1,0))&amp;""),""),"")</f>
        <v/>
      </c>
      <c r="AR38" s="36">
        <f>IF(LEN($AC38)&gt;0,1,0)</f>
        <v/>
      </c>
      <c r="AS38" s="37">
        <f>IF($AR38=1,IF(IFERROR(IF(ISNUMBER(INDEX($A38:$Z38,MATCH(Lists!$B$2,$A$1:$Z$1,0))),INDEX($A38:$Z38,MATCH(Lists!$B$2,$A$1:$Z$1,0)),DATE(VALUE(LEFT(IFERROR(TRIM(INDEX($A38:$Z38,MATCH(Lists!$B$2,$A$1:$Z$1,0))&amp;""),""),4)),VALUE(MID(IFERROR(TRIM(INDEX($A38:$Z38,MATCH(Lists!$B$2,$A$1:$Z$1,0))&amp;""),""),6,2)),VALUE(MID(IFERROR(TRIM(INDEX($A38:$Z38,MATCH(Lists!$B$2,$A$1:$Z$1,0))&amp;""),""),9,2)))+TIME(VALUE(MID(IFERROR(TRIM(INDEX($A38:$Z38,MATCH(Lists!$B$2,$A$1:$Z$1,0))&amp;""),""),12,2)),VALUE(MID(IFERROR(TRIM(INDEX($A38:$Z38,MATCH(Lists!$B$2,$A$1:$Z$1,0))&amp;""),""),15,2)),VALUE(MID(IFERROR(TRIM(INDEX($A38:$Z38,MATCH(Lists!$B$2,$A$1:$Z$1,0))&amp;""),""),18,2)))),"")="",100000+ROW()/10^7,IFERROR(IF(ISNUMBER(INDEX($A38:$Z38,MATCH(Lists!$B$2,$A$1:$Z$1,0))),INDEX($A38:$Z38,MATCH(Lists!$B$2,$A$1:$Z$1,0)),DATE(VALUE(LEFT(IFERROR(TRIM(INDEX($A38:$Z38,MATCH(Lists!$B$2,$A$1:$Z$1,0))&amp;""),""),4)),VALUE(MID(IFERROR(TRIM(INDEX($A38:$Z38,MATCH(Lists!$B$2,$A$1:$Z$1,0))&amp;""),""),6,2)),VALUE(MID(IFERROR(TRIM(INDEX($A38:$Z38,MATCH(Lists!$B$2,$A$1:$Z$1,0))&amp;""),""),9,2)))+TIME(VALUE(MID(IFERROR(TRIM(INDEX($A38:$Z38,MATCH(Lists!$B$2,$A$1:$Z$1,0))&amp;""),""),12,2)),VALUE(MID(IFERROR(TRIM(INDEX($A38:$Z38,MATCH(Lists!$B$2,$A$1:$Z$1,0))&amp;""),""),15,2)),VALUE(MID(IFERROR(TRIM(INDEX($A38:$Z38,MATCH(Lists!$B$2,$A$1:$Z$1,0))&amp;""),""),18,2)))),"")-ROW()/10^7),"")</f>
        <v/>
      </c>
    </row>
    <row r="39">
      <c r="AB39" s="36">
        <f>IF($AR39=1,COUNTIF($AS$2:$AS$201,"&lt;"&amp;$AS39)+1,"")</f>
        <v/>
      </c>
      <c r="AC39" s="37">
        <f>IFERROR(TRIM(INDEX($A39:$Z39,MATCH(Lists!$B$9,$A$1:$Z$1,0))&amp;""),"")</f>
        <v/>
      </c>
      <c r="AD39" s="37">
        <f>IF($AR39=1,IFERROR(TRIM(INDEX($A39:$Z39,MATCH(Lists!$B$10,$A$1:$Z$1,0))&amp;""),""),"")</f>
        <v/>
      </c>
      <c r="AE39" s="37">
        <f>IF($AR39=1,IFERROR(TRIM(INDEX($A39:$Z39,MATCH(Lists!$B$12,$A$1:$Z$1,0))&amp;""),""),"")</f>
        <v/>
      </c>
      <c r="AF39" s="38">
        <f>IF($AR39=1,IFERROR(IF(TRIM(INDEX($A39:$Z39,MATCH(Lists!$B$11,$A$1:$Z$1,0))&amp;"")="","",VALUE(TRIM(INDEX($A39:$Z39,MATCH(Lists!$B$11,$A$1:$Z$1,0))&amp;""))),""),"")</f>
        <v/>
      </c>
      <c r="AG39" s="38">
        <f>IF(OR($AR39=0,$AF39="",'Start here'!$F$10="",'Start here'!$F$11="",'Start here'!$F$12="",'Start here'!$F$13="",'Start here'!$F$14=""),"",IF($AF39&lt;'Start here'!$F$10,'Start here'!$F$11,IF($AF39&lt;'Start here'!$F$12,'Start here'!$F$13,'Start here'!$F$14)))</f>
        <v/>
      </c>
      <c r="AH39" s="38">
        <f>IF(OR($AG39="",'Start here'!$F$9=""),"",IF($AF39&lt;=0,"",IFERROR(MAX($AG39,ROUNDUP(ROUND($AF39*'Start here'!$F$9/$AG39,6),0)*$AG39),"")))</f>
        <v/>
      </c>
      <c r="AI39" s="37">
        <f>IF($AR39=0,"",IF($AN39=Lists!$B$19,"",IF(AND($AN39=Lists!$B$18,$AQ39&lt;&gt;""),$AQ39,IF(AND($AP39=Lists!$B$17,$AL39&lt;&gt;""),$AL39,$AK39))))</f>
        <v/>
      </c>
      <c r="AJ39" s="37">
        <f>IF($AR39=0,"",IF(IF($AF39="",", no value",IF($AF39&lt;=0,", no value",""))&amp;IF('Start here'!$F$15="","",IF(LEN($AD39)&lt;'Start here'!$F$15,", short description",""))="","OK",MID(IF($AF39="",", no value",IF($AF39&lt;=0,", no value",""))&amp;IF('Start here'!$F$15="","",IF(LEN($AD39)&lt;'Start here'!$F$15,", short description","")),3,200)))</f>
        <v/>
      </c>
      <c r="AK39" s="37">
        <f>IF($AR39=1,IFERROR(TRIM(INDEX($A39:$Z39,MATCH(Lists!$B$5,$A$1:$Z$1,0))&amp;""),""),"")</f>
        <v/>
      </c>
      <c r="AL39" s="37">
        <f>IF($AR39=1,IFERROR(TRIM(INDEX($A39:$Z39,MATCH(Lists!$B$4,$A$1:$Z$1,0))&amp;""),""),"")</f>
        <v/>
      </c>
      <c r="AM39" s="37">
        <f>IF($AR39=1,IFERROR(TRIM(INDEX($A39:$Z39,MATCH(Lists!$B$6,$A$1:$Z$1,0))&amp;""),""),"")</f>
        <v/>
      </c>
      <c r="AN39" s="37">
        <f>IF($AR39=1,IFERROR(TRIM(INDEX($A39:$Z39,MATCH(Lists!$B$7,$A$1:$Z$1,0))&amp;""),""),"")</f>
        <v/>
      </c>
      <c r="AO39" s="37">
        <f>IF($AR39=1,IFERROR(TRIM(INDEX($A39:$Z39,MATCH(Lists!$B$13,$A$1:$Z$1,0))&amp;""),""),"")</f>
        <v/>
      </c>
      <c r="AP39" s="37">
        <f>IF($AR39=1,IFERROR(TRIM(INDEX($A39:$Z39,MATCH(Lists!$B$3,$A$1:$Z$1,0))&amp;""),""),"")</f>
        <v/>
      </c>
      <c r="AQ39" s="37">
        <f>IF($AR39=1,IFERROR(TRIM(INDEX($A39:$Z39,MATCH(Lists!$B$8,$A$1:$Z$1,0))&amp;""),""),"")</f>
        <v/>
      </c>
      <c r="AR39" s="36">
        <f>IF(LEN($AC39)&gt;0,1,0)</f>
        <v/>
      </c>
      <c r="AS39" s="37">
        <f>IF($AR39=1,IF(IFERROR(IF(ISNUMBER(INDEX($A39:$Z39,MATCH(Lists!$B$2,$A$1:$Z$1,0))),INDEX($A39:$Z39,MATCH(Lists!$B$2,$A$1:$Z$1,0)),DATE(VALUE(LEFT(IFERROR(TRIM(INDEX($A39:$Z39,MATCH(Lists!$B$2,$A$1:$Z$1,0))&amp;""),""),4)),VALUE(MID(IFERROR(TRIM(INDEX($A39:$Z39,MATCH(Lists!$B$2,$A$1:$Z$1,0))&amp;""),""),6,2)),VALUE(MID(IFERROR(TRIM(INDEX($A39:$Z39,MATCH(Lists!$B$2,$A$1:$Z$1,0))&amp;""),""),9,2)))+TIME(VALUE(MID(IFERROR(TRIM(INDEX($A39:$Z39,MATCH(Lists!$B$2,$A$1:$Z$1,0))&amp;""),""),12,2)),VALUE(MID(IFERROR(TRIM(INDEX($A39:$Z39,MATCH(Lists!$B$2,$A$1:$Z$1,0))&amp;""),""),15,2)),VALUE(MID(IFERROR(TRIM(INDEX($A39:$Z39,MATCH(Lists!$B$2,$A$1:$Z$1,0))&amp;""),""),18,2)))),"")="",100000+ROW()/10^7,IFERROR(IF(ISNUMBER(INDEX($A39:$Z39,MATCH(Lists!$B$2,$A$1:$Z$1,0))),INDEX($A39:$Z39,MATCH(Lists!$B$2,$A$1:$Z$1,0)),DATE(VALUE(LEFT(IFERROR(TRIM(INDEX($A39:$Z39,MATCH(Lists!$B$2,$A$1:$Z$1,0))&amp;""),""),4)),VALUE(MID(IFERROR(TRIM(INDEX($A39:$Z39,MATCH(Lists!$B$2,$A$1:$Z$1,0))&amp;""),""),6,2)),VALUE(MID(IFERROR(TRIM(INDEX($A39:$Z39,MATCH(Lists!$B$2,$A$1:$Z$1,0))&amp;""),""),9,2)))+TIME(VALUE(MID(IFERROR(TRIM(INDEX($A39:$Z39,MATCH(Lists!$B$2,$A$1:$Z$1,0))&amp;""),""),12,2)),VALUE(MID(IFERROR(TRIM(INDEX($A39:$Z39,MATCH(Lists!$B$2,$A$1:$Z$1,0))&amp;""),""),15,2)),VALUE(MID(IFERROR(TRIM(INDEX($A39:$Z39,MATCH(Lists!$B$2,$A$1:$Z$1,0))&amp;""),""),18,2)))),"")-ROW()/10^7),"")</f>
        <v/>
      </c>
    </row>
    <row r="40">
      <c r="AB40" s="36">
        <f>IF($AR40=1,COUNTIF($AS$2:$AS$201,"&lt;"&amp;$AS40)+1,"")</f>
        <v/>
      </c>
      <c r="AC40" s="37">
        <f>IFERROR(TRIM(INDEX($A40:$Z40,MATCH(Lists!$B$9,$A$1:$Z$1,0))&amp;""),"")</f>
        <v/>
      </c>
      <c r="AD40" s="37">
        <f>IF($AR40=1,IFERROR(TRIM(INDEX($A40:$Z40,MATCH(Lists!$B$10,$A$1:$Z$1,0))&amp;""),""),"")</f>
        <v/>
      </c>
      <c r="AE40" s="37">
        <f>IF($AR40=1,IFERROR(TRIM(INDEX($A40:$Z40,MATCH(Lists!$B$12,$A$1:$Z$1,0))&amp;""),""),"")</f>
        <v/>
      </c>
      <c r="AF40" s="38">
        <f>IF($AR40=1,IFERROR(IF(TRIM(INDEX($A40:$Z40,MATCH(Lists!$B$11,$A$1:$Z$1,0))&amp;"")="","",VALUE(TRIM(INDEX($A40:$Z40,MATCH(Lists!$B$11,$A$1:$Z$1,0))&amp;""))),""),"")</f>
        <v/>
      </c>
      <c r="AG40" s="38">
        <f>IF(OR($AR40=0,$AF40="",'Start here'!$F$10="",'Start here'!$F$11="",'Start here'!$F$12="",'Start here'!$F$13="",'Start here'!$F$14=""),"",IF($AF40&lt;'Start here'!$F$10,'Start here'!$F$11,IF($AF40&lt;'Start here'!$F$12,'Start here'!$F$13,'Start here'!$F$14)))</f>
        <v/>
      </c>
      <c r="AH40" s="38">
        <f>IF(OR($AG40="",'Start here'!$F$9=""),"",IF($AF40&lt;=0,"",IFERROR(MAX($AG40,ROUNDUP(ROUND($AF40*'Start here'!$F$9/$AG40,6),0)*$AG40),"")))</f>
        <v/>
      </c>
      <c r="AI40" s="37">
        <f>IF($AR40=0,"",IF($AN40=Lists!$B$19,"",IF(AND($AN40=Lists!$B$18,$AQ40&lt;&gt;""),$AQ40,IF(AND($AP40=Lists!$B$17,$AL40&lt;&gt;""),$AL40,$AK40))))</f>
        <v/>
      </c>
      <c r="AJ40" s="37">
        <f>IF($AR40=0,"",IF(IF($AF40="",", no value",IF($AF40&lt;=0,", no value",""))&amp;IF('Start here'!$F$15="","",IF(LEN($AD40)&lt;'Start here'!$F$15,", short description",""))="","OK",MID(IF($AF40="",", no value",IF($AF40&lt;=0,", no value",""))&amp;IF('Start here'!$F$15="","",IF(LEN($AD40)&lt;'Start here'!$F$15,", short description","")),3,200)))</f>
        <v/>
      </c>
      <c r="AK40" s="37">
        <f>IF($AR40=1,IFERROR(TRIM(INDEX($A40:$Z40,MATCH(Lists!$B$5,$A$1:$Z$1,0))&amp;""),""),"")</f>
        <v/>
      </c>
      <c r="AL40" s="37">
        <f>IF($AR40=1,IFERROR(TRIM(INDEX($A40:$Z40,MATCH(Lists!$B$4,$A$1:$Z$1,0))&amp;""),""),"")</f>
        <v/>
      </c>
      <c r="AM40" s="37">
        <f>IF($AR40=1,IFERROR(TRIM(INDEX($A40:$Z40,MATCH(Lists!$B$6,$A$1:$Z$1,0))&amp;""),""),"")</f>
        <v/>
      </c>
      <c r="AN40" s="37">
        <f>IF($AR40=1,IFERROR(TRIM(INDEX($A40:$Z40,MATCH(Lists!$B$7,$A$1:$Z$1,0))&amp;""),""),"")</f>
        <v/>
      </c>
      <c r="AO40" s="37">
        <f>IF($AR40=1,IFERROR(TRIM(INDEX($A40:$Z40,MATCH(Lists!$B$13,$A$1:$Z$1,0))&amp;""),""),"")</f>
        <v/>
      </c>
      <c r="AP40" s="37">
        <f>IF($AR40=1,IFERROR(TRIM(INDEX($A40:$Z40,MATCH(Lists!$B$3,$A$1:$Z$1,0))&amp;""),""),"")</f>
        <v/>
      </c>
      <c r="AQ40" s="37">
        <f>IF($AR40=1,IFERROR(TRIM(INDEX($A40:$Z40,MATCH(Lists!$B$8,$A$1:$Z$1,0))&amp;""),""),"")</f>
        <v/>
      </c>
      <c r="AR40" s="36">
        <f>IF(LEN($AC40)&gt;0,1,0)</f>
        <v/>
      </c>
      <c r="AS40" s="37">
        <f>IF($AR40=1,IF(IFERROR(IF(ISNUMBER(INDEX($A40:$Z40,MATCH(Lists!$B$2,$A$1:$Z$1,0))),INDEX($A40:$Z40,MATCH(Lists!$B$2,$A$1:$Z$1,0)),DATE(VALUE(LEFT(IFERROR(TRIM(INDEX($A40:$Z40,MATCH(Lists!$B$2,$A$1:$Z$1,0))&amp;""),""),4)),VALUE(MID(IFERROR(TRIM(INDEX($A40:$Z40,MATCH(Lists!$B$2,$A$1:$Z$1,0))&amp;""),""),6,2)),VALUE(MID(IFERROR(TRIM(INDEX($A40:$Z40,MATCH(Lists!$B$2,$A$1:$Z$1,0))&amp;""),""),9,2)))+TIME(VALUE(MID(IFERROR(TRIM(INDEX($A40:$Z40,MATCH(Lists!$B$2,$A$1:$Z$1,0))&amp;""),""),12,2)),VALUE(MID(IFERROR(TRIM(INDEX($A40:$Z40,MATCH(Lists!$B$2,$A$1:$Z$1,0))&amp;""),""),15,2)),VALUE(MID(IFERROR(TRIM(INDEX($A40:$Z40,MATCH(Lists!$B$2,$A$1:$Z$1,0))&amp;""),""),18,2)))),"")="",100000+ROW()/10^7,IFERROR(IF(ISNUMBER(INDEX($A40:$Z40,MATCH(Lists!$B$2,$A$1:$Z$1,0))),INDEX($A40:$Z40,MATCH(Lists!$B$2,$A$1:$Z$1,0)),DATE(VALUE(LEFT(IFERROR(TRIM(INDEX($A40:$Z40,MATCH(Lists!$B$2,$A$1:$Z$1,0))&amp;""),""),4)),VALUE(MID(IFERROR(TRIM(INDEX($A40:$Z40,MATCH(Lists!$B$2,$A$1:$Z$1,0))&amp;""),""),6,2)),VALUE(MID(IFERROR(TRIM(INDEX($A40:$Z40,MATCH(Lists!$B$2,$A$1:$Z$1,0))&amp;""),""),9,2)))+TIME(VALUE(MID(IFERROR(TRIM(INDEX($A40:$Z40,MATCH(Lists!$B$2,$A$1:$Z$1,0))&amp;""),""),12,2)),VALUE(MID(IFERROR(TRIM(INDEX($A40:$Z40,MATCH(Lists!$B$2,$A$1:$Z$1,0))&amp;""),""),15,2)),VALUE(MID(IFERROR(TRIM(INDEX($A40:$Z40,MATCH(Lists!$B$2,$A$1:$Z$1,0))&amp;""),""),18,2)))),"")-ROW()/10^7),"")</f>
        <v/>
      </c>
    </row>
    <row r="41">
      <c r="AB41" s="36">
        <f>IF($AR41=1,COUNTIF($AS$2:$AS$201,"&lt;"&amp;$AS41)+1,"")</f>
        <v/>
      </c>
      <c r="AC41" s="37">
        <f>IFERROR(TRIM(INDEX($A41:$Z41,MATCH(Lists!$B$9,$A$1:$Z$1,0))&amp;""),"")</f>
        <v/>
      </c>
      <c r="AD41" s="37">
        <f>IF($AR41=1,IFERROR(TRIM(INDEX($A41:$Z41,MATCH(Lists!$B$10,$A$1:$Z$1,0))&amp;""),""),"")</f>
        <v/>
      </c>
      <c r="AE41" s="37">
        <f>IF($AR41=1,IFERROR(TRIM(INDEX($A41:$Z41,MATCH(Lists!$B$12,$A$1:$Z$1,0))&amp;""),""),"")</f>
        <v/>
      </c>
      <c r="AF41" s="38">
        <f>IF($AR41=1,IFERROR(IF(TRIM(INDEX($A41:$Z41,MATCH(Lists!$B$11,$A$1:$Z$1,0))&amp;"")="","",VALUE(TRIM(INDEX($A41:$Z41,MATCH(Lists!$B$11,$A$1:$Z$1,0))&amp;""))),""),"")</f>
        <v/>
      </c>
      <c r="AG41" s="38">
        <f>IF(OR($AR41=0,$AF41="",'Start here'!$F$10="",'Start here'!$F$11="",'Start here'!$F$12="",'Start here'!$F$13="",'Start here'!$F$14=""),"",IF($AF41&lt;'Start here'!$F$10,'Start here'!$F$11,IF($AF41&lt;'Start here'!$F$12,'Start here'!$F$13,'Start here'!$F$14)))</f>
        <v/>
      </c>
      <c r="AH41" s="38">
        <f>IF(OR($AG41="",'Start here'!$F$9=""),"",IF($AF41&lt;=0,"",IFERROR(MAX($AG41,ROUNDUP(ROUND($AF41*'Start here'!$F$9/$AG41,6),0)*$AG41),"")))</f>
        <v/>
      </c>
      <c r="AI41" s="37">
        <f>IF($AR41=0,"",IF($AN41=Lists!$B$19,"",IF(AND($AN41=Lists!$B$18,$AQ41&lt;&gt;""),$AQ41,IF(AND($AP41=Lists!$B$17,$AL41&lt;&gt;""),$AL41,$AK41))))</f>
        <v/>
      </c>
      <c r="AJ41" s="37">
        <f>IF($AR41=0,"",IF(IF($AF41="",", no value",IF($AF41&lt;=0,", no value",""))&amp;IF('Start here'!$F$15="","",IF(LEN($AD41)&lt;'Start here'!$F$15,", short description",""))="","OK",MID(IF($AF41="",", no value",IF($AF41&lt;=0,", no value",""))&amp;IF('Start here'!$F$15="","",IF(LEN($AD41)&lt;'Start here'!$F$15,", short description","")),3,200)))</f>
        <v/>
      </c>
      <c r="AK41" s="37">
        <f>IF($AR41=1,IFERROR(TRIM(INDEX($A41:$Z41,MATCH(Lists!$B$5,$A$1:$Z$1,0))&amp;""),""),"")</f>
        <v/>
      </c>
      <c r="AL41" s="37">
        <f>IF($AR41=1,IFERROR(TRIM(INDEX($A41:$Z41,MATCH(Lists!$B$4,$A$1:$Z$1,0))&amp;""),""),"")</f>
        <v/>
      </c>
      <c r="AM41" s="37">
        <f>IF($AR41=1,IFERROR(TRIM(INDEX($A41:$Z41,MATCH(Lists!$B$6,$A$1:$Z$1,0))&amp;""),""),"")</f>
        <v/>
      </c>
      <c r="AN41" s="37">
        <f>IF($AR41=1,IFERROR(TRIM(INDEX($A41:$Z41,MATCH(Lists!$B$7,$A$1:$Z$1,0))&amp;""),""),"")</f>
        <v/>
      </c>
      <c r="AO41" s="37">
        <f>IF($AR41=1,IFERROR(TRIM(INDEX($A41:$Z41,MATCH(Lists!$B$13,$A$1:$Z$1,0))&amp;""),""),"")</f>
        <v/>
      </c>
      <c r="AP41" s="37">
        <f>IF($AR41=1,IFERROR(TRIM(INDEX($A41:$Z41,MATCH(Lists!$B$3,$A$1:$Z$1,0))&amp;""),""),"")</f>
        <v/>
      </c>
      <c r="AQ41" s="37">
        <f>IF($AR41=1,IFERROR(TRIM(INDEX($A41:$Z41,MATCH(Lists!$B$8,$A$1:$Z$1,0))&amp;""),""),"")</f>
        <v/>
      </c>
      <c r="AR41" s="36">
        <f>IF(LEN($AC41)&gt;0,1,0)</f>
        <v/>
      </c>
      <c r="AS41" s="37">
        <f>IF($AR41=1,IF(IFERROR(IF(ISNUMBER(INDEX($A41:$Z41,MATCH(Lists!$B$2,$A$1:$Z$1,0))),INDEX($A41:$Z41,MATCH(Lists!$B$2,$A$1:$Z$1,0)),DATE(VALUE(LEFT(IFERROR(TRIM(INDEX($A41:$Z41,MATCH(Lists!$B$2,$A$1:$Z$1,0))&amp;""),""),4)),VALUE(MID(IFERROR(TRIM(INDEX($A41:$Z41,MATCH(Lists!$B$2,$A$1:$Z$1,0))&amp;""),""),6,2)),VALUE(MID(IFERROR(TRIM(INDEX($A41:$Z41,MATCH(Lists!$B$2,$A$1:$Z$1,0))&amp;""),""),9,2)))+TIME(VALUE(MID(IFERROR(TRIM(INDEX($A41:$Z41,MATCH(Lists!$B$2,$A$1:$Z$1,0))&amp;""),""),12,2)),VALUE(MID(IFERROR(TRIM(INDEX($A41:$Z41,MATCH(Lists!$B$2,$A$1:$Z$1,0))&amp;""),""),15,2)),VALUE(MID(IFERROR(TRIM(INDEX($A41:$Z41,MATCH(Lists!$B$2,$A$1:$Z$1,0))&amp;""),""),18,2)))),"")="",100000+ROW()/10^7,IFERROR(IF(ISNUMBER(INDEX($A41:$Z41,MATCH(Lists!$B$2,$A$1:$Z$1,0))),INDEX($A41:$Z41,MATCH(Lists!$B$2,$A$1:$Z$1,0)),DATE(VALUE(LEFT(IFERROR(TRIM(INDEX($A41:$Z41,MATCH(Lists!$B$2,$A$1:$Z$1,0))&amp;""),""),4)),VALUE(MID(IFERROR(TRIM(INDEX($A41:$Z41,MATCH(Lists!$B$2,$A$1:$Z$1,0))&amp;""),""),6,2)),VALUE(MID(IFERROR(TRIM(INDEX($A41:$Z41,MATCH(Lists!$B$2,$A$1:$Z$1,0))&amp;""),""),9,2)))+TIME(VALUE(MID(IFERROR(TRIM(INDEX($A41:$Z41,MATCH(Lists!$B$2,$A$1:$Z$1,0))&amp;""),""),12,2)),VALUE(MID(IFERROR(TRIM(INDEX($A41:$Z41,MATCH(Lists!$B$2,$A$1:$Z$1,0))&amp;""),""),15,2)),VALUE(MID(IFERROR(TRIM(INDEX($A41:$Z41,MATCH(Lists!$B$2,$A$1:$Z$1,0))&amp;""),""),18,2)))),"")-ROW()/10^7),"")</f>
        <v/>
      </c>
    </row>
    <row r="42">
      <c r="AB42" s="36">
        <f>IF($AR42=1,COUNTIF($AS$2:$AS$201,"&lt;"&amp;$AS42)+1,"")</f>
        <v/>
      </c>
      <c r="AC42" s="37">
        <f>IFERROR(TRIM(INDEX($A42:$Z42,MATCH(Lists!$B$9,$A$1:$Z$1,0))&amp;""),"")</f>
        <v/>
      </c>
      <c r="AD42" s="37">
        <f>IF($AR42=1,IFERROR(TRIM(INDEX($A42:$Z42,MATCH(Lists!$B$10,$A$1:$Z$1,0))&amp;""),""),"")</f>
        <v/>
      </c>
      <c r="AE42" s="37">
        <f>IF($AR42=1,IFERROR(TRIM(INDEX($A42:$Z42,MATCH(Lists!$B$12,$A$1:$Z$1,0))&amp;""),""),"")</f>
        <v/>
      </c>
      <c r="AF42" s="38">
        <f>IF($AR42=1,IFERROR(IF(TRIM(INDEX($A42:$Z42,MATCH(Lists!$B$11,$A$1:$Z$1,0))&amp;"")="","",VALUE(TRIM(INDEX($A42:$Z42,MATCH(Lists!$B$11,$A$1:$Z$1,0))&amp;""))),""),"")</f>
        <v/>
      </c>
      <c r="AG42" s="38">
        <f>IF(OR($AR42=0,$AF42="",'Start here'!$F$10="",'Start here'!$F$11="",'Start here'!$F$12="",'Start here'!$F$13="",'Start here'!$F$14=""),"",IF($AF42&lt;'Start here'!$F$10,'Start here'!$F$11,IF($AF42&lt;'Start here'!$F$12,'Start here'!$F$13,'Start here'!$F$14)))</f>
        <v/>
      </c>
      <c r="AH42" s="38">
        <f>IF(OR($AG42="",'Start here'!$F$9=""),"",IF($AF42&lt;=0,"",IFERROR(MAX($AG42,ROUNDUP(ROUND($AF42*'Start here'!$F$9/$AG42,6),0)*$AG42),"")))</f>
        <v/>
      </c>
      <c r="AI42" s="37">
        <f>IF($AR42=0,"",IF($AN42=Lists!$B$19,"",IF(AND($AN42=Lists!$B$18,$AQ42&lt;&gt;""),$AQ42,IF(AND($AP42=Lists!$B$17,$AL42&lt;&gt;""),$AL42,$AK42))))</f>
        <v/>
      </c>
      <c r="AJ42" s="37">
        <f>IF($AR42=0,"",IF(IF($AF42="",", no value",IF($AF42&lt;=0,", no value",""))&amp;IF('Start here'!$F$15="","",IF(LEN($AD42)&lt;'Start here'!$F$15,", short description",""))="","OK",MID(IF($AF42="",", no value",IF($AF42&lt;=0,", no value",""))&amp;IF('Start here'!$F$15="","",IF(LEN($AD42)&lt;'Start here'!$F$15,", short description","")),3,200)))</f>
        <v/>
      </c>
      <c r="AK42" s="37">
        <f>IF($AR42=1,IFERROR(TRIM(INDEX($A42:$Z42,MATCH(Lists!$B$5,$A$1:$Z$1,0))&amp;""),""),"")</f>
        <v/>
      </c>
      <c r="AL42" s="37">
        <f>IF($AR42=1,IFERROR(TRIM(INDEX($A42:$Z42,MATCH(Lists!$B$4,$A$1:$Z$1,0))&amp;""),""),"")</f>
        <v/>
      </c>
      <c r="AM42" s="37">
        <f>IF($AR42=1,IFERROR(TRIM(INDEX($A42:$Z42,MATCH(Lists!$B$6,$A$1:$Z$1,0))&amp;""),""),"")</f>
        <v/>
      </c>
      <c r="AN42" s="37">
        <f>IF($AR42=1,IFERROR(TRIM(INDEX($A42:$Z42,MATCH(Lists!$B$7,$A$1:$Z$1,0))&amp;""),""),"")</f>
        <v/>
      </c>
      <c r="AO42" s="37">
        <f>IF($AR42=1,IFERROR(TRIM(INDEX($A42:$Z42,MATCH(Lists!$B$13,$A$1:$Z$1,0))&amp;""),""),"")</f>
        <v/>
      </c>
      <c r="AP42" s="37">
        <f>IF($AR42=1,IFERROR(TRIM(INDEX($A42:$Z42,MATCH(Lists!$B$3,$A$1:$Z$1,0))&amp;""),""),"")</f>
        <v/>
      </c>
      <c r="AQ42" s="37">
        <f>IF($AR42=1,IFERROR(TRIM(INDEX($A42:$Z42,MATCH(Lists!$B$8,$A$1:$Z$1,0))&amp;""),""),"")</f>
        <v/>
      </c>
      <c r="AR42" s="36">
        <f>IF(LEN($AC42)&gt;0,1,0)</f>
        <v/>
      </c>
      <c r="AS42" s="37">
        <f>IF($AR42=1,IF(IFERROR(IF(ISNUMBER(INDEX($A42:$Z42,MATCH(Lists!$B$2,$A$1:$Z$1,0))),INDEX($A42:$Z42,MATCH(Lists!$B$2,$A$1:$Z$1,0)),DATE(VALUE(LEFT(IFERROR(TRIM(INDEX($A42:$Z42,MATCH(Lists!$B$2,$A$1:$Z$1,0))&amp;""),""),4)),VALUE(MID(IFERROR(TRIM(INDEX($A42:$Z42,MATCH(Lists!$B$2,$A$1:$Z$1,0))&amp;""),""),6,2)),VALUE(MID(IFERROR(TRIM(INDEX($A42:$Z42,MATCH(Lists!$B$2,$A$1:$Z$1,0))&amp;""),""),9,2)))+TIME(VALUE(MID(IFERROR(TRIM(INDEX($A42:$Z42,MATCH(Lists!$B$2,$A$1:$Z$1,0))&amp;""),""),12,2)),VALUE(MID(IFERROR(TRIM(INDEX($A42:$Z42,MATCH(Lists!$B$2,$A$1:$Z$1,0))&amp;""),""),15,2)),VALUE(MID(IFERROR(TRIM(INDEX($A42:$Z42,MATCH(Lists!$B$2,$A$1:$Z$1,0))&amp;""),""),18,2)))),"")="",100000+ROW()/10^7,IFERROR(IF(ISNUMBER(INDEX($A42:$Z42,MATCH(Lists!$B$2,$A$1:$Z$1,0))),INDEX($A42:$Z42,MATCH(Lists!$B$2,$A$1:$Z$1,0)),DATE(VALUE(LEFT(IFERROR(TRIM(INDEX($A42:$Z42,MATCH(Lists!$B$2,$A$1:$Z$1,0))&amp;""),""),4)),VALUE(MID(IFERROR(TRIM(INDEX($A42:$Z42,MATCH(Lists!$B$2,$A$1:$Z$1,0))&amp;""),""),6,2)),VALUE(MID(IFERROR(TRIM(INDEX($A42:$Z42,MATCH(Lists!$B$2,$A$1:$Z$1,0))&amp;""),""),9,2)))+TIME(VALUE(MID(IFERROR(TRIM(INDEX($A42:$Z42,MATCH(Lists!$B$2,$A$1:$Z$1,0))&amp;""),""),12,2)),VALUE(MID(IFERROR(TRIM(INDEX($A42:$Z42,MATCH(Lists!$B$2,$A$1:$Z$1,0))&amp;""),""),15,2)),VALUE(MID(IFERROR(TRIM(INDEX($A42:$Z42,MATCH(Lists!$B$2,$A$1:$Z$1,0))&amp;""),""),18,2)))),"")-ROW()/10^7),"")</f>
        <v/>
      </c>
    </row>
    <row r="43">
      <c r="AB43" s="36">
        <f>IF($AR43=1,COUNTIF($AS$2:$AS$201,"&lt;"&amp;$AS43)+1,"")</f>
        <v/>
      </c>
      <c r="AC43" s="37">
        <f>IFERROR(TRIM(INDEX($A43:$Z43,MATCH(Lists!$B$9,$A$1:$Z$1,0))&amp;""),"")</f>
        <v/>
      </c>
      <c r="AD43" s="37">
        <f>IF($AR43=1,IFERROR(TRIM(INDEX($A43:$Z43,MATCH(Lists!$B$10,$A$1:$Z$1,0))&amp;""),""),"")</f>
        <v/>
      </c>
      <c r="AE43" s="37">
        <f>IF($AR43=1,IFERROR(TRIM(INDEX($A43:$Z43,MATCH(Lists!$B$12,$A$1:$Z$1,0))&amp;""),""),"")</f>
        <v/>
      </c>
      <c r="AF43" s="38">
        <f>IF($AR43=1,IFERROR(IF(TRIM(INDEX($A43:$Z43,MATCH(Lists!$B$11,$A$1:$Z$1,0))&amp;"")="","",VALUE(TRIM(INDEX($A43:$Z43,MATCH(Lists!$B$11,$A$1:$Z$1,0))&amp;""))),""),"")</f>
        <v/>
      </c>
      <c r="AG43" s="38">
        <f>IF(OR($AR43=0,$AF43="",'Start here'!$F$10="",'Start here'!$F$11="",'Start here'!$F$12="",'Start here'!$F$13="",'Start here'!$F$14=""),"",IF($AF43&lt;'Start here'!$F$10,'Start here'!$F$11,IF($AF43&lt;'Start here'!$F$12,'Start here'!$F$13,'Start here'!$F$14)))</f>
        <v/>
      </c>
      <c r="AH43" s="38">
        <f>IF(OR($AG43="",'Start here'!$F$9=""),"",IF($AF43&lt;=0,"",IFERROR(MAX($AG43,ROUNDUP(ROUND($AF43*'Start here'!$F$9/$AG43,6),0)*$AG43),"")))</f>
        <v/>
      </c>
      <c r="AI43" s="37">
        <f>IF($AR43=0,"",IF($AN43=Lists!$B$19,"",IF(AND($AN43=Lists!$B$18,$AQ43&lt;&gt;""),$AQ43,IF(AND($AP43=Lists!$B$17,$AL43&lt;&gt;""),$AL43,$AK43))))</f>
        <v/>
      </c>
      <c r="AJ43" s="37">
        <f>IF($AR43=0,"",IF(IF($AF43="",", no value",IF($AF43&lt;=0,", no value",""))&amp;IF('Start here'!$F$15="","",IF(LEN($AD43)&lt;'Start here'!$F$15,", short description",""))="","OK",MID(IF($AF43="",", no value",IF($AF43&lt;=0,", no value",""))&amp;IF('Start here'!$F$15="","",IF(LEN($AD43)&lt;'Start here'!$F$15,", short description","")),3,200)))</f>
        <v/>
      </c>
      <c r="AK43" s="37">
        <f>IF($AR43=1,IFERROR(TRIM(INDEX($A43:$Z43,MATCH(Lists!$B$5,$A$1:$Z$1,0))&amp;""),""),"")</f>
        <v/>
      </c>
      <c r="AL43" s="37">
        <f>IF($AR43=1,IFERROR(TRIM(INDEX($A43:$Z43,MATCH(Lists!$B$4,$A$1:$Z$1,0))&amp;""),""),"")</f>
        <v/>
      </c>
      <c r="AM43" s="37">
        <f>IF($AR43=1,IFERROR(TRIM(INDEX($A43:$Z43,MATCH(Lists!$B$6,$A$1:$Z$1,0))&amp;""),""),"")</f>
        <v/>
      </c>
      <c r="AN43" s="37">
        <f>IF($AR43=1,IFERROR(TRIM(INDEX($A43:$Z43,MATCH(Lists!$B$7,$A$1:$Z$1,0))&amp;""),""),"")</f>
        <v/>
      </c>
      <c r="AO43" s="37">
        <f>IF($AR43=1,IFERROR(TRIM(INDEX($A43:$Z43,MATCH(Lists!$B$13,$A$1:$Z$1,0))&amp;""),""),"")</f>
        <v/>
      </c>
      <c r="AP43" s="37">
        <f>IF($AR43=1,IFERROR(TRIM(INDEX($A43:$Z43,MATCH(Lists!$B$3,$A$1:$Z$1,0))&amp;""),""),"")</f>
        <v/>
      </c>
      <c r="AQ43" s="37">
        <f>IF($AR43=1,IFERROR(TRIM(INDEX($A43:$Z43,MATCH(Lists!$B$8,$A$1:$Z$1,0))&amp;""),""),"")</f>
        <v/>
      </c>
      <c r="AR43" s="36">
        <f>IF(LEN($AC43)&gt;0,1,0)</f>
        <v/>
      </c>
      <c r="AS43" s="37">
        <f>IF($AR43=1,IF(IFERROR(IF(ISNUMBER(INDEX($A43:$Z43,MATCH(Lists!$B$2,$A$1:$Z$1,0))),INDEX($A43:$Z43,MATCH(Lists!$B$2,$A$1:$Z$1,0)),DATE(VALUE(LEFT(IFERROR(TRIM(INDEX($A43:$Z43,MATCH(Lists!$B$2,$A$1:$Z$1,0))&amp;""),""),4)),VALUE(MID(IFERROR(TRIM(INDEX($A43:$Z43,MATCH(Lists!$B$2,$A$1:$Z$1,0))&amp;""),""),6,2)),VALUE(MID(IFERROR(TRIM(INDEX($A43:$Z43,MATCH(Lists!$B$2,$A$1:$Z$1,0))&amp;""),""),9,2)))+TIME(VALUE(MID(IFERROR(TRIM(INDEX($A43:$Z43,MATCH(Lists!$B$2,$A$1:$Z$1,0))&amp;""),""),12,2)),VALUE(MID(IFERROR(TRIM(INDEX($A43:$Z43,MATCH(Lists!$B$2,$A$1:$Z$1,0))&amp;""),""),15,2)),VALUE(MID(IFERROR(TRIM(INDEX($A43:$Z43,MATCH(Lists!$B$2,$A$1:$Z$1,0))&amp;""),""),18,2)))),"")="",100000+ROW()/10^7,IFERROR(IF(ISNUMBER(INDEX($A43:$Z43,MATCH(Lists!$B$2,$A$1:$Z$1,0))),INDEX($A43:$Z43,MATCH(Lists!$B$2,$A$1:$Z$1,0)),DATE(VALUE(LEFT(IFERROR(TRIM(INDEX($A43:$Z43,MATCH(Lists!$B$2,$A$1:$Z$1,0))&amp;""),""),4)),VALUE(MID(IFERROR(TRIM(INDEX($A43:$Z43,MATCH(Lists!$B$2,$A$1:$Z$1,0))&amp;""),""),6,2)),VALUE(MID(IFERROR(TRIM(INDEX($A43:$Z43,MATCH(Lists!$B$2,$A$1:$Z$1,0))&amp;""),""),9,2)))+TIME(VALUE(MID(IFERROR(TRIM(INDEX($A43:$Z43,MATCH(Lists!$B$2,$A$1:$Z$1,0))&amp;""),""),12,2)),VALUE(MID(IFERROR(TRIM(INDEX($A43:$Z43,MATCH(Lists!$B$2,$A$1:$Z$1,0))&amp;""),""),15,2)),VALUE(MID(IFERROR(TRIM(INDEX($A43:$Z43,MATCH(Lists!$B$2,$A$1:$Z$1,0))&amp;""),""),18,2)))),"")-ROW()/10^7),"")</f>
        <v/>
      </c>
    </row>
    <row r="44">
      <c r="AB44" s="36">
        <f>IF($AR44=1,COUNTIF($AS$2:$AS$201,"&lt;"&amp;$AS44)+1,"")</f>
        <v/>
      </c>
      <c r="AC44" s="37">
        <f>IFERROR(TRIM(INDEX($A44:$Z44,MATCH(Lists!$B$9,$A$1:$Z$1,0))&amp;""),"")</f>
        <v/>
      </c>
      <c r="AD44" s="37">
        <f>IF($AR44=1,IFERROR(TRIM(INDEX($A44:$Z44,MATCH(Lists!$B$10,$A$1:$Z$1,0))&amp;""),""),"")</f>
        <v/>
      </c>
      <c r="AE44" s="37">
        <f>IF($AR44=1,IFERROR(TRIM(INDEX($A44:$Z44,MATCH(Lists!$B$12,$A$1:$Z$1,0))&amp;""),""),"")</f>
        <v/>
      </c>
      <c r="AF44" s="38">
        <f>IF($AR44=1,IFERROR(IF(TRIM(INDEX($A44:$Z44,MATCH(Lists!$B$11,$A$1:$Z$1,0))&amp;"")="","",VALUE(TRIM(INDEX($A44:$Z44,MATCH(Lists!$B$11,$A$1:$Z$1,0))&amp;""))),""),"")</f>
        <v/>
      </c>
      <c r="AG44" s="38">
        <f>IF(OR($AR44=0,$AF44="",'Start here'!$F$10="",'Start here'!$F$11="",'Start here'!$F$12="",'Start here'!$F$13="",'Start here'!$F$14=""),"",IF($AF44&lt;'Start here'!$F$10,'Start here'!$F$11,IF($AF44&lt;'Start here'!$F$12,'Start here'!$F$13,'Start here'!$F$14)))</f>
        <v/>
      </c>
      <c r="AH44" s="38">
        <f>IF(OR($AG44="",'Start here'!$F$9=""),"",IF($AF44&lt;=0,"",IFERROR(MAX($AG44,ROUNDUP(ROUND($AF44*'Start here'!$F$9/$AG44,6),0)*$AG44),"")))</f>
        <v/>
      </c>
      <c r="AI44" s="37">
        <f>IF($AR44=0,"",IF($AN44=Lists!$B$19,"",IF(AND($AN44=Lists!$B$18,$AQ44&lt;&gt;""),$AQ44,IF(AND($AP44=Lists!$B$17,$AL44&lt;&gt;""),$AL44,$AK44))))</f>
        <v/>
      </c>
      <c r="AJ44" s="37">
        <f>IF($AR44=0,"",IF(IF($AF44="",", no value",IF($AF44&lt;=0,", no value",""))&amp;IF('Start here'!$F$15="","",IF(LEN($AD44)&lt;'Start here'!$F$15,", short description",""))="","OK",MID(IF($AF44="",", no value",IF($AF44&lt;=0,", no value",""))&amp;IF('Start here'!$F$15="","",IF(LEN($AD44)&lt;'Start here'!$F$15,", short description","")),3,200)))</f>
        <v/>
      </c>
      <c r="AK44" s="37">
        <f>IF($AR44=1,IFERROR(TRIM(INDEX($A44:$Z44,MATCH(Lists!$B$5,$A$1:$Z$1,0))&amp;""),""),"")</f>
        <v/>
      </c>
      <c r="AL44" s="37">
        <f>IF($AR44=1,IFERROR(TRIM(INDEX($A44:$Z44,MATCH(Lists!$B$4,$A$1:$Z$1,0))&amp;""),""),"")</f>
        <v/>
      </c>
      <c r="AM44" s="37">
        <f>IF($AR44=1,IFERROR(TRIM(INDEX($A44:$Z44,MATCH(Lists!$B$6,$A$1:$Z$1,0))&amp;""),""),"")</f>
        <v/>
      </c>
      <c r="AN44" s="37">
        <f>IF($AR44=1,IFERROR(TRIM(INDEX($A44:$Z44,MATCH(Lists!$B$7,$A$1:$Z$1,0))&amp;""),""),"")</f>
        <v/>
      </c>
      <c r="AO44" s="37">
        <f>IF($AR44=1,IFERROR(TRIM(INDEX($A44:$Z44,MATCH(Lists!$B$13,$A$1:$Z$1,0))&amp;""),""),"")</f>
        <v/>
      </c>
      <c r="AP44" s="37">
        <f>IF($AR44=1,IFERROR(TRIM(INDEX($A44:$Z44,MATCH(Lists!$B$3,$A$1:$Z$1,0))&amp;""),""),"")</f>
        <v/>
      </c>
      <c r="AQ44" s="37">
        <f>IF($AR44=1,IFERROR(TRIM(INDEX($A44:$Z44,MATCH(Lists!$B$8,$A$1:$Z$1,0))&amp;""),""),"")</f>
        <v/>
      </c>
      <c r="AR44" s="36">
        <f>IF(LEN($AC44)&gt;0,1,0)</f>
        <v/>
      </c>
      <c r="AS44" s="37">
        <f>IF($AR44=1,IF(IFERROR(IF(ISNUMBER(INDEX($A44:$Z44,MATCH(Lists!$B$2,$A$1:$Z$1,0))),INDEX($A44:$Z44,MATCH(Lists!$B$2,$A$1:$Z$1,0)),DATE(VALUE(LEFT(IFERROR(TRIM(INDEX($A44:$Z44,MATCH(Lists!$B$2,$A$1:$Z$1,0))&amp;""),""),4)),VALUE(MID(IFERROR(TRIM(INDEX($A44:$Z44,MATCH(Lists!$B$2,$A$1:$Z$1,0))&amp;""),""),6,2)),VALUE(MID(IFERROR(TRIM(INDEX($A44:$Z44,MATCH(Lists!$B$2,$A$1:$Z$1,0))&amp;""),""),9,2)))+TIME(VALUE(MID(IFERROR(TRIM(INDEX($A44:$Z44,MATCH(Lists!$B$2,$A$1:$Z$1,0))&amp;""),""),12,2)),VALUE(MID(IFERROR(TRIM(INDEX($A44:$Z44,MATCH(Lists!$B$2,$A$1:$Z$1,0))&amp;""),""),15,2)),VALUE(MID(IFERROR(TRIM(INDEX($A44:$Z44,MATCH(Lists!$B$2,$A$1:$Z$1,0))&amp;""),""),18,2)))),"")="",100000+ROW()/10^7,IFERROR(IF(ISNUMBER(INDEX($A44:$Z44,MATCH(Lists!$B$2,$A$1:$Z$1,0))),INDEX($A44:$Z44,MATCH(Lists!$B$2,$A$1:$Z$1,0)),DATE(VALUE(LEFT(IFERROR(TRIM(INDEX($A44:$Z44,MATCH(Lists!$B$2,$A$1:$Z$1,0))&amp;""),""),4)),VALUE(MID(IFERROR(TRIM(INDEX($A44:$Z44,MATCH(Lists!$B$2,$A$1:$Z$1,0))&amp;""),""),6,2)),VALUE(MID(IFERROR(TRIM(INDEX($A44:$Z44,MATCH(Lists!$B$2,$A$1:$Z$1,0))&amp;""),""),9,2)))+TIME(VALUE(MID(IFERROR(TRIM(INDEX($A44:$Z44,MATCH(Lists!$B$2,$A$1:$Z$1,0))&amp;""),""),12,2)),VALUE(MID(IFERROR(TRIM(INDEX($A44:$Z44,MATCH(Lists!$B$2,$A$1:$Z$1,0))&amp;""),""),15,2)),VALUE(MID(IFERROR(TRIM(INDEX($A44:$Z44,MATCH(Lists!$B$2,$A$1:$Z$1,0))&amp;""),""),18,2)))),"")-ROW()/10^7),"")</f>
        <v/>
      </c>
    </row>
    <row r="45">
      <c r="AB45" s="36">
        <f>IF($AR45=1,COUNTIF($AS$2:$AS$201,"&lt;"&amp;$AS45)+1,"")</f>
        <v/>
      </c>
      <c r="AC45" s="37">
        <f>IFERROR(TRIM(INDEX($A45:$Z45,MATCH(Lists!$B$9,$A$1:$Z$1,0))&amp;""),"")</f>
        <v/>
      </c>
      <c r="AD45" s="37">
        <f>IF($AR45=1,IFERROR(TRIM(INDEX($A45:$Z45,MATCH(Lists!$B$10,$A$1:$Z$1,0))&amp;""),""),"")</f>
        <v/>
      </c>
      <c r="AE45" s="37">
        <f>IF($AR45=1,IFERROR(TRIM(INDEX($A45:$Z45,MATCH(Lists!$B$12,$A$1:$Z$1,0))&amp;""),""),"")</f>
        <v/>
      </c>
      <c r="AF45" s="38">
        <f>IF($AR45=1,IFERROR(IF(TRIM(INDEX($A45:$Z45,MATCH(Lists!$B$11,$A$1:$Z$1,0))&amp;"")="","",VALUE(TRIM(INDEX($A45:$Z45,MATCH(Lists!$B$11,$A$1:$Z$1,0))&amp;""))),""),"")</f>
        <v/>
      </c>
      <c r="AG45" s="38">
        <f>IF(OR($AR45=0,$AF45="",'Start here'!$F$10="",'Start here'!$F$11="",'Start here'!$F$12="",'Start here'!$F$13="",'Start here'!$F$14=""),"",IF($AF45&lt;'Start here'!$F$10,'Start here'!$F$11,IF($AF45&lt;'Start here'!$F$12,'Start here'!$F$13,'Start here'!$F$14)))</f>
        <v/>
      </c>
      <c r="AH45" s="38">
        <f>IF(OR($AG45="",'Start here'!$F$9=""),"",IF($AF45&lt;=0,"",IFERROR(MAX($AG45,ROUNDUP(ROUND($AF45*'Start here'!$F$9/$AG45,6),0)*$AG45),"")))</f>
        <v/>
      </c>
      <c r="AI45" s="37">
        <f>IF($AR45=0,"",IF($AN45=Lists!$B$19,"",IF(AND($AN45=Lists!$B$18,$AQ45&lt;&gt;""),$AQ45,IF(AND($AP45=Lists!$B$17,$AL45&lt;&gt;""),$AL45,$AK45))))</f>
        <v/>
      </c>
      <c r="AJ45" s="37">
        <f>IF($AR45=0,"",IF(IF($AF45="",", no value",IF($AF45&lt;=0,", no value",""))&amp;IF('Start here'!$F$15="","",IF(LEN($AD45)&lt;'Start here'!$F$15,", short description",""))="","OK",MID(IF($AF45="",", no value",IF($AF45&lt;=0,", no value",""))&amp;IF('Start here'!$F$15="","",IF(LEN($AD45)&lt;'Start here'!$F$15,", short description","")),3,200)))</f>
        <v/>
      </c>
      <c r="AK45" s="37">
        <f>IF($AR45=1,IFERROR(TRIM(INDEX($A45:$Z45,MATCH(Lists!$B$5,$A$1:$Z$1,0))&amp;""),""),"")</f>
        <v/>
      </c>
      <c r="AL45" s="37">
        <f>IF($AR45=1,IFERROR(TRIM(INDEX($A45:$Z45,MATCH(Lists!$B$4,$A$1:$Z$1,0))&amp;""),""),"")</f>
        <v/>
      </c>
      <c r="AM45" s="37">
        <f>IF($AR45=1,IFERROR(TRIM(INDEX($A45:$Z45,MATCH(Lists!$B$6,$A$1:$Z$1,0))&amp;""),""),"")</f>
        <v/>
      </c>
      <c r="AN45" s="37">
        <f>IF($AR45=1,IFERROR(TRIM(INDEX($A45:$Z45,MATCH(Lists!$B$7,$A$1:$Z$1,0))&amp;""),""),"")</f>
        <v/>
      </c>
      <c r="AO45" s="37">
        <f>IF($AR45=1,IFERROR(TRIM(INDEX($A45:$Z45,MATCH(Lists!$B$13,$A$1:$Z$1,0))&amp;""),""),"")</f>
        <v/>
      </c>
      <c r="AP45" s="37">
        <f>IF($AR45=1,IFERROR(TRIM(INDEX($A45:$Z45,MATCH(Lists!$B$3,$A$1:$Z$1,0))&amp;""),""),"")</f>
        <v/>
      </c>
      <c r="AQ45" s="37">
        <f>IF($AR45=1,IFERROR(TRIM(INDEX($A45:$Z45,MATCH(Lists!$B$8,$A$1:$Z$1,0))&amp;""),""),"")</f>
        <v/>
      </c>
      <c r="AR45" s="36">
        <f>IF(LEN($AC45)&gt;0,1,0)</f>
        <v/>
      </c>
      <c r="AS45" s="37">
        <f>IF($AR45=1,IF(IFERROR(IF(ISNUMBER(INDEX($A45:$Z45,MATCH(Lists!$B$2,$A$1:$Z$1,0))),INDEX($A45:$Z45,MATCH(Lists!$B$2,$A$1:$Z$1,0)),DATE(VALUE(LEFT(IFERROR(TRIM(INDEX($A45:$Z45,MATCH(Lists!$B$2,$A$1:$Z$1,0))&amp;""),""),4)),VALUE(MID(IFERROR(TRIM(INDEX($A45:$Z45,MATCH(Lists!$B$2,$A$1:$Z$1,0))&amp;""),""),6,2)),VALUE(MID(IFERROR(TRIM(INDEX($A45:$Z45,MATCH(Lists!$B$2,$A$1:$Z$1,0))&amp;""),""),9,2)))+TIME(VALUE(MID(IFERROR(TRIM(INDEX($A45:$Z45,MATCH(Lists!$B$2,$A$1:$Z$1,0))&amp;""),""),12,2)),VALUE(MID(IFERROR(TRIM(INDEX($A45:$Z45,MATCH(Lists!$B$2,$A$1:$Z$1,0))&amp;""),""),15,2)),VALUE(MID(IFERROR(TRIM(INDEX($A45:$Z45,MATCH(Lists!$B$2,$A$1:$Z$1,0))&amp;""),""),18,2)))),"")="",100000+ROW()/10^7,IFERROR(IF(ISNUMBER(INDEX($A45:$Z45,MATCH(Lists!$B$2,$A$1:$Z$1,0))),INDEX($A45:$Z45,MATCH(Lists!$B$2,$A$1:$Z$1,0)),DATE(VALUE(LEFT(IFERROR(TRIM(INDEX($A45:$Z45,MATCH(Lists!$B$2,$A$1:$Z$1,0))&amp;""),""),4)),VALUE(MID(IFERROR(TRIM(INDEX($A45:$Z45,MATCH(Lists!$B$2,$A$1:$Z$1,0))&amp;""),""),6,2)),VALUE(MID(IFERROR(TRIM(INDEX($A45:$Z45,MATCH(Lists!$B$2,$A$1:$Z$1,0))&amp;""),""),9,2)))+TIME(VALUE(MID(IFERROR(TRIM(INDEX($A45:$Z45,MATCH(Lists!$B$2,$A$1:$Z$1,0))&amp;""),""),12,2)),VALUE(MID(IFERROR(TRIM(INDEX($A45:$Z45,MATCH(Lists!$B$2,$A$1:$Z$1,0))&amp;""),""),15,2)),VALUE(MID(IFERROR(TRIM(INDEX($A45:$Z45,MATCH(Lists!$B$2,$A$1:$Z$1,0))&amp;""),""),18,2)))),"")-ROW()/10^7),"")</f>
        <v/>
      </c>
    </row>
    <row r="46">
      <c r="AB46" s="36">
        <f>IF($AR46=1,COUNTIF($AS$2:$AS$201,"&lt;"&amp;$AS46)+1,"")</f>
        <v/>
      </c>
      <c r="AC46" s="37">
        <f>IFERROR(TRIM(INDEX($A46:$Z46,MATCH(Lists!$B$9,$A$1:$Z$1,0))&amp;""),"")</f>
        <v/>
      </c>
      <c r="AD46" s="37">
        <f>IF($AR46=1,IFERROR(TRIM(INDEX($A46:$Z46,MATCH(Lists!$B$10,$A$1:$Z$1,0))&amp;""),""),"")</f>
        <v/>
      </c>
      <c r="AE46" s="37">
        <f>IF($AR46=1,IFERROR(TRIM(INDEX($A46:$Z46,MATCH(Lists!$B$12,$A$1:$Z$1,0))&amp;""),""),"")</f>
        <v/>
      </c>
      <c r="AF46" s="38">
        <f>IF($AR46=1,IFERROR(IF(TRIM(INDEX($A46:$Z46,MATCH(Lists!$B$11,$A$1:$Z$1,0))&amp;"")="","",VALUE(TRIM(INDEX($A46:$Z46,MATCH(Lists!$B$11,$A$1:$Z$1,0))&amp;""))),""),"")</f>
        <v/>
      </c>
      <c r="AG46" s="38">
        <f>IF(OR($AR46=0,$AF46="",'Start here'!$F$10="",'Start here'!$F$11="",'Start here'!$F$12="",'Start here'!$F$13="",'Start here'!$F$14=""),"",IF($AF46&lt;'Start here'!$F$10,'Start here'!$F$11,IF($AF46&lt;'Start here'!$F$12,'Start here'!$F$13,'Start here'!$F$14)))</f>
        <v/>
      </c>
      <c r="AH46" s="38">
        <f>IF(OR($AG46="",'Start here'!$F$9=""),"",IF($AF46&lt;=0,"",IFERROR(MAX($AG46,ROUNDUP(ROUND($AF46*'Start here'!$F$9/$AG46,6),0)*$AG46),"")))</f>
        <v/>
      </c>
      <c r="AI46" s="37">
        <f>IF($AR46=0,"",IF($AN46=Lists!$B$19,"",IF(AND($AN46=Lists!$B$18,$AQ46&lt;&gt;""),$AQ46,IF(AND($AP46=Lists!$B$17,$AL46&lt;&gt;""),$AL46,$AK46))))</f>
        <v/>
      </c>
      <c r="AJ46" s="37">
        <f>IF($AR46=0,"",IF(IF($AF46="",", no value",IF($AF46&lt;=0,", no value",""))&amp;IF('Start here'!$F$15="","",IF(LEN($AD46)&lt;'Start here'!$F$15,", short description",""))="","OK",MID(IF($AF46="",", no value",IF($AF46&lt;=0,", no value",""))&amp;IF('Start here'!$F$15="","",IF(LEN($AD46)&lt;'Start here'!$F$15,", short description","")),3,200)))</f>
        <v/>
      </c>
      <c r="AK46" s="37">
        <f>IF($AR46=1,IFERROR(TRIM(INDEX($A46:$Z46,MATCH(Lists!$B$5,$A$1:$Z$1,0))&amp;""),""),"")</f>
        <v/>
      </c>
      <c r="AL46" s="37">
        <f>IF($AR46=1,IFERROR(TRIM(INDEX($A46:$Z46,MATCH(Lists!$B$4,$A$1:$Z$1,0))&amp;""),""),"")</f>
        <v/>
      </c>
      <c r="AM46" s="37">
        <f>IF($AR46=1,IFERROR(TRIM(INDEX($A46:$Z46,MATCH(Lists!$B$6,$A$1:$Z$1,0))&amp;""),""),"")</f>
        <v/>
      </c>
      <c r="AN46" s="37">
        <f>IF($AR46=1,IFERROR(TRIM(INDEX($A46:$Z46,MATCH(Lists!$B$7,$A$1:$Z$1,0))&amp;""),""),"")</f>
        <v/>
      </c>
      <c r="AO46" s="37">
        <f>IF($AR46=1,IFERROR(TRIM(INDEX($A46:$Z46,MATCH(Lists!$B$13,$A$1:$Z$1,0))&amp;""),""),"")</f>
        <v/>
      </c>
      <c r="AP46" s="37">
        <f>IF($AR46=1,IFERROR(TRIM(INDEX($A46:$Z46,MATCH(Lists!$B$3,$A$1:$Z$1,0))&amp;""),""),"")</f>
        <v/>
      </c>
      <c r="AQ46" s="37">
        <f>IF($AR46=1,IFERROR(TRIM(INDEX($A46:$Z46,MATCH(Lists!$B$8,$A$1:$Z$1,0))&amp;""),""),"")</f>
        <v/>
      </c>
      <c r="AR46" s="36">
        <f>IF(LEN($AC46)&gt;0,1,0)</f>
        <v/>
      </c>
      <c r="AS46" s="37">
        <f>IF($AR46=1,IF(IFERROR(IF(ISNUMBER(INDEX($A46:$Z46,MATCH(Lists!$B$2,$A$1:$Z$1,0))),INDEX($A46:$Z46,MATCH(Lists!$B$2,$A$1:$Z$1,0)),DATE(VALUE(LEFT(IFERROR(TRIM(INDEX($A46:$Z46,MATCH(Lists!$B$2,$A$1:$Z$1,0))&amp;""),""),4)),VALUE(MID(IFERROR(TRIM(INDEX($A46:$Z46,MATCH(Lists!$B$2,$A$1:$Z$1,0))&amp;""),""),6,2)),VALUE(MID(IFERROR(TRIM(INDEX($A46:$Z46,MATCH(Lists!$B$2,$A$1:$Z$1,0))&amp;""),""),9,2)))+TIME(VALUE(MID(IFERROR(TRIM(INDEX($A46:$Z46,MATCH(Lists!$B$2,$A$1:$Z$1,0))&amp;""),""),12,2)),VALUE(MID(IFERROR(TRIM(INDEX($A46:$Z46,MATCH(Lists!$B$2,$A$1:$Z$1,0))&amp;""),""),15,2)),VALUE(MID(IFERROR(TRIM(INDEX($A46:$Z46,MATCH(Lists!$B$2,$A$1:$Z$1,0))&amp;""),""),18,2)))),"")="",100000+ROW()/10^7,IFERROR(IF(ISNUMBER(INDEX($A46:$Z46,MATCH(Lists!$B$2,$A$1:$Z$1,0))),INDEX($A46:$Z46,MATCH(Lists!$B$2,$A$1:$Z$1,0)),DATE(VALUE(LEFT(IFERROR(TRIM(INDEX($A46:$Z46,MATCH(Lists!$B$2,$A$1:$Z$1,0))&amp;""),""),4)),VALUE(MID(IFERROR(TRIM(INDEX($A46:$Z46,MATCH(Lists!$B$2,$A$1:$Z$1,0))&amp;""),""),6,2)),VALUE(MID(IFERROR(TRIM(INDEX($A46:$Z46,MATCH(Lists!$B$2,$A$1:$Z$1,0))&amp;""),""),9,2)))+TIME(VALUE(MID(IFERROR(TRIM(INDEX($A46:$Z46,MATCH(Lists!$B$2,$A$1:$Z$1,0))&amp;""),""),12,2)),VALUE(MID(IFERROR(TRIM(INDEX($A46:$Z46,MATCH(Lists!$B$2,$A$1:$Z$1,0))&amp;""),""),15,2)),VALUE(MID(IFERROR(TRIM(INDEX($A46:$Z46,MATCH(Lists!$B$2,$A$1:$Z$1,0))&amp;""),""),18,2)))),"")-ROW()/10^7),"")</f>
        <v/>
      </c>
    </row>
    <row r="47">
      <c r="AB47" s="36">
        <f>IF($AR47=1,COUNTIF($AS$2:$AS$201,"&lt;"&amp;$AS47)+1,"")</f>
        <v/>
      </c>
      <c r="AC47" s="37">
        <f>IFERROR(TRIM(INDEX($A47:$Z47,MATCH(Lists!$B$9,$A$1:$Z$1,0))&amp;""),"")</f>
        <v/>
      </c>
      <c r="AD47" s="37">
        <f>IF($AR47=1,IFERROR(TRIM(INDEX($A47:$Z47,MATCH(Lists!$B$10,$A$1:$Z$1,0))&amp;""),""),"")</f>
        <v/>
      </c>
      <c r="AE47" s="37">
        <f>IF($AR47=1,IFERROR(TRIM(INDEX($A47:$Z47,MATCH(Lists!$B$12,$A$1:$Z$1,0))&amp;""),""),"")</f>
        <v/>
      </c>
      <c r="AF47" s="38">
        <f>IF($AR47=1,IFERROR(IF(TRIM(INDEX($A47:$Z47,MATCH(Lists!$B$11,$A$1:$Z$1,0))&amp;"")="","",VALUE(TRIM(INDEX($A47:$Z47,MATCH(Lists!$B$11,$A$1:$Z$1,0))&amp;""))),""),"")</f>
        <v/>
      </c>
      <c r="AG47" s="38">
        <f>IF(OR($AR47=0,$AF47="",'Start here'!$F$10="",'Start here'!$F$11="",'Start here'!$F$12="",'Start here'!$F$13="",'Start here'!$F$14=""),"",IF($AF47&lt;'Start here'!$F$10,'Start here'!$F$11,IF($AF47&lt;'Start here'!$F$12,'Start here'!$F$13,'Start here'!$F$14)))</f>
        <v/>
      </c>
      <c r="AH47" s="38">
        <f>IF(OR($AG47="",'Start here'!$F$9=""),"",IF($AF47&lt;=0,"",IFERROR(MAX($AG47,ROUNDUP(ROUND($AF47*'Start here'!$F$9/$AG47,6),0)*$AG47),"")))</f>
        <v/>
      </c>
      <c r="AI47" s="37">
        <f>IF($AR47=0,"",IF($AN47=Lists!$B$19,"",IF(AND($AN47=Lists!$B$18,$AQ47&lt;&gt;""),$AQ47,IF(AND($AP47=Lists!$B$17,$AL47&lt;&gt;""),$AL47,$AK47))))</f>
        <v/>
      </c>
      <c r="AJ47" s="37">
        <f>IF($AR47=0,"",IF(IF($AF47="",", no value",IF($AF47&lt;=0,", no value",""))&amp;IF('Start here'!$F$15="","",IF(LEN($AD47)&lt;'Start here'!$F$15,", short description",""))="","OK",MID(IF($AF47="",", no value",IF($AF47&lt;=0,", no value",""))&amp;IF('Start here'!$F$15="","",IF(LEN($AD47)&lt;'Start here'!$F$15,", short description","")),3,200)))</f>
        <v/>
      </c>
      <c r="AK47" s="37">
        <f>IF($AR47=1,IFERROR(TRIM(INDEX($A47:$Z47,MATCH(Lists!$B$5,$A$1:$Z$1,0))&amp;""),""),"")</f>
        <v/>
      </c>
      <c r="AL47" s="37">
        <f>IF($AR47=1,IFERROR(TRIM(INDEX($A47:$Z47,MATCH(Lists!$B$4,$A$1:$Z$1,0))&amp;""),""),"")</f>
        <v/>
      </c>
      <c r="AM47" s="37">
        <f>IF($AR47=1,IFERROR(TRIM(INDEX($A47:$Z47,MATCH(Lists!$B$6,$A$1:$Z$1,0))&amp;""),""),"")</f>
        <v/>
      </c>
      <c r="AN47" s="37">
        <f>IF($AR47=1,IFERROR(TRIM(INDEX($A47:$Z47,MATCH(Lists!$B$7,$A$1:$Z$1,0))&amp;""),""),"")</f>
        <v/>
      </c>
      <c r="AO47" s="37">
        <f>IF($AR47=1,IFERROR(TRIM(INDEX($A47:$Z47,MATCH(Lists!$B$13,$A$1:$Z$1,0))&amp;""),""),"")</f>
        <v/>
      </c>
      <c r="AP47" s="37">
        <f>IF($AR47=1,IFERROR(TRIM(INDEX($A47:$Z47,MATCH(Lists!$B$3,$A$1:$Z$1,0))&amp;""),""),"")</f>
        <v/>
      </c>
      <c r="AQ47" s="37">
        <f>IF($AR47=1,IFERROR(TRIM(INDEX($A47:$Z47,MATCH(Lists!$B$8,$A$1:$Z$1,0))&amp;""),""),"")</f>
        <v/>
      </c>
      <c r="AR47" s="36">
        <f>IF(LEN($AC47)&gt;0,1,0)</f>
        <v/>
      </c>
      <c r="AS47" s="37">
        <f>IF($AR47=1,IF(IFERROR(IF(ISNUMBER(INDEX($A47:$Z47,MATCH(Lists!$B$2,$A$1:$Z$1,0))),INDEX($A47:$Z47,MATCH(Lists!$B$2,$A$1:$Z$1,0)),DATE(VALUE(LEFT(IFERROR(TRIM(INDEX($A47:$Z47,MATCH(Lists!$B$2,$A$1:$Z$1,0))&amp;""),""),4)),VALUE(MID(IFERROR(TRIM(INDEX($A47:$Z47,MATCH(Lists!$B$2,$A$1:$Z$1,0))&amp;""),""),6,2)),VALUE(MID(IFERROR(TRIM(INDEX($A47:$Z47,MATCH(Lists!$B$2,$A$1:$Z$1,0))&amp;""),""),9,2)))+TIME(VALUE(MID(IFERROR(TRIM(INDEX($A47:$Z47,MATCH(Lists!$B$2,$A$1:$Z$1,0))&amp;""),""),12,2)),VALUE(MID(IFERROR(TRIM(INDEX($A47:$Z47,MATCH(Lists!$B$2,$A$1:$Z$1,0))&amp;""),""),15,2)),VALUE(MID(IFERROR(TRIM(INDEX($A47:$Z47,MATCH(Lists!$B$2,$A$1:$Z$1,0))&amp;""),""),18,2)))),"")="",100000+ROW()/10^7,IFERROR(IF(ISNUMBER(INDEX($A47:$Z47,MATCH(Lists!$B$2,$A$1:$Z$1,0))),INDEX($A47:$Z47,MATCH(Lists!$B$2,$A$1:$Z$1,0)),DATE(VALUE(LEFT(IFERROR(TRIM(INDEX($A47:$Z47,MATCH(Lists!$B$2,$A$1:$Z$1,0))&amp;""),""),4)),VALUE(MID(IFERROR(TRIM(INDEX($A47:$Z47,MATCH(Lists!$B$2,$A$1:$Z$1,0))&amp;""),""),6,2)),VALUE(MID(IFERROR(TRIM(INDEX($A47:$Z47,MATCH(Lists!$B$2,$A$1:$Z$1,0))&amp;""),""),9,2)))+TIME(VALUE(MID(IFERROR(TRIM(INDEX($A47:$Z47,MATCH(Lists!$B$2,$A$1:$Z$1,0))&amp;""),""),12,2)),VALUE(MID(IFERROR(TRIM(INDEX($A47:$Z47,MATCH(Lists!$B$2,$A$1:$Z$1,0))&amp;""),""),15,2)),VALUE(MID(IFERROR(TRIM(INDEX($A47:$Z47,MATCH(Lists!$B$2,$A$1:$Z$1,0))&amp;""),""),18,2)))),"")-ROW()/10^7),"")</f>
        <v/>
      </c>
    </row>
    <row r="48">
      <c r="AB48" s="36">
        <f>IF($AR48=1,COUNTIF($AS$2:$AS$201,"&lt;"&amp;$AS48)+1,"")</f>
        <v/>
      </c>
      <c r="AC48" s="37">
        <f>IFERROR(TRIM(INDEX($A48:$Z48,MATCH(Lists!$B$9,$A$1:$Z$1,0))&amp;""),"")</f>
        <v/>
      </c>
      <c r="AD48" s="37">
        <f>IF($AR48=1,IFERROR(TRIM(INDEX($A48:$Z48,MATCH(Lists!$B$10,$A$1:$Z$1,0))&amp;""),""),"")</f>
        <v/>
      </c>
      <c r="AE48" s="37">
        <f>IF($AR48=1,IFERROR(TRIM(INDEX($A48:$Z48,MATCH(Lists!$B$12,$A$1:$Z$1,0))&amp;""),""),"")</f>
        <v/>
      </c>
      <c r="AF48" s="38">
        <f>IF($AR48=1,IFERROR(IF(TRIM(INDEX($A48:$Z48,MATCH(Lists!$B$11,$A$1:$Z$1,0))&amp;"")="","",VALUE(TRIM(INDEX($A48:$Z48,MATCH(Lists!$B$11,$A$1:$Z$1,0))&amp;""))),""),"")</f>
        <v/>
      </c>
      <c r="AG48" s="38">
        <f>IF(OR($AR48=0,$AF48="",'Start here'!$F$10="",'Start here'!$F$11="",'Start here'!$F$12="",'Start here'!$F$13="",'Start here'!$F$14=""),"",IF($AF48&lt;'Start here'!$F$10,'Start here'!$F$11,IF($AF48&lt;'Start here'!$F$12,'Start here'!$F$13,'Start here'!$F$14)))</f>
        <v/>
      </c>
      <c r="AH48" s="38">
        <f>IF(OR($AG48="",'Start here'!$F$9=""),"",IF($AF48&lt;=0,"",IFERROR(MAX($AG48,ROUNDUP(ROUND($AF48*'Start here'!$F$9/$AG48,6),0)*$AG48),"")))</f>
        <v/>
      </c>
      <c r="AI48" s="37">
        <f>IF($AR48=0,"",IF($AN48=Lists!$B$19,"",IF(AND($AN48=Lists!$B$18,$AQ48&lt;&gt;""),$AQ48,IF(AND($AP48=Lists!$B$17,$AL48&lt;&gt;""),$AL48,$AK48))))</f>
        <v/>
      </c>
      <c r="AJ48" s="37">
        <f>IF($AR48=0,"",IF(IF($AF48="",", no value",IF($AF48&lt;=0,", no value",""))&amp;IF('Start here'!$F$15="","",IF(LEN($AD48)&lt;'Start here'!$F$15,", short description",""))="","OK",MID(IF($AF48="",", no value",IF($AF48&lt;=0,", no value",""))&amp;IF('Start here'!$F$15="","",IF(LEN($AD48)&lt;'Start here'!$F$15,", short description","")),3,200)))</f>
        <v/>
      </c>
      <c r="AK48" s="37">
        <f>IF($AR48=1,IFERROR(TRIM(INDEX($A48:$Z48,MATCH(Lists!$B$5,$A$1:$Z$1,0))&amp;""),""),"")</f>
        <v/>
      </c>
      <c r="AL48" s="37">
        <f>IF($AR48=1,IFERROR(TRIM(INDEX($A48:$Z48,MATCH(Lists!$B$4,$A$1:$Z$1,0))&amp;""),""),"")</f>
        <v/>
      </c>
      <c r="AM48" s="37">
        <f>IF($AR48=1,IFERROR(TRIM(INDEX($A48:$Z48,MATCH(Lists!$B$6,$A$1:$Z$1,0))&amp;""),""),"")</f>
        <v/>
      </c>
      <c r="AN48" s="37">
        <f>IF($AR48=1,IFERROR(TRIM(INDEX($A48:$Z48,MATCH(Lists!$B$7,$A$1:$Z$1,0))&amp;""),""),"")</f>
        <v/>
      </c>
      <c r="AO48" s="37">
        <f>IF($AR48=1,IFERROR(TRIM(INDEX($A48:$Z48,MATCH(Lists!$B$13,$A$1:$Z$1,0))&amp;""),""),"")</f>
        <v/>
      </c>
      <c r="AP48" s="37">
        <f>IF($AR48=1,IFERROR(TRIM(INDEX($A48:$Z48,MATCH(Lists!$B$3,$A$1:$Z$1,0))&amp;""),""),"")</f>
        <v/>
      </c>
      <c r="AQ48" s="37">
        <f>IF($AR48=1,IFERROR(TRIM(INDEX($A48:$Z48,MATCH(Lists!$B$8,$A$1:$Z$1,0))&amp;""),""),"")</f>
        <v/>
      </c>
      <c r="AR48" s="36">
        <f>IF(LEN($AC48)&gt;0,1,0)</f>
        <v/>
      </c>
      <c r="AS48" s="37">
        <f>IF($AR48=1,IF(IFERROR(IF(ISNUMBER(INDEX($A48:$Z48,MATCH(Lists!$B$2,$A$1:$Z$1,0))),INDEX($A48:$Z48,MATCH(Lists!$B$2,$A$1:$Z$1,0)),DATE(VALUE(LEFT(IFERROR(TRIM(INDEX($A48:$Z48,MATCH(Lists!$B$2,$A$1:$Z$1,0))&amp;""),""),4)),VALUE(MID(IFERROR(TRIM(INDEX($A48:$Z48,MATCH(Lists!$B$2,$A$1:$Z$1,0))&amp;""),""),6,2)),VALUE(MID(IFERROR(TRIM(INDEX($A48:$Z48,MATCH(Lists!$B$2,$A$1:$Z$1,0))&amp;""),""),9,2)))+TIME(VALUE(MID(IFERROR(TRIM(INDEX($A48:$Z48,MATCH(Lists!$B$2,$A$1:$Z$1,0))&amp;""),""),12,2)),VALUE(MID(IFERROR(TRIM(INDEX($A48:$Z48,MATCH(Lists!$B$2,$A$1:$Z$1,0))&amp;""),""),15,2)),VALUE(MID(IFERROR(TRIM(INDEX($A48:$Z48,MATCH(Lists!$B$2,$A$1:$Z$1,0))&amp;""),""),18,2)))),"")="",100000+ROW()/10^7,IFERROR(IF(ISNUMBER(INDEX($A48:$Z48,MATCH(Lists!$B$2,$A$1:$Z$1,0))),INDEX($A48:$Z48,MATCH(Lists!$B$2,$A$1:$Z$1,0)),DATE(VALUE(LEFT(IFERROR(TRIM(INDEX($A48:$Z48,MATCH(Lists!$B$2,$A$1:$Z$1,0))&amp;""),""),4)),VALUE(MID(IFERROR(TRIM(INDEX($A48:$Z48,MATCH(Lists!$B$2,$A$1:$Z$1,0))&amp;""),""),6,2)),VALUE(MID(IFERROR(TRIM(INDEX($A48:$Z48,MATCH(Lists!$B$2,$A$1:$Z$1,0))&amp;""),""),9,2)))+TIME(VALUE(MID(IFERROR(TRIM(INDEX($A48:$Z48,MATCH(Lists!$B$2,$A$1:$Z$1,0))&amp;""),""),12,2)),VALUE(MID(IFERROR(TRIM(INDEX($A48:$Z48,MATCH(Lists!$B$2,$A$1:$Z$1,0))&amp;""),""),15,2)),VALUE(MID(IFERROR(TRIM(INDEX($A48:$Z48,MATCH(Lists!$B$2,$A$1:$Z$1,0))&amp;""),""),18,2)))),"")-ROW()/10^7),"")</f>
        <v/>
      </c>
    </row>
    <row r="49">
      <c r="AB49" s="36">
        <f>IF($AR49=1,COUNTIF($AS$2:$AS$201,"&lt;"&amp;$AS49)+1,"")</f>
        <v/>
      </c>
      <c r="AC49" s="37">
        <f>IFERROR(TRIM(INDEX($A49:$Z49,MATCH(Lists!$B$9,$A$1:$Z$1,0))&amp;""),"")</f>
        <v/>
      </c>
      <c r="AD49" s="37">
        <f>IF($AR49=1,IFERROR(TRIM(INDEX($A49:$Z49,MATCH(Lists!$B$10,$A$1:$Z$1,0))&amp;""),""),"")</f>
        <v/>
      </c>
      <c r="AE49" s="37">
        <f>IF($AR49=1,IFERROR(TRIM(INDEX($A49:$Z49,MATCH(Lists!$B$12,$A$1:$Z$1,0))&amp;""),""),"")</f>
        <v/>
      </c>
      <c r="AF49" s="38">
        <f>IF($AR49=1,IFERROR(IF(TRIM(INDEX($A49:$Z49,MATCH(Lists!$B$11,$A$1:$Z$1,0))&amp;"")="","",VALUE(TRIM(INDEX($A49:$Z49,MATCH(Lists!$B$11,$A$1:$Z$1,0))&amp;""))),""),"")</f>
        <v/>
      </c>
      <c r="AG49" s="38">
        <f>IF(OR($AR49=0,$AF49="",'Start here'!$F$10="",'Start here'!$F$11="",'Start here'!$F$12="",'Start here'!$F$13="",'Start here'!$F$14=""),"",IF($AF49&lt;'Start here'!$F$10,'Start here'!$F$11,IF($AF49&lt;'Start here'!$F$12,'Start here'!$F$13,'Start here'!$F$14)))</f>
        <v/>
      </c>
      <c r="AH49" s="38">
        <f>IF(OR($AG49="",'Start here'!$F$9=""),"",IF($AF49&lt;=0,"",IFERROR(MAX($AG49,ROUNDUP(ROUND($AF49*'Start here'!$F$9/$AG49,6),0)*$AG49),"")))</f>
        <v/>
      </c>
      <c r="AI49" s="37">
        <f>IF($AR49=0,"",IF($AN49=Lists!$B$19,"",IF(AND($AN49=Lists!$B$18,$AQ49&lt;&gt;""),$AQ49,IF(AND($AP49=Lists!$B$17,$AL49&lt;&gt;""),$AL49,$AK49))))</f>
        <v/>
      </c>
      <c r="AJ49" s="37">
        <f>IF($AR49=0,"",IF(IF($AF49="",", no value",IF($AF49&lt;=0,", no value",""))&amp;IF('Start here'!$F$15="","",IF(LEN($AD49)&lt;'Start here'!$F$15,", short description",""))="","OK",MID(IF($AF49="",", no value",IF($AF49&lt;=0,", no value",""))&amp;IF('Start here'!$F$15="","",IF(LEN($AD49)&lt;'Start here'!$F$15,", short description","")),3,200)))</f>
        <v/>
      </c>
      <c r="AK49" s="37">
        <f>IF($AR49=1,IFERROR(TRIM(INDEX($A49:$Z49,MATCH(Lists!$B$5,$A$1:$Z$1,0))&amp;""),""),"")</f>
        <v/>
      </c>
      <c r="AL49" s="37">
        <f>IF($AR49=1,IFERROR(TRIM(INDEX($A49:$Z49,MATCH(Lists!$B$4,$A$1:$Z$1,0))&amp;""),""),"")</f>
        <v/>
      </c>
      <c r="AM49" s="37">
        <f>IF($AR49=1,IFERROR(TRIM(INDEX($A49:$Z49,MATCH(Lists!$B$6,$A$1:$Z$1,0))&amp;""),""),"")</f>
        <v/>
      </c>
      <c r="AN49" s="37">
        <f>IF($AR49=1,IFERROR(TRIM(INDEX($A49:$Z49,MATCH(Lists!$B$7,$A$1:$Z$1,0))&amp;""),""),"")</f>
        <v/>
      </c>
      <c r="AO49" s="37">
        <f>IF($AR49=1,IFERROR(TRIM(INDEX($A49:$Z49,MATCH(Lists!$B$13,$A$1:$Z$1,0))&amp;""),""),"")</f>
        <v/>
      </c>
      <c r="AP49" s="37">
        <f>IF($AR49=1,IFERROR(TRIM(INDEX($A49:$Z49,MATCH(Lists!$B$3,$A$1:$Z$1,0))&amp;""),""),"")</f>
        <v/>
      </c>
      <c r="AQ49" s="37">
        <f>IF($AR49=1,IFERROR(TRIM(INDEX($A49:$Z49,MATCH(Lists!$B$8,$A$1:$Z$1,0))&amp;""),""),"")</f>
        <v/>
      </c>
      <c r="AR49" s="36">
        <f>IF(LEN($AC49)&gt;0,1,0)</f>
        <v/>
      </c>
      <c r="AS49" s="37">
        <f>IF($AR49=1,IF(IFERROR(IF(ISNUMBER(INDEX($A49:$Z49,MATCH(Lists!$B$2,$A$1:$Z$1,0))),INDEX($A49:$Z49,MATCH(Lists!$B$2,$A$1:$Z$1,0)),DATE(VALUE(LEFT(IFERROR(TRIM(INDEX($A49:$Z49,MATCH(Lists!$B$2,$A$1:$Z$1,0))&amp;""),""),4)),VALUE(MID(IFERROR(TRIM(INDEX($A49:$Z49,MATCH(Lists!$B$2,$A$1:$Z$1,0))&amp;""),""),6,2)),VALUE(MID(IFERROR(TRIM(INDEX($A49:$Z49,MATCH(Lists!$B$2,$A$1:$Z$1,0))&amp;""),""),9,2)))+TIME(VALUE(MID(IFERROR(TRIM(INDEX($A49:$Z49,MATCH(Lists!$B$2,$A$1:$Z$1,0))&amp;""),""),12,2)),VALUE(MID(IFERROR(TRIM(INDEX($A49:$Z49,MATCH(Lists!$B$2,$A$1:$Z$1,0))&amp;""),""),15,2)),VALUE(MID(IFERROR(TRIM(INDEX($A49:$Z49,MATCH(Lists!$B$2,$A$1:$Z$1,0))&amp;""),""),18,2)))),"")="",100000+ROW()/10^7,IFERROR(IF(ISNUMBER(INDEX($A49:$Z49,MATCH(Lists!$B$2,$A$1:$Z$1,0))),INDEX($A49:$Z49,MATCH(Lists!$B$2,$A$1:$Z$1,0)),DATE(VALUE(LEFT(IFERROR(TRIM(INDEX($A49:$Z49,MATCH(Lists!$B$2,$A$1:$Z$1,0))&amp;""),""),4)),VALUE(MID(IFERROR(TRIM(INDEX($A49:$Z49,MATCH(Lists!$B$2,$A$1:$Z$1,0))&amp;""),""),6,2)),VALUE(MID(IFERROR(TRIM(INDEX($A49:$Z49,MATCH(Lists!$B$2,$A$1:$Z$1,0))&amp;""),""),9,2)))+TIME(VALUE(MID(IFERROR(TRIM(INDEX($A49:$Z49,MATCH(Lists!$B$2,$A$1:$Z$1,0))&amp;""),""),12,2)),VALUE(MID(IFERROR(TRIM(INDEX($A49:$Z49,MATCH(Lists!$B$2,$A$1:$Z$1,0))&amp;""),""),15,2)),VALUE(MID(IFERROR(TRIM(INDEX($A49:$Z49,MATCH(Lists!$B$2,$A$1:$Z$1,0))&amp;""),""),18,2)))),"")-ROW()/10^7),"")</f>
        <v/>
      </c>
    </row>
    <row r="50">
      <c r="AB50" s="36">
        <f>IF($AR50=1,COUNTIF($AS$2:$AS$201,"&lt;"&amp;$AS50)+1,"")</f>
        <v/>
      </c>
      <c r="AC50" s="37">
        <f>IFERROR(TRIM(INDEX($A50:$Z50,MATCH(Lists!$B$9,$A$1:$Z$1,0))&amp;""),"")</f>
        <v/>
      </c>
      <c r="AD50" s="37">
        <f>IF($AR50=1,IFERROR(TRIM(INDEX($A50:$Z50,MATCH(Lists!$B$10,$A$1:$Z$1,0))&amp;""),""),"")</f>
        <v/>
      </c>
      <c r="AE50" s="37">
        <f>IF($AR50=1,IFERROR(TRIM(INDEX($A50:$Z50,MATCH(Lists!$B$12,$A$1:$Z$1,0))&amp;""),""),"")</f>
        <v/>
      </c>
      <c r="AF50" s="38">
        <f>IF($AR50=1,IFERROR(IF(TRIM(INDEX($A50:$Z50,MATCH(Lists!$B$11,$A$1:$Z$1,0))&amp;"")="","",VALUE(TRIM(INDEX($A50:$Z50,MATCH(Lists!$B$11,$A$1:$Z$1,0))&amp;""))),""),"")</f>
        <v/>
      </c>
      <c r="AG50" s="38">
        <f>IF(OR($AR50=0,$AF50="",'Start here'!$F$10="",'Start here'!$F$11="",'Start here'!$F$12="",'Start here'!$F$13="",'Start here'!$F$14=""),"",IF($AF50&lt;'Start here'!$F$10,'Start here'!$F$11,IF($AF50&lt;'Start here'!$F$12,'Start here'!$F$13,'Start here'!$F$14)))</f>
        <v/>
      </c>
      <c r="AH50" s="38">
        <f>IF(OR($AG50="",'Start here'!$F$9=""),"",IF($AF50&lt;=0,"",IFERROR(MAX($AG50,ROUNDUP(ROUND($AF50*'Start here'!$F$9/$AG50,6),0)*$AG50),"")))</f>
        <v/>
      </c>
      <c r="AI50" s="37">
        <f>IF($AR50=0,"",IF($AN50=Lists!$B$19,"",IF(AND($AN50=Lists!$B$18,$AQ50&lt;&gt;""),$AQ50,IF(AND($AP50=Lists!$B$17,$AL50&lt;&gt;""),$AL50,$AK50))))</f>
        <v/>
      </c>
      <c r="AJ50" s="37">
        <f>IF($AR50=0,"",IF(IF($AF50="",", no value",IF($AF50&lt;=0,", no value",""))&amp;IF('Start here'!$F$15="","",IF(LEN($AD50)&lt;'Start here'!$F$15,", short description",""))="","OK",MID(IF($AF50="",", no value",IF($AF50&lt;=0,", no value",""))&amp;IF('Start here'!$F$15="","",IF(LEN($AD50)&lt;'Start here'!$F$15,", short description","")),3,200)))</f>
        <v/>
      </c>
      <c r="AK50" s="37">
        <f>IF($AR50=1,IFERROR(TRIM(INDEX($A50:$Z50,MATCH(Lists!$B$5,$A$1:$Z$1,0))&amp;""),""),"")</f>
        <v/>
      </c>
      <c r="AL50" s="37">
        <f>IF($AR50=1,IFERROR(TRIM(INDEX($A50:$Z50,MATCH(Lists!$B$4,$A$1:$Z$1,0))&amp;""),""),"")</f>
        <v/>
      </c>
      <c r="AM50" s="37">
        <f>IF($AR50=1,IFERROR(TRIM(INDEX($A50:$Z50,MATCH(Lists!$B$6,$A$1:$Z$1,0))&amp;""),""),"")</f>
        <v/>
      </c>
      <c r="AN50" s="37">
        <f>IF($AR50=1,IFERROR(TRIM(INDEX($A50:$Z50,MATCH(Lists!$B$7,$A$1:$Z$1,0))&amp;""),""),"")</f>
        <v/>
      </c>
      <c r="AO50" s="37">
        <f>IF($AR50=1,IFERROR(TRIM(INDEX($A50:$Z50,MATCH(Lists!$B$13,$A$1:$Z$1,0))&amp;""),""),"")</f>
        <v/>
      </c>
      <c r="AP50" s="37">
        <f>IF($AR50=1,IFERROR(TRIM(INDEX($A50:$Z50,MATCH(Lists!$B$3,$A$1:$Z$1,0))&amp;""),""),"")</f>
        <v/>
      </c>
      <c r="AQ50" s="37">
        <f>IF($AR50=1,IFERROR(TRIM(INDEX($A50:$Z50,MATCH(Lists!$B$8,$A$1:$Z$1,0))&amp;""),""),"")</f>
        <v/>
      </c>
      <c r="AR50" s="36">
        <f>IF(LEN($AC50)&gt;0,1,0)</f>
        <v/>
      </c>
      <c r="AS50" s="37">
        <f>IF($AR50=1,IF(IFERROR(IF(ISNUMBER(INDEX($A50:$Z50,MATCH(Lists!$B$2,$A$1:$Z$1,0))),INDEX($A50:$Z50,MATCH(Lists!$B$2,$A$1:$Z$1,0)),DATE(VALUE(LEFT(IFERROR(TRIM(INDEX($A50:$Z50,MATCH(Lists!$B$2,$A$1:$Z$1,0))&amp;""),""),4)),VALUE(MID(IFERROR(TRIM(INDEX($A50:$Z50,MATCH(Lists!$B$2,$A$1:$Z$1,0))&amp;""),""),6,2)),VALUE(MID(IFERROR(TRIM(INDEX($A50:$Z50,MATCH(Lists!$B$2,$A$1:$Z$1,0))&amp;""),""),9,2)))+TIME(VALUE(MID(IFERROR(TRIM(INDEX($A50:$Z50,MATCH(Lists!$B$2,$A$1:$Z$1,0))&amp;""),""),12,2)),VALUE(MID(IFERROR(TRIM(INDEX($A50:$Z50,MATCH(Lists!$B$2,$A$1:$Z$1,0))&amp;""),""),15,2)),VALUE(MID(IFERROR(TRIM(INDEX($A50:$Z50,MATCH(Lists!$B$2,$A$1:$Z$1,0))&amp;""),""),18,2)))),"")="",100000+ROW()/10^7,IFERROR(IF(ISNUMBER(INDEX($A50:$Z50,MATCH(Lists!$B$2,$A$1:$Z$1,0))),INDEX($A50:$Z50,MATCH(Lists!$B$2,$A$1:$Z$1,0)),DATE(VALUE(LEFT(IFERROR(TRIM(INDEX($A50:$Z50,MATCH(Lists!$B$2,$A$1:$Z$1,0))&amp;""),""),4)),VALUE(MID(IFERROR(TRIM(INDEX($A50:$Z50,MATCH(Lists!$B$2,$A$1:$Z$1,0))&amp;""),""),6,2)),VALUE(MID(IFERROR(TRIM(INDEX($A50:$Z50,MATCH(Lists!$B$2,$A$1:$Z$1,0))&amp;""),""),9,2)))+TIME(VALUE(MID(IFERROR(TRIM(INDEX($A50:$Z50,MATCH(Lists!$B$2,$A$1:$Z$1,0))&amp;""),""),12,2)),VALUE(MID(IFERROR(TRIM(INDEX($A50:$Z50,MATCH(Lists!$B$2,$A$1:$Z$1,0))&amp;""),""),15,2)),VALUE(MID(IFERROR(TRIM(INDEX($A50:$Z50,MATCH(Lists!$B$2,$A$1:$Z$1,0))&amp;""),""),18,2)))),"")-ROW()/10^7),"")</f>
        <v/>
      </c>
    </row>
    <row r="51">
      <c r="AB51" s="36">
        <f>IF($AR51=1,COUNTIF($AS$2:$AS$201,"&lt;"&amp;$AS51)+1,"")</f>
        <v/>
      </c>
      <c r="AC51" s="37">
        <f>IFERROR(TRIM(INDEX($A51:$Z51,MATCH(Lists!$B$9,$A$1:$Z$1,0))&amp;""),"")</f>
        <v/>
      </c>
      <c r="AD51" s="37">
        <f>IF($AR51=1,IFERROR(TRIM(INDEX($A51:$Z51,MATCH(Lists!$B$10,$A$1:$Z$1,0))&amp;""),""),"")</f>
        <v/>
      </c>
      <c r="AE51" s="37">
        <f>IF($AR51=1,IFERROR(TRIM(INDEX($A51:$Z51,MATCH(Lists!$B$12,$A$1:$Z$1,0))&amp;""),""),"")</f>
        <v/>
      </c>
      <c r="AF51" s="38">
        <f>IF($AR51=1,IFERROR(IF(TRIM(INDEX($A51:$Z51,MATCH(Lists!$B$11,$A$1:$Z$1,0))&amp;"")="","",VALUE(TRIM(INDEX($A51:$Z51,MATCH(Lists!$B$11,$A$1:$Z$1,0))&amp;""))),""),"")</f>
        <v/>
      </c>
      <c r="AG51" s="38">
        <f>IF(OR($AR51=0,$AF51="",'Start here'!$F$10="",'Start here'!$F$11="",'Start here'!$F$12="",'Start here'!$F$13="",'Start here'!$F$14=""),"",IF($AF51&lt;'Start here'!$F$10,'Start here'!$F$11,IF($AF51&lt;'Start here'!$F$12,'Start here'!$F$13,'Start here'!$F$14)))</f>
        <v/>
      </c>
      <c r="AH51" s="38">
        <f>IF(OR($AG51="",'Start here'!$F$9=""),"",IF($AF51&lt;=0,"",IFERROR(MAX($AG51,ROUNDUP(ROUND($AF51*'Start here'!$F$9/$AG51,6),0)*$AG51),"")))</f>
        <v/>
      </c>
      <c r="AI51" s="37">
        <f>IF($AR51=0,"",IF($AN51=Lists!$B$19,"",IF(AND($AN51=Lists!$B$18,$AQ51&lt;&gt;""),$AQ51,IF(AND($AP51=Lists!$B$17,$AL51&lt;&gt;""),$AL51,$AK51))))</f>
        <v/>
      </c>
      <c r="AJ51" s="37">
        <f>IF($AR51=0,"",IF(IF($AF51="",", no value",IF($AF51&lt;=0,", no value",""))&amp;IF('Start here'!$F$15="","",IF(LEN($AD51)&lt;'Start here'!$F$15,", short description",""))="","OK",MID(IF($AF51="",", no value",IF($AF51&lt;=0,", no value",""))&amp;IF('Start here'!$F$15="","",IF(LEN($AD51)&lt;'Start here'!$F$15,", short description","")),3,200)))</f>
        <v/>
      </c>
      <c r="AK51" s="37">
        <f>IF($AR51=1,IFERROR(TRIM(INDEX($A51:$Z51,MATCH(Lists!$B$5,$A$1:$Z$1,0))&amp;""),""),"")</f>
        <v/>
      </c>
      <c r="AL51" s="37">
        <f>IF($AR51=1,IFERROR(TRIM(INDEX($A51:$Z51,MATCH(Lists!$B$4,$A$1:$Z$1,0))&amp;""),""),"")</f>
        <v/>
      </c>
      <c r="AM51" s="37">
        <f>IF($AR51=1,IFERROR(TRIM(INDEX($A51:$Z51,MATCH(Lists!$B$6,$A$1:$Z$1,0))&amp;""),""),"")</f>
        <v/>
      </c>
      <c r="AN51" s="37">
        <f>IF($AR51=1,IFERROR(TRIM(INDEX($A51:$Z51,MATCH(Lists!$B$7,$A$1:$Z$1,0))&amp;""),""),"")</f>
        <v/>
      </c>
      <c r="AO51" s="37">
        <f>IF($AR51=1,IFERROR(TRIM(INDEX($A51:$Z51,MATCH(Lists!$B$13,$A$1:$Z$1,0))&amp;""),""),"")</f>
        <v/>
      </c>
      <c r="AP51" s="37">
        <f>IF($AR51=1,IFERROR(TRIM(INDEX($A51:$Z51,MATCH(Lists!$B$3,$A$1:$Z$1,0))&amp;""),""),"")</f>
        <v/>
      </c>
      <c r="AQ51" s="37">
        <f>IF($AR51=1,IFERROR(TRIM(INDEX($A51:$Z51,MATCH(Lists!$B$8,$A$1:$Z$1,0))&amp;""),""),"")</f>
        <v/>
      </c>
      <c r="AR51" s="36">
        <f>IF(LEN($AC51)&gt;0,1,0)</f>
        <v/>
      </c>
      <c r="AS51" s="37">
        <f>IF($AR51=1,IF(IFERROR(IF(ISNUMBER(INDEX($A51:$Z51,MATCH(Lists!$B$2,$A$1:$Z$1,0))),INDEX($A51:$Z51,MATCH(Lists!$B$2,$A$1:$Z$1,0)),DATE(VALUE(LEFT(IFERROR(TRIM(INDEX($A51:$Z51,MATCH(Lists!$B$2,$A$1:$Z$1,0))&amp;""),""),4)),VALUE(MID(IFERROR(TRIM(INDEX($A51:$Z51,MATCH(Lists!$B$2,$A$1:$Z$1,0))&amp;""),""),6,2)),VALUE(MID(IFERROR(TRIM(INDEX($A51:$Z51,MATCH(Lists!$B$2,$A$1:$Z$1,0))&amp;""),""),9,2)))+TIME(VALUE(MID(IFERROR(TRIM(INDEX($A51:$Z51,MATCH(Lists!$B$2,$A$1:$Z$1,0))&amp;""),""),12,2)),VALUE(MID(IFERROR(TRIM(INDEX($A51:$Z51,MATCH(Lists!$B$2,$A$1:$Z$1,0))&amp;""),""),15,2)),VALUE(MID(IFERROR(TRIM(INDEX($A51:$Z51,MATCH(Lists!$B$2,$A$1:$Z$1,0))&amp;""),""),18,2)))),"")="",100000+ROW()/10^7,IFERROR(IF(ISNUMBER(INDEX($A51:$Z51,MATCH(Lists!$B$2,$A$1:$Z$1,0))),INDEX($A51:$Z51,MATCH(Lists!$B$2,$A$1:$Z$1,0)),DATE(VALUE(LEFT(IFERROR(TRIM(INDEX($A51:$Z51,MATCH(Lists!$B$2,$A$1:$Z$1,0))&amp;""),""),4)),VALUE(MID(IFERROR(TRIM(INDEX($A51:$Z51,MATCH(Lists!$B$2,$A$1:$Z$1,0))&amp;""),""),6,2)),VALUE(MID(IFERROR(TRIM(INDEX($A51:$Z51,MATCH(Lists!$B$2,$A$1:$Z$1,0))&amp;""),""),9,2)))+TIME(VALUE(MID(IFERROR(TRIM(INDEX($A51:$Z51,MATCH(Lists!$B$2,$A$1:$Z$1,0))&amp;""),""),12,2)),VALUE(MID(IFERROR(TRIM(INDEX($A51:$Z51,MATCH(Lists!$B$2,$A$1:$Z$1,0))&amp;""),""),15,2)),VALUE(MID(IFERROR(TRIM(INDEX($A51:$Z51,MATCH(Lists!$B$2,$A$1:$Z$1,0))&amp;""),""),18,2)))),"")-ROW()/10^7),"")</f>
        <v/>
      </c>
    </row>
    <row r="52">
      <c r="AB52" s="36">
        <f>IF($AR52=1,COUNTIF($AS$2:$AS$201,"&lt;"&amp;$AS52)+1,"")</f>
        <v/>
      </c>
      <c r="AC52" s="37">
        <f>IFERROR(TRIM(INDEX($A52:$Z52,MATCH(Lists!$B$9,$A$1:$Z$1,0))&amp;""),"")</f>
        <v/>
      </c>
      <c r="AD52" s="37">
        <f>IF($AR52=1,IFERROR(TRIM(INDEX($A52:$Z52,MATCH(Lists!$B$10,$A$1:$Z$1,0))&amp;""),""),"")</f>
        <v/>
      </c>
      <c r="AE52" s="37">
        <f>IF($AR52=1,IFERROR(TRIM(INDEX($A52:$Z52,MATCH(Lists!$B$12,$A$1:$Z$1,0))&amp;""),""),"")</f>
        <v/>
      </c>
      <c r="AF52" s="38">
        <f>IF($AR52=1,IFERROR(IF(TRIM(INDEX($A52:$Z52,MATCH(Lists!$B$11,$A$1:$Z$1,0))&amp;"")="","",VALUE(TRIM(INDEX($A52:$Z52,MATCH(Lists!$B$11,$A$1:$Z$1,0))&amp;""))),""),"")</f>
        <v/>
      </c>
      <c r="AG52" s="38">
        <f>IF(OR($AR52=0,$AF52="",'Start here'!$F$10="",'Start here'!$F$11="",'Start here'!$F$12="",'Start here'!$F$13="",'Start here'!$F$14=""),"",IF($AF52&lt;'Start here'!$F$10,'Start here'!$F$11,IF($AF52&lt;'Start here'!$F$12,'Start here'!$F$13,'Start here'!$F$14)))</f>
        <v/>
      </c>
      <c r="AH52" s="38">
        <f>IF(OR($AG52="",'Start here'!$F$9=""),"",IF($AF52&lt;=0,"",IFERROR(MAX($AG52,ROUNDUP(ROUND($AF52*'Start here'!$F$9/$AG52,6),0)*$AG52),"")))</f>
        <v/>
      </c>
      <c r="AI52" s="37">
        <f>IF($AR52=0,"",IF($AN52=Lists!$B$19,"",IF(AND($AN52=Lists!$B$18,$AQ52&lt;&gt;""),$AQ52,IF(AND($AP52=Lists!$B$17,$AL52&lt;&gt;""),$AL52,$AK52))))</f>
        <v/>
      </c>
      <c r="AJ52" s="37">
        <f>IF($AR52=0,"",IF(IF($AF52="",", no value",IF($AF52&lt;=0,", no value",""))&amp;IF('Start here'!$F$15="","",IF(LEN($AD52)&lt;'Start here'!$F$15,", short description",""))="","OK",MID(IF($AF52="",", no value",IF($AF52&lt;=0,", no value",""))&amp;IF('Start here'!$F$15="","",IF(LEN($AD52)&lt;'Start here'!$F$15,", short description","")),3,200)))</f>
        <v/>
      </c>
      <c r="AK52" s="37">
        <f>IF($AR52=1,IFERROR(TRIM(INDEX($A52:$Z52,MATCH(Lists!$B$5,$A$1:$Z$1,0))&amp;""),""),"")</f>
        <v/>
      </c>
      <c r="AL52" s="37">
        <f>IF($AR52=1,IFERROR(TRIM(INDEX($A52:$Z52,MATCH(Lists!$B$4,$A$1:$Z$1,0))&amp;""),""),"")</f>
        <v/>
      </c>
      <c r="AM52" s="37">
        <f>IF($AR52=1,IFERROR(TRIM(INDEX($A52:$Z52,MATCH(Lists!$B$6,$A$1:$Z$1,0))&amp;""),""),"")</f>
        <v/>
      </c>
      <c r="AN52" s="37">
        <f>IF($AR52=1,IFERROR(TRIM(INDEX($A52:$Z52,MATCH(Lists!$B$7,$A$1:$Z$1,0))&amp;""),""),"")</f>
        <v/>
      </c>
      <c r="AO52" s="37">
        <f>IF($AR52=1,IFERROR(TRIM(INDEX($A52:$Z52,MATCH(Lists!$B$13,$A$1:$Z$1,0))&amp;""),""),"")</f>
        <v/>
      </c>
      <c r="AP52" s="37">
        <f>IF($AR52=1,IFERROR(TRIM(INDEX($A52:$Z52,MATCH(Lists!$B$3,$A$1:$Z$1,0))&amp;""),""),"")</f>
        <v/>
      </c>
      <c r="AQ52" s="37">
        <f>IF($AR52=1,IFERROR(TRIM(INDEX($A52:$Z52,MATCH(Lists!$B$8,$A$1:$Z$1,0))&amp;""),""),"")</f>
        <v/>
      </c>
      <c r="AR52" s="36">
        <f>IF(LEN($AC52)&gt;0,1,0)</f>
        <v/>
      </c>
      <c r="AS52" s="37">
        <f>IF($AR52=1,IF(IFERROR(IF(ISNUMBER(INDEX($A52:$Z52,MATCH(Lists!$B$2,$A$1:$Z$1,0))),INDEX($A52:$Z52,MATCH(Lists!$B$2,$A$1:$Z$1,0)),DATE(VALUE(LEFT(IFERROR(TRIM(INDEX($A52:$Z52,MATCH(Lists!$B$2,$A$1:$Z$1,0))&amp;""),""),4)),VALUE(MID(IFERROR(TRIM(INDEX($A52:$Z52,MATCH(Lists!$B$2,$A$1:$Z$1,0))&amp;""),""),6,2)),VALUE(MID(IFERROR(TRIM(INDEX($A52:$Z52,MATCH(Lists!$B$2,$A$1:$Z$1,0))&amp;""),""),9,2)))+TIME(VALUE(MID(IFERROR(TRIM(INDEX($A52:$Z52,MATCH(Lists!$B$2,$A$1:$Z$1,0))&amp;""),""),12,2)),VALUE(MID(IFERROR(TRIM(INDEX($A52:$Z52,MATCH(Lists!$B$2,$A$1:$Z$1,0))&amp;""),""),15,2)),VALUE(MID(IFERROR(TRIM(INDEX($A52:$Z52,MATCH(Lists!$B$2,$A$1:$Z$1,0))&amp;""),""),18,2)))),"")="",100000+ROW()/10^7,IFERROR(IF(ISNUMBER(INDEX($A52:$Z52,MATCH(Lists!$B$2,$A$1:$Z$1,0))),INDEX($A52:$Z52,MATCH(Lists!$B$2,$A$1:$Z$1,0)),DATE(VALUE(LEFT(IFERROR(TRIM(INDEX($A52:$Z52,MATCH(Lists!$B$2,$A$1:$Z$1,0))&amp;""),""),4)),VALUE(MID(IFERROR(TRIM(INDEX($A52:$Z52,MATCH(Lists!$B$2,$A$1:$Z$1,0))&amp;""),""),6,2)),VALUE(MID(IFERROR(TRIM(INDEX($A52:$Z52,MATCH(Lists!$B$2,$A$1:$Z$1,0))&amp;""),""),9,2)))+TIME(VALUE(MID(IFERROR(TRIM(INDEX($A52:$Z52,MATCH(Lists!$B$2,$A$1:$Z$1,0))&amp;""),""),12,2)),VALUE(MID(IFERROR(TRIM(INDEX($A52:$Z52,MATCH(Lists!$B$2,$A$1:$Z$1,0))&amp;""),""),15,2)),VALUE(MID(IFERROR(TRIM(INDEX($A52:$Z52,MATCH(Lists!$B$2,$A$1:$Z$1,0))&amp;""),""),18,2)))),"")-ROW()/10^7),"")</f>
        <v/>
      </c>
    </row>
    <row r="53">
      <c r="AB53" s="36">
        <f>IF($AR53=1,COUNTIF($AS$2:$AS$201,"&lt;"&amp;$AS53)+1,"")</f>
        <v/>
      </c>
      <c r="AC53" s="37">
        <f>IFERROR(TRIM(INDEX($A53:$Z53,MATCH(Lists!$B$9,$A$1:$Z$1,0))&amp;""),"")</f>
        <v/>
      </c>
      <c r="AD53" s="37">
        <f>IF($AR53=1,IFERROR(TRIM(INDEX($A53:$Z53,MATCH(Lists!$B$10,$A$1:$Z$1,0))&amp;""),""),"")</f>
        <v/>
      </c>
      <c r="AE53" s="37">
        <f>IF($AR53=1,IFERROR(TRIM(INDEX($A53:$Z53,MATCH(Lists!$B$12,$A$1:$Z$1,0))&amp;""),""),"")</f>
        <v/>
      </c>
      <c r="AF53" s="38">
        <f>IF($AR53=1,IFERROR(IF(TRIM(INDEX($A53:$Z53,MATCH(Lists!$B$11,$A$1:$Z$1,0))&amp;"")="","",VALUE(TRIM(INDEX($A53:$Z53,MATCH(Lists!$B$11,$A$1:$Z$1,0))&amp;""))),""),"")</f>
        <v/>
      </c>
      <c r="AG53" s="38">
        <f>IF(OR($AR53=0,$AF53="",'Start here'!$F$10="",'Start here'!$F$11="",'Start here'!$F$12="",'Start here'!$F$13="",'Start here'!$F$14=""),"",IF($AF53&lt;'Start here'!$F$10,'Start here'!$F$11,IF($AF53&lt;'Start here'!$F$12,'Start here'!$F$13,'Start here'!$F$14)))</f>
        <v/>
      </c>
      <c r="AH53" s="38">
        <f>IF(OR($AG53="",'Start here'!$F$9=""),"",IF($AF53&lt;=0,"",IFERROR(MAX($AG53,ROUNDUP(ROUND($AF53*'Start here'!$F$9/$AG53,6),0)*$AG53),"")))</f>
        <v/>
      </c>
      <c r="AI53" s="37">
        <f>IF($AR53=0,"",IF($AN53=Lists!$B$19,"",IF(AND($AN53=Lists!$B$18,$AQ53&lt;&gt;""),$AQ53,IF(AND($AP53=Lists!$B$17,$AL53&lt;&gt;""),$AL53,$AK53))))</f>
        <v/>
      </c>
      <c r="AJ53" s="37">
        <f>IF($AR53=0,"",IF(IF($AF53="",", no value",IF($AF53&lt;=0,", no value",""))&amp;IF('Start here'!$F$15="","",IF(LEN($AD53)&lt;'Start here'!$F$15,", short description",""))="","OK",MID(IF($AF53="",", no value",IF($AF53&lt;=0,", no value",""))&amp;IF('Start here'!$F$15="","",IF(LEN($AD53)&lt;'Start here'!$F$15,", short description","")),3,200)))</f>
        <v/>
      </c>
      <c r="AK53" s="37">
        <f>IF($AR53=1,IFERROR(TRIM(INDEX($A53:$Z53,MATCH(Lists!$B$5,$A$1:$Z$1,0))&amp;""),""),"")</f>
        <v/>
      </c>
      <c r="AL53" s="37">
        <f>IF($AR53=1,IFERROR(TRIM(INDEX($A53:$Z53,MATCH(Lists!$B$4,$A$1:$Z$1,0))&amp;""),""),"")</f>
        <v/>
      </c>
      <c r="AM53" s="37">
        <f>IF($AR53=1,IFERROR(TRIM(INDEX($A53:$Z53,MATCH(Lists!$B$6,$A$1:$Z$1,0))&amp;""),""),"")</f>
        <v/>
      </c>
      <c r="AN53" s="37">
        <f>IF($AR53=1,IFERROR(TRIM(INDEX($A53:$Z53,MATCH(Lists!$B$7,$A$1:$Z$1,0))&amp;""),""),"")</f>
        <v/>
      </c>
      <c r="AO53" s="37">
        <f>IF($AR53=1,IFERROR(TRIM(INDEX($A53:$Z53,MATCH(Lists!$B$13,$A$1:$Z$1,0))&amp;""),""),"")</f>
        <v/>
      </c>
      <c r="AP53" s="37">
        <f>IF($AR53=1,IFERROR(TRIM(INDEX($A53:$Z53,MATCH(Lists!$B$3,$A$1:$Z$1,0))&amp;""),""),"")</f>
        <v/>
      </c>
      <c r="AQ53" s="37">
        <f>IF($AR53=1,IFERROR(TRIM(INDEX($A53:$Z53,MATCH(Lists!$B$8,$A$1:$Z$1,0))&amp;""),""),"")</f>
        <v/>
      </c>
      <c r="AR53" s="36">
        <f>IF(LEN($AC53)&gt;0,1,0)</f>
        <v/>
      </c>
      <c r="AS53" s="37">
        <f>IF($AR53=1,IF(IFERROR(IF(ISNUMBER(INDEX($A53:$Z53,MATCH(Lists!$B$2,$A$1:$Z$1,0))),INDEX($A53:$Z53,MATCH(Lists!$B$2,$A$1:$Z$1,0)),DATE(VALUE(LEFT(IFERROR(TRIM(INDEX($A53:$Z53,MATCH(Lists!$B$2,$A$1:$Z$1,0))&amp;""),""),4)),VALUE(MID(IFERROR(TRIM(INDEX($A53:$Z53,MATCH(Lists!$B$2,$A$1:$Z$1,0))&amp;""),""),6,2)),VALUE(MID(IFERROR(TRIM(INDEX($A53:$Z53,MATCH(Lists!$B$2,$A$1:$Z$1,0))&amp;""),""),9,2)))+TIME(VALUE(MID(IFERROR(TRIM(INDEX($A53:$Z53,MATCH(Lists!$B$2,$A$1:$Z$1,0))&amp;""),""),12,2)),VALUE(MID(IFERROR(TRIM(INDEX($A53:$Z53,MATCH(Lists!$B$2,$A$1:$Z$1,0))&amp;""),""),15,2)),VALUE(MID(IFERROR(TRIM(INDEX($A53:$Z53,MATCH(Lists!$B$2,$A$1:$Z$1,0))&amp;""),""),18,2)))),"")="",100000+ROW()/10^7,IFERROR(IF(ISNUMBER(INDEX($A53:$Z53,MATCH(Lists!$B$2,$A$1:$Z$1,0))),INDEX($A53:$Z53,MATCH(Lists!$B$2,$A$1:$Z$1,0)),DATE(VALUE(LEFT(IFERROR(TRIM(INDEX($A53:$Z53,MATCH(Lists!$B$2,$A$1:$Z$1,0))&amp;""),""),4)),VALUE(MID(IFERROR(TRIM(INDEX($A53:$Z53,MATCH(Lists!$B$2,$A$1:$Z$1,0))&amp;""),""),6,2)),VALUE(MID(IFERROR(TRIM(INDEX($A53:$Z53,MATCH(Lists!$B$2,$A$1:$Z$1,0))&amp;""),""),9,2)))+TIME(VALUE(MID(IFERROR(TRIM(INDEX($A53:$Z53,MATCH(Lists!$B$2,$A$1:$Z$1,0))&amp;""),""),12,2)),VALUE(MID(IFERROR(TRIM(INDEX($A53:$Z53,MATCH(Lists!$B$2,$A$1:$Z$1,0))&amp;""),""),15,2)),VALUE(MID(IFERROR(TRIM(INDEX($A53:$Z53,MATCH(Lists!$B$2,$A$1:$Z$1,0))&amp;""),""),18,2)))),"")-ROW()/10^7),"")</f>
        <v/>
      </c>
    </row>
    <row r="54">
      <c r="AB54" s="36">
        <f>IF($AR54=1,COUNTIF($AS$2:$AS$201,"&lt;"&amp;$AS54)+1,"")</f>
        <v/>
      </c>
      <c r="AC54" s="37">
        <f>IFERROR(TRIM(INDEX($A54:$Z54,MATCH(Lists!$B$9,$A$1:$Z$1,0))&amp;""),"")</f>
        <v/>
      </c>
      <c r="AD54" s="37">
        <f>IF($AR54=1,IFERROR(TRIM(INDEX($A54:$Z54,MATCH(Lists!$B$10,$A$1:$Z$1,0))&amp;""),""),"")</f>
        <v/>
      </c>
      <c r="AE54" s="37">
        <f>IF($AR54=1,IFERROR(TRIM(INDEX($A54:$Z54,MATCH(Lists!$B$12,$A$1:$Z$1,0))&amp;""),""),"")</f>
        <v/>
      </c>
      <c r="AF54" s="38">
        <f>IF($AR54=1,IFERROR(IF(TRIM(INDEX($A54:$Z54,MATCH(Lists!$B$11,$A$1:$Z$1,0))&amp;"")="","",VALUE(TRIM(INDEX($A54:$Z54,MATCH(Lists!$B$11,$A$1:$Z$1,0))&amp;""))),""),"")</f>
        <v/>
      </c>
      <c r="AG54" s="38">
        <f>IF(OR($AR54=0,$AF54="",'Start here'!$F$10="",'Start here'!$F$11="",'Start here'!$F$12="",'Start here'!$F$13="",'Start here'!$F$14=""),"",IF($AF54&lt;'Start here'!$F$10,'Start here'!$F$11,IF($AF54&lt;'Start here'!$F$12,'Start here'!$F$13,'Start here'!$F$14)))</f>
        <v/>
      </c>
      <c r="AH54" s="38">
        <f>IF(OR($AG54="",'Start here'!$F$9=""),"",IF($AF54&lt;=0,"",IFERROR(MAX($AG54,ROUNDUP(ROUND($AF54*'Start here'!$F$9/$AG54,6),0)*$AG54),"")))</f>
        <v/>
      </c>
      <c r="AI54" s="37">
        <f>IF($AR54=0,"",IF($AN54=Lists!$B$19,"",IF(AND($AN54=Lists!$B$18,$AQ54&lt;&gt;""),$AQ54,IF(AND($AP54=Lists!$B$17,$AL54&lt;&gt;""),$AL54,$AK54))))</f>
        <v/>
      </c>
      <c r="AJ54" s="37">
        <f>IF($AR54=0,"",IF(IF($AF54="",", no value",IF($AF54&lt;=0,", no value",""))&amp;IF('Start here'!$F$15="","",IF(LEN($AD54)&lt;'Start here'!$F$15,", short description",""))="","OK",MID(IF($AF54="",", no value",IF($AF54&lt;=0,", no value",""))&amp;IF('Start here'!$F$15="","",IF(LEN($AD54)&lt;'Start here'!$F$15,", short description","")),3,200)))</f>
        <v/>
      </c>
      <c r="AK54" s="37">
        <f>IF($AR54=1,IFERROR(TRIM(INDEX($A54:$Z54,MATCH(Lists!$B$5,$A$1:$Z$1,0))&amp;""),""),"")</f>
        <v/>
      </c>
      <c r="AL54" s="37">
        <f>IF($AR54=1,IFERROR(TRIM(INDEX($A54:$Z54,MATCH(Lists!$B$4,$A$1:$Z$1,0))&amp;""),""),"")</f>
        <v/>
      </c>
      <c r="AM54" s="37">
        <f>IF($AR54=1,IFERROR(TRIM(INDEX($A54:$Z54,MATCH(Lists!$B$6,$A$1:$Z$1,0))&amp;""),""),"")</f>
        <v/>
      </c>
      <c r="AN54" s="37">
        <f>IF($AR54=1,IFERROR(TRIM(INDEX($A54:$Z54,MATCH(Lists!$B$7,$A$1:$Z$1,0))&amp;""),""),"")</f>
        <v/>
      </c>
      <c r="AO54" s="37">
        <f>IF($AR54=1,IFERROR(TRIM(INDEX($A54:$Z54,MATCH(Lists!$B$13,$A$1:$Z$1,0))&amp;""),""),"")</f>
        <v/>
      </c>
      <c r="AP54" s="37">
        <f>IF($AR54=1,IFERROR(TRIM(INDEX($A54:$Z54,MATCH(Lists!$B$3,$A$1:$Z$1,0))&amp;""),""),"")</f>
        <v/>
      </c>
      <c r="AQ54" s="37">
        <f>IF($AR54=1,IFERROR(TRIM(INDEX($A54:$Z54,MATCH(Lists!$B$8,$A$1:$Z$1,0))&amp;""),""),"")</f>
        <v/>
      </c>
      <c r="AR54" s="36">
        <f>IF(LEN($AC54)&gt;0,1,0)</f>
        <v/>
      </c>
      <c r="AS54" s="37">
        <f>IF($AR54=1,IF(IFERROR(IF(ISNUMBER(INDEX($A54:$Z54,MATCH(Lists!$B$2,$A$1:$Z$1,0))),INDEX($A54:$Z54,MATCH(Lists!$B$2,$A$1:$Z$1,0)),DATE(VALUE(LEFT(IFERROR(TRIM(INDEX($A54:$Z54,MATCH(Lists!$B$2,$A$1:$Z$1,0))&amp;""),""),4)),VALUE(MID(IFERROR(TRIM(INDEX($A54:$Z54,MATCH(Lists!$B$2,$A$1:$Z$1,0))&amp;""),""),6,2)),VALUE(MID(IFERROR(TRIM(INDEX($A54:$Z54,MATCH(Lists!$B$2,$A$1:$Z$1,0))&amp;""),""),9,2)))+TIME(VALUE(MID(IFERROR(TRIM(INDEX($A54:$Z54,MATCH(Lists!$B$2,$A$1:$Z$1,0))&amp;""),""),12,2)),VALUE(MID(IFERROR(TRIM(INDEX($A54:$Z54,MATCH(Lists!$B$2,$A$1:$Z$1,0))&amp;""),""),15,2)),VALUE(MID(IFERROR(TRIM(INDEX($A54:$Z54,MATCH(Lists!$B$2,$A$1:$Z$1,0))&amp;""),""),18,2)))),"")="",100000+ROW()/10^7,IFERROR(IF(ISNUMBER(INDEX($A54:$Z54,MATCH(Lists!$B$2,$A$1:$Z$1,0))),INDEX($A54:$Z54,MATCH(Lists!$B$2,$A$1:$Z$1,0)),DATE(VALUE(LEFT(IFERROR(TRIM(INDEX($A54:$Z54,MATCH(Lists!$B$2,$A$1:$Z$1,0))&amp;""),""),4)),VALUE(MID(IFERROR(TRIM(INDEX($A54:$Z54,MATCH(Lists!$B$2,$A$1:$Z$1,0))&amp;""),""),6,2)),VALUE(MID(IFERROR(TRIM(INDEX($A54:$Z54,MATCH(Lists!$B$2,$A$1:$Z$1,0))&amp;""),""),9,2)))+TIME(VALUE(MID(IFERROR(TRIM(INDEX($A54:$Z54,MATCH(Lists!$B$2,$A$1:$Z$1,0))&amp;""),""),12,2)),VALUE(MID(IFERROR(TRIM(INDEX($A54:$Z54,MATCH(Lists!$B$2,$A$1:$Z$1,0))&amp;""),""),15,2)),VALUE(MID(IFERROR(TRIM(INDEX($A54:$Z54,MATCH(Lists!$B$2,$A$1:$Z$1,0))&amp;""),""),18,2)))),"")-ROW()/10^7),"")</f>
        <v/>
      </c>
    </row>
    <row r="55">
      <c r="AB55" s="36">
        <f>IF($AR55=1,COUNTIF($AS$2:$AS$201,"&lt;"&amp;$AS55)+1,"")</f>
        <v/>
      </c>
      <c r="AC55" s="37">
        <f>IFERROR(TRIM(INDEX($A55:$Z55,MATCH(Lists!$B$9,$A$1:$Z$1,0))&amp;""),"")</f>
        <v/>
      </c>
      <c r="AD55" s="37">
        <f>IF($AR55=1,IFERROR(TRIM(INDEX($A55:$Z55,MATCH(Lists!$B$10,$A$1:$Z$1,0))&amp;""),""),"")</f>
        <v/>
      </c>
      <c r="AE55" s="37">
        <f>IF($AR55=1,IFERROR(TRIM(INDEX($A55:$Z55,MATCH(Lists!$B$12,$A$1:$Z$1,0))&amp;""),""),"")</f>
        <v/>
      </c>
      <c r="AF55" s="38">
        <f>IF($AR55=1,IFERROR(IF(TRIM(INDEX($A55:$Z55,MATCH(Lists!$B$11,$A$1:$Z$1,0))&amp;"")="","",VALUE(TRIM(INDEX($A55:$Z55,MATCH(Lists!$B$11,$A$1:$Z$1,0))&amp;""))),""),"")</f>
        <v/>
      </c>
      <c r="AG55" s="38">
        <f>IF(OR($AR55=0,$AF55="",'Start here'!$F$10="",'Start here'!$F$11="",'Start here'!$F$12="",'Start here'!$F$13="",'Start here'!$F$14=""),"",IF($AF55&lt;'Start here'!$F$10,'Start here'!$F$11,IF($AF55&lt;'Start here'!$F$12,'Start here'!$F$13,'Start here'!$F$14)))</f>
        <v/>
      </c>
      <c r="AH55" s="38">
        <f>IF(OR($AG55="",'Start here'!$F$9=""),"",IF($AF55&lt;=0,"",IFERROR(MAX($AG55,ROUNDUP(ROUND($AF55*'Start here'!$F$9/$AG55,6),0)*$AG55),"")))</f>
        <v/>
      </c>
      <c r="AI55" s="37">
        <f>IF($AR55=0,"",IF($AN55=Lists!$B$19,"",IF(AND($AN55=Lists!$B$18,$AQ55&lt;&gt;""),$AQ55,IF(AND($AP55=Lists!$B$17,$AL55&lt;&gt;""),$AL55,$AK55))))</f>
        <v/>
      </c>
      <c r="AJ55" s="37">
        <f>IF($AR55=0,"",IF(IF($AF55="",", no value",IF($AF55&lt;=0,", no value",""))&amp;IF('Start here'!$F$15="","",IF(LEN($AD55)&lt;'Start here'!$F$15,", short description",""))="","OK",MID(IF($AF55="",", no value",IF($AF55&lt;=0,", no value",""))&amp;IF('Start here'!$F$15="","",IF(LEN($AD55)&lt;'Start here'!$F$15,", short description","")),3,200)))</f>
        <v/>
      </c>
      <c r="AK55" s="37">
        <f>IF($AR55=1,IFERROR(TRIM(INDEX($A55:$Z55,MATCH(Lists!$B$5,$A$1:$Z$1,0))&amp;""),""),"")</f>
        <v/>
      </c>
      <c r="AL55" s="37">
        <f>IF($AR55=1,IFERROR(TRIM(INDEX($A55:$Z55,MATCH(Lists!$B$4,$A$1:$Z$1,0))&amp;""),""),"")</f>
        <v/>
      </c>
      <c r="AM55" s="37">
        <f>IF($AR55=1,IFERROR(TRIM(INDEX($A55:$Z55,MATCH(Lists!$B$6,$A$1:$Z$1,0))&amp;""),""),"")</f>
        <v/>
      </c>
      <c r="AN55" s="37">
        <f>IF($AR55=1,IFERROR(TRIM(INDEX($A55:$Z55,MATCH(Lists!$B$7,$A$1:$Z$1,0))&amp;""),""),"")</f>
        <v/>
      </c>
      <c r="AO55" s="37">
        <f>IF($AR55=1,IFERROR(TRIM(INDEX($A55:$Z55,MATCH(Lists!$B$13,$A$1:$Z$1,0))&amp;""),""),"")</f>
        <v/>
      </c>
      <c r="AP55" s="37">
        <f>IF($AR55=1,IFERROR(TRIM(INDEX($A55:$Z55,MATCH(Lists!$B$3,$A$1:$Z$1,0))&amp;""),""),"")</f>
        <v/>
      </c>
      <c r="AQ55" s="37">
        <f>IF($AR55=1,IFERROR(TRIM(INDEX($A55:$Z55,MATCH(Lists!$B$8,$A$1:$Z$1,0))&amp;""),""),"")</f>
        <v/>
      </c>
      <c r="AR55" s="36">
        <f>IF(LEN($AC55)&gt;0,1,0)</f>
        <v/>
      </c>
      <c r="AS55" s="37">
        <f>IF($AR55=1,IF(IFERROR(IF(ISNUMBER(INDEX($A55:$Z55,MATCH(Lists!$B$2,$A$1:$Z$1,0))),INDEX($A55:$Z55,MATCH(Lists!$B$2,$A$1:$Z$1,0)),DATE(VALUE(LEFT(IFERROR(TRIM(INDEX($A55:$Z55,MATCH(Lists!$B$2,$A$1:$Z$1,0))&amp;""),""),4)),VALUE(MID(IFERROR(TRIM(INDEX($A55:$Z55,MATCH(Lists!$B$2,$A$1:$Z$1,0))&amp;""),""),6,2)),VALUE(MID(IFERROR(TRIM(INDEX($A55:$Z55,MATCH(Lists!$B$2,$A$1:$Z$1,0))&amp;""),""),9,2)))+TIME(VALUE(MID(IFERROR(TRIM(INDEX($A55:$Z55,MATCH(Lists!$B$2,$A$1:$Z$1,0))&amp;""),""),12,2)),VALUE(MID(IFERROR(TRIM(INDEX($A55:$Z55,MATCH(Lists!$B$2,$A$1:$Z$1,0))&amp;""),""),15,2)),VALUE(MID(IFERROR(TRIM(INDEX($A55:$Z55,MATCH(Lists!$B$2,$A$1:$Z$1,0))&amp;""),""),18,2)))),"")="",100000+ROW()/10^7,IFERROR(IF(ISNUMBER(INDEX($A55:$Z55,MATCH(Lists!$B$2,$A$1:$Z$1,0))),INDEX($A55:$Z55,MATCH(Lists!$B$2,$A$1:$Z$1,0)),DATE(VALUE(LEFT(IFERROR(TRIM(INDEX($A55:$Z55,MATCH(Lists!$B$2,$A$1:$Z$1,0))&amp;""),""),4)),VALUE(MID(IFERROR(TRIM(INDEX($A55:$Z55,MATCH(Lists!$B$2,$A$1:$Z$1,0))&amp;""),""),6,2)),VALUE(MID(IFERROR(TRIM(INDEX($A55:$Z55,MATCH(Lists!$B$2,$A$1:$Z$1,0))&amp;""),""),9,2)))+TIME(VALUE(MID(IFERROR(TRIM(INDEX($A55:$Z55,MATCH(Lists!$B$2,$A$1:$Z$1,0))&amp;""),""),12,2)),VALUE(MID(IFERROR(TRIM(INDEX($A55:$Z55,MATCH(Lists!$B$2,$A$1:$Z$1,0))&amp;""),""),15,2)),VALUE(MID(IFERROR(TRIM(INDEX($A55:$Z55,MATCH(Lists!$B$2,$A$1:$Z$1,0))&amp;""),""),18,2)))),"")-ROW()/10^7),"")</f>
        <v/>
      </c>
    </row>
    <row r="56">
      <c r="AB56" s="36">
        <f>IF($AR56=1,COUNTIF($AS$2:$AS$201,"&lt;"&amp;$AS56)+1,"")</f>
        <v/>
      </c>
      <c r="AC56" s="37">
        <f>IFERROR(TRIM(INDEX($A56:$Z56,MATCH(Lists!$B$9,$A$1:$Z$1,0))&amp;""),"")</f>
        <v/>
      </c>
      <c r="AD56" s="37">
        <f>IF($AR56=1,IFERROR(TRIM(INDEX($A56:$Z56,MATCH(Lists!$B$10,$A$1:$Z$1,0))&amp;""),""),"")</f>
        <v/>
      </c>
      <c r="AE56" s="37">
        <f>IF($AR56=1,IFERROR(TRIM(INDEX($A56:$Z56,MATCH(Lists!$B$12,$A$1:$Z$1,0))&amp;""),""),"")</f>
        <v/>
      </c>
      <c r="AF56" s="38">
        <f>IF($AR56=1,IFERROR(IF(TRIM(INDEX($A56:$Z56,MATCH(Lists!$B$11,$A$1:$Z$1,0))&amp;"")="","",VALUE(TRIM(INDEX($A56:$Z56,MATCH(Lists!$B$11,$A$1:$Z$1,0))&amp;""))),""),"")</f>
        <v/>
      </c>
      <c r="AG56" s="38">
        <f>IF(OR($AR56=0,$AF56="",'Start here'!$F$10="",'Start here'!$F$11="",'Start here'!$F$12="",'Start here'!$F$13="",'Start here'!$F$14=""),"",IF($AF56&lt;'Start here'!$F$10,'Start here'!$F$11,IF($AF56&lt;'Start here'!$F$12,'Start here'!$F$13,'Start here'!$F$14)))</f>
        <v/>
      </c>
      <c r="AH56" s="38">
        <f>IF(OR($AG56="",'Start here'!$F$9=""),"",IF($AF56&lt;=0,"",IFERROR(MAX($AG56,ROUNDUP(ROUND($AF56*'Start here'!$F$9/$AG56,6),0)*$AG56),"")))</f>
        <v/>
      </c>
      <c r="AI56" s="37">
        <f>IF($AR56=0,"",IF($AN56=Lists!$B$19,"",IF(AND($AN56=Lists!$B$18,$AQ56&lt;&gt;""),$AQ56,IF(AND($AP56=Lists!$B$17,$AL56&lt;&gt;""),$AL56,$AK56))))</f>
        <v/>
      </c>
      <c r="AJ56" s="37">
        <f>IF($AR56=0,"",IF(IF($AF56="",", no value",IF($AF56&lt;=0,", no value",""))&amp;IF('Start here'!$F$15="","",IF(LEN($AD56)&lt;'Start here'!$F$15,", short description",""))="","OK",MID(IF($AF56="",", no value",IF($AF56&lt;=0,", no value",""))&amp;IF('Start here'!$F$15="","",IF(LEN($AD56)&lt;'Start here'!$F$15,", short description","")),3,200)))</f>
        <v/>
      </c>
      <c r="AK56" s="37">
        <f>IF($AR56=1,IFERROR(TRIM(INDEX($A56:$Z56,MATCH(Lists!$B$5,$A$1:$Z$1,0))&amp;""),""),"")</f>
        <v/>
      </c>
      <c r="AL56" s="37">
        <f>IF($AR56=1,IFERROR(TRIM(INDEX($A56:$Z56,MATCH(Lists!$B$4,$A$1:$Z$1,0))&amp;""),""),"")</f>
        <v/>
      </c>
      <c r="AM56" s="37">
        <f>IF($AR56=1,IFERROR(TRIM(INDEX($A56:$Z56,MATCH(Lists!$B$6,$A$1:$Z$1,0))&amp;""),""),"")</f>
        <v/>
      </c>
      <c r="AN56" s="37">
        <f>IF($AR56=1,IFERROR(TRIM(INDEX($A56:$Z56,MATCH(Lists!$B$7,$A$1:$Z$1,0))&amp;""),""),"")</f>
        <v/>
      </c>
      <c r="AO56" s="37">
        <f>IF($AR56=1,IFERROR(TRIM(INDEX($A56:$Z56,MATCH(Lists!$B$13,$A$1:$Z$1,0))&amp;""),""),"")</f>
        <v/>
      </c>
      <c r="AP56" s="37">
        <f>IF($AR56=1,IFERROR(TRIM(INDEX($A56:$Z56,MATCH(Lists!$B$3,$A$1:$Z$1,0))&amp;""),""),"")</f>
        <v/>
      </c>
      <c r="AQ56" s="37">
        <f>IF($AR56=1,IFERROR(TRIM(INDEX($A56:$Z56,MATCH(Lists!$B$8,$A$1:$Z$1,0))&amp;""),""),"")</f>
        <v/>
      </c>
      <c r="AR56" s="36">
        <f>IF(LEN($AC56)&gt;0,1,0)</f>
        <v/>
      </c>
      <c r="AS56" s="37">
        <f>IF($AR56=1,IF(IFERROR(IF(ISNUMBER(INDEX($A56:$Z56,MATCH(Lists!$B$2,$A$1:$Z$1,0))),INDEX($A56:$Z56,MATCH(Lists!$B$2,$A$1:$Z$1,0)),DATE(VALUE(LEFT(IFERROR(TRIM(INDEX($A56:$Z56,MATCH(Lists!$B$2,$A$1:$Z$1,0))&amp;""),""),4)),VALUE(MID(IFERROR(TRIM(INDEX($A56:$Z56,MATCH(Lists!$B$2,$A$1:$Z$1,0))&amp;""),""),6,2)),VALUE(MID(IFERROR(TRIM(INDEX($A56:$Z56,MATCH(Lists!$B$2,$A$1:$Z$1,0))&amp;""),""),9,2)))+TIME(VALUE(MID(IFERROR(TRIM(INDEX($A56:$Z56,MATCH(Lists!$B$2,$A$1:$Z$1,0))&amp;""),""),12,2)),VALUE(MID(IFERROR(TRIM(INDEX($A56:$Z56,MATCH(Lists!$B$2,$A$1:$Z$1,0))&amp;""),""),15,2)),VALUE(MID(IFERROR(TRIM(INDEX($A56:$Z56,MATCH(Lists!$B$2,$A$1:$Z$1,0))&amp;""),""),18,2)))),"")="",100000+ROW()/10^7,IFERROR(IF(ISNUMBER(INDEX($A56:$Z56,MATCH(Lists!$B$2,$A$1:$Z$1,0))),INDEX($A56:$Z56,MATCH(Lists!$B$2,$A$1:$Z$1,0)),DATE(VALUE(LEFT(IFERROR(TRIM(INDEX($A56:$Z56,MATCH(Lists!$B$2,$A$1:$Z$1,0))&amp;""),""),4)),VALUE(MID(IFERROR(TRIM(INDEX($A56:$Z56,MATCH(Lists!$B$2,$A$1:$Z$1,0))&amp;""),""),6,2)),VALUE(MID(IFERROR(TRIM(INDEX($A56:$Z56,MATCH(Lists!$B$2,$A$1:$Z$1,0))&amp;""),""),9,2)))+TIME(VALUE(MID(IFERROR(TRIM(INDEX($A56:$Z56,MATCH(Lists!$B$2,$A$1:$Z$1,0))&amp;""),""),12,2)),VALUE(MID(IFERROR(TRIM(INDEX($A56:$Z56,MATCH(Lists!$B$2,$A$1:$Z$1,0))&amp;""),""),15,2)),VALUE(MID(IFERROR(TRIM(INDEX($A56:$Z56,MATCH(Lists!$B$2,$A$1:$Z$1,0))&amp;""),""),18,2)))),"")-ROW()/10^7),"")</f>
        <v/>
      </c>
    </row>
    <row r="57">
      <c r="AB57" s="36">
        <f>IF($AR57=1,COUNTIF($AS$2:$AS$201,"&lt;"&amp;$AS57)+1,"")</f>
        <v/>
      </c>
      <c r="AC57" s="37">
        <f>IFERROR(TRIM(INDEX($A57:$Z57,MATCH(Lists!$B$9,$A$1:$Z$1,0))&amp;""),"")</f>
        <v/>
      </c>
      <c r="AD57" s="37">
        <f>IF($AR57=1,IFERROR(TRIM(INDEX($A57:$Z57,MATCH(Lists!$B$10,$A$1:$Z$1,0))&amp;""),""),"")</f>
        <v/>
      </c>
      <c r="AE57" s="37">
        <f>IF($AR57=1,IFERROR(TRIM(INDEX($A57:$Z57,MATCH(Lists!$B$12,$A$1:$Z$1,0))&amp;""),""),"")</f>
        <v/>
      </c>
      <c r="AF57" s="38">
        <f>IF($AR57=1,IFERROR(IF(TRIM(INDEX($A57:$Z57,MATCH(Lists!$B$11,$A$1:$Z$1,0))&amp;"")="","",VALUE(TRIM(INDEX($A57:$Z57,MATCH(Lists!$B$11,$A$1:$Z$1,0))&amp;""))),""),"")</f>
        <v/>
      </c>
      <c r="AG57" s="38">
        <f>IF(OR($AR57=0,$AF57="",'Start here'!$F$10="",'Start here'!$F$11="",'Start here'!$F$12="",'Start here'!$F$13="",'Start here'!$F$14=""),"",IF($AF57&lt;'Start here'!$F$10,'Start here'!$F$11,IF($AF57&lt;'Start here'!$F$12,'Start here'!$F$13,'Start here'!$F$14)))</f>
        <v/>
      </c>
      <c r="AH57" s="38">
        <f>IF(OR($AG57="",'Start here'!$F$9=""),"",IF($AF57&lt;=0,"",IFERROR(MAX($AG57,ROUNDUP(ROUND($AF57*'Start here'!$F$9/$AG57,6),0)*$AG57),"")))</f>
        <v/>
      </c>
      <c r="AI57" s="37">
        <f>IF($AR57=0,"",IF($AN57=Lists!$B$19,"",IF(AND($AN57=Lists!$B$18,$AQ57&lt;&gt;""),$AQ57,IF(AND($AP57=Lists!$B$17,$AL57&lt;&gt;""),$AL57,$AK57))))</f>
        <v/>
      </c>
      <c r="AJ57" s="37">
        <f>IF($AR57=0,"",IF(IF($AF57="",", no value",IF($AF57&lt;=0,", no value",""))&amp;IF('Start here'!$F$15="","",IF(LEN($AD57)&lt;'Start here'!$F$15,", short description",""))="","OK",MID(IF($AF57="",", no value",IF($AF57&lt;=0,", no value",""))&amp;IF('Start here'!$F$15="","",IF(LEN($AD57)&lt;'Start here'!$F$15,", short description","")),3,200)))</f>
        <v/>
      </c>
      <c r="AK57" s="37">
        <f>IF($AR57=1,IFERROR(TRIM(INDEX($A57:$Z57,MATCH(Lists!$B$5,$A$1:$Z$1,0))&amp;""),""),"")</f>
        <v/>
      </c>
      <c r="AL57" s="37">
        <f>IF($AR57=1,IFERROR(TRIM(INDEX($A57:$Z57,MATCH(Lists!$B$4,$A$1:$Z$1,0))&amp;""),""),"")</f>
        <v/>
      </c>
      <c r="AM57" s="37">
        <f>IF($AR57=1,IFERROR(TRIM(INDEX($A57:$Z57,MATCH(Lists!$B$6,$A$1:$Z$1,0))&amp;""),""),"")</f>
        <v/>
      </c>
      <c r="AN57" s="37">
        <f>IF($AR57=1,IFERROR(TRIM(INDEX($A57:$Z57,MATCH(Lists!$B$7,$A$1:$Z$1,0))&amp;""),""),"")</f>
        <v/>
      </c>
      <c r="AO57" s="37">
        <f>IF($AR57=1,IFERROR(TRIM(INDEX($A57:$Z57,MATCH(Lists!$B$13,$A$1:$Z$1,0))&amp;""),""),"")</f>
        <v/>
      </c>
      <c r="AP57" s="37">
        <f>IF($AR57=1,IFERROR(TRIM(INDEX($A57:$Z57,MATCH(Lists!$B$3,$A$1:$Z$1,0))&amp;""),""),"")</f>
        <v/>
      </c>
      <c r="AQ57" s="37">
        <f>IF($AR57=1,IFERROR(TRIM(INDEX($A57:$Z57,MATCH(Lists!$B$8,$A$1:$Z$1,0))&amp;""),""),"")</f>
        <v/>
      </c>
      <c r="AR57" s="36">
        <f>IF(LEN($AC57)&gt;0,1,0)</f>
        <v/>
      </c>
      <c r="AS57" s="37">
        <f>IF($AR57=1,IF(IFERROR(IF(ISNUMBER(INDEX($A57:$Z57,MATCH(Lists!$B$2,$A$1:$Z$1,0))),INDEX($A57:$Z57,MATCH(Lists!$B$2,$A$1:$Z$1,0)),DATE(VALUE(LEFT(IFERROR(TRIM(INDEX($A57:$Z57,MATCH(Lists!$B$2,$A$1:$Z$1,0))&amp;""),""),4)),VALUE(MID(IFERROR(TRIM(INDEX($A57:$Z57,MATCH(Lists!$B$2,$A$1:$Z$1,0))&amp;""),""),6,2)),VALUE(MID(IFERROR(TRIM(INDEX($A57:$Z57,MATCH(Lists!$B$2,$A$1:$Z$1,0))&amp;""),""),9,2)))+TIME(VALUE(MID(IFERROR(TRIM(INDEX($A57:$Z57,MATCH(Lists!$B$2,$A$1:$Z$1,0))&amp;""),""),12,2)),VALUE(MID(IFERROR(TRIM(INDEX($A57:$Z57,MATCH(Lists!$B$2,$A$1:$Z$1,0))&amp;""),""),15,2)),VALUE(MID(IFERROR(TRIM(INDEX($A57:$Z57,MATCH(Lists!$B$2,$A$1:$Z$1,0))&amp;""),""),18,2)))),"")="",100000+ROW()/10^7,IFERROR(IF(ISNUMBER(INDEX($A57:$Z57,MATCH(Lists!$B$2,$A$1:$Z$1,0))),INDEX($A57:$Z57,MATCH(Lists!$B$2,$A$1:$Z$1,0)),DATE(VALUE(LEFT(IFERROR(TRIM(INDEX($A57:$Z57,MATCH(Lists!$B$2,$A$1:$Z$1,0))&amp;""),""),4)),VALUE(MID(IFERROR(TRIM(INDEX($A57:$Z57,MATCH(Lists!$B$2,$A$1:$Z$1,0))&amp;""),""),6,2)),VALUE(MID(IFERROR(TRIM(INDEX($A57:$Z57,MATCH(Lists!$B$2,$A$1:$Z$1,0))&amp;""),""),9,2)))+TIME(VALUE(MID(IFERROR(TRIM(INDEX($A57:$Z57,MATCH(Lists!$B$2,$A$1:$Z$1,0))&amp;""),""),12,2)),VALUE(MID(IFERROR(TRIM(INDEX($A57:$Z57,MATCH(Lists!$B$2,$A$1:$Z$1,0))&amp;""),""),15,2)),VALUE(MID(IFERROR(TRIM(INDEX($A57:$Z57,MATCH(Lists!$B$2,$A$1:$Z$1,0))&amp;""),""),18,2)))),"")-ROW()/10^7),"")</f>
        <v/>
      </c>
    </row>
    <row r="58">
      <c r="AB58" s="36">
        <f>IF($AR58=1,COUNTIF($AS$2:$AS$201,"&lt;"&amp;$AS58)+1,"")</f>
        <v/>
      </c>
      <c r="AC58" s="37">
        <f>IFERROR(TRIM(INDEX($A58:$Z58,MATCH(Lists!$B$9,$A$1:$Z$1,0))&amp;""),"")</f>
        <v/>
      </c>
      <c r="AD58" s="37">
        <f>IF($AR58=1,IFERROR(TRIM(INDEX($A58:$Z58,MATCH(Lists!$B$10,$A$1:$Z$1,0))&amp;""),""),"")</f>
        <v/>
      </c>
      <c r="AE58" s="37">
        <f>IF($AR58=1,IFERROR(TRIM(INDEX($A58:$Z58,MATCH(Lists!$B$12,$A$1:$Z$1,0))&amp;""),""),"")</f>
        <v/>
      </c>
      <c r="AF58" s="38">
        <f>IF($AR58=1,IFERROR(IF(TRIM(INDEX($A58:$Z58,MATCH(Lists!$B$11,$A$1:$Z$1,0))&amp;"")="","",VALUE(TRIM(INDEX($A58:$Z58,MATCH(Lists!$B$11,$A$1:$Z$1,0))&amp;""))),""),"")</f>
        <v/>
      </c>
      <c r="AG58" s="38">
        <f>IF(OR($AR58=0,$AF58="",'Start here'!$F$10="",'Start here'!$F$11="",'Start here'!$F$12="",'Start here'!$F$13="",'Start here'!$F$14=""),"",IF($AF58&lt;'Start here'!$F$10,'Start here'!$F$11,IF($AF58&lt;'Start here'!$F$12,'Start here'!$F$13,'Start here'!$F$14)))</f>
        <v/>
      </c>
      <c r="AH58" s="38">
        <f>IF(OR($AG58="",'Start here'!$F$9=""),"",IF($AF58&lt;=0,"",IFERROR(MAX($AG58,ROUNDUP(ROUND($AF58*'Start here'!$F$9/$AG58,6),0)*$AG58),"")))</f>
        <v/>
      </c>
      <c r="AI58" s="37">
        <f>IF($AR58=0,"",IF($AN58=Lists!$B$19,"",IF(AND($AN58=Lists!$B$18,$AQ58&lt;&gt;""),$AQ58,IF(AND($AP58=Lists!$B$17,$AL58&lt;&gt;""),$AL58,$AK58))))</f>
        <v/>
      </c>
      <c r="AJ58" s="37">
        <f>IF($AR58=0,"",IF(IF($AF58="",", no value",IF($AF58&lt;=0,", no value",""))&amp;IF('Start here'!$F$15="","",IF(LEN($AD58)&lt;'Start here'!$F$15,", short description",""))="","OK",MID(IF($AF58="",", no value",IF($AF58&lt;=0,", no value",""))&amp;IF('Start here'!$F$15="","",IF(LEN($AD58)&lt;'Start here'!$F$15,", short description","")),3,200)))</f>
        <v/>
      </c>
      <c r="AK58" s="37">
        <f>IF($AR58=1,IFERROR(TRIM(INDEX($A58:$Z58,MATCH(Lists!$B$5,$A$1:$Z$1,0))&amp;""),""),"")</f>
        <v/>
      </c>
      <c r="AL58" s="37">
        <f>IF($AR58=1,IFERROR(TRIM(INDEX($A58:$Z58,MATCH(Lists!$B$4,$A$1:$Z$1,0))&amp;""),""),"")</f>
        <v/>
      </c>
      <c r="AM58" s="37">
        <f>IF($AR58=1,IFERROR(TRIM(INDEX($A58:$Z58,MATCH(Lists!$B$6,$A$1:$Z$1,0))&amp;""),""),"")</f>
        <v/>
      </c>
      <c r="AN58" s="37">
        <f>IF($AR58=1,IFERROR(TRIM(INDEX($A58:$Z58,MATCH(Lists!$B$7,$A$1:$Z$1,0))&amp;""),""),"")</f>
        <v/>
      </c>
      <c r="AO58" s="37">
        <f>IF($AR58=1,IFERROR(TRIM(INDEX($A58:$Z58,MATCH(Lists!$B$13,$A$1:$Z$1,0))&amp;""),""),"")</f>
        <v/>
      </c>
      <c r="AP58" s="37">
        <f>IF($AR58=1,IFERROR(TRIM(INDEX($A58:$Z58,MATCH(Lists!$B$3,$A$1:$Z$1,0))&amp;""),""),"")</f>
        <v/>
      </c>
      <c r="AQ58" s="37">
        <f>IF($AR58=1,IFERROR(TRIM(INDEX($A58:$Z58,MATCH(Lists!$B$8,$A$1:$Z$1,0))&amp;""),""),"")</f>
        <v/>
      </c>
      <c r="AR58" s="36">
        <f>IF(LEN($AC58)&gt;0,1,0)</f>
        <v/>
      </c>
      <c r="AS58" s="37">
        <f>IF($AR58=1,IF(IFERROR(IF(ISNUMBER(INDEX($A58:$Z58,MATCH(Lists!$B$2,$A$1:$Z$1,0))),INDEX($A58:$Z58,MATCH(Lists!$B$2,$A$1:$Z$1,0)),DATE(VALUE(LEFT(IFERROR(TRIM(INDEX($A58:$Z58,MATCH(Lists!$B$2,$A$1:$Z$1,0))&amp;""),""),4)),VALUE(MID(IFERROR(TRIM(INDEX($A58:$Z58,MATCH(Lists!$B$2,$A$1:$Z$1,0))&amp;""),""),6,2)),VALUE(MID(IFERROR(TRIM(INDEX($A58:$Z58,MATCH(Lists!$B$2,$A$1:$Z$1,0))&amp;""),""),9,2)))+TIME(VALUE(MID(IFERROR(TRIM(INDEX($A58:$Z58,MATCH(Lists!$B$2,$A$1:$Z$1,0))&amp;""),""),12,2)),VALUE(MID(IFERROR(TRIM(INDEX($A58:$Z58,MATCH(Lists!$B$2,$A$1:$Z$1,0))&amp;""),""),15,2)),VALUE(MID(IFERROR(TRIM(INDEX($A58:$Z58,MATCH(Lists!$B$2,$A$1:$Z$1,0))&amp;""),""),18,2)))),"")="",100000+ROW()/10^7,IFERROR(IF(ISNUMBER(INDEX($A58:$Z58,MATCH(Lists!$B$2,$A$1:$Z$1,0))),INDEX($A58:$Z58,MATCH(Lists!$B$2,$A$1:$Z$1,0)),DATE(VALUE(LEFT(IFERROR(TRIM(INDEX($A58:$Z58,MATCH(Lists!$B$2,$A$1:$Z$1,0))&amp;""),""),4)),VALUE(MID(IFERROR(TRIM(INDEX($A58:$Z58,MATCH(Lists!$B$2,$A$1:$Z$1,0))&amp;""),""),6,2)),VALUE(MID(IFERROR(TRIM(INDEX($A58:$Z58,MATCH(Lists!$B$2,$A$1:$Z$1,0))&amp;""),""),9,2)))+TIME(VALUE(MID(IFERROR(TRIM(INDEX($A58:$Z58,MATCH(Lists!$B$2,$A$1:$Z$1,0))&amp;""),""),12,2)),VALUE(MID(IFERROR(TRIM(INDEX($A58:$Z58,MATCH(Lists!$B$2,$A$1:$Z$1,0))&amp;""),""),15,2)),VALUE(MID(IFERROR(TRIM(INDEX($A58:$Z58,MATCH(Lists!$B$2,$A$1:$Z$1,0))&amp;""),""),18,2)))),"")-ROW()/10^7),"")</f>
        <v/>
      </c>
    </row>
    <row r="59">
      <c r="AB59" s="36">
        <f>IF($AR59=1,COUNTIF($AS$2:$AS$201,"&lt;"&amp;$AS59)+1,"")</f>
        <v/>
      </c>
      <c r="AC59" s="37">
        <f>IFERROR(TRIM(INDEX($A59:$Z59,MATCH(Lists!$B$9,$A$1:$Z$1,0))&amp;""),"")</f>
        <v/>
      </c>
      <c r="AD59" s="37">
        <f>IF($AR59=1,IFERROR(TRIM(INDEX($A59:$Z59,MATCH(Lists!$B$10,$A$1:$Z$1,0))&amp;""),""),"")</f>
        <v/>
      </c>
      <c r="AE59" s="37">
        <f>IF($AR59=1,IFERROR(TRIM(INDEX($A59:$Z59,MATCH(Lists!$B$12,$A$1:$Z$1,0))&amp;""),""),"")</f>
        <v/>
      </c>
      <c r="AF59" s="38">
        <f>IF($AR59=1,IFERROR(IF(TRIM(INDEX($A59:$Z59,MATCH(Lists!$B$11,$A$1:$Z$1,0))&amp;"")="","",VALUE(TRIM(INDEX($A59:$Z59,MATCH(Lists!$B$11,$A$1:$Z$1,0))&amp;""))),""),"")</f>
        <v/>
      </c>
      <c r="AG59" s="38">
        <f>IF(OR($AR59=0,$AF59="",'Start here'!$F$10="",'Start here'!$F$11="",'Start here'!$F$12="",'Start here'!$F$13="",'Start here'!$F$14=""),"",IF($AF59&lt;'Start here'!$F$10,'Start here'!$F$11,IF($AF59&lt;'Start here'!$F$12,'Start here'!$F$13,'Start here'!$F$14)))</f>
        <v/>
      </c>
      <c r="AH59" s="38">
        <f>IF(OR($AG59="",'Start here'!$F$9=""),"",IF($AF59&lt;=0,"",IFERROR(MAX($AG59,ROUNDUP(ROUND($AF59*'Start here'!$F$9/$AG59,6),0)*$AG59),"")))</f>
        <v/>
      </c>
      <c r="AI59" s="37">
        <f>IF($AR59=0,"",IF($AN59=Lists!$B$19,"",IF(AND($AN59=Lists!$B$18,$AQ59&lt;&gt;""),$AQ59,IF(AND($AP59=Lists!$B$17,$AL59&lt;&gt;""),$AL59,$AK59))))</f>
        <v/>
      </c>
      <c r="AJ59" s="37">
        <f>IF($AR59=0,"",IF(IF($AF59="",", no value",IF($AF59&lt;=0,", no value",""))&amp;IF('Start here'!$F$15="","",IF(LEN($AD59)&lt;'Start here'!$F$15,", short description",""))="","OK",MID(IF($AF59="",", no value",IF($AF59&lt;=0,", no value",""))&amp;IF('Start here'!$F$15="","",IF(LEN($AD59)&lt;'Start here'!$F$15,", short description","")),3,200)))</f>
        <v/>
      </c>
      <c r="AK59" s="37">
        <f>IF($AR59=1,IFERROR(TRIM(INDEX($A59:$Z59,MATCH(Lists!$B$5,$A$1:$Z$1,0))&amp;""),""),"")</f>
        <v/>
      </c>
      <c r="AL59" s="37">
        <f>IF($AR59=1,IFERROR(TRIM(INDEX($A59:$Z59,MATCH(Lists!$B$4,$A$1:$Z$1,0))&amp;""),""),"")</f>
        <v/>
      </c>
      <c r="AM59" s="37">
        <f>IF($AR59=1,IFERROR(TRIM(INDEX($A59:$Z59,MATCH(Lists!$B$6,$A$1:$Z$1,0))&amp;""),""),"")</f>
        <v/>
      </c>
      <c r="AN59" s="37">
        <f>IF($AR59=1,IFERROR(TRIM(INDEX($A59:$Z59,MATCH(Lists!$B$7,$A$1:$Z$1,0))&amp;""),""),"")</f>
        <v/>
      </c>
      <c r="AO59" s="37">
        <f>IF($AR59=1,IFERROR(TRIM(INDEX($A59:$Z59,MATCH(Lists!$B$13,$A$1:$Z$1,0))&amp;""),""),"")</f>
        <v/>
      </c>
      <c r="AP59" s="37">
        <f>IF($AR59=1,IFERROR(TRIM(INDEX($A59:$Z59,MATCH(Lists!$B$3,$A$1:$Z$1,0))&amp;""),""),"")</f>
        <v/>
      </c>
      <c r="AQ59" s="37">
        <f>IF($AR59=1,IFERROR(TRIM(INDEX($A59:$Z59,MATCH(Lists!$B$8,$A$1:$Z$1,0))&amp;""),""),"")</f>
        <v/>
      </c>
      <c r="AR59" s="36">
        <f>IF(LEN($AC59)&gt;0,1,0)</f>
        <v/>
      </c>
      <c r="AS59" s="37">
        <f>IF($AR59=1,IF(IFERROR(IF(ISNUMBER(INDEX($A59:$Z59,MATCH(Lists!$B$2,$A$1:$Z$1,0))),INDEX($A59:$Z59,MATCH(Lists!$B$2,$A$1:$Z$1,0)),DATE(VALUE(LEFT(IFERROR(TRIM(INDEX($A59:$Z59,MATCH(Lists!$B$2,$A$1:$Z$1,0))&amp;""),""),4)),VALUE(MID(IFERROR(TRIM(INDEX($A59:$Z59,MATCH(Lists!$B$2,$A$1:$Z$1,0))&amp;""),""),6,2)),VALUE(MID(IFERROR(TRIM(INDEX($A59:$Z59,MATCH(Lists!$B$2,$A$1:$Z$1,0))&amp;""),""),9,2)))+TIME(VALUE(MID(IFERROR(TRIM(INDEX($A59:$Z59,MATCH(Lists!$B$2,$A$1:$Z$1,0))&amp;""),""),12,2)),VALUE(MID(IFERROR(TRIM(INDEX($A59:$Z59,MATCH(Lists!$B$2,$A$1:$Z$1,0))&amp;""),""),15,2)),VALUE(MID(IFERROR(TRIM(INDEX($A59:$Z59,MATCH(Lists!$B$2,$A$1:$Z$1,0))&amp;""),""),18,2)))),"")="",100000+ROW()/10^7,IFERROR(IF(ISNUMBER(INDEX($A59:$Z59,MATCH(Lists!$B$2,$A$1:$Z$1,0))),INDEX($A59:$Z59,MATCH(Lists!$B$2,$A$1:$Z$1,0)),DATE(VALUE(LEFT(IFERROR(TRIM(INDEX($A59:$Z59,MATCH(Lists!$B$2,$A$1:$Z$1,0))&amp;""),""),4)),VALUE(MID(IFERROR(TRIM(INDEX($A59:$Z59,MATCH(Lists!$B$2,$A$1:$Z$1,0))&amp;""),""),6,2)),VALUE(MID(IFERROR(TRIM(INDEX($A59:$Z59,MATCH(Lists!$B$2,$A$1:$Z$1,0))&amp;""),""),9,2)))+TIME(VALUE(MID(IFERROR(TRIM(INDEX($A59:$Z59,MATCH(Lists!$B$2,$A$1:$Z$1,0))&amp;""),""),12,2)),VALUE(MID(IFERROR(TRIM(INDEX($A59:$Z59,MATCH(Lists!$B$2,$A$1:$Z$1,0))&amp;""),""),15,2)),VALUE(MID(IFERROR(TRIM(INDEX($A59:$Z59,MATCH(Lists!$B$2,$A$1:$Z$1,0))&amp;""),""),18,2)))),"")-ROW()/10^7),"")</f>
        <v/>
      </c>
    </row>
    <row r="60">
      <c r="AB60" s="36">
        <f>IF($AR60=1,COUNTIF($AS$2:$AS$201,"&lt;"&amp;$AS60)+1,"")</f>
        <v/>
      </c>
      <c r="AC60" s="37">
        <f>IFERROR(TRIM(INDEX($A60:$Z60,MATCH(Lists!$B$9,$A$1:$Z$1,0))&amp;""),"")</f>
        <v/>
      </c>
      <c r="AD60" s="37">
        <f>IF($AR60=1,IFERROR(TRIM(INDEX($A60:$Z60,MATCH(Lists!$B$10,$A$1:$Z$1,0))&amp;""),""),"")</f>
        <v/>
      </c>
      <c r="AE60" s="37">
        <f>IF($AR60=1,IFERROR(TRIM(INDEX($A60:$Z60,MATCH(Lists!$B$12,$A$1:$Z$1,0))&amp;""),""),"")</f>
        <v/>
      </c>
      <c r="AF60" s="38">
        <f>IF($AR60=1,IFERROR(IF(TRIM(INDEX($A60:$Z60,MATCH(Lists!$B$11,$A$1:$Z$1,0))&amp;"")="","",VALUE(TRIM(INDEX($A60:$Z60,MATCH(Lists!$B$11,$A$1:$Z$1,0))&amp;""))),""),"")</f>
        <v/>
      </c>
      <c r="AG60" s="38">
        <f>IF(OR($AR60=0,$AF60="",'Start here'!$F$10="",'Start here'!$F$11="",'Start here'!$F$12="",'Start here'!$F$13="",'Start here'!$F$14=""),"",IF($AF60&lt;'Start here'!$F$10,'Start here'!$F$11,IF($AF60&lt;'Start here'!$F$12,'Start here'!$F$13,'Start here'!$F$14)))</f>
        <v/>
      </c>
      <c r="AH60" s="38">
        <f>IF(OR($AG60="",'Start here'!$F$9=""),"",IF($AF60&lt;=0,"",IFERROR(MAX($AG60,ROUNDUP(ROUND($AF60*'Start here'!$F$9/$AG60,6),0)*$AG60),"")))</f>
        <v/>
      </c>
      <c r="AI60" s="37">
        <f>IF($AR60=0,"",IF($AN60=Lists!$B$19,"",IF(AND($AN60=Lists!$B$18,$AQ60&lt;&gt;""),$AQ60,IF(AND($AP60=Lists!$B$17,$AL60&lt;&gt;""),$AL60,$AK60))))</f>
        <v/>
      </c>
      <c r="AJ60" s="37">
        <f>IF($AR60=0,"",IF(IF($AF60="",", no value",IF($AF60&lt;=0,", no value",""))&amp;IF('Start here'!$F$15="","",IF(LEN($AD60)&lt;'Start here'!$F$15,", short description",""))="","OK",MID(IF($AF60="",", no value",IF($AF60&lt;=0,", no value",""))&amp;IF('Start here'!$F$15="","",IF(LEN($AD60)&lt;'Start here'!$F$15,", short description","")),3,200)))</f>
        <v/>
      </c>
      <c r="AK60" s="37">
        <f>IF($AR60=1,IFERROR(TRIM(INDEX($A60:$Z60,MATCH(Lists!$B$5,$A$1:$Z$1,0))&amp;""),""),"")</f>
        <v/>
      </c>
      <c r="AL60" s="37">
        <f>IF($AR60=1,IFERROR(TRIM(INDEX($A60:$Z60,MATCH(Lists!$B$4,$A$1:$Z$1,0))&amp;""),""),"")</f>
        <v/>
      </c>
      <c r="AM60" s="37">
        <f>IF($AR60=1,IFERROR(TRIM(INDEX($A60:$Z60,MATCH(Lists!$B$6,$A$1:$Z$1,0))&amp;""),""),"")</f>
        <v/>
      </c>
      <c r="AN60" s="37">
        <f>IF($AR60=1,IFERROR(TRIM(INDEX($A60:$Z60,MATCH(Lists!$B$7,$A$1:$Z$1,0))&amp;""),""),"")</f>
        <v/>
      </c>
      <c r="AO60" s="37">
        <f>IF($AR60=1,IFERROR(TRIM(INDEX($A60:$Z60,MATCH(Lists!$B$13,$A$1:$Z$1,0))&amp;""),""),"")</f>
        <v/>
      </c>
      <c r="AP60" s="37">
        <f>IF($AR60=1,IFERROR(TRIM(INDEX($A60:$Z60,MATCH(Lists!$B$3,$A$1:$Z$1,0))&amp;""),""),"")</f>
        <v/>
      </c>
      <c r="AQ60" s="37">
        <f>IF($AR60=1,IFERROR(TRIM(INDEX($A60:$Z60,MATCH(Lists!$B$8,$A$1:$Z$1,0))&amp;""),""),"")</f>
        <v/>
      </c>
      <c r="AR60" s="36">
        <f>IF(LEN($AC60)&gt;0,1,0)</f>
        <v/>
      </c>
      <c r="AS60" s="37">
        <f>IF($AR60=1,IF(IFERROR(IF(ISNUMBER(INDEX($A60:$Z60,MATCH(Lists!$B$2,$A$1:$Z$1,0))),INDEX($A60:$Z60,MATCH(Lists!$B$2,$A$1:$Z$1,0)),DATE(VALUE(LEFT(IFERROR(TRIM(INDEX($A60:$Z60,MATCH(Lists!$B$2,$A$1:$Z$1,0))&amp;""),""),4)),VALUE(MID(IFERROR(TRIM(INDEX($A60:$Z60,MATCH(Lists!$B$2,$A$1:$Z$1,0))&amp;""),""),6,2)),VALUE(MID(IFERROR(TRIM(INDEX($A60:$Z60,MATCH(Lists!$B$2,$A$1:$Z$1,0))&amp;""),""),9,2)))+TIME(VALUE(MID(IFERROR(TRIM(INDEX($A60:$Z60,MATCH(Lists!$B$2,$A$1:$Z$1,0))&amp;""),""),12,2)),VALUE(MID(IFERROR(TRIM(INDEX($A60:$Z60,MATCH(Lists!$B$2,$A$1:$Z$1,0))&amp;""),""),15,2)),VALUE(MID(IFERROR(TRIM(INDEX($A60:$Z60,MATCH(Lists!$B$2,$A$1:$Z$1,0))&amp;""),""),18,2)))),"")="",100000+ROW()/10^7,IFERROR(IF(ISNUMBER(INDEX($A60:$Z60,MATCH(Lists!$B$2,$A$1:$Z$1,0))),INDEX($A60:$Z60,MATCH(Lists!$B$2,$A$1:$Z$1,0)),DATE(VALUE(LEFT(IFERROR(TRIM(INDEX($A60:$Z60,MATCH(Lists!$B$2,$A$1:$Z$1,0))&amp;""),""),4)),VALUE(MID(IFERROR(TRIM(INDEX($A60:$Z60,MATCH(Lists!$B$2,$A$1:$Z$1,0))&amp;""),""),6,2)),VALUE(MID(IFERROR(TRIM(INDEX($A60:$Z60,MATCH(Lists!$B$2,$A$1:$Z$1,0))&amp;""),""),9,2)))+TIME(VALUE(MID(IFERROR(TRIM(INDEX($A60:$Z60,MATCH(Lists!$B$2,$A$1:$Z$1,0))&amp;""),""),12,2)),VALUE(MID(IFERROR(TRIM(INDEX($A60:$Z60,MATCH(Lists!$B$2,$A$1:$Z$1,0))&amp;""),""),15,2)),VALUE(MID(IFERROR(TRIM(INDEX($A60:$Z60,MATCH(Lists!$B$2,$A$1:$Z$1,0))&amp;""),""),18,2)))),"")-ROW()/10^7),"")</f>
        <v/>
      </c>
    </row>
    <row r="61">
      <c r="AB61" s="36">
        <f>IF($AR61=1,COUNTIF($AS$2:$AS$201,"&lt;"&amp;$AS61)+1,"")</f>
        <v/>
      </c>
      <c r="AC61" s="37">
        <f>IFERROR(TRIM(INDEX($A61:$Z61,MATCH(Lists!$B$9,$A$1:$Z$1,0))&amp;""),"")</f>
        <v/>
      </c>
      <c r="AD61" s="37">
        <f>IF($AR61=1,IFERROR(TRIM(INDEX($A61:$Z61,MATCH(Lists!$B$10,$A$1:$Z$1,0))&amp;""),""),"")</f>
        <v/>
      </c>
      <c r="AE61" s="37">
        <f>IF($AR61=1,IFERROR(TRIM(INDEX($A61:$Z61,MATCH(Lists!$B$12,$A$1:$Z$1,0))&amp;""),""),"")</f>
        <v/>
      </c>
      <c r="AF61" s="38">
        <f>IF($AR61=1,IFERROR(IF(TRIM(INDEX($A61:$Z61,MATCH(Lists!$B$11,$A$1:$Z$1,0))&amp;"")="","",VALUE(TRIM(INDEX($A61:$Z61,MATCH(Lists!$B$11,$A$1:$Z$1,0))&amp;""))),""),"")</f>
        <v/>
      </c>
      <c r="AG61" s="38">
        <f>IF(OR($AR61=0,$AF61="",'Start here'!$F$10="",'Start here'!$F$11="",'Start here'!$F$12="",'Start here'!$F$13="",'Start here'!$F$14=""),"",IF($AF61&lt;'Start here'!$F$10,'Start here'!$F$11,IF($AF61&lt;'Start here'!$F$12,'Start here'!$F$13,'Start here'!$F$14)))</f>
        <v/>
      </c>
      <c r="AH61" s="38">
        <f>IF(OR($AG61="",'Start here'!$F$9=""),"",IF($AF61&lt;=0,"",IFERROR(MAX($AG61,ROUNDUP(ROUND($AF61*'Start here'!$F$9/$AG61,6),0)*$AG61),"")))</f>
        <v/>
      </c>
      <c r="AI61" s="37">
        <f>IF($AR61=0,"",IF($AN61=Lists!$B$19,"",IF(AND($AN61=Lists!$B$18,$AQ61&lt;&gt;""),$AQ61,IF(AND($AP61=Lists!$B$17,$AL61&lt;&gt;""),$AL61,$AK61))))</f>
        <v/>
      </c>
      <c r="AJ61" s="37">
        <f>IF($AR61=0,"",IF(IF($AF61="",", no value",IF($AF61&lt;=0,", no value",""))&amp;IF('Start here'!$F$15="","",IF(LEN($AD61)&lt;'Start here'!$F$15,", short description",""))="","OK",MID(IF($AF61="",", no value",IF($AF61&lt;=0,", no value",""))&amp;IF('Start here'!$F$15="","",IF(LEN($AD61)&lt;'Start here'!$F$15,", short description","")),3,200)))</f>
        <v/>
      </c>
      <c r="AK61" s="37">
        <f>IF($AR61=1,IFERROR(TRIM(INDEX($A61:$Z61,MATCH(Lists!$B$5,$A$1:$Z$1,0))&amp;""),""),"")</f>
        <v/>
      </c>
      <c r="AL61" s="37">
        <f>IF($AR61=1,IFERROR(TRIM(INDEX($A61:$Z61,MATCH(Lists!$B$4,$A$1:$Z$1,0))&amp;""),""),"")</f>
        <v/>
      </c>
      <c r="AM61" s="37">
        <f>IF($AR61=1,IFERROR(TRIM(INDEX($A61:$Z61,MATCH(Lists!$B$6,$A$1:$Z$1,0))&amp;""),""),"")</f>
        <v/>
      </c>
      <c r="AN61" s="37">
        <f>IF($AR61=1,IFERROR(TRIM(INDEX($A61:$Z61,MATCH(Lists!$B$7,$A$1:$Z$1,0))&amp;""),""),"")</f>
        <v/>
      </c>
      <c r="AO61" s="37">
        <f>IF($AR61=1,IFERROR(TRIM(INDEX($A61:$Z61,MATCH(Lists!$B$13,$A$1:$Z$1,0))&amp;""),""),"")</f>
        <v/>
      </c>
      <c r="AP61" s="37">
        <f>IF($AR61=1,IFERROR(TRIM(INDEX($A61:$Z61,MATCH(Lists!$B$3,$A$1:$Z$1,0))&amp;""),""),"")</f>
        <v/>
      </c>
      <c r="AQ61" s="37">
        <f>IF($AR61=1,IFERROR(TRIM(INDEX($A61:$Z61,MATCH(Lists!$B$8,$A$1:$Z$1,0))&amp;""),""),"")</f>
        <v/>
      </c>
      <c r="AR61" s="36">
        <f>IF(LEN($AC61)&gt;0,1,0)</f>
        <v/>
      </c>
      <c r="AS61" s="37">
        <f>IF($AR61=1,IF(IFERROR(IF(ISNUMBER(INDEX($A61:$Z61,MATCH(Lists!$B$2,$A$1:$Z$1,0))),INDEX($A61:$Z61,MATCH(Lists!$B$2,$A$1:$Z$1,0)),DATE(VALUE(LEFT(IFERROR(TRIM(INDEX($A61:$Z61,MATCH(Lists!$B$2,$A$1:$Z$1,0))&amp;""),""),4)),VALUE(MID(IFERROR(TRIM(INDEX($A61:$Z61,MATCH(Lists!$B$2,$A$1:$Z$1,0))&amp;""),""),6,2)),VALUE(MID(IFERROR(TRIM(INDEX($A61:$Z61,MATCH(Lists!$B$2,$A$1:$Z$1,0))&amp;""),""),9,2)))+TIME(VALUE(MID(IFERROR(TRIM(INDEX($A61:$Z61,MATCH(Lists!$B$2,$A$1:$Z$1,0))&amp;""),""),12,2)),VALUE(MID(IFERROR(TRIM(INDEX($A61:$Z61,MATCH(Lists!$B$2,$A$1:$Z$1,0))&amp;""),""),15,2)),VALUE(MID(IFERROR(TRIM(INDEX($A61:$Z61,MATCH(Lists!$B$2,$A$1:$Z$1,0))&amp;""),""),18,2)))),"")="",100000+ROW()/10^7,IFERROR(IF(ISNUMBER(INDEX($A61:$Z61,MATCH(Lists!$B$2,$A$1:$Z$1,0))),INDEX($A61:$Z61,MATCH(Lists!$B$2,$A$1:$Z$1,0)),DATE(VALUE(LEFT(IFERROR(TRIM(INDEX($A61:$Z61,MATCH(Lists!$B$2,$A$1:$Z$1,0))&amp;""),""),4)),VALUE(MID(IFERROR(TRIM(INDEX($A61:$Z61,MATCH(Lists!$B$2,$A$1:$Z$1,0))&amp;""),""),6,2)),VALUE(MID(IFERROR(TRIM(INDEX($A61:$Z61,MATCH(Lists!$B$2,$A$1:$Z$1,0))&amp;""),""),9,2)))+TIME(VALUE(MID(IFERROR(TRIM(INDEX($A61:$Z61,MATCH(Lists!$B$2,$A$1:$Z$1,0))&amp;""),""),12,2)),VALUE(MID(IFERROR(TRIM(INDEX($A61:$Z61,MATCH(Lists!$B$2,$A$1:$Z$1,0))&amp;""),""),15,2)),VALUE(MID(IFERROR(TRIM(INDEX($A61:$Z61,MATCH(Lists!$B$2,$A$1:$Z$1,0))&amp;""),""),18,2)))),"")-ROW()/10^7),"")</f>
        <v/>
      </c>
    </row>
    <row r="62">
      <c r="AB62" s="36">
        <f>IF($AR62=1,COUNTIF($AS$2:$AS$201,"&lt;"&amp;$AS62)+1,"")</f>
        <v/>
      </c>
      <c r="AC62" s="37">
        <f>IFERROR(TRIM(INDEX($A62:$Z62,MATCH(Lists!$B$9,$A$1:$Z$1,0))&amp;""),"")</f>
        <v/>
      </c>
      <c r="AD62" s="37">
        <f>IF($AR62=1,IFERROR(TRIM(INDEX($A62:$Z62,MATCH(Lists!$B$10,$A$1:$Z$1,0))&amp;""),""),"")</f>
        <v/>
      </c>
      <c r="AE62" s="37">
        <f>IF($AR62=1,IFERROR(TRIM(INDEX($A62:$Z62,MATCH(Lists!$B$12,$A$1:$Z$1,0))&amp;""),""),"")</f>
        <v/>
      </c>
      <c r="AF62" s="38">
        <f>IF($AR62=1,IFERROR(IF(TRIM(INDEX($A62:$Z62,MATCH(Lists!$B$11,$A$1:$Z$1,0))&amp;"")="","",VALUE(TRIM(INDEX($A62:$Z62,MATCH(Lists!$B$11,$A$1:$Z$1,0))&amp;""))),""),"")</f>
        <v/>
      </c>
      <c r="AG62" s="38">
        <f>IF(OR($AR62=0,$AF62="",'Start here'!$F$10="",'Start here'!$F$11="",'Start here'!$F$12="",'Start here'!$F$13="",'Start here'!$F$14=""),"",IF($AF62&lt;'Start here'!$F$10,'Start here'!$F$11,IF($AF62&lt;'Start here'!$F$12,'Start here'!$F$13,'Start here'!$F$14)))</f>
        <v/>
      </c>
      <c r="AH62" s="38">
        <f>IF(OR($AG62="",'Start here'!$F$9=""),"",IF($AF62&lt;=0,"",IFERROR(MAX($AG62,ROUNDUP(ROUND($AF62*'Start here'!$F$9/$AG62,6),0)*$AG62),"")))</f>
        <v/>
      </c>
      <c r="AI62" s="37">
        <f>IF($AR62=0,"",IF($AN62=Lists!$B$19,"",IF(AND($AN62=Lists!$B$18,$AQ62&lt;&gt;""),$AQ62,IF(AND($AP62=Lists!$B$17,$AL62&lt;&gt;""),$AL62,$AK62))))</f>
        <v/>
      </c>
      <c r="AJ62" s="37">
        <f>IF($AR62=0,"",IF(IF($AF62="",", no value",IF($AF62&lt;=0,", no value",""))&amp;IF('Start here'!$F$15="","",IF(LEN($AD62)&lt;'Start here'!$F$15,", short description",""))="","OK",MID(IF($AF62="",", no value",IF($AF62&lt;=0,", no value",""))&amp;IF('Start here'!$F$15="","",IF(LEN($AD62)&lt;'Start here'!$F$15,", short description","")),3,200)))</f>
        <v/>
      </c>
      <c r="AK62" s="37">
        <f>IF($AR62=1,IFERROR(TRIM(INDEX($A62:$Z62,MATCH(Lists!$B$5,$A$1:$Z$1,0))&amp;""),""),"")</f>
        <v/>
      </c>
      <c r="AL62" s="37">
        <f>IF($AR62=1,IFERROR(TRIM(INDEX($A62:$Z62,MATCH(Lists!$B$4,$A$1:$Z$1,0))&amp;""),""),"")</f>
        <v/>
      </c>
      <c r="AM62" s="37">
        <f>IF($AR62=1,IFERROR(TRIM(INDEX($A62:$Z62,MATCH(Lists!$B$6,$A$1:$Z$1,0))&amp;""),""),"")</f>
        <v/>
      </c>
      <c r="AN62" s="37">
        <f>IF($AR62=1,IFERROR(TRIM(INDEX($A62:$Z62,MATCH(Lists!$B$7,$A$1:$Z$1,0))&amp;""),""),"")</f>
        <v/>
      </c>
      <c r="AO62" s="37">
        <f>IF($AR62=1,IFERROR(TRIM(INDEX($A62:$Z62,MATCH(Lists!$B$13,$A$1:$Z$1,0))&amp;""),""),"")</f>
        <v/>
      </c>
      <c r="AP62" s="37">
        <f>IF($AR62=1,IFERROR(TRIM(INDEX($A62:$Z62,MATCH(Lists!$B$3,$A$1:$Z$1,0))&amp;""),""),"")</f>
        <v/>
      </c>
      <c r="AQ62" s="37">
        <f>IF($AR62=1,IFERROR(TRIM(INDEX($A62:$Z62,MATCH(Lists!$B$8,$A$1:$Z$1,0))&amp;""),""),"")</f>
        <v/>
      </c>
      <c r="AR62" s="36">
        <f>IF(LEN($AC62)&gt;0,1,0)</f>
        <v/>
      </c>
      <c r="AS62" s="37">
        <f>IF($AR62=1,IF(IFERROR(IF(ISNUMBER(INDEX($A62:$Z62,MATCH(Lists!$B$2,$A$1:$Z$1,0))),INDEX($A62:$Z62,MATCH(Lists!$B$2,$A$1:$Z$1,0)),DATE(VALUE(LEFT(IFERROR(TRIM(INDEX($A62:$Z62,MATCH(Lists!$B$2,$A$1:$Z$1,0))&amp;""),""),4)),VALUE(MID(IFERROR(TRIM(INDEX($A62:$Z62,MATCH(Lists!$B$2,$A$1:$Z$1,0))&amp;""),""),6,2)),VALUE(MID(IFERROR(TRIM(INDEX($A62:$Z62,MATCH(Lists!$B$2,$A$1:$Z$1,0))&amp;""),""),9,2)))+TIME(VALUE(MID(IFERROR(TRIM(INDEX($A62:$Z62,MATCH(Lists!$B$2,$A$1:$Z$1,0))&amp;""),""),12,2)),VALUE(MID(IFERROR(TRIM(INDEX($A62:$Z62,MATCH(Lists!$B$2,$A$1:$Z$1,0))&amp;""),""),15,2)),VALUE(MID(IFERROR(TRIM(INDEX($A62:$Z62,MATCH(Lists!$B$2,$A$1:$Z$1,0))&amp;""),""),18,2)))),"")="",100000+ROW()/10^7,IFERROR(IF(ISNUMBER(INDEX($A62:$Z62,MATCH(Lists!$B$2,$A$1:$Z$1,0))),INDEX($A62:$Z62,MATCH(Lists!$B$2,$A$1:$Z$1,0)),DATE(VALUE(LEFT(IFERROR(TRIM(INDEX($A62:$Z62,MATCH(Lists!$B$2,$A$1:$Z$1,0))&amp;""),""),4)),VALUE(MID(IFERROR(TRIM(INDEX($A62:$Z62,MATCH(Lists!$B$2,$A$1:$Z$1,0))&amp;""),""),6,2)),VALUE(MID(IFERROR(TRIM(INDEX($A62:$Z62,MATCH(Lists!$B$2,$A$1:$Z$1,0))&amp;""),""),9,2)))+TIME(VALUE(MID(IFERROR(TRIM(INDEX($A62:$Z62,MATCH(Lists!$B$2,$A$1:$Z$1,0))&amp;""),""),12,2)),VALUE(MID(IFERROR(TRIM(INDEX($A62:$Z62,MATCH(Lists!$B$2,$A$1:$Z$1,0))&amp;""),""),15,2)),VALUE(MID(IFERROR(TRIM(INDEX($A62:$Z62,MATCH(Lists!$B$2,$A$1:$Z$1,0))&amp;""),""),18,2)))),"")-ROW()/10^7),"")</f>
        <v/>
      </c>
    </row>
    <row r="63">
      <c r="AB63" s="36">
        <f>IF($AR63=1,COUNTIF($AS$2:$AS$201,"&lt;"&amp;$AS63)+1,"")</f>
        <v/>
      </c>
      <c r="AC63" s="37">
        <f>IFERROR(TRIM(INDEX($A63:$Z63,MATCH(Lists!$B$9,$A$1:$Z$1,0))&amp;""),"")</f>
        <v/>
      </c>
      <c r="AD63" s="37">
        <f>IF($AR63=1,IFERROR(TRIM(INDEX($A63:$Z63,MATCH(Lists!$B$10,$A$1:$Z$1,0))&amp;""),""),"")</f>
        <v/>
      </c>
      <c r="AE63" s="37">
        <f>IF($AR63=1,IFERROR(TRIM(INDEX($A63:$Z63,MATCH(Lists!$B$12,$A$1:$Z$1,0))&amp;""),""),"")</f>
        <v/>
      </c>
      <c r="AF63" s="38">
        <f>IF($AR63=1,IFERROR(IF(TRIM(INDEX($A63:$Z63,MATCH(Lists!$B$11,$A$1:$Z$1,0))&amp;"")="","",VALUE(TRIM(INDEX($A63:$Z63,MATCH(Lists!$B$11,$A$1:$Z$1,0))&amp;""))),""),"")</f>
        <v/>
      </c>
      <c r="AG63" s="38">
        <f>IF(OR($AR63=0,$AF63="",'Start here'!$F$10="",'Start here'!$F$11="",'Start here'!$F$12="",'Start here'!$F$13="",'Start here'!$F$14=""),"",IF($AF63&lt;'Start here'!$F$10,'Start here'!$F$11,IF($AF63&lt;'Start here'!$F$12,'Start here'!$F$13,'Start here'!$F$14)))</f>
        <v/>
      </c>
      <c r="AH63" s="38">
        <f>IF(OR($AG63="",'Start here'!$F$9=""),"",IF($AF63&lt;=0,"",IFERROR(MAX($AG63,ROUNDUP(ROUND($AF63*'Start here'!$F$9/$AG63,6),0)*$AG63),"")))</f>
        <v/>
      </c>
      <c r="AI63" s="37">
        <f>IF($AR63=0,"",IF($AN63=Lists!$B$19,"",IF(AND($AN63=Lists!$B$18,$AQ63&lt;&gt;""),$AQ63,IF(AND($AP63=Lists!$B$17,$AL63&lt;&gt;""),$AL63,$AK63))))</f>
        <v/>
      </c>
      <c r="AJ63" s="37">
        <f>IF($AR63=0,"",IF(IF($AF63="",", no value",IF($AF63&lt;=0,", no value",""))&amp;IF('Start here'!$F$15="","",IF(LEN($AD63)&lt;'Start here'!$F$15,", short description",""))="","OK",MID(IF($AF63="",", no value",IF($AF63&lt;=0,", no value",""))&amp;IF('Start here'!$F$15="","",IF(LEN($AD63)&lt;'Start here'!$F$15,", short description","")),3,200)))</f>
        <v/>
      </c>
      <c r="AK63" s="37">
        <f>IF($AR63=1,IFERROR(TRIM(INDEX($A63:$Z63,MATCH(Lists!$B$5,$A$1:$Z$1,0))&amp;""),""),"")</f>
        <v/>
      </c>
      <c r="AL63" s="37">
        <f>IF($AR63=1,IFERROR(TRIM(INDEX($A63:$Z63,MATCH(Lists!$B$4,$A$1:$Z$1,0))&amp;""),""),"")</f>
        <v/>
      </c>
      <c r="AM63" s="37">
        <f>IF($AR63=1,IFERROR(TRIM(INDEX($A63:$Z63,MATCH(Lists!$B$6,$A$1:$Z$1,0))&amp;""),""),"")</f>
        <v/>
      </c>
      <c r="AN63" s="37">
        <f>IF($AR63=1,IFERROR(TRIM(INDEX($A63:$Z63,MATCH(Lists!$B$7,$A$1:$Z$1,0))&amp;""),""),"")</f>
        <v/>
      </c>
      <c r="AO63" s="37">
        <f>IF($AR63=1,IFERROR(TRIM(INDEX($A63:$Z63,MATCH(Lists!$B$13,$A$1:$Z$1,0))&amp;""),""),"")</f>
        <v/>
      </c>
      <c r="AP63" s="37">
        <f>IF($AR63=1,IFERROR(TRIM(INDEX($A63:$Z63,MATCH(Lists!$B$3,$A$1:$Z$1,0))&amp;""),""),"")</f>
        <v/>
      </c>
      <c r="AQ63" s="37">
        <f>IF($AR63=1,IFERROR(TRIM(INDEX($A63:$Z63,MATCH(Lists!$B$8,$A$1:$Z$1,0))&amp;""),""),"")</f>
        <v/>
      </c>
      <c r="AR63" s="36">
        <f>IF(LEN($AC63)&gt;0,1,0)</f>
        <v/>
      </c>
      <c r="AS63" s="37">
        <f>IF($AR63=1,IF(IFERROR(IF(ISNUMBER(INDEX($A63:$Z63,MATCH(Lists!$B$2,$A$1:$Z$1,0))),INDEX($A63:$Z63,MATCH(Lists!$B$2,$A$1:$Z$1,0)),DATE(VALUE(LEFT(IFERROR(TRIM(INDEX($A63:$Z63,MATCH(Lists!$B$2,$A$1:$Z$1,0))&amp;""),""),4)),VALUE(MID(IFERROR(TRIM(INDEX($A63:$Z63,MATCH(Lists!$B$2,$A$1:$Z$1,0))&amp;""),""),6,2)),VALUE(MID(IFERROR(TRIM(INDEX($A63:$Z63,MATCH(Lists!$B$2,$A$1:$Z$1,0))&amp;""),""),9,2)))+TIME(VALUE(MID(IFERROR(TRIM(INDEX($A63:$Z63,MATCH(Lists!$B$2,$A$1:$Z$1,0))&amp;""),""),12,2)),VALUE(MID(IFERROR(TRIM(INDEX($A63:$Z63,MATCH(Lists!$B$2,$A$1:$Z$1,0))&amp;""),""),15,2)),VALUE(MID(IFERROR(TRIM(INDEX($A63:$Z63,MATCH(Lists!$B$2,$A$1:$Z$1,0))&amp;""),""),18,2)))),"")="",100000+ROW()/10^7,IFERROR(IF(ISNUMBER(INDEX($A63:$Z63,MATCH(Lists!$B$2,$A$1:$Z$1,0))),INDEX($A63:$Z63,MATCH(Lists!$B$2,$A$1:$Z$1,0)),DATE(VALUE(LEFT(IFERROR(TRIM(INDEX($A63:$Z63,MATCH(Lists!$B$2,$A$1:$Z$1,0))&amp;""),""),4)),VALUE(MID(IFERROR(TRIM(INDEX($A63:$Z63,MATCH(Lists!$B$2,$A$1:$Z$1,0))&amp;""),""),6,2)),VALUE(MID(IFERROR(TRIM(INDEX($A63:$Z63,MATCH(Lists!$B$2,$A$1:$Z$1,0))&amp;""),""),9,2)))+TIME(VALUE(MID(IFERROR(TRIM(INDEX($A63:$Z63,MATCH(Lists!$B$2,$A$1:$Z$1,0))&amp;""),""),12,2)),VALUE(MID(IFERROR(TRIM(INDEX($A63:$Z63,MATCH(Lists!$B$2,$A$1:$Z$1,0))&amp;""),""),15,2)),VALUE(MID(IFERROR(TRIM(INDEX($A63:$Z63,MATCH(Lists!$B$2,$A$1:$Z$1,0))&amp;""),""),18,2)))),"")-ROW()/10^7),"")</f>
        <v/>
      </c>
    </row>
    <row r="64">
      <c r="AB64" s="36">
        <f>IF($AR64=1,COUNTIF($AS$2:$AS$201,"&lt;"&amp;$AS64)+1,"")</f>
        <v/>
      </c>
      <c r="AC64" s="37">
        <f>IFERROR(TRIM(INDEX($A64:$Z64,MATCH(Lists!$B$9,$A$1:$Z$1,0))&amp;""),"")</f>
        <v/>
      </c>
      <c r="AD64" s="37">
        <f>IF($AR64=1,IFERROR(TRIM(INDEX($A64:$Z64,MATCH(Lists!$B$10,$A$1:$Z$1,0))&amp;""),""),"")</f>
        <v/>
      </c>
      <c r="AE64" s="37">
        <f>IF($AR64=1,IFERROR(TRIM(INDEX($A64:$Z64,MATCH(Lists!$B$12,$A$1:$Z$1,0))&amp;""),""),"")</f>
        <v/>
      </c>
      <c r="AF64" s="38">
        <f>IF($AR64=1,IFERROR(IF(TRIM(INDEX($A64:$Z64,MATCH(Lists!$B$11,$A$1:$Z$1,0))&amp;"")="","",VALUE(TRIM(INDEX($A64:$Z64,MATCH(Lists!$B$11,$A$1:$Z$1,0))&amp;""))),""),"")</f>
        <v/>
      </c>
      <c r="AG64" s="38">
        <f>IF(OR($AR64=0,$AF64="",'Start here'!$F$10="",'Start here'!$F$11="",'Start here'!$F$12="",'Start here'!$F$13="",'Start here'!$F$14=""),"",IF($AF64&lt;'Start here'!$F$10,'Start here'!$F$11,IF($AF64&lt;'Start here'!$F$12,'Start here'!$F$13,'Start here'!$F$14)))</f>
        <v/>
      </c>
      <c r="AH64" s="38">
        <f>IF(OR($AG64="",'Start here'!$F$9=""),"",IF($AF64&lt;=0,"",IFERROR(MAX($AG64,ROUNDUP(ROUND($AF64*'Start here'!$F$9/$AG64,6),0)*$AG64),"")))</f>
        <v/>
      </c>
      <c r="AI64" s="37">
        <f>IF($AR64=0,"",IF($AN64=Lists!$B$19,"",IF(AND($AN64=Lists!$B$18,$AQ64&lt;&gt;""),$AQ64,IF(AND($AP64=Lists!$B$17,$AL64&lt;&gt;""),$AL64,$AK64))))</f>
        <v/>
      </c>
      <c r="AJ64" s="37">
        <f>IF($AR64=0,"",IF(IF($AF64="",", no value",IF($AF64&lt;=0,", no value",""))&amp;IF('Start here'!$F$15="","",IF(LEN($AD64)&lt;'Start here'!$F$15,", short description",""))="","OK",MID(IF($AF64="",", no value",IF($AF64&lt;=0,", no value",""))&amp;IF('Start here'!$F$15="","",IF(LEN($AD64)&lt;'Start here'!$F$15,", short description","")),3,200)))</f>
        <v/>
      </c>
      <c r="AK64" s="37">
        <f>IF($AR64=1,IFERROR(TRIM(INDEX($A64:$Z64,MATCH(Lists!$B$5,$A$1:$Z$1,0))&amp;""),""),"")</f>
        <v/>
      </c>
      <c r="AL64" s="37">
        <f>IF($AR64=1,IFERROR(TRIM(INDEX($A64:$Z64,MATCH(Lists!$B$4,$A$1:$Z$1,0))&amp;""),""),"")</f>
        <v/>
      </c>
      <c r="AM64" s="37">
        <f>IF($AR64=1,IFERROR(TRIM(INDEX($A64:$Z64,MATCH(Lists!$B$6,$A$1:$Z$1,0))&amp;""),""),"")</f>
        <v/>
      </c>
      <c r="AN64" s="37">
        <f>IF($AR64=1,IFERROR(TRIM(INDEX($A64:$Z64,MATCH(Lists!$B$7,$A$1:$Z$1,0))&amp;""),""),"")</f>
        <v/>
      </c>
      <c r="AO64" s="37">
        <f>IF($AR64=1,IFERROR(TRIM(INDEX($A64:$Z64,MATCH(Lists!$B$13,$A$1:$Z$1,0))&amp;""),""),"")</f>
        <v/>
      </c>
      <c r="AP64" s="37">
        <f>IF($AR64=1,IFERROR(TRIM(INDEX($A64:$Z64,MATCH(Lists!$B$3,$A$1:$Z$1,0))&amp;""),""),"")</f>
        <v/>
      </c>
      <c r="AQ64" s="37">
        <f>IF($AR64=1,IFERROR(TRIM(INDEX($A64:$Z64,MATCH(Lists!$B$8,$A$1:$Z$1,0))&amp;""),""),"")</f>
        <v/>
      </c>
      <c r="AR64" s="36">
        <f>IF(LEN($AC64)&gt;0,1,0)</f>
        <v/>
      </c>
      <c r="AS64" s="37">
        <f>IF($AR64=1,IF(IFERROR(IF(ISNUMBER(INDEX($A64:$Z64,MATCH(Lists!$B$2,$A$1:$Z$1,0))),INDEX($A64:$Z64,MATCH(Lists!$B$2,$A$1:$Z$1,0)),DATE(VALUE(LEFT(IFERROR(TRIM(INDEX($A64:$Z64,MATCH(Lists!$B$2,$A$1:$Z$1,0))&amp;""),""),4)),VALUE(MID(IFERROR(TRIM(INDEX($A64:$Z64,MATCH(Lists!$B$2,$A$1:$Z$1,0))&amp;""),""),6,2)),VALUE(MID(IFERROR(TRIM(INDEX($A64:$Z64,MATCH(Lists!$B$2,$A$1:$Z$1,0))&amp;""),""),9,2)))+TIME(VALUE(MID(IFERROR(TRIM(INDEX($A64:$Z64,MATCH(Lists!$B$2,$A$1:$Z$1,0))&amp;""),""),12,2)),VALUE(MID(IFERROR(TRIM(INDEX($A64:$Z64,MATCH(Lists!$B$2,$A$1:$Z$1,0))&amp;""),""),15,2)),VALUE(MID(IFERROR(TRIM(INDEX($A64:$Z64,MATCH(Lists!$B$2,$A$1:$Z$1,0))&amp;""),""),18,2)))),"")="",100000+ROW()/10^7,IFERROR(IF(ISNUMBER(INDEX($A64:$Z64,MATCH(Lists!$B$2,$A$1:$Z$1,0))),INDEX($A64:$Z64,MATCH(Lists!$B$2,$A$1:$Z$1,0)),DATE(VALUE(LEFT(IFERROR(TRIM(INDEX($A64:$Z64,MATCH(Lists!$B$2,$A$1:$Z$1,0))&amp;""),""),4)),VALUE(MID(IFERROR(TRIM(INDEX($A64:$Z64,MATCH(Lists!$B$2,$A$1:$Z$1,0))&amp;""),""),6,2)),VALUE(MID(IFERROR(TRIM(INDEX($A64:$Z64,MATCH(Lists!$B$2,$A$1:$Z$1,0))&amp;""),""),9,2)))+TIME(VALUE(MID(IFERROR(TRIM(INDEX($A64:$Z64,MATCH(Lists!$B$2,$A$1:$Z$1,0))&amp;""),""),12,2)),VALUE(MID(IFERROR(TRIM(INDEX($A64:$Z64,MATCH(Lists!$B$2,$A$1:$Z$1,0))&amp;""),""),15,2)),VALUE(MID(IFERROR(TRIM(INDEX($A64:$Z64,MATCH(Lists!$B$2,$A$1:$Z$1,0))&amp;""),""),18,2)))),"")-ROW()/10^7),"")</f>
        <v/>
      </c>
    </row>
    <row r="65">
      <c r="AB65" s="36">
        <f>IF($AR65=1,COUNTIF($AS$2:$AS$201,"&lt;"&amp;$AS65)+1,"")</f>
        <v/>
      </c>
      <c r="AC65" s="37">
        <f>IFERROR(TRIM(INDEX($A65:$Z65,MATCH(Lists!$B$9,$A$1:$Z$1,0))&amp;""),"")</f>
        <v/>
      </c>
      <c r="AD65" s="37">
        <f>IF($AR65=1,IFERROR(TRIM(INDEX($A65:$Z65,MATCH(Lists!$B$10,$A$1:$Z$1,0))&amp;""),""),"")</f>
        <v/>
      </c>
      <c r="AE65" s="37">
        <f>IF($AR65=1,IFERROR(TRIM(INDEX($A65:$Z65,MATCH(Lists!$B$12,$A$1:$Z$1,0))&amp;""),""),"")</f>
        <v/>
      </c>
      <c r="AF65" s="38">
        <f>IF($AR65=1,IFERROR(IF(TRIM(INDEX($A65:$Z65,MATCH(Lists!$B$11,$A$1:$Z$1,0))&amp;"")="","",VALUE(TRIM(INDEX($A65:$Z65,MATCH(Lists!$B$11,$A$1:$Z$1,0))&amp;""))),""),"")</f>
        <v/>
      </c>
      <c r="AG65" s="38">
        <f>IF(OR($AR65=0,$AF65="",'Start here'!$F$10="",'Start here'!$F$11="",'Start here'!$F$12="",'Start here'!$F$13="",'Start here'!$F$14=""),"",IF($AF65&lt;'Start here'!$F$10,'Start here'!$F$11,IF($AF65&lt;'Start here'!$F$12,'Start here'!$F$13,'Start here'!$F$14)))</f>
        <v/>
      </c>
      <c r="AH65" s="38">
        <f>IF(OR($AG65="",'Start here'!$F$9=""),"",IF($AF65&lt;=0,"",IFERROR(MAX($AG65,ROUNDUP(ROUND($AF65*'Start here'!$F$9/$AG65,6),0)*$AG65),"")))</f>
        <v/>
      </c>
      <c r="AI65" s="37">
        <f>IF($AR65=0,"",IF($AN65=Lists!$B$19,"",IF(AND($AN65=Lists!$B$18,$AQ65&lt;&gt;""),$AQ65,IF(AND($AP65=Lists!$B$17,$AL65&lt;&gt;""),$AL65,$AK65))))</f>
        <v/>
      </c>
      <c r="AJ65" s="37">
        <f>IF($AR65=0,"",IF(IF($AF65="",", no value",IF($AF65&lt;=0,", no value",""))&amp;IF('Start here'!$F$15="","",IF(LEN($AD65)&lt;'Start here'!$F$15,", short description",""))="","OK",MID(IF($AF65="",", no value",IF($AF65&lt;=0,", no value",""))&amp;IF('Start here'!$F$15="","",IF(LEN($AD65)&lt;'Start here'!$F$15,", short description","")),3,200)))</f>
        <v/>
      </c>
      <c r="AK65" s="37">
        <f>IF($AR65=1,IFERROR(TRIM(INDEX($A65:$Z65,MATCH(Lists!$B$5,$A$1:$Z$1,0))&amp;""),""),"")</f>
        <v/>
      </c>
      <c r="AL65" s="37">
        <f>IF($AR65=1,IFERROR(TRIM(INDEX($A65:$Z65,MATCH(Lists!$B$4,$A$1:$Z$1,0))&amp;""),""),"")</f>
        <v/>
      </c>
      <c r="AM65" s="37">
        <f>IF($AR65=1,IFERROR(TRIM(INDEX($A65:$Z65,MATCH(Lists!$B$6,$A$1:$Z$1,0))&amp;""),""),"")</f>
        <v/>
      </c>
      <c r="AN65" s="37">
        <f>IF($AR65=1,IFERROR(TRIM(INDEX($A65:$Z65,MATCH(Lists!$B$7,$A$1:$Z$1,0))&amp;""),""),"")</f>
        <v/>
      </c>
      <c r="AO65" s="37">
        <f>IF($AR65=1,IFERROR(TRIM(INDEX($A65:$Z65,MATCH(Lists!$B$13,$A$1:$Z$1,0))&amp;""),""),"")</f>
        <v/>
      </c>
      <c r="AP65" s="37">
        <f>IF($AR65=1,IFERROR(TRIM(INDEX($A65:$Z65,MATCH(Lists!$B$3,$A$1:$Z$1,0))&amp;""),""),"")</f>
        <v/>
      </c>
      <c r="AQ65" s="37">
        <f>IF($AR65=1,IFERROR(TRIM(INDEX($A65:$Z65,MATCH(Lists!$B$8,$A$1:$Z$1,0))&amp;""),""),"")</f>
        <v/>
      </c>
      <c r="AR65" s="36">
        <f>IF(LEN($AC65)&gt;0,1,0)</f>
        <v/>
      </c>
      <c r="AS65" s="37">
        <f>IF($AR65=1,IF(IFERROR(IF(ISNUMBER(INDEX($A65:$Z65,MATCH(Lists!$B$2,$A$1:$Z$1,0))),INDEX($A65:$Z65,MATCH(Lists!$B$2,$A$1:$Z$1,0)),DATE(VALUE(LEFT(IFERROR(TRIM(INDEX($A65:$Z65,MATCH(Lists!$B$2,$A$1:$Z$1,0))&amp;""),""),4)),VALUE(MID(IFERROR(TRIM(INDEX($A65:$Z65,MATCH(Lists!$B$2,$A$1:$Z$1,0))&amp;""),""),6,2)),VALUE(MID(IFERROR(TRIM(INDEX($A65:$Z65,MATCH(Lists!$B$2,$A$1:$Z$1,0))&amp;""),""),9,2)))+TIME(VALUE(MID(IFERROR(TRIM(INDEX($A65:$Z65,MATCH(Lists!$B$2,$A$1:$Z$1,0))&amp;""),""),12,2)),VALUE(MID(IFERROR(TRIM(INDEX($A65:$Z65,MATCH(Lists!$B$2,$A$1:$Z$1,0))&amp;""),""),15,2)),VALUE(MID(IFERROR(TRIM(INDEX($A65:$Z65,MATCH(Lists!$B$2,$A$1:$Z$1,0))&amp;""),""),18,2)))),"")="",100000+ROW()/10^7,IFERROR(IF(ISNUMBER(INDEX($A65:$Z65,MATCH(Lists!$B$2,$A$1:$Z$1,0))),INDEX($A65:$Z65,MATCH(Lists!$B$2,$A$1:$Z$1,0)),DATE(VALUE(LEFT(IFERROR(TRIM(INDEX($A65:$Z65,MATCH(Lists!$B$2,$A$1:$Z$1,0))&amp;""),""),4)),VALUE(MID(IFERROR(TRIM(INDEX($A65:$Z65,MATCH(Lists!$B$2,$A$1:$Z$1,0))&amp;""),""),6,2)),VALUE(MID(IFERROR(TRIM(INDEX($A65:$Z65,MATCH(Lists!$B$2,$A$1:$Z$1,0))&amp;""),""),9,2)))+TIME(VALUE(MID(IFERROR(TRIM(INDEX($A65:$Z65,MATCH(Lists!$B$2,$A$1:$Z$1,0))&amp;""),""),12,2)),VALUE(MID(IFERROR(TRIM(INDEX($A65:$Z65,MATCH(Lists!$B$2,$A$1:$Z$1,0))&amp;""),""),15,2)),VALUE(MID(IFERROR(TRIM(INDEX($A65:$Z65,MATCH(Lists!$B$2,$A$1:$Z$1,0))&amp;""),""),18,2)))),"")-ROW()/10^7),"")</f>
        <v/>
      </c>
    </row>
    <row r="66">
      <c r="AB66" s="36">
        <f>IF($AR66=1,COUNTIF($AS$2:$AS$201,"&lt;"&amp;$AS66)+1,"")</f>
        <v/>
      </c>
      <c r="AC66" s="37">
        <f>IFERROR(TRIM(INDEX($A66:$Z66,MATCH(Lists!$B$9,$A$1:$Z$1,0))&amp;""),"")</f>
        <v/>
      </c>
      <c r="AD66" s="37">
        <f>IF($AR66=1,IFERROR(TRIM(INDEX($A66:$Z66,MATCH(Lists!$B$10,$A$1:$Z$1,0))&amp;""),""),"")</f>
        <v/>
      </c>
      <c r="AE66" s="37">
        <f>IF($AR66=1,IFERROR(TRIM(INDEX($A66:$Z66,MATCH(Lists!$B$12,$A$1:$Z$1,0))&amp;""),""),"")</f>
        <v/>
      </c>
      <c r="AF66" s="38">
        <f>IF($AR66=1,IFERROR(IF(TRIM(INDEX($A66:$Z66,MATCH(Lists!$B$11,$A$1:$Z$1,0))&amp;"")="","",VALUE(TRIM(INDEX($A66:$Z66,MATCH(Lists!$B$11,$A$1:$Z$1,0))&amp;""))),""),"")</f>
        <v/>
      </c>
      <c r="AG66" s="38">
        <f>IF(OR($AR66=0,$AF66="",'Start here'!$F$10="",'Start here'!$F$11="",'Start here'!$F$12="",'Start here'!$F$13="",'Start here'!$F$14=""),"",IF($AF66&lt;'Start here'!$F$10,'Start here'!$F$11,IF($AF66&lt;'Start here'!$F$12,'Start here'!$F$13,'Start here'!$F$14)))</f>
        <v/>
      </c>
      <c r="AH66" s="38">
        <f>IF(OR($AG66="",'Start here'!$F$9=""),"",IF($AF66&lt;=0,"",IFERROR(MAX($AG66,ROUNDUP(ROUND($AF66*'Start here'!$F$9/$AG66,6),0)*$AG66),"")))</f>
        <v/>
      </c>
      <c r="AI66" s="37">
        <f>IF($AR66=0,"",IF($AN66=Lists!$B$19,"",IF(AND($AN66=Lists!$B$18,$AQ66&lt;&gt;""),$AQ66,IF(AND($AP66=Lists!$B$17,$AL66&lt;&gt;""),$AL66,$AK66))))</f>
        <v/>
      </c>
      <c r="AJ66" s="37">
        <f>IF($AR66=0,"",IF(IF($AF66="",", no value",IF($AF66&lt;=0,", no value",""))&amp;IF('Start here'!$F$15="","",IF(LEN($AD66)&lt;'Start here'!$F$15,", short description",""))="","OK",MID(IF($AF66="",", no value",IF($AF66&lt;=0,", no value",""))&amp;IF('Start here'!$F$15="","",IF(LEN($AD66)&lt;'Start here'!$F$15,", short description","")),3,200)))</f>
        <v/>
      </c>
      <c r="AK66" s="37">
        <f>IF($AR66=1,IFERROR(TRIM(INDEX($A66:$Z66,MATCH(Lists!$B$5,$A$1:$Z$1,0))&amp;""),""),"")</f>
        <v/>
      </c>
      <c r="AL66" s="37">
        <f>IF($AR66=1,IFERROR(TRIM(INDEX($A66:$Z66,MATCH(Lists!$B$4,$A$1:$Z$1,0))&amp;""),""),"")</f>
        <v/>
      </c>
      <c r="AM66" s="37">
        <f>IF($AR66=1,IFERROR(TRIM(INDEX($A66:$Z66,MATCH(Lists!$B$6,$A$1:$Z$1,0))&amp;""),""),"")</f>
        <v/>
      </c>
      <c r="AN66" s="37">
        <f>IF($AR66=1,IFERROR(TRIM(INDEX($A66:$Z66,MATCH(Lists!$B$7,$A$1:$Z$1,0))&amp;""),""),"")</f>
        <v/>
      </c>
      <c r="AO66" s="37">
        <f>IF($AR66=1,IFERROR(TRIM(INDEX($A66:$Z66,MATCH(Lists!$B$13,$A$1:$Z$1,0))&amp;""),""),"")</f>
        <v/>
      </c>
      <c r="AP66" s="37">
        <f>IF($AR66=1,IFERROR(TRIM(INDEX($A66:$Z66,MATCH(Lists!$B$3,$A$1:$Z$1,0))&amp;""),""),"")</f>
        <v/>
      </c>
      <c r="AQ66" s="37">
        <f>IF($AR66=1,IFERROR(TRIM(INDEX($A66:$Z66,MATCH(Lists!$B$8,$A$1:$Z$1,0))&amp;""),""),"")</f>
        <v/>
      </c>
      <c r="AR66" s="36">
        <f>IF(LEN($AC66)&gt;0,1,0)</f>
        <v/>
      </c>
      <c r="AS66" s="37">
        <f>IF($AR66=1,IF(IFERROR(IF(ISNUMBER(INDEX($A66:$Z66,MATCH(Lists!$B$2,$A$1:$Z$1,0))),INDEX($A66:$Z66,MATCH(Lists!$B$2,$A$1:$Z$1,0)),DATE(VALUE(LEFT(IFERROR(TRIM(INDEX($A66:$Z66,MATCH(Lists!$B$2,$A$1:$Z$1,0))&amp;""),""),4)),VALUE(MID(IFERROR(TRIM(INDEX($A66:$Z66,MATCH(Lists!$B$2,$A$1:$Z$1,0))&amp;""),""),6,2)),VALUE(MID(IFERROR(TRIM(INDEX($A66:$Z66,MATCH(Lists!$B$2,$A$1:$Z$1,0))&amp;""),""),9,2)))+TIME(VALUE(MID(IFERROR(TRIM(INDEX($A66:$Z66,MATCH(Lists!$B$2,$A$1:$Z$1,0))&amp;""),""),12,2)),VALUE(MID(IFERROR(TRIM(INDEX($A66:$Z66,MATCH(Lists!$B$2,$A$1:$Z$1,0))&amp;""),""),15,2)),VALUE(MID(IFERROR(TRIM(INDEX($A66:$Z66,MATCH(Lists!$B$2,$A$1:$Z$1,0))&amp;""),""),18,2)))),"")="",100000+ROW()/10^7,IFERROR(IF(ISNUMBER(INDEX($A66:$Z66,MATCH(Lists!$B$2,$A$1:$Z$1,0))),INDEX($A66:$Z66,MATCH(Lists!$B$2,$A$1:$Z$1,0)),DATE(VALUE(LEFT(IFERROR(TRIM(INDEX($A66:$Z66,MATCH(Lists!$B$2,$A$1:$Z$1,0))&amp;""),""),4)),VALUE(MID(IFERROR(TRIM(INDEX($A66:$Z66,MATCH(Lists!$B$2,$A$1:$Z$1,0))&amp;""),""),6,2)),VALUE(MID(IFERROR(TRIM(INDEX($A66:$Z66,MATCH(Lists!$B$2,$A$1:$Z$1,0))&amp;""),""),9,2)))+TIME(VALUE(MID(IFERROR(TRIM(INDEX($A66:$Z66,MATCH(Lists!$B$2,$A$1:$Z$1,0))&amp;""),""),12,2)),VALUE(MID(IFERROR(TRIM(INDEX($A66:$Z66,MATCH(Lists!$B$2,$A$1:$Z$1,0))&amp;""),""),15,2)),VALUE(MID(IFERROR(TRIM(INDEX($A66:$Z66,MATCH(Lists!$B$2,$A$1:$Z$1,0))&amp;""),""),18,2)))),"")-ROW()/10^7),"")</f>
        <v/>
      </c>
    </row>
    <row r="67">
      <c r="AB67" s="36">
        <f>IF($AR67=1,COUNTIF($AS$2:$AS$201,"&lt;"&amp;$AS67)+1,"")</f>
        <v/>
      </c>
      <c r="AC67" s="37">
        <f>IFERROR(TRIM(INDEX($A67:$Z67,MATCH(Lists!$B$9,$A$1:$Z$1,0))&amp;""),"")</f>
        <v/>
      </c>
      <c r="AD67" s="37">
        <f>IF($AR67=1,IFERROR(TRIM(INDEX($A67:$Z67,MATCH(Lists!$B$10,$A$1:$Z$1,0))&amp;""),""),"")</f>
        <v/>
      </c>
      <c r="AE67" s="37">
        <f>IF($AR67=1,IFERROR(TRIM(INDEX($A67:$Z67,MATCH(Lists!$B$12,$A$1:$Z$1,0))&amp;""),""),"")</f>
        <v/>
      </c>
      <c r="AF67" s="38">
        <f>IF($AR67=1,IFERROR(IF(TRIM(INDEX($A67:$Z67,MATCH(Lists!$B$11,$A$1:$Z$1,0))&amp;"")="","",VALUE(TRIM(INDEX($A67:$Z67,MATCH(Lists!$B$11,$A$1:$Z$1,0))&amp;""))),""),"")</f>
        <v/>
      </c>
      <c r="AG67" s="38">
        <f>IF(OR($AR67=0,$AF67="",'Start here'!$F$10="",'Start here'!$F$11="",'Start here'!$F$12="",'Start here'!$F$13="",'Start here'!$F$14=""),"",IF($AF67&lt;'Start here'!$F$10,'Start here'!$F$11,IF($AF67&lt;'Start here'!$F$12,'Start here'!$F$13,'Start here'!$F$14)))</f>
        <v/>
      </c>
      <c r="AH67" s="38">
        <f>IF(OR($AG67="",'Start here'!$F$9=""),"",IF($AF67&lt;=0,"",IFERROR(MAX($AG67,ROUNDUP(ROUND($AF67*'Start here'!$F$9/$AG67,6),0)*$AG67),"")))</f>
        <v/>
      </c>
      <c r="AI67" s="37">
        <f>IF($AR67=0,"",IF($AN67=Lists!$B$19,"",IF(AND($AN67=Lists!$B$18,$AQ67&lt;&gt;""),$AQ67,IF(AND($AP67=Lists!$B$17,$AL67&lt;&gt;""),$AL67,$AK67))))</f>
        <v/>
      </c>
      <c r="AJ67" s="37">
        <f>IF($AR67=0,"",IF(IF($AF67="",", no value",IF($AF67&lt;=0,", no value",""))&amp;IF('Start here'!$F$15="","",IF(LEN($AD67)&lt;'Start here'!$F$15,", short description",""))="","OK",MID(IF($AF67="",", no value",IF($AF67&lt;=0,", no value",""))&amp;IF('Start here'!$F$15="","",IF(LEN($AD67)&lt;'Start here'!$F$15,", short description","")),3,200)))</f>
        <v/>
      </c>
      <c r="AK67" s="37">
        <f>IF($AR67=1,IFERROR(TRIM(INDEX($A67:$Z67,MATCH(Lists!$B$5,$A$1:$Z$1,0))&amp;""),""),"")</f>
        <v/>
      </c>
      <c r="AL67" s="37">
        <f>IF($AR67=1,IFERROR(TRIM(INDEX($A67:$Z67,MATCH(Lists!$B$4,$A$1:$Z$1,0))&amp;""),""),"")</f>
        <v/>
      </c>
      <c r="AM67" s="37">
        <f>IF($AR67=1,IFERROR(TRIM(INDEX($A67:$Z67,MATCH(Lists!$B$6,$A$1:$Z$1,0))&amp;""),""),"")</f>
        <v/>
      </c>
      <c r="AN67" s="37">
        <f>IF($AR67=1,IFERROR(TRIM(INDEX($A67:$Z67,MATCH(Lists!$B$7,$A$1:$Z$1,0))&amp;""),""),"")</f>
        <v/>
      </c>
      <c r="AO67" s="37">
        <f>IF($AR67=1,IFERROR(TRIM(INDEX($A67:$Z67,MATCH(Lists!$B$13,$A$1:$Z$1,0))&amp;""),""),"")</f>
        <v/>
      </c>
      <c r="AP67" s="37">
        <f>IF($AR67=1,IFERROR(TRIM(INDEX($A67:$Z67,MATCH(Lists!$B$3,$A$1:$Z$1,0))&amp;""),""),"")</f>
        <v/>
      </c>
      <c r="AQ67" s="37">
        <f>IF($AR67=1,IFERROR(TRIM(INDEX($A67:$Z67,MATCH(Lists!$B$8,$A$1:$Z$1,0))&amp;""),""),"")</f>
        <v/>
      </c>
      <c r="AR67" s="36">
        <f>IF(LEN($AC67)&gt;0,1,0)</f>
        <v/>
      </c>
      <c r="AS67" s="37">
        <f>IF($AR67=1,IF(IFERROR(IF(ISNUMBER(INDEX($A67:$Z67,MATCH(Lists!$B$2,$A$1:$Z$1,0))),INDEX($A67:$Z67,MATCH(Lists!$B$2,$A$1:$Z$1,0)),DATE(VALUE(LEFT(IFERROR(TRIM(INDEX($A67:$Z67,MATCH(Lists!$B$2,$A$1:$Z$1,0))&amp;""),""),4)),VALUE(MID(IFERROR(TRIM(INDEX($A67:$Z67,MATCH(Lists!$B$2,$A$1:$Z$1,0))&amp;""),""),6,2)),VALUE(MID(IFERROR(TRIM(INDEX($A67:$Z67,MATCH(Lists!$B$2,$A$1:$Z$1,0))&amp;""),""),9,2)))+TIME(VALUE(MID(IFERROR(TRIM(INDEX($A67:$Z67,MATCH(Lists!$B$2,$A$1:$Z$1,0))&amp;""),""),12,2)),VALUE(MID(IFERROR(TRIM(INDEX($A67:$Z67,MATCH(Lists!$B$2,$A$1:$Z$1,0))&amp;""),""),15,2)),VALUE(MID(IFERROR(TRIM(INDEX($A67:$Z67,MATCH(Lists!$B$2,$A$1:$Z$1,0))&amp;""),""),18,2)))),"")="",100000+ROW()/10^7,IFERROR(IF(ISNUMBER(INDEX($A67:$Z67,MATCH(Lists!$B$2,$A$1:$Z$1,0))),INDEX($A67:$Z67,MATCH(Lists!$B$2,$A$1:$Z$1,0)),DATE(VALUE(LEFT(IFERROR(TRIM(INDEX($A67:$Z67,MATCH(Lists!$B$2,$A$1:$Z$1,0))&amp;""),""),4)),VALUE(MID(IFERROR(TRIM(INDEX($A67:$Z67,MATCH(Lists!$B$2,$A$1:$Z$1,0))&amp;""),""),6,2)),VALUE(MID(IFERROR(TRIM(INDEX($A67:$Z67,MATCH(Lists!$B$2,$A$1:$Z$1,0))&amp;""),""),9,2)))+TIME(VALUE(MID(IFERROR(TRIM(INDEX($A67:$Z67,MATCH(Lists!$B$2,$A$1:$Z$1,0))&amp;""),""),12,2)),VALUE(MID(IFERROR(TRIM(INDEX($A67:$Z67,MATCH(Lists!$B$2,$A$1:$Z$1,0))&amp;""),""),15,2)),VALUE(MID(IFERROR(TRIM(INDEX($A67:$Z67,MATCH(Lists!$B$2,$A$1:$Z$1,0))&amp;""),""),18,2)))),"")-ROW()/10^7),"")</f>
        <v/>
      </c>
    </row>
    <row r="68">
      <c r="AB68" s="36">
        <f>IF($AR68=1,COUNTIF($AS$2:$AS$201,"&lt;"&amp;$AS68)+1,"")</f>
        <v/>
      </c>
      <c r="AC68" s="37">
        <f>IFERROR(TRIM(INDEX($A68:$Z68,MATCH(Lists!$B$9,$A$1:$Z$1,0))&amp;""),"")</f>
        <v/>
      </c>
      <c r="AD68" s="37">
        <f>IF($AR68=1,IFERROR(TRIM(INDEX($A68:$Z68,MATCH(Lists!$B$10,$A$1:$Z$1,0))&amp;""),""),"")</f>
        <v/>
      </c>
      <c r="AE68" s="37">
        <f>IF($AR68=1,IFERROR(TRIM(INDEX($A68:$Z68,MATCH(Lists!$B$12,$A$1:$Z$1,0))&amp;""),""),"")</f>
        <v/>
      </c>
      <c r="AF68" s="38">
        <f>IF($AR68=1,IFERROR(IF(TRIM(INDEX($A68:$Z68,MATCH(Lists!$B$11,$A$1:$Z$1,0))&amp;"")="","",VALUE(TRIM(INDEX($A68:$Z68,MATCH(Lists!$B$11,$A$1:$Z$1,0))&amp;""))),""),"")</f>
        <v/>
      </c>
      <c r="AG68" s="38">
        <f>IF(OR($AR68=0,$AF68="",'Start here'!$F$10="",'Start here'!$F$11="",'Start here'!$F$12="",'Start here'!$F$13="",'Start here'!$F$14=""),"",IF($AF68&lt;'Start here'!$F$10,'Start here'!$F$11,IF($AF68&lt;'Start here'!$F$12,'Start here'!$F$13,'Start here'!$F$14)))</f>
        <v/>
      </c>
      <c r="AH68" s="38">
        <f>IF(OR($AG68="",'Start here'!$F$9=""),"",IF($AF68&lt;=0,"",IFERROR(MAX($AG68,ROUNDUP(ROUND($AF68*'Start here'!$F$9/$AG68,6),0)*$AG68),"")))</f>
        <v/>
      </c>
      <c r="AI68" s="37">
        <f>IF($AR68=0,"",IF($AN68=Lists!$B$19,"",IF(AND($AN68=Lists!$B$18,$AQ68&lt;&gt;""),$AQ68,IF(AND($AP68=Lists!$B$17,$AL68&lt;&gt;""),$AL68,$AK68))))</f>
        <v/>
      </c>
      <c r="AJ68" s="37">
        <f>IF($AR68=0,"",IF(IF($AF68="",", no value",IF($AF68&lt;=0,", no value",""))&amp;IF('Start here'!$F$15="","",IF(LEN($AD68)&lt;'Start here'!$F$15,", short description",""))="","OK",MID(IF($AF68="",", no value",IF($AF68&lt;=0,", no value",""))&amp;IF('Start here'!$F$15="","",IF(LEN($AD68)&lt;'Start here'!$F$15,", short description","")),3,200)))</f>
        <v/>
      </c>
      <c r="AK68" s="37">
        <f>IF($AR68=1,IFERROR(TRIM(INDEX($A68:$Z68,MATCH(Lists!$B$5,$A$1:$Z$1,0))&amp;""),""),"")</f>
        <v/>
      </c>
      <c r="AL68" s="37">
        <f>IF($AR68=1,IFERROR(TRIM(INDEX($A68:$Z68,MATCH(Lists!$B$4,$A$1:$Z$1,0))&amp;""),""),"")</f>
        <v/>
      </c>
      <c r="AM68" s="37">
        <f>IF($AR68=1,IFERROR(TRIM(INDEX($A68:$Z68,MATCH(Lists!$B$6,$A$1:$Z$1,0))&amp;""),""),"")</f>
        <v/>
      </c>
      <c r="AN68" s="37">
        <f>IF($AR68=1,IFERROR(TRIM(INDEX($A68:$Z68,MATCH(Lists!$B$7,$A$1:$Z$1,0))&amp;""),""),"")</f>
        <v/>
      </c>
      <c r="AO68" s="37">
        <f>IF($AR68=1,IFERROR(TRIM(INDEX($A68:$Z68,MATCH(Lists!$B$13,$A$1:$Z$1,0))&amp;""),""),"")</f>
        <v/>
      </c>
      <c r="AP68" s="37">
        <f>IF($AR68=1,IFERROR(TRIM(INDEX($A68:$Z68,MATCH(Lists!$B$3,$A$1:$Z$1,0))&amp;""),""),"")</f>
        <v/>
      </c>
      <c r="AQ68" s="37">
        <f>IF($AR68=1,IFERROR(TRIM(INDEX($A68:$Z68,MATCH(Lists!$B$8,$A$1:$Z$1,0))&amp;""),""),"")</f>
        <v/>
      </c>
      <c r="AR68" s="36">
        <f>IF(LEN($AC68)&gt;0,1,0)</f>
        <v/>
      </c>
      <c r="AS68" s="37">
        <f>IF($AR68=1,IF(IFERROR(IF(ISNUMBER(INDEX($A68:$Z68,MATCH(Lists!$B$2,$A$1:$Z$1,0))),INDEX($A68:$Z68,MATCH(Lists!$B$2,$A$1:$Z$1,0)),DATE(VALUE(LEFT(IFERROR(TRIM(INDEX($A68:$Z68,MATCH(Lists!$B$2,$A$1:$Z$1,0))&amp;""),""),4)),VALUE(MID(IFERROR(TRIM(INDEX($A68:$Z68,MATCH(Lists!$B$2,$A$1:$Z$1,0))&amp;""),""),6,2)),VALUE(MID(IFERROR(TRIM(INDEX($A68:$Z68,MATCH(Lists!$B$2,$A$1:$Z$1,0))&amp;""),""),9,2)))+TIME(VALUE(MID(IFERROR(TRIM(INDEX($A68:$Z68,MATCH(Lists!$B$2,$A$1:$Z$1,0))&amp;""),""),12,2)),VALUE(MID(IFERROR(TRIM(INDEX($A68:$Z68,MATCH(Lists!$B$2,$A$1:$Z$1,0))&amp;""),""),15,2)),VALUE(MID(IFERROR(TRIM(INDEX($A68:$Z68,MATCH(Lists!$B$2,$A$1:$Z$1,0))&amp;""),""),18,2)))),"")="",100000+ROW()/10^7,IFERROR(IF(ISNUMBER(INDEX($A68:$Z68,MATCH(Lists!$B$2,$A$1:$Z$1,0))),INDEX($A68:$Z68,MATCH(Lists!$B$2,$A$1:$Z$1,0)),DATE(VALUE(LEFT(IFERROR(TRIM(INDEX($A68:$Z68,MATCH(Lists!$B$2,$A$1:$Z$1,0))&amp;""),""),4)),VALUE(MID(IFERROR(TRIM(INDEX($A68:$Z68,MATCH(Lists!$B$2,$A$1:$Z$1,0))&amp;""),""),6,2)),VALUE(MID(IFERROR(TRIM(INDEX($A68:$Z68,MATCH(Lists!$B$2,$A$1:$Z$1,0))&amp;""),""),9,2)))+TIME(VALUE(MID(IFERROR(TRIM(INDEX($A68:$Z68,MATCH(Lists!$B$2,$A$1:$Z$1,0))&amp;""),""),12,2)),VALUE(MID(IFERROR(TRIM(INDEX($A68:$Z68,MATCH(Lists!$B$2,$A$1:$Z$1,0))&amp;""),""),15,2)),VALUE(MID(IFERROR(TRIM(INDEX($A68:$Z68,MATCH(Lists!$B$2,$A$1:$Z$1,0))&amp;""),""),18,2)))),"")-ROW()/10^7),"")</f>
        <v/>
      </c>
    </row>
    <row r="69">
      <c r="AB69" s="36">
        <f>IF($AR69=1,COUNTIF($AS$2:$AS$201,"&lt;"&amp;$AS69)+1,"")</f>
        <v/>
      </c>
      <c r="AC69" s="37">
        <f>IFERROR(TRIM(INDEX($A69:$Z69,MATCH(Lists!$B$9,$A$1:$Z$1,0))&amp;""),"")</f>
        <v/>
      </c>
      <c r="AD69" s="37">
        <f>IF($AR69=1,IFERROR(TRIM(INDEX($A69:$Z69,MATCH(Lists!$B$10,$A$1:$Z$1,0))&amp;""),""),"")</f>
        <v/>
      </c>
      <c r="AE69" s="37">
        <f>IF($AR69=1,IFERROR(TRIM(INDEX($A69:$Z69,MATCH(Lists!$B$12,$A$1:$Z$1,0))&amp;""),""),"")</f>
        <v/>
      </c>
      <c r="AF69" s="38">
        <f>IF($AR69=1,IFERROR(IF(TRIM(INDEX($A69:$Z69,MATCH(Lists!$B$11,$A$1:$Z$1,0))&amp;"")="","",VALUE(TRIM(INDEX($A69:$Z69,MATCH(Lists!$B$11,$A$1:$Z$1,0))&amp;""))),""),"")</f>
        <v/>
      </c>
      <c r="AG69" s="38">
        <f>IF(OR($AR69=0,$AF69="",'Start here'!$F$10="",'Start here'!$F$11="",'Start here'!$F$12="",'Start here'!$F$13="",'Start here'!$F$14=""),"",IF($AF69&lt;'Start here'!$F$10,'Start here'!$F$11,IF($AF69&lt;'Start here'!$F$12,'Start here'!$F$13,'Start here'!$F$14)))</f>
        <v/>
      </c>
      <c r="AH69" s="38">
        <f>IF(OR($AG69="",'Start here'!$F$9=""),"",IF($AF69&lt;=0,"",IFERROR(MAX($AG69,ROUNDUP(ROUND($AF69*'Start here'!$F$9/$AG69,6),0)*$AG69),"")))</f>
        <v/>
      </c>
      <c r="AI69" s="37">
        <f>IF($AR69=0,"",IF($AN69=Lists!$B$19,"",IF(AND($AN69=Lists!$B$18,$AQ69&lt;&gt;""),$AQ69,IF(AND($AP69=Lists!$B$17,$AL69&lt;&gt;""),$AL69,$AK69))))</f>
        <v/>
      </c>
      <c r="AJ69" s="37">
        <f>IF($AR69=0,"",IF(IF($AF69="",", no value",IF($AF69&lt;=0,", no value",""))&amp;IF('Start here'!$F$15="","",IF(LEN($AD69)&lt;'Start here'!$F$15,", short description",""))="","OK",MID(IF($AF69="",", no value",IF($AF69&lt;=0,", no value",""))&amp;IF('Start here'!$F$15="","",IF(LEN($AD69)&lt;'Start here'!$F$15,", short description","")),3,200)))</f>
        <v/>
      </c>
      <c r="AK69" s="37">
        <f>IF($AR69=1,IFERROR(TRIM(INDEX($A69:$Z69,MATCH(Lists!$B$5,$A$1:$Z$1,0))&amp;""),""),"")</f>
        <v/>
      </c>
      <c r="AL69" s="37">
        <f>IF($AR69=1,IFERROR(TRIM(INDEX($A69:$Z69,MATCH(Lists!$B$4,$A$1:$Z$1,0))&amp;""),""),"")</f>
        <v/>
      </c>
      <c r="AM69" s="37">
        <f>IF($AR69=1,IFERROR(TRIM(INDEX($A69:$Z69,MATCH(Lists!$B$6,$A$1:$Z$1,0))&amp;""),""),"")</f>
        <v/>
      </c>
      <c r="AN69" s="37">
        <f>IF($AR69=1,IFERROR(TRIM(INDEX($A69:$Z69,MATCH(Lists!$B$7,$A$1:$Z$1,0))&amp;""),""),"")</f>
        <v/>
      </c>
      <c r="AO69" s="37">
        <f>IF($AR69=1,IFERROR(TRIM(INDEX($A69:$Z69,MATCH(Lists!$B$13,$A$1:$Z$1,0))&amp;""),""),"")</f>
        <v/>
      </c>
      <c r="AP69" s="37">
        <f>IF($AR69=1,IFERROR(TRIM(INDEX($A69:$Z69,MATCH(Lists!$B$3,$A$1:$Z$1,0))&amp;""),""),"")</f>
        <v/>
      </c>
      <c r="AQ69" s="37">
        <f>IF($AR69=1,IFERROR(TRIM(INDEX($A69:$Z69,MATCH(Lists!$B$8,$A$1:$Z$1,0))&amp;""),""),"")</f>
        <v/>
      </c>
      <c r="AR69" s="36">
        <f>IF(LEN($AC69)&gt;0,1,0)</f>
        <v/>
      </c>
      <c r="AS69" s="37">
        <f>IF($AR69=1,IF(IFERROR(IF(ISNUMBER(INDEX($A69:$Z69,MATCH(Lists!$B$2,$A$1:$Z$1,0))),INDEX($A69:$Z69,MATCH(Lists!$B$2,$A$1:$Z$1,0)),DATE(VALUE(LEFT(IFERROR(TRIM(INDEX($A69:$Z69,MATCH(Lists!$B$2,$A$1:$Z$1,0))&amp;""),""),4)),VALUE(MID(IFERROR(TRIM(INDEX($A69:$Z69,MATCH(Lists!$B$2,$A$1:$Z$1,0))&amp;""),""),6,2)),VALUE(MID(IFERROR(TRIM(INDEX($A69:$Z69,MATCH(Lists!$B$2,$A$1:$Z$1,0))&amp;""),""),9,2)))+TIME(VALUE(MID(IFERROR(TRIM(INDEX($A69:$Z69,MATCH(Lists!$B$2,$A$1:$Z$1,0))&amp;""),""),12,2)),VALUE(MID(IFERROR(TRIM(INDEX($A69:$Z69,MATCH(Lists!$B$2,$A$1:$Z$1,0))&amp;""),""),15,2)),VALUE(MID(IFERROR(TRIM(INDEX($A69:$Z69,MATCH(Lists!$B$2,$A$1:$Z$1,0))&amp;""),""),18,2)))),"")="",100000+ROW()/10^7,IFERROR(IF(ISNUMBER(INDEX($A69:$Z69,MATCH(Lists!$B$2,$A$1:$Z$1,0))),INDEX($A69:$Z69,MATCH(Lists!$B$2,$A$1:$Z$1,0)),DATE(VALUE(LEFT(IFERROR(TRIM(INDEX($A69:$Z69,MATCH(Lists!$B$2,$A$1:$Z$1,0))&amp;""),""),4)),VALUE(MID(IFERROR(TRIM(INDEX($A69:$Z69,MATCH(Lists!$B$2,$A$1:$Z$1,0))&amp;""),""),6,2)),VALUE(MID(IFERROR(TRIM(INDEX($A69:$Z69,MATCH(Lists!$B$2,$A$1:$Z$1,0))&amp;""),""),9,2)))+TIME(VALUE(MID(IFERROR(TRIM(INDEX($A69:$Z69,MATCH(Lists!$B$2,$A$1:$Z$1,0))&amp;""),""),12,2)),VALUE(MID(IFERROR(TRIM(INDEX($A69:$Z69,MATCH(Lists!$B$2,$A$1:$Z$1,0))&amp;""),""),15,2)),VALUE(MID(IFERROR(TRIM(INDEX($A69:$Z69,MATCH(Lists!$B$2,$A$1:$Z$1,0))&amp;""),""),18,2)))),"")-ROW()/10^7),"")</f>
        <v/>
      </c>
    </row>
    <row r="70">
      <c r="AB70" s="36">
        <f>IF($AR70=1,COUNTIF($AS$2:$AS$201,"&lt;"&amp;$AS70)+1,"")</f>
        <v/>
      </c>
      <c r="AC70" s="37">
        <f>IFERROR(TRIM(INDEX($A70:$Z70,MATCH(Lists!$B$9,$A$1:$Z$1,0))&amp;""),"")</f>
        <v/>
      </c>
      <c r="AD70" s="37">
        <f>IF($AR70=1,IFERROR(TRIM(INDEX($A70:$Z70,MATCH(Lists!$B$10,$A$1:$Z$1,0))&amp;""),""),"")</f>
        <v/>
      </c>
      <c r="AE70" s="37">
        <f>IF($AR70=1,IFERROR(TRIM(INDEX($A70:$Z70,MATCH(Lists!$B$12,$A$1:$Z$1,0))&amp;""),""),"")</f>
        <v/>
      </c>
      <c r="AF70" s="38">
        <f>IF($AR70=1,IFERROR(IF(TRIM(INDEX($A70:$Z70,MATCH(Lists!$B$11,$A$1:$Z$1,0))&amp;"")="","",VALUE(TRIM(INDEX($A70:$Z70,MATCH(Lists!$B$11,$A$1:$Z$1,0))&amp;""))),""),"")</f>
        <v/>
      </c>
      <c r="AG70" s="38">
        <f>IF(OR($AR70=0,$AF70="",'Start here'!$F$10="",'Start here'!$F$11="",'Start here'!$F$12="",'Start here'!$F$13="",'Start here'!$F$14=""),"",IF($AF70&lt;'Start here'!$F$10,'Start here'!$F$11,IF($AF70&lt;'Start here'!$F$12,'Start here'!$F$13,'Start here'!$F$14)))</f>
        <v/>
      </c>
      <c r="AH70" s="38">
        <f>IF(OR($AG70="",'Start here'!$F$9=""),"",IF($AF70&lt;=0,"",IFERROR(MAX($AG70,ROUNDUP(ROUND($AF70*'Start here'!$F$9/$AG70,6),0)*$AG70),"")))</f>
        <v/>
      </c>
      <c r="AI70" s="37">
        <f>IF($AR70=0,"",IF($AN70=Lists!$B$19,"",IF(AND($AN70=Lists!$B$18,$AQ70&lt;&gt;""),$AQ70,IF(AND($AP70=Lists!$B$17,$AL70&lt;&gt;""),$AL70,$AK70))))</f>
        <v/>
      </c>
      <c r="AJ70" s="37">
        <f>IF($AR70=0,"",IF(IF($AF70="",", no value",IF($AF70&lt;=0,", no value",""))&amp;IF('Start here'!$F$15="","",IF(LEN($AD70)&lt;'Start here'!$F$15,", short description",""))="","OK",MID(IF($AF70="",", no value",IF($AF70&lt;=0,", no value",""))&amp;IF('Start here'!$F$15="","",IF(LEN($AD70)&lt;'Start here'!$F$15,", short description","")),3,200)))</f>
        <v/>
      </c>
      <c r="AK70" s="37">
        <f>IF($AR70=1,IFERROR(TRIM(INDEX($A70:$Z70,MATCH(Lists!$B$5,$A$1:$Z$1,0))&amp;""),""),"")</f>
        <v/>
      </c>
      <c r="AL70" s="37">
        <f>IF($AR70=1,IFERROR(TRIM(INDEX($A70:$Z70,MATCH(Lists!$B$4,$A$1:$Z$1,0))&amp;""),""),"")</f>
        <v/>
      </c>
      <c r="AM70" s="37">
        <f>IF($AR70=1,IFERROR(TRIM(INDEX($A70:$Z70,MATCH(Lists!$B$6,$A$1:$Z$1,0))&amp;""),""),"")</f>
        <v/>
      </c>
      <c r="AN70" s="37">
        <f>IF($AR70=1,IFERROR(TRIM(INDEX($A70:$Z70,MATCH(Lists!$B$7,$A$1:$Z$1,0))&amp;""),""),"")</f>
        <v/>
      </c>
      <c r="AO70" s="37">
        <f>IF($AR70=1,IFERROR(TRIM(INDEX($A70:$Z70,MATCH(Lists!$B$13,$A$1:$Z$1,0))&amp;""),""),"")</f>
        <v/>
      </c>
      <c r="AP70" s="37">
        <f>IF($AR70=1,IFERROR(TRIM(INDEX($A70:$Z70,MATCH(Lists!$B$3,$A$1:$Z$1,0))&amp;""),""),"")</f>
        <v/>
      </c>
      <c r="AQ70" s="37">
        <f>IF($AR70=1,IFERROR(TRIM(INDEX($A70:$Z70,MATCH(Lists!$B$8,$A$1:$Z$1,0))&amp;""),""),"")</f>
        <v/>
      </c>
      <c r="AR70" s="36">
        <f>IF(LEN($AC70)&gt;0,1,0)</f>
        <v/>
      </c>
      <c r="AS70" s="37">
        <f>IF($AR70=1,IF(IFERROR(IF(ISNUMBER(INDEX($A70:$Z70,MATCH(Lists!$B$2,$A$1:$Z$1,0))),INDEX($A70:$Z70,MATCH(Lists!$B$2,$A$1:$Z$1,0)),DATE(VALUE(LEFT(IFERROR(TRIM(INDEX($A70:$Z70,MATCH(Lists!$B$2,$A$1:$Z$1,0))&amp;""),""),4)),VALUE(MID(IFERROR(TRIM(INDEX($A70:$Z70,MATCH(Lists!$B$2,$A$1:$Z$1,0))&amp;""),""),6,2)),VALUE(MID(IFERROR(TRIM(INDEX($A70:$Z70,MATCH(Lists!$B$2,$A$1:$Z$1,0))&amp;""),""),9,2)))+TIME(VALUE(MID(IFERROR(TRIM(INDEX($A70:$Z70,MATCH(Lists!$B$2,$A$1:$Z$1,0))&amp;""),""),12,2)),VALUE(MID(IFERROR(TRIM(INDEX($A70:$Z70,MATCH(Lists!$B$2,$A$1:$Z$1,0))&amp;""),""),15,2)),VALUE(MID(IFERROR(TRIM(INDEX($A70:$Z70,MATCH(Lists!$B$2,$A$1:$Z$1,0))&amp;""),""),18,2)))),"")="",100000+ROW()/10^7,IFERROR(IF(ISNUMBER(INDEX($A70:$Z70,MATCH(Lists!$B$2,$A$1:$Z$1,0))),INDEX($A70:$Z70,MATCH(Lists!$B$2,$A$1:$Z$1,0)),DATE(VALUE(LEFT(IFERROR(TRIM(INDEX($A70:$Z70,MATCH(Lists!$B$2,$A$1:$Z$1,0))&amp;""),""),4)),VALUE(MID(IFERROR(TRIM(INDEX($A70:$Z70,MATCH(Lists!$B$2,$A$1:$Z$1,0))&amp;""),""),6,2)),VALUE(MID(IFERROR(TRIM(INDEX($A70:$Z70,MATCH(Lists!$B$2,$A$1:$Z$1,0))&amp;""),""),9,2)))+TIME(VALUE(MID(IFERROR(TRIM(INDEX($A70:$Z70,MATCH(Lists!$B$2,$A$1:$Z$1,0))&amp;""),""),12,2)),VALUE(MID(IFERROR(TRIM(INDEX($A70:$Z70,MATCH(Lists!$B$2,$A$1:$Z$1,0))&amp;""),""),15,2)),VALUE(MID(IFERROR(TRIM(INDEX($A70:$Z70,MATCH(Lists!$B$2,$A$1:$Z$1,0))&amp;""),""),18,2)))),"")-ROW()/10^7),"")</f>
        <v/>
      </c>
    </row>
    <row r="71">
      <c r="AB71" s="36">
        <f>IF($AR71=1,COUNTIF($AS$2:$AS$201,"&lt;"&amp;$AS71)+1,"")</f>
        <v/>
      </c>
      <c r="AC71" s="37">
        <f>IFERROR(TRIM(INDEX($A71:$Z71,MATCH(Lists!$B$9,$A$1:$Z$1,0))&amp;""),"")</f>
        <v/>
      </c>
      <c r="AD71" s="37">
        <f>IF($AR71=1,IFERROR(TRIM(INDEX($A71:$Z71,MATCH(Lists!$B$10,$A$1:$Z$1,0))&amp;""),""),"")</f>
        <v/>
      </c>
      <c r="AE71" s="37">
        <f>IF($AR71=1,IFERROR(TRIM(INDEX($A71:$Z71,MATCH(Lists!$B$12,$A$1:$Z$1,0))&amp;""),""),"")</f>
        <v/>
      </c>
      <c r="AF71" s="38">
        <f>IF($AR71=1,IFERROR(IF(TRIM(INDEX($A71:$Z71,MATCH(Lists!$B$11,$A$1:$Z$1,0))&amp;"")="","",VALUE(TRIM(INDEX($A71:$Z71,MATCH(Lists!$B$11,$A$1:$Z$1,0))&amp;""))),""),"")</f>
        <v/>
      </c>
      <c r="AG71" s="38">
        <f>IF(OR($AR71=0,$AF71="",'Start here'!$F$10="",'Start here'!$F$11="",'Start here'!$F$12="",'Start here'!$F$13="",'Start here'!$F$14=""),"",IF($AF71&lt;'Start here'!$F$10,'Start here'!$F$11,IF($AF71&lt;'Start here'!$F$12,'Start here'!$F$13,'Start here'!$F$14)))</f>
        <v/>
      </c>
      <c r="AH71" s="38">
        <f>IF(OR($AG71="",'Start here'!$F$9=""),"",IF($AF71&lt;=0,"",IFERROR(MAX($AG71,ROUNDUP(ROUND($AF71*'Start here'!$F$9/$AG71,6),0)*$AG71),"")))</f>
        <v/>
      </c>
      <c r="AI71" s="37">
        <f>IF($AR71=0,"",IF($AN71=Lists!$B$19,"",IF(AND($AN71=Lists!$B$18,$AQ71&lt;&gt;""),$AQ71,IF(AND($AP71=Lists!$B$17,$AL71&lt;&gt;""),$AL71,$AK71))))</f>
        <v/>
      </c>
      <c r="AJ71" s="37">
        <f>IF($AR71=0,"",IF(IF($AF71="",", no value",IF($AF71&lt;=0,", no value",""))&amp;IF('Start here'!$F$15="","",IF(LEN($AD71)&lt;'Start here'!$F$15,", short description",""))="","OK",MID(IF($AF71="",", no value",IF($AF71&lt;=0,", no value",""))&amp;IF('Start here'!$F$15="","",IF(LEN($AD71)&lt;'Start here'!$F$15,", short description","")),3,200)))</f>
        <v/>
      </c>
      <c r="AK71" s="37">
        <f>IF($AR71=1,IFERROR(TRIM(INDEX($A71:$Z71,MATCH(Lists!$B$5,$A$1:$Z$1,0))&amp;""),""),"")</f>
        <v/>
      </c>
      <c r="AL71" s="37">
        <f>IF($AR71=1,IFERROR(TRIM(INDEX($A71:$Z71,MATCH(Lists!$B$4,$A$1:$Z$1,0))&amp;""),""),"")</f>
        <v/>
      </c>
      <c r="AM71" s="37">
        <f>IF($AR71=1,IFERROR(TRIM(INDEX($A71:$Z71,MATCH(Lists!$B$6,$A$1:$Z$1,0))&amp;""),""),"")</f>
        <v/>
      </c>
      <c r="AN71" s="37">
        <f>IF($AR71=1,IFERROR(TRIM(INDEX($A71:$Z71,MATCH(Lists!$B$7,$A$1:$Z$1,0))&amp;""),""),"")</f>
        <v/>
      </c>
      <c r="AO71" s="37">
        <f>IF($AR71=1,IFERROR(TRIM(INDEX($A71:$Z71,MATCH(Lists!$B$13,$A$1:$Z$1,0))&amp;""),""),"")</f>
        <v/>
      </c>
      <c r="AP71" s="37">
        <f>IF($AR71=1,IFERROR(TRIM(INDEX($A71:$Z71,MATCH(Lists!$B$3,$A$1:$Z$1,0))&amp;""),""),"")</f>
        <v/>
      </c>
      <c r="AQ71" s="37">
        <f>IF($AR71=1,IFERROR(TRIM(INDEX($A71:$Z71,MATCH(Lists!$B$8,$A$1:$Z$1,0))&amp;""),""),"")</f>
        <v/>
      </c>
      <c r="AR71" s="36">
        <f>IF(LEN($AC71)&gt;0,1,0)</f>
        <v/>
      </c>
      <c r="AS71" s="37">
        <f>IF($AR71=1,IF(IFERROR(IF(ISNUMBER(INDEX($A71:$Z71,MATCH(Lists!$B$2,$A$1:$Z$1,0))),INDEX($A71:$Z71,MATCH(Lists!$B$2,$A$1:$Z$1,0)),DATE(VALUE(LEFT(IFERROR(TRIM(INDEX($A71:$Z71,MATCH(Lists!$B$2,$A$1:$Z$1,0))&amp;""),""),4)),VALUE(MID(IFERROR(TRIM(INDEX($A71:$Z71,MATCH(Lists!$B$2,$A$1:$Z$1,0))&amp;""),""),6,2)),VALUE(MID(IFERROR(TRIM(INDEX($A71:$Z71,MATCH(Lists!$B$2,$A$1:$Z$1,0))&amp;""),""),9,2)))+TIME(VALUE(MID(IFERROR(TRIM(INDEX($A71:$Z71,MATCH(Lists!$B$2,$A$1:$Z$1,0))&amp;""),""),12,2)),VALUE(MID(IFERROR(TRIM(INDEX($A71:$Z71,MATCH(Lists!$B$2,$A$1:$Z$1,0))&amp;""),""),15,2)),VALUE(MID(IFERROR(TRIM(INDEX($A71:$Z71,MATCH(Lists!$B$2,$A$1:$Z$1,0))&amp;""),""),18,2)))),"")="",100000+ROW()/10^7,IFERROR(IF(ISNUMBER(INDEX($A71:$Z71,MATCH(Lists!$B$2,$A$1:$Z$1,0))),INDEX($A71:$Z71,MATCH(Lists!$B$2,$A$1:$Z$1,0)),DATE(VALUE(LEFT(IFERROR(TRIM(INDEX($A71:$Z71,MATCH(Lists!$B$2,$A$1:$Z$1,0))&amp;""),""),4)),VALUE(MID(IFERROR(TRIM(INDEX($A71:$Z71,MATCH(Lists!$B$2,$A$1:$Z$1,0))&amp;""),""),6,2)),VALUE(MID(IFERROR(TRIM(INDEX($A71:$Z71,MATCH(Lists!$B$2,$A$1:$Z$1,0))&amp;""),""),9,2)))+TIME(VALUE(MID(IFERROR(TRIM(INDEX($A71:$Z71,MATCH(Lists!$B$2,$A$1:$Z$1,0))&amp;""),""),12,2)),VALUE(MID(IFERROR(TRIM(INDEX($A71:$Z71,MATCH(Lists!$B$2,$A$1:$Z$1,0))&amp;""),""),15,2)),VALUE(MID(IFERROR(TRIM(INDEX($A71:$Z71,MATCH(Lists!$B$2,$A$1:$Z$1,0))&amp;""),""),18,2)))),"")-ROW()/10^7),"")</f>
        <v/>
      </c>
    </row>
    <row r="72">
      <c r="AB72" s="36">
        <f>IF($AR72=1,COUNTIF($AS$2:$AS$201,"&lt;"&amp;$AS72)+1,"")</f>
        <v/>
      </c>
      <c r="AC72" s="37">
        <f>IFERROR(TRIM(INDEX($A72:$Z72,MATCH(Lists!$B$9,$A$1:$Z$1,0))&amp;""),"")</f>
        <v/>
      </c>
      <c r="AD72" s="37">
        <f>IF($AR72=1,IFERROR(TRIM(INDEX($A72:$Z72,MATCH(Lists!$B$10,$A$1:$Z$1,0))&amp;""),""),"")</f>
        <v/>
      </c>
      <c r="AE72" s="37">
        <f>IF($AR72=1,IFERROR(TRIM(INDEX($A72:$Z72,MATCH(Lists!$B$12,$A$1:$Z$1,0))&amp;""),""),"")</f>
        <v/>
      </c>
      <c r="AF72" s="38">
        <f>IF($AR72=1,IFERROR(IF(TRIM(INDEX($A72:$Z72,MATCH(Lists!$B$11,$A$1:$Z$1,0))&amp;"")="","",VALUE(TRIM(INDEX($A72:$Z72,MATCH(Lists!$B$11,$A$1:$Z$1,0))&amp;""))),""),"")</f>
        <v/>
      </c>
      <c r="AG72" s="38">
        <f>IF(OR($AR72=0,$AF72="",'Start here'!$F$10="",'Start here'!$F$11="",'Start here'!$F$12="",'Start here'!$F$13="",'Start here'!$F$14=""),"",IF($AF72&lt;'Start here'!$F$10,'Start here'!$F$11,IF($AF72&lt;'Start here'!$F$12,'Start here'!$F$13,'Start here'!$F$14)))</f>
        <v/>
      </c>
      <c r="AH72" s="38">
        <f>IF(OR($AG72="",'Start here'!$F$9=""),"",IF($AF72&lt;=0,"",IFERROR(MAX($AG72,ROUNDUP(ROUND($AF72*'Start here'!$F$9/$AG72,6),0)*$AG72),"")))</f>
        <v/>
      </c>
      <c r="AI72" s="37">
        <f>IF($AR72=0,"",IF($AN72=Lists!$B$19,"",IF(AND($AN72=Lists!$B$18,$AQ72&lt;&gt;""),$AQ72,IF(AND($AP72=Lists!$B$17,$AL72&lt;&gt;""),$AL72,$AK72))))</f>
        <v/>
      </c>
      <c r="AJ72" s="37">
        <f>IF($AR72=0,"",IF(IF($AF72="",", no value",IF($AF72&lt;=0,", no value",""))&amp;IF('Start here'!$F$15="","",IF(LEN($AD72)&lt;'Start here'!$F$15,", short description",""))="","OK",MID(IF($AF72="",", no value",IF($AF72&lt;=0,", no value",""))&amp;IF('Start here'!$F$15="","",IF(LEN($AD72)&lt;'Start here'!$F$15,", short description","")),3,200)))</f>
        <v/>
      </c>
      <c r="AK72" s="37">
        <f>IF($AR72=1,IFERROR(TRIM(INDEX($A72:$Z72,MATCH(Lists!$B$5,$A$1:$Z$1,0))&amp;""),""),"")</f>
        <v/>
      </c>
      <c r="AL72" s="37">
        <f>IF($AR72=1,IFERROR(TRIM(INDEX($A72:$Z72,MATCH(Lists!$B$4,$A$1:$Z$1,0))&amp;""),""),"")</f>
        <v/>
      </c>
      <c r="AM72" s="37">
        <f>IF($AR72=1,IFERROR(TRIM(INDEX($A72:$Z72,MATCH(Lists!$B$6,$A$1:$Z$1,0))&amp;""),""),"")</f>
        <v/>
      </c>
      <c r="AN72" s="37">
        <f>IF($AR72=1,IFERROR(TRIM(INDEX($A72:$Z72,MATCH(Lists!$B$7,$A$1:$Z$1,0))&amp;""),""),"")</f>
        <v/>
      </c>
      <c r="AO72" s="37">
        <f>IF($AR72=1,IFERROR(TRIM(INDEX($A72:$Z72,MATCH(Lists!$B$13,$A$1:$Z$1,0))&amp;""),""),"")</f>
        <v/>
      </c>
      <c r="AP72" s="37">
        <f>IF($AR72=1,IFERROR(TRIM(INDEX($A72:$Z72,MATCH(Lists!$B$3,$A$1:$Z$1,0))&amp;""),""),"")</f>
        <v/>
      </c>
      <c r="AQ72" s="37">
        <f>IF($AR72=1,IFERROR(TRIM(INDEX($A72:$Z72,MATCH(Lists!$B$8,$A$1:$Z$1,0))&amp;""),""),"")</f>
        <v/>
      </c>
      <c r="AR72" s="36">
        <f>IF(LEN($AC72)&gt;0,1,0)</f>
        <v/>
      </c>
      <c r="AS72" s="37">
        <f>IF($AR72=1,IF(IFERROR(IF(ISNUMBER(INDEX($A72:$Z72,MATCH(Lists!$B$2,$A$1:$Z$1,0))),INDEX($A72:$Z72,MATCH(Lists!$B$2,$A$1:$Z$1,0)),DATE(VALUE(LEFT(IFERROR(TRIM(INDEX($A72:$Z72,MATCH(Lists!$B$2,$A$1:$Z$1,0))&amp;""),""),4)),VALUE(MID(IFERROR(TRIM(INDEX($A72:$Z72,MATCH(Lists!$B$2,$A$1:$Z$1,0))&amp;""),""),6,2)),VALUE(MID(IFERROR(TRIM(INDEX($A72:$Z72,MATCH(Lists!$B$2,$A$1:$Z$1,0))&amp;""),""),9,2)))+TIME(VALUE(MID(IFERROR(TRIM(INDEX($A72:$Z72,MATCH(Lists!$B$2,$A$1:$Z$1,0))&amp;""),""),12,2)),VALUE(MID(IFERROR(TRIM(INDEX($A72:$Z72,MATCH(Lists!$B$2,$A$1:$Z$1,0))&amp;""),""),15,2)),VALUE(MID(IFERROR(TRIM(INDEX($A72:$Z72,MATCH(Lists!$B$2,$A$1:$Z$1,0))&amp;""),""),18,2)))),"")="",100000+ROW()/10^7,IFERROR(IF(ISNUMBER(INDEX($A72:$Z72,MATCH(Lists!$B$2,$A$1:$Z$1,0))),INDEX($A72:$Z72,MATCH(Lists!$B$2,$A$1:$Z$1,0)),DATE(VALUE(LEFT(IFERROR(TRIM(INDEX($A72:$Z72,MATCH(Lists!$B$2,$A$1:$Z$1,0))&amp;""),""),4)),VALUE(MID(IFERROR(TRIM(INDEX($A72:$Z72,MATCH(Lists!$B$2,$A$1:$Z$1,0))&amp;""),""),6,2)),VALUE(MID(IFERROR(TRIM(INDEX($A72:$Z72,MATCH(Lists!$B$2,$A$1:$Z$1,0))&amp;""),""),9,2)))+TIME(VALUE(MID(IFERROR(TRIM(INDEX($A72:$Z72,MATCH(Lists!$B$2,$A$1:$Z$1,0))&amp;""),""),12,2)),VALUE(MID(IFERROR(TRIM(INDEX($A72:$Z72,MATCH(Lists!$B$2,$A$1:$Z$1,0))&amp;""),""),15,2)),VALUE(MID(IFERROR(TRIM(INDEX($A72:$Z72,MATCH(Lists!$B$2,$A$1:$Z$1,0))&amp;""),""),18,2)))),"")-ROW()/10^7),"")</f>
        <v/>
      </c>
    </row>
    <row r="73">
      <c r="AB73" s="36">
        <f>IF($AR73=1,COUNTIF($AS$2:$AS$201,"&lt;"&amp;$AS73)+1,"")</f>
        <v/>
      </c>
      <c r="AC73" s="37">
        <f>IFERROR(TRIM(INDEX($A73:$Z73,MATCH(Lists!$B$9,$A$1:$Z$1,0))&amp;""),"")</f>
        <v/>
      </c>
      <c r="AD73" s="37">
        <f>IF($AR73=1,IFERROR(TRIM(INDEX($A73:$Z73,MATCH(Lists!$B$10,$A$1:$Z$1,0))&amp;""),""),"")</f>
        <v/>
      </c>
      <c r="AE73" s="37">
        <f>IF($AR73=1,IFERROR(TRIM(INDEX($A73:$Z73,MATCH(Lists!$B$12,$A$1:$Z$1,0))&amp;""),""),"")</f>
        <v/>
      </c>
      <c r="AF73" s="38">
        <f>IF($AR73=1,IFERROR(IF(TRIM(INDEX($A73:$Z73,MATCH(Lists!$B$11,$A$1:$Z$1,0))&amp;"")="","",VALUE(TRIM(INDEX($A73:$Z73,MATCH(Lists!$B$11,$A$1:$Z$1,0))&amp;""))),""),"")</f>
        <v/>
      </c>
      <c r="AG73" s="38">
        <f>IF(OR($AR73=0,$AF73="",'Start here'!$F$10="",'Start here'!$F$11="",'Start here'!$F$12="",'Start here'!$F$13="",'Start here'!$F$14=""),"",IF($AF73&lt;'Start here'!$F$10,'Start here'!$F$11,IF($AF73&lt;'Start here'!$F$12,'Start here'!$F$13,'Start here'!$F$14)))</f>
        <v/>
      </c>
      <c r="AH73" s="38">
        <f>IF(OR($AG73="",'Start here'!$F$9=""),"",IF($AF73&lt;=0,"",IFERROR(MAX($AG73,ROUNDUP(ROUND($AF73*'Start here'!$F$9/$AG73,6),0)*$AG73),"")))</f>
        <v/>
      </c>
      <c r="AI73" s="37">
        <f>IF($AR73=0,"",IF($AN73=Lists!$B$19,"",IF(AND($AN73=Lists!$B$18,$AQ73&lt;&gt;""),$AQ73,IF(AND($AP73=Lists!$B$17,$AL73&lt;&gt;""),$AL73,$AK73))))</f>
        <v/>
      </c>
      <c r="AJ73" s="37">
        <f>IF($AR73=0,"",IF(IF($AF73="",", no value",IF($AF73&lt;=0,", no value",""))&amp;IF('Start here'!$F$15="","",IF(LEN($AD73)&lt;'Start here'!$F$15,", short description",""))="","OK",MID(IF($AF73="",", no value",IF($AF73&lt;=0,", no value",""))&amp;IF('Start here'!$F$15="","",IF(LEN($AD73)&lt;'Start here'!$F$15,", short description","")),3,200)))</f>
        <v/>
      </c>
      <c r="AK73" s="37">
        <f>IF($AR73=1,IFERROR(TRIM(INDEX($A73:$Z73,MATCH(Lists!$B$5,$A$1:$Z$1,0))&amp;""),""),"")</f>
        <v/>
      </c>
      <c r="AL73" s="37">
        <f>IF($AR73=1,IFERROR(TRIM(INDEX($A73:$Z73,MATCH(Lists!$B$4,$A$1:$Z$1,0))&amp;""),""),"")</f>
        <v/>
      </c>
      <c r="AM73" s="37">
        <f>IF($AR73=1,IFERROR(TRIM(INDEX($A73:$Z73,MATCH(Lists!$B$6,$A$1:$Z$1,0))&amp;""),""),"")</f>
        <v/>
      </c>
      <c r="AN73" s="37">
        <f>IF($AR73=1,IFERROR(TRIM(INDEX($A73:$Z73,MATCH(Lists!$B$7,$A$1:$Z$1,0))&amp;""),""),"")</f>
        <v/>
      </c>
      <c r="AO73" s="37">
        <f>IF($AR73=1,IFERROR(TRIM(INDEX($A73:$Z73,MATCH(Lists!$B$13,$A$1:$Z$1,0))&amp;""),""),"")</f>
        <v/>
      </c>
      <c r="AP73" s="37">
        <f>IF($AR73=1,IFERROR(TRIM(INDEX($A73:$Z73,MATCH(Lists!$B$3,$A$1:$Z$1,0))&amp;""),""),"")</f>
        <v/>
      </c>
      <c r="AQ73" s="37">
        <f>IF($AR73=1,IFERROR(TRIM(INDEX($A73:$Z73,MATCH(Lists!$B$8,$A$1:$Z$1,0))&amp;""),""),"")</f>
        <v/>
      </c>
      <c r="AR73" s="36">
        <f>IF(LEN($AC73)&gt;0,1,0)</f>
        <v/>
      </c>
      <c r="AS73" s="37">
        <f>IF($AR73=1,IF(IFERROR(IF(ISNUMBER(INDEX($A73:$Z73,MATCH(Lists!$B$2,$A$1:$Z$1,0))),INDEX($A73:$Z73,MATCH(Lists!$B$2,$A$1:$Z$1,0)),DATE(VALUE(LEFT(IFERROR(TRIM(INDEX($A73:$Z73,MATCH(Lists!$B$2,$A$1:$Z$1,0))&amp;""),""),4)),VALUE(MID(IFERROR(TRIM(INDEX($A73:$Z73,MATCH(Lists!$B$2,$A$1:$Z$1,0))&amp;""),""),6,2)),VALUE(MID(IFERROR(TRIM(INDEX($A73:$Z73,MATCH(Lists!$B$2,$A$1:$Z$1,0))&amp;""),""),9,2)))+TIME(VALUE(MID(IFERROR(TRIM(INDEX($A73:$Z73,MATCH(Lists!$B$2,$A$1:$Z$1,0))&amp;""),""),12,2)),VALUE(MID(IFERROR(TRIM(INDEX($A73:$Z73,MATCH(Lists!$B$2,$A$1:$Z$1,0))&amp;""),""),15,2)),VALUE(MID(IFERROR(TRIM(INDEX($A73:$Z73,MATCH(Lists!$B$2,$A$1:$Z$1,0))&amp;""),""),18,2)))),"")="",100000+ROW()/10^7,IFERROR(IF(ISNUMBER(INDEX($A73:$Z73,MATCH(Lists!$B$2,$A$1:$Z$1,0))),INDEX($A73:$Z73,MATCH(Lists!$B$2,$A$1:$Z$1,0)),DATE(VALUE(LEFT(IFERROR(TRIM(INDEX($A73:$Z73,MATCH(Lists!$B$2,$A$1:$Z$1,0))&amp;""),""),4)),VALUE(MID(IFERROR(TRIM(INDEX($A73:$Z73,MATCH(Lists!$B$2,$A$1:$Z$1,0))&amp;""),""),6,2)),VALUE(MID(IFERROR(TRIM(INDEX($A73:$Z73,MATCH(Lists!$B$2,$A$1:$Z$1,0))&amp;""),""),9,2)))+TIME(VALUE(MID(IFERROR(TRIM(INDEX($A73:$Z73,MATCH(Lists!$B$2,$A$1:$Z$1,0))&amp;""),""),12,2)),VALUE(MID(IFERROR(TRIM(INDEX($A73:$Z73,MATCH(Lists!$B$2,$A$1:$Z$1,0))&amp;""),""),15,2)),VALUE(MID(IFERROR(TRIM(INDEX($A73:$Z73,MATCH(Lists!$B$2,$A$1:$Z$1,0))&amp;""),""),18,2)))),"")-ROW()/10^7),"")</f>
        <v/>
      </c>
    </row>
    <row r="74">
      <c r="AB74" s="36">
        <f>IF($AR74=1,COUNTIF($AS$2:$AS$201,"&lt;"&amp;$AS74)+1,"")</f>
        <v/>
      </c>
      <c r="AC74" s="37">
        <f>IFERROR(TRIM(INDEX($A74:$Z74,MATCH(Lists!$B$9,$A$1:$Z$1,0))&amp;""),"")</f>
        <v/>
      </c>
      <c r="AD74" s="37">
        <f>IF($AR74=1,IFERROR(TRIM(INDEX($A74:$Z74,MATCH(Lists!$B$10,$A$1:$Z$1,0))&amp;""),""),"")</f>
        <v/>
      </c>
      <c r="AE74" s="37">
        <f>IF($AR74=1,IFERROR(TRIM(INDEX($A74:$Z74,MATCH(Lists!$B$12,$A$1:$Z$1,0))&amp;""),""),"")</f>
        <v/>
      </c>
      <c r="AF74" s="38">
        <f>IF($AR74=1,IFERROR(IF(TRIM(INDEX($A74:$Z74,MATCH(Lists!$B$11,$A$1:$Z$1,0))&amp;"")="","",VALUE(TRIM(INDEX($A74:$Z74,MATCH(Lists!$B$11,$A$1:$Z$1,0))&amp;""))),""),"")</f>
        <v/>
      </c>
      <c r="AG74" s="38">
        <f>IF(OR($AR74=0,$AF74="",'Start here'!$F$10="",'Start here'!$F$11="",'Start here'!$F$12="",'Start here'!$F$13="",'Start here'!$F$14=""),"",IF($AF74&lt;'Start here'!$F$10,'Start here'!$F$11,IF($AF74&lt;'Start here'!$F$12,'Start here'!$F$13,'Start here'!$F$14)))</f>
        <v/>
      </c>
      <c r="AH74" s="38">
        <f>IF(OR($AG74="",'Start here'!$F$9=""),"",IF($AF74&lt;=0,"",IFERROR(MAX($AG74,ROUNDUP(ROUND($AF74*'Start here'!$F$9/$AG74,6),0)*$AG74),"")))</f>
        <v/>
      </c>
      <c r="AI74" s="37">
        <f>IF($AR74=0,"",IF($AN74=Lists!$B$19,"",IF(AND($AN74=Lists!$B$18,$AQ74&lt;&gt;""),$AQ74,IF(AND($AP74=Lists!$B$17,$AL74&lt;&gt;""),$AL74,$AK74))))</f>
        <v/>
      </c>
      <c r="AJ74" s="37">
        <f>IF($AR74=0,"",IF(IF($AF74="",", no value",IF($AF74&lt;=0,", no value",""))&amp;IF('Start here'!$F$15="","",IF(LEN($AD74)&lt;'Start here'!$F$15,", short description",""))="","OK",MID(IF($AF74="",", no value",IF($AF74&lt;=0,", no value",""))&amp;IF('Start here'!$F$15="","",IF(LEN($AD74)&lt;'Start here'!$F$15,", short description","")),3,200)))</f>
        <v/>
      </c>
      <c r="AK74" s="37">
        <f>IF($AR74=1,IFERROR(TRIM(INDEX($A74:$Z74,MATCH(Lists!$B$5,$A$1:$Z$1,0))&amp;""),""),"")</f>
        <v/>
      </c>
      <c r="AL74" s="37">
        <f>IF($AR74=1,IFERROR(TRIM(INDEX($A74:$Z74,MATCH(Lists!$B$4,$A$1:$Z$1,0))&amp;""),""),"")</f>
        <v/>
      </c>
      <c r="AM74" s="37">
        <f>IF($AR74=1,IFERROR(TRIM(INDEX($A74:$Z74,MATCH(Lists!$B$6,$A$1:$Z$1,0))&amp;""),""),"")</f>
        <v/>
      </c>
      <c r="AN74" s="37">
        <f>IF($AR74=1,IFERROR(TRIM(INDEX($A74:$Z74,MATCH(Lists!$B$7,$A$1:$Z$1,0))&amp;""),""),"")</f>
        <v/>
      </c>
      <c r="AO74" s="37">
        <f>IF($AR74=1,IFERROR(TRIM(INDEX($A74:$Z74,MATCH(Lists!$B$13,$A$1:$Z$1,0))&amp;""),""),"")</f>
        <v/>
      </c>
      <c r="AP74" s="37">
        <f>IF($AR74=1,IFERROR(TRIM(INDEX($A74:$Z74,MATCH(Lists!$B$3,$A$1:$Z$1,0))&amp;""),""),"")</f>
        <v/>
      </c>
      <c r="AQ74" s="37">
        <f>IF($AR74=1,IFERROR(TRIM(INDEX($A74:$Z74,MATCH(Lists!$B$8,$A$1:$Z$1,0))&amp;""),""),"")</f>
        <v/>
      </c>
      <c r="AR74" s="36">
        <f>IF(LEN($AC74)&gt;0,1,0)</f>
        <v/>
      </c>
      <c r="AS74" s="37">
        <f>IF($AR74=1,IF(IFERROR(IF(ISNUMBER(INDEX($A74:$Z74,MATCH(Lists!$B$2,$A$1:$Z$1,0))),INDEX($A74:$Z74,MATCH(Lists!$B$2,$A$1:$Z$1,0)),DATE(VALUE(LEFT(IFERROR(TRIM(INDEX($A74:$Z74,MATCH(Lists!$B$2,$A$1:$Z$1,0))&amp;""),""),4)),VALUE(MID(IFERROR(TRIM(INDEX($A74:$Z74,MATCH(Lists!$B$2,$A$1:$Z$1,0))&amp;""),""),6,2)),VALUE(MID(IFERROR(TRIM(INDEX($A74:$Z74,MATCH(Lists!$B$2,$A$1:$Z$1,0))&amp;""),""),9,2)))+TIME(VALUE(MID(IFERROR(TRIM(INDEX($A74:$Z74,MATCH(Lists!$B$2,$A$1:$Z$1,0))&amp;""),""),12,2)),VALUE(MID(IFERROR(TRIM(INDEX($A74:$Z74,MATCH(Lists!$B$2,$A$1:$Z$1,0))&amp;""),""),15,2)),VALUE(MID(IFERROR(TRIM(INDEX($A74:$Z74,MATCH(Lists!$B$2,$A$1:$Z$1,0))&amp;""),""),18,2)))),"")="",100000+ROW()/10^7,IFERROR(IF(ISNUMBER(INDEX($A74:$Z74,MATCH(Lists!$B$2,$A$1:$Z$1,0))),INDEX($A74:$Z74,MATCH(Lists!$B$2,$A$1:$Z$1,0)),DATE(VALUE(LEFT(IFERROR(TRIM(INDEX($A74:$Z74,MATCH(Lists!$B$2,$A$1:$Z$1,0))&amp;""),""),4)),VALUE(MID(IFERROR(TRIM(INDEX($A74:$Z74,MATCH(Lists!$B$2,$A$1:$Z$1,0))&amp;""),""),6,2)),VALUE(MID(IFERROR(TRIM(INDEX($A74:$Z74,MATCH(Lists!$B$2,$A$1:$Z$1,0))&amp;""),""),9,2)))+TIME(VALUE(MID(IFERROR(TRIM(INDEX($A74:$Z74,MATCH(Lists!$B$2,$A$1:$Z$1,0))&amp;""),""),12,2)),VALUE(MID(IFERROR(TRIM(INDEX($A74:$Z74,MATCH(Lists!$B$2,$A$1:$Z$1,0))&amp;""),""),15,2)),VALUE(MID(IFERROR(TRIM(INDEX($A74:$Z74,MATCH(Lists!$B$2,$A$1:$Z$1,0))&amp;""),""),18,2)))),"")-ROW()/10^7),"")</f>
        <v/>
      </c>
    </row>
    <row r="75">
      <c r="AB75" s="36">
        <f>IF($AR75=1,COUNTIF($AS$2:$AS$201,"&lt;"&amp;$AS75)+1,"")</f>
        <v/>
      </c>
      <c r="AC75" s="37">
        <f>IFERROR(TRIM(INDEX($A75:$Z75,MATCH(Lists!$B$9,$A$1:$Z$1,0))&amp;""),"")</f>
        <v/>
      </c>
      <c r="AD75" s="37">
        <f>IF($AR75=1,IFERROR(TRIM(INDEX($A75:$Z75,MATCH(Lists!$B$10,$A$1:$Z$1,0))&amp;""),""),"")</f>
        <v/>
      </c>
      <c r="AE75" s="37">
        <f>IF($AR75=1,IFERROR(TRIM(INDEX($A75:$Z75,MATCH(Lists!$B$12,$A$1:$Z$1,0))&amp;""),""),"")</f>
        <v/>
      </c>
      <c r="AF75" s="38">
        <f>IF($AR75=1,IFERROR(IF(TRIM(INDEX($A75:$Z75,MATCH(Lists!$B$11,$A$1:$Z$1,0))&amp;"")="","",VALUE(TRIM(INDEX($A75:$Z75,MATCH(Lists!$B$11,$A$1:$Z$1,0))&amp;""))),""),"")</f>
        <v/>
      </c>
      <c r="AG75" s="38">
        <f>IF(OR($AR75=0,$AF75="",'Start here'!$F$10="",'Start here'!$F$11="",'Start here'!$F$12="",'Start here'!$F$13="",'Start here'!$F$14=""),"",IF($AF75&lt;'Start here'!$F$10,'Start here'!$F$11,IF($AF75&lt;'Start here'!$F$12,'Start here'!$F$13,'Start here'!$F$14)))</f>
        <v/>
      </c>
      <c r="AH75" s="38">
        <f>IF(OR($AG75="",'Start here'!$F$9=""),"",IF($AF75&lt;=0,"",IFERROR(MAX($AG75,ROUNDUP(ROUND($AF75*'Start here'!$F$9/$AG75,6),0)*$AG75),"")))</f>
        <v/>
      </c>
      <c r="AI75" s="37">
        <f>IF($AR75=0,"",IF($AN75=Lists!$B$19,"",IF(AND($AN75=Lists!$B$18,$AQ75&lt;&gt;""),$AQ75,IF(AND($AP75=Lists!$B$17,$AL75&lt;&gt;""),$AL75,$AK75))))</f>
        <v/>
      </c>
      <c r="AJ75" s="37">
        <f>IF($AR75=0,"",IF(IF($AF75="",", no value",IF($AF75&lt;=0,", no value",""))&amp;IF('Start here'!$F$15="","",IF(LEN($AD75)&lt;'Start here'!$F$15,", short description",""))="","OK",MID(IF($AF75="",", no value",IF($AF75&lt;=0,", no value",""))&amp;IF('Start here'!$F$15="","",IF(LEN($AD75)&lt;'Start here'!$F$15,", short description","")),3,200)))</f>
        <v/>
      </c>
      <c r="AK75" s="37">
        <f>IF($AR75=1,IFERROR(TRIM(INDEX($A75:$Z75,MATCH(Lists!$B$5,$A$1:$Z$1,0))&amp;""),""),"")</f>
        <v/>
      </c>
      <c r="AL75" s="37">
        <f>IF($AR75=1,IFERROR(TRIM(INDEX($A75:$Z75,MATCH(Lists!$B$4,$A$1:$Z$1,0))&amp;""),""),"")</f>
        <v/>
      </c>
      <c r="AM75" s="37">
        <f>IF($AR75=1,IFERROR(TRIM(INDEX($A75:$Z75,MATCH(Lists!$B$6,$A$1:$Z$1,0))&amp;""),""),"")</f>
        <v/>
      </c>
      <c r="AN75" s="37">
        <f>IF($AR75=1,IFERROR(TRIM(INDEX($A75:$Z75,MATCH(Lists!$B$7,$A$1:$Z$1,0))&amp;""),""),"")</f>
        <v/>
      </c>
      <c r="AO75" s="37">
        <f>IF($AR75=1,IFERROR(TRIM(INDEX($A75:$Z75,MATCH(Lists!$B$13,$A$1:$Z$1,0))&amp;""),""),"")</f>
        <v/>
      </c>
      <c r="AP75" s="37">
        <f>IF($AR75=1,IFERROR(TRIM(INDEX($A75:$Z75,MATCH(Lists!$B$3,$A$1:$Z$1,0))&amp;""),""),"")</f>
        <v/>
      </c>
      <c r="AQ75" s="37">
        <f>IF($AR75=1,IFERROR(TRIM(INDEX($A75:$Z75,MATCH(Lists!$B$8,$A$1:$Z$1,0))&amp;""),""),"")</f>
        <v/>
      </c>
      <c r="AR75" s="36">
        <f>IF(LEN($AC75)&gt;0,1,0)</f>
        <v/>
      </c>
      <c r="AS75" s="37">
        <f>IF($AR75=1,IF(IFERROR(IF(ISNUMBER(INDEX($A75:$Z75,MATCH(Lists!$B$2,$A$1:$Z$1,0))),INDEX($A75:$Z75,MATCH(Lists!$B$2,$A$1:$Z$1,0)),DATE(VALUE(LEFT(IFERROR(TRIM(INDEX($A75:$Z75,MATCH(Lists!$B$2,$A$1:$Z$1,0))&amp;""),""),4)),VALUE(MID(IFERROR(TRIM(INDEX($A75:$Z75,MATCH(Lists!$B$2,$A$1:$Z$1,0))&amp;""),""),6,2)),VALUE(MID(IFERROR(TRIM(INDEX($A75:$Z75,MATCH(Lists!$B$2,$A$1:$Z$1,0))&amp;""),""),9,2)))+TIME(VALUE(MID(IFERROR(TRIM(INDEX($A75:$Z75,MATCH(Lists!$B$2,$A$1:$Z$1,0))&amp;""),""),12,2)),VALUE(MID(IFERROR(TRIM(INDEX($A75:$Z75,MATCH(Lists!$B$2,$A$1:$Z$1,0))&amp;""),""),15,2)),VALUE(MID(IFERROR(TRIM(INDEX($A75:$Z75,MATCH(Lists!$B$2,$A$1:$Z$1,0))&amp;""),""),18,2)))),"")="",100000+ROW()/10^7,IFERROR(IF(ISNUMBER(INDEX($A75:$Z75,MATCH(Lists!$B$2,$A$1:$Z$1,0))),INDEX($A75:$Z75,MATCH(Lists!$B$2,$A$1:$Z$1,0)),DATE(VALUE(LEFT(IFERROR(TRIM(INDEX($A75:$Z75,MATCH(Lists!$B$2,$A$1:$Z$1,0))&amp;""),""),4)),VALUE(MID(IFERROR(TRIM(INDEX($A75:$Z75,MATCH(Lists!$B$2,$A$1:$Z$1,0))&amp;""),""),6,2)),VALUE(MID(IFERROR(TRIM(INDEX($A75:$Z75,MATCH(Lists!$B$2,$A$1:$Z$1,0))&amp;""),""),9,2)))+TIME(VALUE(MID(IFERROR(TRIM(INDEX($A75:$Z75,MATCH(Lists!$B$2,$A$1:$Z$1,0))&amp;""),""),12,2)),VALUE(MID(IFERROR(TRIM(INDEX($A75:$Z75,MATCH(Lists!$B$2,$A$1:$Z$1,0))&amp;""),""),15,2)),VALUE(MID(IFERROR(TRIM(INDEX($A75:$Z75,MATCH(Lists!$B$2,$A$1:$Z$1,0))&amp;""),""),18,2)))),"")-ROW()/10^7),"")</f>
        <v/>
      </c>
    </row>
    <row r="76">
      <c r="AB76" s="36">
        <f>IF($AR76=1,COUNTIF($AS$2:$AS$201,"&lt;"&amp;$AS76)+1,"")</f>
        <v/>
      </c>
      <c r="AC76" s="37">
        <f>IFERROR(TRIM(INDEX($A76:$Z76,MATCH(Lists!$B$9,$A$1:$Z$1,0))&amp;""),"")</f>
        <v/>
      </c>
      <c r="AD76" s="37">
        <f>IF($AR76=1,IFERROR(TRIM(INDEX($A76:$Z76,MATCH(Lists!$B$10,$A$1:$Z$1,0))&amp;""),""),"")</f>
        <v/>
      </c>
      <c r="AE76" s="37">
        <f>IF($AR76=1,IFERROR(TRIM(INDEX($A76:$Z76,MATCH(Lists!$B$12,$A$1:$Z$1,0))&amp;""),""),"")</f>
        <v/>
      </c>
      <c r="AF76" s="38">
        <f>IF($AR76=1,IFERROR(IF(TRIM(INDEX($A76:$Z76,MATCH(Lists!$B$11,$A$1:$Z$1,0))&amp;"")="","",VALUE(TRIM(INDEX($A76:$Z76,MATCH(Lists!$B$11,$A$1:$Z$1,0))&amp;""))),""),"")</f>
        <v/>
      </c>
      <c r="AG76" s="38">
        <f>IF(OR($AR76=0,$AF76="",'Start here'!$F$10="",'Start here'!$F$11="",'Start here'!$F$12="",'Start here'!$F$13="",'Start here'!$F$14=""),"",IF($AF76&lt;'Start here'!$F$10,'Start here'!$F$11,IF($AF76&lt;'Start here'!$F$12,'Start here'!$F$13,'Start here'!$F$14)))</f>
        <v/>
      </c>
      <c r="AH76" s="38">
        <f>IF(OR($AG76="",'Start here'!$F$9=""),"",IF($AF76&lt;=0,"",IFERROR(MAX($AG76,ROUNDUP(ROUND($AF76*'Start here'!$F$9/$AG76,6),0)*$AG76),"")))</f>
        <v/>
      </c>
      <c r="AI76" s="37">
        <f>IF($AR76=0,"",IF($AN76=Lists!$B$19,"",IF(AND($AN76=Lists!$B$18,$AQ76&lt;&gt;""),$AQ76,IF(AND($AP76=Lists!$B$17,$AL76&lt;&gt;""),$AL76,$AK76))))</f>
        <v/>
      </c>
      <c r="AJ76" s="37">
        <f>IF($AR76=0,"",IF(IF($AF76="",", no value",IF($AF76&lt;=0,", no value",""))&amp;IF('Start here'!$F$15="","",IF(LEN($AD76)&lt;'Start here'!$F$15,", short description",""))="","OK",MID(IF($AF76="",", no value",IF($AF76&lt;=0,", no value",""))&amp;IF('Start here'!$F$15="","",IF(LEN($AD76)&lt;'Start here'!$F$15,", short description","")),3,200)))</f>
        <v/>
      </c>
      <c r="AK76" s="37">
        <f>IF($AR76=1,IFERROR(TRIM(INDEX($A76:$Z76,MATCH(Lists!$B$5,$A$1:$Z$1,0))&amp;""),""),"")</f>
        <v/>
      </c>
      <c r="AL76" s="37">
        <f>IF($AR76=1,IFERROR(TRIM(INDEX($A76:$Z76,MATCH(Lists!$B$4,$A$1:$Z$1,0))&amp;""),""),"")</f>
        <v/>
      </c>
      <c r="AM76" s="37">
        <f>IF($AR76=1,IFERROR(TRIM(INDEX($A76:$Z76,MATCH(Lists!$B$6,$A$1:$Z$1,0))&amp;""),""),"")</f>
        <v/>
      </c>
      <c r="AN76" s="37">
        <f>IF($AR76=1,IFERROR(TRIM(INDEX($A76:$Z76,MATCH(Lists!$B$7,$A$1:$Z$1,0))&amp;""),""),"")</f>
        <v/>
      </c>
      <c r="AO76" s="37">
        <f>IF($AR76=1,IFERROR(TRIM(INDEX($A76:$Z76,MATCH(Lists!$B$13,$A$1:$Z$1,0))&amp;""),""),"")</f>
        <v/>
      </c>
      <c r="AP76" s="37">
        <f>IF($AR76=1,IFERROR(TRIM(INDEX($A76:$Z76,MATCH(Lists!$B$3,$A$1:$Z$1,0))&amp;""),""),"")</f>
        <v/>
      </c>
      <c r="AQ76" s="37">
        <f>IF($AR76=1,IFERROR(TRIM(INDEX($A76:$Z76,MATCH(Lists!$B$8,$A$1:$Z$1,0))&amp;""),""),"")</f>
        <v/>
      </c>
      <c r="AR76" s="36">
        <f>IF(LEN($AC76)&gt;0,1,0)</f>
        <v/>
      </c>
      <c r="AS76" s="37">
        <f>IF($AR76=1,IF(IFERROR(IF(ISNUMBER(INDEX($A76:$Z76,MATCH(Lists!$B$2,$A$1:$Z$1,0))),INDEX($A76:$Z76,MATCH(Lists!$B$2,$A$1:$Z$1,0)),DATE(VALUE(LEFT(IFERROR(TRIM(INDEX($A76:$Z76,MATCH(Lists!$B$2,$A$1:$Z$1,0))&amp;""),""),4)),VALUE(MID(IFERROR(TRIM(INDEX($A76:$Z76,MATCH(Lists!$B$2,$A$1:$Z$1,0))&amp;""),""),6,2)),VALUE(MID(IFERROR(TRIM(INDEX($A76:$Z76,MATCH(Lists!$B$2,$A$1:$Z$1,0))&amp;""),""),9,2)))+TIME(VALUE(MID(IFERROR(TRIM(INDEX($A76:$Z76,MATCH(Lists!$B$2,$A$1:$Z$1,0))&amp;""),""),12,2)),VALUE(MID(IFERROR(TRIM(INDEX($A76:$Z76,MATCH(Lists!$B$2,$A$1:$Z$1,0))&amp;""),""),15,2)),VALUE(MID(IFERROR(TRIM(INDEX($A76:$Z76,MATCH(Lists!$B$2,$A$1:$Z$1,0))&amp;""),""),18,2)))),"")="",100000+ROW()/10^7,IFERROR(IF(ISNUMBER(INDEX($A76:$Z76,MATCH(Lists!$B$2,$A$1:$Z$1,0))),INDEX($A76:$Z76,MATCH(Lists!$B$2,$A$1:$Z$1,0)),DATE(VALUE(LEFT(IFERROR(TRIM(INDEX($A76:$Z76,MATCH(Lists!$B$2,$A$1:$Z$1,0))&amp;""),""),4)),VALUE(MID(IFERROR(TRIM(INDEX($A76:$Z76,MATCH(Lists!$B$2,$A$1:$Z$1,0))&amp;""),""),6,2)),VALUE(MID(IFERROR(TRIM(INDEX($A76:$Z76,MATCH(Lists!$B$2,$A$1:$Z$1,0))&amp;""),""),9,2)))+TIME(VALUE(MID(IFERROR(TRIM(INDEX($A76:$Z76,MATCH(Lists!$B$2,$A$1:$Z$1,0))&amp;""),""),12,2)),VALUE(MID(IFERROR(TRIM(INDEX($A76:$Z76,MATCH(Lists!$B$2,$A$1:$Z$1,0))&amp;""),""),15,2)),VALUE(MID(IFERROR(TRIM(INDEX($A76:$Z76,MATCH(Lists!$B$2,$A$1:$Z$1,0))&amp;""),""),18,2)))),"")-ROW()/10^7),"")</f>
        <v/>
      </c>
    </row>
    <row r="77">
      <c r="AB77" s="36">
        <f>IF($AR77=1,COUNTIF($AS$2:$AS$201,"&lt;"&amp;$AS77)+1,"")</f>
        <v/>
      </c>
      <c r="AC77" s="37">
        <f>IFERROR(TRIM(INDEX($A77:$Z77,MATCH(Lists!$B$9,$A$1:$Z$1,0))&amp;""),"")</f>
        <v/>
      </c>
      <c r="AD77" s="37">
        <f>IF($AR77=1,IFERROR(TRIM(INDEX($A77:$Z77,MATCH(Lists!$B$10,$A$1:$Z$1,0))&amp;""),""),"")</f>
        <v/>
      </c>
      <c r="AE77" s="37">
        <f>IF($AR77=1,IFERROR(TRIM(INDEX($A77:$Z77,MATCH(Lists!$B$12,$A$1:$Z$1,0))&amp;""),""),"")</f>
        <v/>
      </c>
      <c r="AF77" s="38">
        <f>IF($AR77=1,IFERROR(IF(TRIM(INDEX($A77:$Z77,MATCH(Lists!$B$11,$A$1:$Z$1,0))&amp;"")="","",VALUE(TRIM(INDEX($A77:$Z77,MATCH(Lists!$B$11,$A$1:$Z$1,0))&amp;""))),""),"")</f>
        <v/>
      </c>
      <c r="AG77" s="38">
        <f>IF(OR($AR77=0,$AF77="",'Start here'!$F$10="",'Start here'!$F$11="",'Start here'!$F$12="",'Start here'!$F$13="",'Start here'!$F$14=""),"",IF($AF77&lt;'Start here'!$F$10,'Start here'!$F$11,IF($AF77&lt;'Start here'!$F$12,'Start here'!$F$13,'Start here'!$F$14)))</f>
        <v/>
      </c>
      <c r="AH77" s="38">
        <f>IF(OR($AG77="",'Start here'!$F$9=""),"",IF($AF77&lt;=0,"",IFERROR(MAX($AG77,ROUNDUP(ROUND($AF77*'Start here'!$F$9/$AG77,6),0)*$AG77),"")))</f>
        <v/>
      </c>
      <c r="AI77" s="37">
        <f>IF($AR77=0,"",IF($AN77=Lists!$B$19,"",IF(AND($AN77=Lists!$B$18,$AQ77&lt;&gt;""),$AQ77,IF(AND($AP77=Lists!$B$17,$AL77&lt;&gt;""),$AL77,$AK77))))</f>
        <v/>
      </c>
      <c r="AJ77" s="37">
        <f>IF($AR77=0,"",IF(IF($AF77="",", no value",IF($AF77&lt;=0,", no value",""))&amp;IF('Start here'!$F$15="","",IF(LEN($AD77)&lt;'Start here'!$F$15,", short description",""))="","OK",MID(IF($AF77="",", no value",IF($AF77&lt;=0,", no value",""))&amp;IF('Start here'!$F$15="","",IF(LEN($AD77)&lt;'Start here'!$F$15,", short description","")),3,200)))</f>
        <v/>
      </c>
      <c r="AK77" s="37">
        <f>IF($AR77=1,IFERROR(TRIM(INDEX($A77:$Z77,MATCH(Lists!$B$5,$A$1:$Z$1,0))&amp;""),""),"")</f>
        <v/>
      </c>
      <c r="AL77" s="37">
        <f>IF($AR77=1,IFERROR(TRIM(INDEX($A77:$Z77,MATCH(Lists!$B$4,$A$1:$Z$1,0))&amp;""),""),"")</f>
        <v/>
      </c>
      <c r="AM77" s="37">
        <f>IF($AR77=1,IFERROR(TRIM(INDEX($A77:$Z77,MATCH(Lists!$B$6,$A$1:$Z$1,0))&amp;""),""),"")</f>
        <v/>
      </c>
      <c r="AN77" s="37">
        <f>IF($AR77=1,IFERROR(TRIM(INDEX($A77:$Z77,MATCH(Lists!$B$7,$A$1:$Z$1,0))&amp;""),""),"")</f>
        <v/>
      </c>
      <c r="AO77" s="37">
        <f>IF($AR77=1,IFERROR(TRIM(INDEX($A77:$Z77,MATCH(Lists!$B$13,$A$1:$Z$1,0))&amp;""),""),"")</f>
        <v/>
      </c>
      <c r="AP77" s="37">
        <f>IF($AR77=1,IFERROR(TRIM(INDEX($A77:$Z77,MATCH(Lists!$B$3,$A$1:$Z$1,0))&amp;""),""),"")</f>
        <v/>
      </c>
      <c r="AQ77" s="37">
        <f>IF($AR77=1,IFERROR(TRIM(INDEX($A77:$Z77,MATCH(Lists!$B$8,$A$1:$Z$1,0))&amp;""),""),"")</f>
        <v/>
      </c>
      <c r="AR77" s="36">
        <f>IF(LEN($AC77)&gt;0,1,0)</f>
        <v/>
      </c>
      <c r="AS77" s="37">
        <f>IF($AR77=1,IF(IFERROR(IF(ISNUMBER(INDEX($A77:$Z77,MATCH(Lists!$B$2,$A$1:$Z$1,0))),INDEX($A77:$Z77,MATCH(Lists!$B$2,$A$1:$Z$1,0)),DATE(VALUE(LEFT(IFERROR(TRIM(INDEX($A77:$Z77,MATCH(Lists!$B$2,$A$1:$Z$1,0))&amp;""),""),4)),VALUE(MID(IFERROR(TRIM(INDEX($A77:$Z77,MATCH(Lists!$B$2,$A$1:$Z$1,0))&amp;""),""),6,2)),VALUE(MID(IFERROR(TRIM(INDEX($A77:$Z77,MATCH(Lists!$B$2,$A$1:$Z$1,0))&amp;""),""),9,2)))+TIME(VALUE(MID(IFERROR(TRIM(INDEX($A77:$Z77,MATCH(Lists!$B$2,$A$1:$Z$1,0))&amp;""),""),12,2)),VALUE(MID(IFERROR(TRIM(INDEX($A77:$Z77,MATCH(Lists!$B$2,$A$1:$Z$1,0))&amp;""),""),15,2)),VALUE(MID(IFERROR(TRIM(INDEX($A77:$Z77,MATCH(Lists!$B$2,$A$1:$Z$1,0))&amp;""),""),18,2)))),"")="",100000+ROW()/10^7,IFERROR(IF(ISNUMBER(INDEX($A77:$Z77,MATCH(Lists!$B$2,$A$1:$Z$1,0))),INDEX($A77:$Z77,MATCH(Lists!$B$2,$A$1:$Z$1,0)),DATE(VALUE(LEFT(IFERROR(TRIM(INDEX($A77:$Z77,MATCH(Lists!$B$2,$A$1:$Z$1,0))&amp;""),""),4)),VALUE(MID(IFERROR(TRIM(INDEX($A77:$Z77,MATCH(Lists!$B$2,$A$1:$Z$1,0))&amp;""),""),6,2)),VALUE(MID(IFERROR(TRIM(INDEX($A77:$Z77,MATCH(Lists!$B$2,$A$1:$Z$1,0))&amp;""),""),9,2)))+TIME(VALUE(MID(IFERROR(TRIM(INDEX($A77:$Z77,MATCH(Lists!$B$2,$A$1:$Z$1,0))&amp;""),""),12,2)),VALUE(MID(IFERROR(TRIM(INDEX($A77:$Z77,MATCH(Lists!$B$2,$A$1:$Z$1,0))&amp;""),""),15,2)),VALUE(MID(IFERROR(TRIM(INDEX($A77:$Z77,MATCH(Lists!$B$2,$A$1:$Z$1,0))&amp;""),""),18,2)))),"")-ROW()/10^7),"")</f>
        <v/>
      </c>
    </row>
    <row r="78">
      <c r="AB78" s="36">
        <f>IF($AR78=1,COUNTIF($AS$2:$AS$201,"&lt;"&amp;$AS78)+1,"")</f>
        <v/>
      </c>
      <c r="AC78" s="37">
        <f>IFERROR(TRIM(INDEX($A78:$Z78,MATCH(Lists!$B$9,$A$1:$Z$1,0))&amp;""),"")</f>
        <v/>
      </c>
      <c r="AD78" s="37">
        <f>IF($AR78=1,IFERROR(TRIM(INDEX($A78:$Z78,MATCH(Lists!$B$10,$A$1:$Z$1,0))&amp;""),""),"")</f>
        <v/>
      </c>
      <c r="AE78" s="37">
        <f>IF($AR78=1,IFERROR(TRIM(INDEX($A78:$Z78,MATCH(Lists!$B$12,$A$1:$Z$1,0))&amp;""),""),"")</f>
        <v/>
      </c>
      <c r="AF78" s="38">
        <f>IF($AR78=1,IFERROR(IF(TRIM(INDEX($A78:$Z78,MATCH(Lists!$B$11,$A$1:$Z$1,0))&amp;"")="","",VALUE(TRIM(INDEX($A78:$Z78,MATCH(Lists!$B$11,$A$1:$Z$1,0))&amp;""))),""),"")</f>
        <v/>
      </c>
      <c r="AG78" s="38">
        <f>IF(OR($AR78=0,$AF78="",'Start here'!$F$10="",'Start here'!$F$11="",'Start here'!$F$12="",'Start here'!$F$13="",'Start here'!$F$14=""),"",IF($AF78&lt;'Start here'!$F$10,'Start here'!$F$11,IF($AF78&lt;'Start here'!$F$12,'Start here'!$F$13,'Start here'!$F$14)))</f>
        <v/>
      </c>
      <c r="AH78" s="38">
        <f>IF(OR($AG78="",'Start here'!$F$9=""),"",IF($AF78&lt;=0,"",IFERROR(MAX($AG78,ROUNDUP(ROUND($AF78*'Start here'!$F$9/$AG78,6),0)*$AG78),"")))</f>
        <v/>
      </c>
      <c r="AI78" s="37">
        <f>IF($AR78=0,"",IF($AN78=Lists!$B$19,"",IF(AND($AN78=Lists!$B$18,$AQ78&lt;&gt;""),$AQ78,IF(AND($AP78=Lists!$B$17,$AL78&lt;&gt;""),$AL78,$AK78))))</f>
        <v/>
      </c>
      <c r="AJ78" s="37">
        <f>IF($AR78=0,"",IF(IF($AF78="",", no value",IF($AF78&lt;=0,", no value",""))&amp;IF('Start here'!$F$15="","",IF(LEN($AD78)&lt;'Start here'!$F$15,", short description",""))="","OK",MID(IF($AF78="",", no value",IF($AF78&lt;=0,", no value",""))&amp;IF('Start here'!$F$15="","",IF(LEN($AD78)&lt;'Start here'!$F$15,", short description","")),3,200)))</f>
        <v/>
      </c>
      <c r="AK78" s="37">
        <f>IF($AR78=1,IFERROR(TRIM(INDEX($A78:$Z78,MATCH(Lists!$B$5,$A$1:$Z$1,0))&amp;""),""),"")</f>
        <v/>
      </c>
      <c r="AL78" s="37">
        <f>IF($AR78=1,IFERROR(TRIM(INDEX($A78:$Z78,MATCH(Lists!$B$4,$A$1:$Z$1,0))&amp;""),""),"")</f>
        <v/>
      </c>
      <c r="AM78" s="37">
        <f>IF($AR78=1,IFERROR(TRIM(INDEX($A78:$Z78,MATCH(Lists!$B$6,$A$1:$Z$1,0))&amp;""),""),"")</f>
        <v/>
      </c>
      <c r="AN78" s="37">
        <f>IF($AR78=1,IFERROR(TRIM(INDEX($A78:$Z78,MATCH(Lists!$B$7,$A$1:$Z$1,0))&amp;""),""),"")</f>
        <v/>
      </c>
      <c r="AO78" s="37">
        <f>IF($AR78=1,IFERROR(TRIM(INDEX($A78:$Z78,MATCH(Lists!$B$13,$A$1:$Z$1,0))&amp;""),""),"")</f>
        <v/>
      </c>
      <c r="AP78" s="37">
        <f>IF($AR78=1,IFERROR(TRIM(INDEX($A78:$Z78,MATCH(Lists!$B$3,$A$1:$Z$1,0))&amp;""),""),"")</f>
        <v/>
      </c>
      <c r="AQ78" s="37">
        <f>IF($AR78=1,IFERROR(TRIM(INDEX($A78:$Z78,MATCH(Lists!$B$8,$A$1:$Z$1,0))&amp;""),""),"")</f>
        <v/>
      </c>
      <c r="AR78" s="36">
        <f>IF(LEN($AC78)&gt;0,1,0)</f>
        <v/>
      </c>
      <c r="AS78" s="37">
        <f>IF($AR78=1,IF(IFERROR(IF(ISNUMBER(INDEX($A78:$Z78,MATCH(Lists!$B$2,$A$1:$Z$1,0))),INDEX($A78:$Z78,MATCH(Lists!$B$2,$A$1:$Z$1,0)),DATE(VALUE(LEFT(IFERROR(TRIM(INDEX($A78:$Z78,MATCH(Lists!$B$2,$A$1:$Z$1,0))&amp;""),""),4)),VALUE(MID(IFERROR(TRIM(INDEX($A78:$Z78,MATCH(Lists!$B$2,$A$1:$Z$1,0))&amp;""),""),6,2)),VALUE(MID(IFERROR(TRIM(INDEX($A78:$Z78,MATCH(Lists!$B$2,$A$1:$Z$1,0))&amp;""),""),9,2)))+TIME(VALUE(MID(IFERROR(TRIM(INDEX($A78:$Z78,MATCH(Lists!$B$2,$A$1:$Z$1,0))&amp;""),""),12,2)),VALUE(MID(IFERROR(TRIM(INDEX($A78:$Z78,MATCH(Lists!$B$2,$A$1:$Z$1,0))&amp;""),""),15,2)),VALUE(MID(IFERROR(TRIM(INDEX($A78:$Z78,MATCH(Lists!$B$2,$A$1:$Z$1,0))&amp;""),""),18,2)))),"")="",100000+ROW()/10^7,IFERROR(IF(ISNUMBER(INDEX($A78:$Z78,MATCH(Lists!$B$2,$A$1:$Z$1,0))),INDEX($A78:$Z78,MATCH(Lists!$B$2,$A$1:$Z$1,0)),DATE(VALUE(LEFT(IFERROR(TRIM(INDEX($A78:$Z78,MATCH(Lists!$B$2,$A$1:$Z$1,0))&amp;""),""),4)),VALUE(MID(IFERROR(TRIM(INDEX($A78:$Z78,MATCH(Lists!$B$2,$A$1:$Z$1,0))&amp;""),""),6,2)),VALUE(MID(IFERROR(TRIM(INDEX($A78:$Z78,MATCH(Lists!$B$2,$A$1:$Z$1,0))&amp;""),""),9,2)))+TIME(VALUE(MID(IFERROR(TRIM(INDEX($A78:$Z78,MATCH(Lists!$B$2,$A$1:$Z$1,0))&amp;""),""),12,2)),VALUE(MID(IFERROR(TRIM(INDEX($A78:$Z78,MATCH(Lists!$B$2,$A$1:$Z$1,0))&amp;""),""),15,2)),VALUE(MID(IFERROR(TRIM(INDEX($A78:$Z78,MATCH(Lists!$B$2,$A$1:$Z$1,0))&amp;""),""),18,2)))),"")-ROW()/10^7),"")</f>
        <v/>
      </c>
    </row>
    <row r="79">
      <c r="AB79" s="36">
        <f>IF($AR79=1,COUNTIF($AS$2:$AS$201,"&lt;"&amp;$AS79)+1,"")</f>
        <v/>
      </c>
      <c r="AC79" s="37">
        <f>IFERROR(TRIM(INDEX($A79:$Z79,MATCH(Lists!$B$9,$A$1:$Z$1,0))&amp;""),"")</f>
        <v/>
      </c>
      <c r="AD79" s="37">
        <f>IF($AR79=1,IFERROR(TRIM(INDEX($A79:$Z79,MATCH(Lists!$B$10,$A$1:$Z$1,0))&amp;""),""),"")</f>
        <v/>
      </c>
      <c r="AE79" s="37">
        <f>IF($AR79=1,IFERROR(TRIM(INDEX($A79:$Z79,MATCH(Lists!$B$12,$A$1:$Z$1,0))&amp;""),""),"")</f>
        <v/>
      </c>
      <c r="AF79" s="38">
        <f>IF($AR79=1,IFERROR(IF(TRIM(INDEX($A79:$Z79,MATCH(Lists!$B$11,$A$1:$Z$1,0))&amp;"")="","",VALUE(TRIM(INDEX($A79:$Z79,MATCH(Lists!$B$11,$A$1:$Z$1,0))&amp;""))),""),"")</f>
        <v/>
      </c>
      <c r="AG79" s="38">
        <f>IF(OR($AR79=0,$AF79="",'Start here'!$F$10="",'Start here'!$F$11="",'Start here'!$F$12="",'Start here'!$F$13="",'Start here'!$F$14=""),"",IF($AF79&lt;'Start here'!$F$10,'Start here'!$F$11,IF($AF79&lt;'Start here'!$F$12,'Start here'!$F$13,'Start here'!$F$14)))</f>
        <v/>
      </c>
      <c r="AH79" s="38">
        <f>IF(OR($AG79="",'Start here'!$F$9=""),"",IF($AF79&lt;=0,"",IFERROR(MAX($AG79,ROUNDUP(ROUND($AF79*'Start here'!$F$9/$AG79,6),0)*$AG79),"")))</f>
        <v/>
      </c>
      <c r="AI79" s="37">
        <f>IF($AR79=0,"",IF($AN79=Lists!$B$19,"",IF(AND($AN79=Lists!$B$18,$AQ79&lt;&gt;""),$AQ79,IF(AND($AP79=Lists!$B$17,$AL79&lt;&gt;""),$AL79,$AK79))))</f>
        <v/>
      </c>
      <c r="AJ79" s="37">
        <f>IF($AR79=0,"",IF(IF($AF79="",", no value",IF($AF79&lt;=0,", no value",""))&amp;IF('Start here'!$F$15="","",IF(LEN($AD79)&lt;'Start here'!$F$15,", short description",""))="","OK",MID(IF($AF79="",", no value",IF($AF79&lt;=0,", no value",""))&amp;IF('Start here'!$F$15="","",IF(LEN($AD79)&lt;'Start here'!$F$15,", short description","")),3,200)))</f>
        <v/>
      </c>
      <c r="AK79" s="37">
        <f>IF($AR79=1,IFERROR(TRIM(INDEX($A79:$Z79,MATCH(Lists!$B$5,$A$1:$Z$1,0))&amp;""),""),"")</f>
        <v/>
      </c>
      <c r="AL79" s="37">
        <f>IF($AR79=1,IFERROR(TRIM(INDEX($A79:$Z79,MATCH(Lists!$B$4,$A$1:$Z$1,0))&amp;""),""),"")</f>
        <v/>
      </c>
      <c r="AM79" s="37">
        <f>IF($AR79=1,IFERROR(TRIM(INDEX($A79:$Z79,MATCH(Lists!$B$6,$A$1:$Z$1,0))&amp;""),""),"")</f>
        <v/>
      </c>
      <c r="AN79" s="37">
        <f>IF($AR79=1,IFERROR(TRIM(INDEX($A79:$Z79,MATCH(Lists!$B$7,$A$1:$Z$1,0))&amp;""),""),"")</f>
        <v/>
      </c>
      <c r="AO79" s="37">
        <f>IF($AR79=1,IFERROR(TRIM(INDEX($A79:$Z79,MATCH(Lists!$B$13,$A$1:$Z$1,0))&amp;""),""),"")</f>
        <v/>
      </c>
      <c r="AP79" s="37">
        <f>IF($AR79=1,IFERROR(TRIM(INDEX($A79:$Z79,MATCH(Lists!$B$3,$A$1:$Z$1,0))&amp;""),""),"")</f>
        <v/>
      </c>
      <c r="AQ79" s="37">
        <f>IF($AR79=1,IFERROR(TRIM(INDEX($A79:$Z79,MATCH(Lists!$B$8,$A$1:$Z$1,0))&amp;""),""),"")</f>
        <v/>
      </c>
      <c r="AR79" s="36">
        <f>IF(LEN($AC79)&gt;0,1,0)</f>
        <v/>
      </c>
      <c r="AS79" s="37">
        <f>IF($AR79=1,IF(IFERROR(IF(ISNUMBER(INDEX($A79:$Z79,MATCH(Lists!$B$2,$A$1:$Z$1,0))),INDEX($A79:$Z79,MATCH(Lists!$B$2,$A$1:$Z$1,0)),DATE(VALUE(LEFT(IFERROR(TRIM(INDEX($A79:$Z79,MATCH(Lists!$B$2,$A$1:$Z$1,0))&amp;""),""),4)),VALUE(MID(IFERROR(TRIM(INDEX($A79:$Z79,MATCH(Lists!$B$2,$A$1:$Z$1,0))&amp;""),""),6,2)),VALUE(MID(IFERROR(TRIM(INDEX($A79:$Z79,MATCH(Lists!$B$2,$A$1:$Z$1,0))&amp;""),""),9,2)))+TIME(VALUE(MID(IFERROR(TRIM(INDEX($A79:$Z79,MATCH(Lists!$B$2,$A$1:$Z$1,0))&amp;""),""),12,2)),VALUE(MID(IFERROR(TRIM(INDEX($A79:$Z79,MATCH(Lists!$B$2,$A$1:$Z$1,0))&amp;""),""),15,2)),VALUE(MID(IFERROR(TRIM(INDEX($A79:$Z79,MATCH(Lists!$B$2,$A$1:$Z$1,0))&amp;""),""),18,2)))),"")="",100000+ROW()/10^7,IFERROR(IF(ISNUMBER(INDEX($A79:$Z79,MATCH(Lists!$B$2,$A$1:$Z$1,0))),INDEX($A79:$Z79,MATCH(Lists!$B$2,$A$1:$Z$1,0)),DATE(VALUE(LEFT(IFERROR(TRIM(INDEX($A79:$Z79,MATCH(Lists!$B$2,$A$1:$Z$1,0))&amp;""),""),4)),VALUE(MID(IFERROR(TRIM(INDEX($A79:$Z79,MATCH(Lists!$B$2,$A$1:$Z$1,0))&amp;""),""),6,2)),VALUE(MID(IFERROR(TRIM(INDEX($A79:$Z79,MATCH(Lists!$B$2,$A$1:$Z$1,0))&amp;""),""),9,2)))+TIME(VALUE(MID(IFERROR(TRIM(INDEX($A79:$Z79,MATCH(Lists!$B$2,$A$1:$Z$1,0))&amp;""),""),12,2)),VALUE(MID(IFERROR(TRIM(INDEX($A79:$Z79,MATCH(Lists!$B$2,$A$1:$Z$1,0))&amp;""),""),15,2)),VALUE(MID(IFERROR(TRIM(INDEX($A79:$Z79,MATCH(Lists!$B$2,$A$1:$Z$1,0))&amp;""),""),18,2)))),"")-ROW()/10^7),"")</f>
        <v/>
      </c>
    </row>
    <row r="80">
      <c r="AB80" s="36">
        <f>IF($AR80=1,COUNTIF($AS$2:$AS$201,"&lt;"&amp;$AS80)+1,"")</f>
        <v/>
      </c>
      <c r="AC80" s="37">
        <f>IFERROR(TRIM(INDEX($A80:$Z80,MATCH(Lists!$B$9,$A$1:$Z$1,0))&amp;""),"")</f>
        <v/>
      </c>
      <c r="AD80" s="37">
        <f>IF($AR80=1,IFERROR(TRIM(INDEX($A80:$Z80,MATCH(Lists!$B$10,$A$1:$Z$1,0))&amp;""),""),"")</f>
        <v/>
      </c>
      <c r="AE80" s="37">
        <f>IF($AR80=1,IFERROR(TRIM(INDEX($A80:$Z80,MATCH(Lists!$B$12,$A$1:$Z$1,0))&amp;""),""),"")</f>
        <v/>
      </c>
      <c r="AF80" s="38">
        <f>IF($AR80=1,IFERROR(IF(TRIM(INDEX($A80:$Z80,MATCH(Lists!$B$11,$A$1:$Z$1,0))&amp;"")="","",VALUE(TRIM(INDEX($A80:$Z80,MATCH(Lists!$B$11,$A$1:$Z$1,0))&amp;""))),""),"")</f>
        <v/>
      </c>
      <c r="AG80" s="38">
        <f>IF(OR($AR80=0,$AF80="",'Start here'!$F$10="",'Start here'!$F$11="",'Start here'!$F$12="",'Start here'!$F$13="",'Start here'!$F$14=""),"",IF($AF80&lt;'Start here'!$F$10,'Start here'!$F$11,IF($AF80&lt;'Start here'!$F$12,'Start here'!$F$13,'Start here'!$F$14)))</f>
        <v/>
      </c>
      <c r="AH80" s="38">
        <f>IF(OR($AG80="",'Start here'!$F$9=""),"",IF($AF80&lt;=0,"",IFERROR(MAX($AG80,ROUNDUP(ROUND($AF80*'Start here'!$F$9/$AG80,6),0)*$AG80),"")))</f>
        <v/>
      </c>
      <c r="AI80" s="37">
        <f>IF($AR80=0,"",IF($AN80=Lists!$B$19,"",IF(AND($AN80=Lists!$B$18,$AQ80&lt;&gt;""),$AQ80,IF(AND($AP80=Lists!$B$17,$AL80&lt;&gt;""),$AL80,$AK80))))</f>
        <v/>
      </c>
      <c r="AJ80" s="37">
        <f>IF($AR80=0,"",IF(IF($AF80="",", no value",IF($AF80&lt;=0,", no value",""))&amp;IF('Start here'!$F$15="","",IF(LEN($AD80)&lt;'Start here'!$F$15,", short description",""))="","OK",MID(IF($AF80="",", no value",IF($AF80&lt;=0,", no value",""))&amp;IF('Start here'!$F$15="","",IF(LEN($AD80)&lt;'Start here'!$F$15,", short description","")),3,200)))</f>
        <v/>
      </c>
      <c r="AK80" s="37">
        <f>IF($AR80=1,IFERROR(TRIM(INDEX($A80:$Z80,MATCH(Lists!$B$5,$A$1:$Z$1,0))&amp;""),""),"")</f>
        <v/>
      </c>
      <c r="AL80" s="37">
        <f>IF($AR80=1,IFERROR(TRIM(INDEX($A80:$Z80,MATCH(Lists!$B$4,$A$1:$Z$1,0))&amp;""),""),"")</f>
        <v/>
      </c>
      <c r="AM80" s="37">
        <f>IF($AR80=1,IFERROR(TRIM(INDEX($A80:$Z80,MATCH(Lists!$B$6,$A$1:$Z$1,0))&amp;""),""),"")</f>
        <v/>
      </c>
      <c r="AN80" s="37">
        <f>IF($AR80=1,IFERROR(TRIM(INDEX($A80:$Z80,MATCH(Lists!$B$7,$A$1:$Z$1,0))&amp;""),""),"")</f>
        <v/>
      </c>
      <c r="AO80" s="37">
        <f>IF($AR80=1,IFERROR(TRIM(INDEX($A80:$Z80,MATCH(Lists!$B$13,$A$1:$Z$1,0))&amp;""),""),"")</f>
        <v/>
      </c>
      <c r="AP80" s="37">
        <f>IF($AR80=1,IFERROR(TRIM(INDEX($A80:$Z80,MATCH(Lists!$B$3,$A$1:$Z$1,0))&amp;""),""),"")</f>
        <v/>
      </c>
      <c r="AQ80" s="37">
        <f>IF($AR80=1,IFERROR(TRIM(INDEX($A80:$Z80,MATCH(Lists!$B$8,$A$1:$Z$1,0))&amp;""),""),"")</f>
        <v/>
      </c>
      <c r="AR80" s="36">
        <f>IF(LEN($AC80)&gt;0,1,0)</f>
        <v/>
      </c>
      <c r="AS80" s="37">
        <f>IF($AR80=1,IF(IFERROR(IF(ISNUMBER(INDEX($A80:$Z80,MATCH(Lists!$B$2,$A$1:$Z$1,0))),INDEX($A80:$Z80,MATCH(Lists!$B$2,$A$1:$Z$1,0)),DATE(VALUE(LEFT(IFERROR(TRIM(INDEX($A80:$Z80,MATCH(Lists!$B$2,$A$1:$Z$1,0))&amp;""),""),4)),VALUE(MID(IFERROR(TRIM(INDEX($A80:$Z80,MATCH(Lists!$B$2,$A$1:$Z$1,0))&amp;""),""),6,2)),VALUE(MID(IFERROR(TRIM(INDEX($A80:$Z80,MATCH(Lists!$B$2,$A$1:$Z$1,0))&amp;""),""),9,2)))+TIME(VALUE(MID(IFERROR(TRIM(INDEX($A80:$Z80,MATCH(Lists!$B$2,$A$1:$Z$1,0))&amp;""),""),12,2)),VALUE(MID(IFERROR(TRIM(INDEX($A80:$Z80,MATCH(Lists!$B$2,$A$1:$Z$1,0))&amp;""),""),15,2)),VALUE(MID(IFERROR(TRIM(INDEX($A80:$Z80,MATCH(Lists!$B$2,$A$1:$Z$1,0))&amp;""),""),18,2)))),"")="",100000+ROW()/10^7,IFERROR(IF(ISNUMBER(INDEX($A80:$Z80,MATCH(Lists!$B$2,$A$1:$Z$1,0))),INDEX($A80:$Z80,MATCH(Lists!$B$2,$A$1:$Z$1,0)),DATE(VALUE(LEFT(IFERROR(TRIM(INDEX($A80:$Z80,MATCH(Lists!$B$2,$A$1:$Z$1,0))&amp;""),""),4)),VALUE(MID(IFERROR(TRIM(INDEX($A80:$Z80,MATCH(Lists!$B$2,$A$1:$Z$1,0))&amp;""),""),6,2)),VALUE(MID(IFERROR(TRIM(INDEX($A80:$Z80,MATCH(Lists!$B$2,$A$1:$Z$1,0))&amp;""),""),9,2)))+TIME(VALUE(MID(IFERROR(TRIM(INDEX($A80:$Z80,MATCH(Lists!$B$2,$A$1:$Z$1,0))&amp;""),""),12,2)),VALUE(MID(IFERROR(TRIM(INDEX($A80:$Z80,MATCH(Lists!$B$2,$A$1:$Z$1,0))&amp;""),""),15,2)),VALUE(MID(IFERROR(TRIM(INDEX($A80:$Z80,MATCH(Lists!$B$2,$A$1:$Z$1,0))&amp;""),""),18,2)))),"")-ROW()/10^7),"")</f>
        <v/>
      </c>
    </row>
    <row r="81">
      <c r="AB81" s="36">
        <f>IF($AR81=1,COUNTIF($AS$2:$AS$201,"&lt;"&amp;$AS81)+1,"")</f>
        <v/>
      </c>
      <c r="AC81" s="37">
        <f>IFERROR(TRIM(INDEX($A81:$Z81,MATCH(Lists!$B$9,$A$1:$Z$1,0))&amp;""),"")</f>
        <v/>
      </c>
      <c r="AD81" s="37">
        <f>IF($AR81=1,IFERROR(TRIM(INDEX($A81:$Z81,MATCH(Lists!$B$10,$A$1:$Z$1,0))&amp;""),""),"")</f>
        <v/>
      </c>
      <c r="AE81" s="37">
        <f>IF($AR81=1,IFERROR(TRIM(INDEX($A81:$Z81,MATCH(Lists!$B$12,$A$1:$Z$1,0))&amp;""),""),"")</f>
        <v/>
      </c>
      <c r="AF81" s="38">
        <f>IF($AR81=1,IFERROR(IF(TRIM(INDEX($A81:$Z81,MATCH(Lists!$B$11,$A$1:$Z$1,0))&amp;"")="","",VALUE(TRIM(INDEX($A81:$Z81,MATCH(Lists!$B$11,$A$1:$Z$1,0))&amp;""))),""),"")</f>
        <v/>
      </c>
      <c r="AG81" s="38">
        <f>IF(OR($AR81=0,$AF81="",'Start here'!$F$10="",'Start here'!$F$11="",'Start here'!$F$12="",'Start here'!$F$13="",'Start here'!$F$14=""),"",IF($AF81&lt;'Start here'!$F$10,'Start here'!$F$11,IF($AF81&lt;'Start here'!$F$12,'Start here'!$F$13,'Start here'!$F$14)))</f>
        <v/>
      </c>
      <c r="AH81" s="38">
        <f>IF(OR($AG81="",'Start here'!$F$9=""),"",IF($AF81&lt;=0,"",IFERROR(MAX($AG81,ROUNDUP(ROUND($AF81*'Start here'!$F$9/$AG81,6),0)*$AG81),"")))</f>
        <v/>
      </c>
      <c r="AI81" s="37">
        <f>IF($AR81=0,"",IF($AN81=Lists!$B$19,"",IF(AND($AN81=Lists!$B$18,$AQ81&lt;&gt;""),$AQ81,IF(AND($AP81=Lists!$B$17,$AL81&lt;&gt;""),$AL81,$AK81))))</f>
        <v/>
      </c>
      <c r="AJ81" s="37">
        <f>IF($AR81=0,"",IF(IF($AF81="",", no value",IF($AF81&lt;=0,", no value",""))&amp;IF('Start here'!$F$15="","",IF(LEN($AD81)&lt;'Start here'!$F$15,", short description",""))="","OK",MID(IF($AF81="",", no value",IF($AF81&lt;=0,", no value",""))&amp;IF('Start here'!$F$15="","",IF(LEN($AD81)&lt;'Start here'!$F$15,", short description","")),3,200)))</f>
        <v/>
      </c>
      <c r="AK81" s="37">
        <f>IF($AR81=1,IFERROR(TRIM(INDEX($A81:$Z81,MATCH(Lists!$B$5,$A$1:$Z$1,0))&amp;""),""),"")</f>
        <v/>
      </c>
      <c r="AL81" s="37">
        <f>IF($AR81=1,IFERROR(TRIM(INDEX($A81:$Z81,MATCH(Lists!$B$4,$A$1:$Z$1,0))&amp;""),""),"")</f>
        <v/>
      </c>
      <c r="AM81" s="37">
        <f>IF($AR81=1,IFERROR(TRIM(INDEX($A81:$Z81,MATCH(Lists!$B$6,$A$1:$Z$1,0))&amp;""),""),"")</f>
        <v/>
      </c>
      <c r="AN81" s="37">
        <f>IF($AR81=1,IFERROR(TRIM(INDEX($A81:$Z81,MATCH(Lists!$B$7,$A$1:$Z$1,0))&amp;""),""),"")</f>
        <v/>
      </c>
      <c r="AO81" s="37">
        <f>IF($AR81=1,IFERROR(TRIM(INDEX($A81:$Z81,MATCH(Lists!$B$13,$A$1:$Z$1,0))&amp;""),""),"")</f>
        <v/>
      </c>
      <c r="AP81" s="37">
        <f>IF($AR81=1,IFERROR(TRIM(INDEX($A81:$Z81,MATCH(Lists!$B$3,$A$1:$Z$1,0))&amp;""),""),"")</f>
        <v/>
      </c>
      <c r="AQ81" s="37">
        <f>IF($AR81=1,IFERROR(TRIM(INDEX($A81:$Z81,MATCH(Lists!$B$8,$A$1:$Z$1,0))&amp;""),""),"")</f>
        <v/>
      </c>
      <c r="AR81" s="36">
        <f>IF(LEN($AC81)&gt;0,1,0)</f>
        <v/>
      </c>
      <c r="AS81" s="37">
        <f>IF($AR81=1,IF(IFERROR(IF(ISNUMBER(INDEX($A81:$Z81,MATCH(Lists!$B$2,$A$1:$Z$1,0))),INDEX($A81:$Z81,MATCH(Lists!$B$2,$A$1:$Z$1,0)),DATE(VALUE(LEFT(IFERROR(TRIM(INDEX($A81:$Z81,MATCH(Lists!$B$2,$A$1:$Z$1,0))&amp;""),""),4)),VALUE(MID(IFERROR(TRIM(INDEX($A81:$Z81,MATCH(Lists!$B$2,$A$1:$Z$1,0))&amp;""),""),6,2)),VALUE(MID(IFERROR(TRIM(INDEX($A81:$Z81,MATCH(Lists!$B$2,$A$1:$Z$1,0))&amp;""),""),9,2)))+TIME(VALUE(MID(IFERROR(TRIM(INDEX($A81:$Z81,MATCH(Lists!$B$2,$A$1:$Z$1,0))&amp;""),""),12,2)),VALUE(MID(IFERROR(TRIM(INDEX($A81:$Z81,MATCH(Lists!$B$2,$A$1:$Z$1,0))&amp;""),""),15,2)),VALUE(MID(IFERROR(TRIM(INDEX($A81:$Z81,MATCH(Lists!$B$2,$A$1:$Z$1,0))&amp;""),""),18,2)))),"")="",100000+ROW()/10^7,IFERROR(IF(ISNUMBER(INDEX($A81:$Z81,MATCH(Lists!$B$2,$A$1:$Z$1,0))),INDEX($A81:$Z81,MATCH(Lists!$B$2,$A$1:$Z$1,0)),DATE(VALUE(LEFT(IFERROR(TRIM(INDEX($A81:$Z81,MATCH(Lists!$B$2,$A$1:$Z$1,0))&amp;""),""),4)),VALUE(MID(IFERROR(TRIM(INDEX($A81:$Z81,MATCH(Lists!$B$2,$A$1:$Z$1,0))&amp;""),""),6,2)),VALUE(MID(IFERROR(TRIM(INDEX($A81:$Z81,MATCH(Lists!$B$2,$A$1:$Z$1,0))&amp;""),""),9,2)))+TIME(VALUE(MID(IFERROR(TRIM(INDEX($A81:$Z81,MATCH(Lists!$B$2,$A$1:$Z$1,0))&amp;""),""),12,2)),VALUE(MID(IFERROR(TRIM(INDEX($A81:$Z81,MATCH(Lists!$B$2,$A$1:$Z$1,0))&amp;""),""),15,2)),VALUE(MID(IFERROR(TRIM(INDEX($A81:$Z81,MATCH(Lists!$B$2,$A$1:$Z$1,0))&amp;""),""),18,2)))),"")-ROW()/10^7),"")</f>
        <v/>
      </c>
    </row>
    <row r="82">
      <c r="AB82" s="36">
        <f>IF($AR82=1,COUNTIF($AS$2:$AS$201,"&lt;"&amp;$AS82)+1,"")</f>
        <v/>
      </c>
      <c r="AC82" s="37">
        <f>IFERROR(TRIM(INDEX($A82:$Z82,MATCH(Lists!$B$9,$A$1:$Z$1,0))&amp;""),"")</f>
        <v/>
      </c>
      <c r="AD82" s="37">
        <f>IF($AR82=1,IFERROR(TRIM(INDEX($A82:$Z82,MATCH(Lists!$B$10,$A$1:$Z$1,0))&amp;""),""),"")</f>
        <v/>
      </c>
      <c r="AE82" s="37">
        <f>IF($AR82=1,IFERROR(TRIM(INDEX($A82:$Z82,MATCH(Lists!$B$12,$A$1:$Z$1,0))&amp;""),""),"")</f>
        <v/>
      </c>
      <c r="AF82" s="38">
        <f>IF($AR82=1,IFERROR(IF(TRIM(INDEX($A82:$Z82,MATCH(Lists!$B$11,$A$1:$Z$1,0))&amp;"")="","",VALUE(TRIM(INDEX($A82:$Z82,MATCH(Lists!$B$11,$A$1:$Z$1,0))&amp;""))),""),"")</f>
        <v/>
      </c>
      <c r="AG82" s="38">
        <f>IF(OR($AR82=0,$AF82="",'Start here'!$F$10="",'Start here'!$F$11="",'Start here'!$F$12="",'Start here'!$F$13="",'Start here'!$F$14=""),"",IF($AF82&lt;'Start here'!$F$10,'Start here'!$F$11,IF($AF82&lt;'Start here'!$F$12,'Start here'!$F$13,'Start here'!$F$14)))</f>
        <v/>
      </c>
      <c r="AH82" s="38">
        <f>IF(OR($AG82="",'Start here'!$F$9=""),"",IF($AF82&lt;=0,"",IFERROR(MAX($AG82,ROUNDUP(ROUND($AF82*'Start here'!$F$9/$AG82,6),0)*$AG82),"")))</f>
        <v/>
      </c>
      <c r="AI82" s="37">
        <f>IF($AR82=0,"",IF($AN82=Lists!$B$19,"",IF(AND($AN82=Lists!$B$18,$AQ82&lt;&gt;""),$AQ82,IF(AND($AP82=Lists!$B$17,$AL82&lt;&gt;""),$AL82,$AK82))))</f>
        <v/>
      </c>
      <c r="AJ82" s="37">
        <f>IF($AR82=0,"",IF(IF($AF82="",", no value",IF($AF82&lt;=0,", no value",""))&amp;IF('Start here'!$F$15="","",IF(LEN($AD82)&lt;'Start here'!$F$15,", short description",""))="","OK",MID(IF($AF82="",", no value",IF($AF82&lt;=0,", no value",""))&amp;IF('Start here'!$F$15="","",IF(LEN($AD82)&lt;'Start here'!$F$15,", short description","")),3,200)))</f>
        <v/>
      </c>
      <c r="AK82" s="37">
        <f>IF($AR82=1,IFERROR(TRIM(INDEX($A82:$Z82,MATCH(Lists!$B$5,$A$1:$Z$1,0))&amp;""),""),"")</f>
        <v/>
      </c>
      <c r="AL82" s="37">
        <f>IF($AR82=1,IFERROR(TRIM(INDEX($A82:$Z82,MATCH(Lists!$B$4,$A$1:$Z$1,0))&amp;""),""),"")</f>
        <v/>
      </c>
      <c r="AM82" s="37">
        <f>IF($AR82=1,IFERROR(TRIM(INDEX($A82:$Z82,MATCH(Lists!$B$6,$A$1:$Z$1,0))&amp;""),""),"")</f>
        <v/>
      </c>
      <c r="AN82" s="37">
        <f>IF($AR82=1,IFERROR(TRIM(INDEX($A82:$Z82,MATCH(Lists!$B$7,$A$1:$Z$1,0))&amp;""),""),"")</f>
        <v/>
      </c>
      <c r="AO82" s="37">
        <f>IF($AR82=1,IFERROR(TRIM(INDEX($A82:$Z82,MATCH(Lists!$B$13,$A$1:$Z$1,0))&amp;""),""),"")</f>
        <v/>
      </c>
      <c r="AP82" s="37">
        <f>IF($AR82=1,IFERROR(TRIM(INDEX($A82:$Z82,MATCH(Lists!$B$3,$A$1:$Z$1,0))&amp;""),""),"")</f>
        <v/>
      </c>
      <c r="AQ82" s="37">
        <f>IF($AR82=1,IFERROR(TRIM(INDEX($A82:$Z82,MATCH(Lists!$B$8,$A$1:$Z$1,0))&amp;""),""),"")</f>
        <v/>
      </c>
      <c r="AR82" s="36">
        <f>IF(LEN($AC82)&gt;0,1,0)</f>
        <v/>
      </c>
      <c r="AS82" s="37">
        <f>IF($AR82=1,IF(IFERROR(IF(ISNUMBER(INDEX($A82:$Z82,MATCH(Lists!$B$2,$A$1:$Z$1,0))),INDEX($A82:$Z82,MATCH(Lists!$B$2,$A$1:$Z$1,0)),DATE(VALUE(LEFT(IFERROR(TRIM(INDEX($A82:$Z82,MATCH(Lists!$B$2,$A$1:$Z$1,0))&amp;""),""),4)),VALUE(MID(IFERROR(TRIM(INDEX($A82:$Z82,MATCH(Lists!$B$2,$A$1:$Z$1,0))&amp;""),""),6,2)),VALUE(MID(IFERROR(TRIM(INDEX($A82:$Z82,MATCH(Lists!$B$2,$A$1:$Z$1,0))&amp;""),""),9,2)))+TIME(VALUE(MID(IFERROR(TRIM(INDEX($A82:$Z82,MATCH(Lists!$B$2,$A$1:$Z$1,0))&amp;""),""),12,2)),VALUE(MID(IFERROR(TRIM(INDEX($A82:$Z82,MATCH(Lists!$B$2,$A$1:$Z$1,0))&amp;""),""),15,2)),VALUE(MID(IFERROR(TRIM(INDEX($A82:$Z82,MATCH(Lists!$B$2,$A$1:$Z$1,0))&amp;""),""),18,2)))),"")="",100000+ROW()/10^7,IFERROR(IF(ISNUMBER(INDEX($A82:$Z82,MATCH(Lists!$B$2,$A$1:$Z$1,0))),INDEX($A82:$Z82,MATCH(Lists!$B$2,$A$1:$Z$1,0)),DATE(VALUE(LEFT(IFERROR(TRIM(INDEX($A82:$Z82,MATCH(Lists!$B$2,$A$1:$Z$1,0))&amp;""),""),4)),VALUE(MID(IFERROR(TRIM(INDEX($A82:$Z82,MATCH(Lists!$B$2,$A$1:$Z$1,0))&amp;""),""),6,2)),VALUE(MID(IFERROR(TRIM(INDEX($A82:$Z82,MATCH(Lists!$B$2,$A$1:$Z$1,0))&amp;""),""),9,2)))+TIME(VALUE(MID(IFERROR(TRIM(INDEX($A82:$Z82,MATCH(Lists!$B$2,$A$1:$Z$1,0))&amp;""),""),12,2)),VALUE(MID(IFERROR(TRIM(INDEX($A82:$Z82,MATCH(Lists!$B$2,$A$1:$Z$1,0))&amp;""),""),15,2)),VALUE(MID(IFERROR(TRIM(INDEX($A82:$Z82,MATCH(Lists!$B$2,$A$1:$Z$1,0))&amp;""),""),18,2)))),"")-ROW()/10^7),"")</f>
        <v/>
      </c>
    </row>
    <row r="83">
      <c r="AB83" s="36">
        <f>IF($AR83=1,COUNTIF($AS$2:$AS$201,"&lt;"&amp;$AS83)+1,"")</f>
        <v/>
      </c>
      <c r="AC83" s="37">
        <f>IFERROR(TRIM(INDEX($A83:$Z83,MATCH(Lists!$B$9,$A$1:$Z$1,0))&amp;""),"")</f>
        <v/>
      </c>
      <c r="AD83" s="37">
        <f>IF($AR83=1,IFERROR(TRIM(INDEX($A83:$Z83,MATCH(Lists!$B$10,$A$1:$Z$1,0))&amp;""),""),"")</f>
        <v/>
      </c>
      <c r="AE83" s="37">
        <f>IF($AR83=1,IFERROR(TRIM(INDEX($A83:$Z83,MATCH(Lists!$B$12,$A$1:$Z$1,0))&amp;""),""),"")</f>
        <v/>
      </c>
      <c r="AF83" s="38">
        <f>IF($AR83=1,IFERROR(IF(TRIM(INDEX($A83:$Z83,MATCH(Lists!$B$11,$A$1:$Z$1,0))&amp;"")="","",VALUE(TRIM(INDEX($A83:$Z83,MATCH(Lists!$B$11,$A$1:$Z$1,0))&amp;""))),""),"")</f>
        <v/>
      </c>
      <c r="AG83" s="38">
        <f>IF(OR($AR83=0,$AF83="",'Start here'!$F$10="",'Start here'!$F$11="",'Start here'!$F$12="",'Start here'!$F$13="",'Start here'!$F$14=""),"",IF($AF83&lt;'Start here'!$F$10,'Start here'!$F$11,IF($AF83&lt;'Start here'!$F$12,'Start here'!$F$13,'Start here'!$F$14)))</f>
        <v/>
      </c>
      <c r="AH83" s="38">
        <f>IF(OR($AG83="",'Start here'!$F$9=""),"",IF($AF83&lt;=0,"",IFERROR(MAX($AG83,ROUNDUP(ROUND($AF83*'Start here'!$F$9/$AG83,6),0)*$AG83),"")))</f>
        <v/>
      </c>
      <c r="AI83" s="37">
        <f>IF($AR83=0,"",IF($AN83=Lists!$B$19,"",IF(AND($AN83=Lists!$B$18,$AQ83&lt;&gt;""),$AQ83,IF(AND($AP83=Lists!$B$17,$AL83&lt;&gt;""),$AL83,$AK83))))</f>
        <v/>
      </c>
      <c r="AJ83" s="37">
        <f>IF($AR83=0,"",IF(IF($AF83="",", no value",IF($AF83&lt;=0,", no value",""))&amp;IF('Start here'!$F$15="","",IF(LEN($AD83)&lt;'Start here'!$F$15,", short description",""))="","OK",MID(IF($AF83="",", no value",IF($AF83&lt;=0,", no value",""))&amp;IF('Start here'!$F$15="","",IF(LEN($AD83)&lt;'Start here'!$F$15,", short description","")),3,200)))</f>
        <v/>
      </c>
      <c r="AK83" s="37">
        <f>IF($AR83=1,IFERROR(TRIM(INDEX($A83:$Z83,MATCH(Lists!$B$5,$A$1:$Z$1,0))&amp;""),""),"")</f>
        <v/>
      </c>
      <c r="AL83" s="37">
        <f>IF($AR83=1,IFERROR(TRIM(INDEX($A83:$Z83,MATCH(Lists!$B$4,$A$1:$Z$1,0))&amp;""),""),"")</f>
        <v/>
      </c>
      <c r="AM83" s="37">
        <f>IF($AR83=1,IFERROR(TRIM(INDEX($A83:$Z83,MATCH(Lists!$B$6,$A$1:$Z$1,0))&amp;""),""),"")</f>
        <v/>
      </c>
      <c r="AN83" s="37">
        <f>IF($AR83=1,IFERROR(TRIM(INDEX($A83:$Z83,MATCH(Lists!$B$7,$A$1:$Z$1,0))&amp;""),""),"")</f>
        <v/>
      </c>
      <c r="AO83" s="37">
        <f>IF($AR83=1,IFERROR(TRIM(INDEX($A83:$Z83,MATCH(Lists!$B$13,$A$1:$Z$1,0))&amp;""),""),"")</f>
        <v/>
      </c>
      <c r="AP83" s="37">
        <f>IF($AR83=1,IFERROR(TRIM(INDEX($A83:$Z83,MATCH(Lists!$B$3,$A$1:$Z$1,0))&amp;""),""),"")</f>
        <v/>
      </c>
      <c r="AQ83" s="37">
        <f>IF($AR83=1,IFERROR(TRIM(INDEX($A83:$Z83,MATCH(Lists!$B$8,$A$1:$Z$1,0))&amp;""),""),"")</f>
        <v/>
      </c>
      <c r="AR83" s="36">
        <f>IF(LEN($AC83)&gt;0,1,0)</f>
        <v/>
      </c>
      <c r="AS83" s="37">
        <f>IF($AR83=1,IF(IFERROR(IF(ISNUMBER(INDEX($A83:$Z83,MATCH(Lists!$B$2,$A$1:$Z$1,0))),INDEX($A83:$Z83,MATCH(Lists!$B$2,$A$1:$Z$1,0)),DATE(VALUE(LEFT(IFERROR(TRIM(INDEX($A83:$Z83,MATCH(Lists!$B$2,$A$1:$Z$1,0))&amp;""),""),4)),VALUE(MID(IFERROR(TRIM(INDEX($A83:$Z83,MATCH(Lists!$B$2,$A$1:$Z$1,0))&amp;""),""),6,2)),VALUE(MID(IFERROR(TRIM(INDEX($A83:$Z83,MATCH(Lists!$B$2,$A$1:$Z$1,0))&amp;""),""),9,2)))+TIME(VALUE(MID(IFERROR(TRIM(INDEX($A83:$Z83,MATCH(Lists!$B$2,$A$1:$Z$1,0))&amp;""),""),12,2)),VALUE(MID(IFERROR(TRIM(INDEX($A83:$Z83,MATCH(Lists!$B$2,$A$1:$Z$1,0))&amp;""),""),15,2)),VALUE(MID(IFERROR(TRIM(INDEX($A83:$Z83,MATCH(Lists!$B$2,$A$1:$Z$1,0))&amp;""),""),18,2)))),"")="",100000+ROW()/10^7,IFERROR(IF(ISNUMBER(INDEX($A83:$Z83,MATCH(Lists!$B$2,$A$1:$Z$1,0))),INDEX($A83:$Z83,MATCH(Lists!$B$2,$A$1:$Z$1,0)),DATE(VALUE(LEFT(IFERROR(TRIM(INDEX($A83:$Z83,MATCH(Lists!$B$2,$A$1:$Z$1,0))&amp;""),""),4)),VALUE(MID(IFERROR(TRIM(INDEX($A83:$Z83,MATCH(Lists!$B$2,$A$1:$Z$1,0))&amp;""),""),6,2)),VALUE(MID(IFERROR(TRIM(INDEX($A83:$Z83,MATCH(Lists!$B$2,$A$1:$Z$1,0))&amp;""),""),9,2)))+TIME(VALUE(MID(IFERROR(TRIM(INDEX($A83:$Z83,MATCH(Lists!$B$2,$A$1:$Z$1,0))&amp;""),""),12,2)),VALUE(MID(IFERROR(TRIM(INDEX($A83:$Z83,MATCH(Lists!$B$2,$A$1:$Z$1,0))&amp;""),""),15,2)),VALUE(MID(IFERROR(TRIM(INDEX($A83:$Z83,MATCH(Lists!$B$2,$A$1:$Z$1,0))&amp;""),""),18,2)))),"")-ROW()/10^7),"")</f>
        <v/>
      </c>
    </row>
    <row r="84">
      <c r="AB84" s="36">
        <f>IF($AR84=1,COUNTIF($AS$2:$AS$201,"&lt;"&amp;$AS84)+1,"")</f>
        <v/>
      </c>
      <c r="AC84" s="37">
        <f>IFERROR(TRIM(INDEX($A84:$Z84,MATCH(Lists!$B$9,$A$1:$Z$1,0))&amp;""),"")</f>
        <v/>
      </c>
      <c r="AD84" s="37">
        <f>IF($AR84=1,IFERROR(TRIM(INDEX($A84:$Z84,MATCH(Lists!$B$10,$A$1:$Z$1,0))&amp;""),""),"")</f>
        <v/>
      </c>
      <c r="AE84" s="37">
        <f>IF($AR84=1,IFERROR(TRIM(INDEX($A84:$Z84,MATCH(Lists!$B$12,$A$1:$Z$1,0))&amp;""),""),"")</f>
        <v/>
      </c>
      <c r="AF84" s="38">
        <f>IF($AR84=1,IFERROR(IF(TRIM(INDEX($A84:$Z84,MATCH(Lists!$B$11,$A$1:$Z$1,0))&amp;"")="","",VALUE(TRIM(INDEX($A84:$Z84,MATCH(Lists!$B$11,$A$1:$Z$1,0))&amp;""))),""),"")</f>
        <v/>
      </c>
      <c r="AG84" s="38">
        <f>IF(OR($AR84=0,$AF84="",'Start here'!$F$10="",'Start here'!$F$11="",'Start here'!$F$12="",'Start here'!$F$13="",'Start here'!$F$14=""),"",IF($AF84&lt;'Start here'!$F$10,'Start here'!$F$11,IF($AF84&lt;'Start here'!$F$12,'Start here'!$F$13,'Start here'!$F$14)))</f>
        <v/>
      </c>
      <c r="AH84" s="38">
        <f>IF(OR($AG84="",'Start here'!$F$9=""),"",IF($AF84&lt;=0,"",IFERROR(MAX($AG84,ROUNDUP(ROUND($AF84*'Start here'!$F$9/$AG84,6),0)*$AG84),"")))</f>
        <v/>
      </c>
      <c r="AI84" s="37">
        <f>IF($AR84=0,"",IF($AN84=Lists!$B$19,"",IF(AND($AN84=Lists!$B$18,$AQ84&lt;&gt;""),$AQ84,IF(AND($AP84=Lists!$B$17,$AL84&lt;&gt;""),$AL84,$AK84))))</f>
        <v/>
      </c>
      <c r="AJ84" s="37">
        <f>IF($AR84=0,"",IF(IF($AF84="",", no value",IF($AF84&lt;=0,", no value",""))&amp;IF('Start here'!$F$15="","",IF(LEN($AD84)&lt;'Start here'!$F$15,", short description",""))="","OK",MID(IF($AF84="",", no value",IF($AF84&lt;=0,", no value",""))&amp;IF('Start here'!$F$15="","",IF(LEN($AD84)&lt;'Start here'!$F$15,", short description","")),3,200)))</f>
        <v/>
      </c>
      <c r="AK84" s="37">
        <f>IF($AR84=1,IFERROR(TRIM(INDEX($A84:$Z84,MATCH(Lists!$B$5,$A$1:$Z$1,0))&amp;""),""),"")</f>
        <v/>
      </c>
      <c r="AL84" s="37">
        <f>IF($AR84=1,IFERROR(TRIM(INDEX($A84:$Z84,MATCH(Lists!$B$4,$A$1:$Z$1,0))&amp;""),""),"")</f>
        <v/>
      </c>
      <c r="AM84" s="37">
        <f>IF($AR84=1,IFERROR(TRIM(INDEX($A84:$Z84,MATCH(Lists!$B$6,$A$1:$Z$1,0))&amp;""),""),"")</f>
        <v/>
      </c>
      <c r="AN84" s="37">
        <f>IF($AR84=1,IFERROR(TRIM(INDEX($A84:$Z84,MATCH(Lists!$B$7,$A$1:$Z$1,0))&amp;""),""),"")</f>
        <v/>
      </c>
      <c r="AO84" s="37">
        <f>IF($AR84=1,IFERROR(TRIM(INDEX($A84:$Z84,MATCH(Lists!$B$13,$A$1:$Z$1,0))&amp;""),""),"")</f>
        <v/>
      </c>
      <c r="AP84" s="37">
        <f>IF($AR84=1,IFERROR(TRIM(INDEX($A84:$Z84,MATCH(Lists!$B$3,$A$1:$Z$1,0))&amp;""),""),"")</f>
        <v/>
      </c>
      <c r="AQ84" s="37">
        <f>IF($AR84=1,IFERROR(TRIM(INDEX($A84:$Z84,MATCH(Lists!$B$8,$A$1:$Z$1,0))&amp;""),""),"")</f>
        <v/>
      </c>
      <c r="AR84" s="36">
        <f>IF(LEN($AC84)&gt;0,1,0)</f>
        <v/>
      </c>
      <c r="AS84" s="37">
        <f>IF($AR84=1,IF(IFERROR(IF(ISNUMBER(INDEX($A84:$Z84,MATCH(Lists!$B$2,$A$1:$Z$1,0))),INDEX($A84:$Z84,MATCH(Lists!$B$2,$A$1:$Z$1,0)),DATE(VALUE(LEFT(IFERROR(TRIM(INDEX($A84:$Z84,MATCH(Lists!$B$2,$A$1:$Z$1,0))&amp;""),""),4)),VALUE(MID(IFERROR(TRIM(INDEX($A84:$Z84,MATCH(Lists!$B$2,$A$1:$Z$1,0))&amp;""),""),6,2)),VALUE(MID(IFERROR(TRIM(INDEX($A84:$Z84,MATCH(Lists!$B$2,$A$1:$Z$1,0))&amp;""),""),9,2)))+TIME(VALUE(MID(IFERROR(TRIM(INDEX($A84:$Z84,MATCH(Lists!$B$2,$A$1:$Z$1,0))&amp;""),""),12,2)),VALUE(MID(IFERROR(TRIM(INDEX($A84:$Z84,MATCH(Lists!$B$2,$A$1:$Z$1,0))&amp;""),""),15,2)),VALUE(MID(IFERROR(TRIM(INDEX($A84:$Z84,MATCH(Lists!$B$2,$A$1:$Z$1,0))&amp;""),""),18,2)))),"")="",100000+ROW()/10^7,IFERROR(IF(ISNUMBER(INDEX($A84:$Z84,MATCH(Lists!$B$2,$A$1:$Z$1,0))),INDEX($A84:$Z84,MATCH(Lists!$B$2,$A$1:$Z$1,0)),DATE(VALUE(LEFT(IFERROR(TRIM(INDEX($A84:$Z84,MATCH(Lists!$B$2,$A$1:$Z$1,0))&amp;""),""),4)),VALUE(MID(IFERROR(TRIM(INDEX($A84:$Z84,MATCH(Lists!$B$2,$A$1:$Z$1,0))&amp;""),""),6,2)),VALUE(MID(IFERROR(TRIM(INDEX($A84:$Z84,MATCH(Lists!$B$2,$A$1:$Z$1,0))&amp;""),""),9,2)))+TIME(VALUE(MID(IFERROR(TRIM(INDEX($A84:$Z84,MATCH(Lists!$B$2,$A$1:$Z$1,0))&amp;""),""),12,2)),VALUE(MID(IFERROR(TRIM(INDEX($A84:$Z84,MATCH(Lists!$B$2,$A$1:$Z$1,0))&amp;""),""),15,2)),VALUE(MID(IFERROR(TRIM(INDEX($A84:$Z84,MATCH(Lists!$B$2,$A$1:$Z$1,0))&amp;""),""),18,2)))),"")-ROW()/10^7),"")</f>
        <v/>
      </c>
    </row>
    <row r="85">
      <c r="AB85" s="36">
        <f>IF($AR85=1,COUNTIF($AS$2:$AS$201,"&lt;"&amp;$AS85)+1,"")</f>
        <v/>
      </c>
      <c r="AC85" s="37">
        <f>IFERROR(TRIM(INDEX($A85:$Z85,MATCH(Lists!$B$9,$A$1:$Z$1,0))&amp;""),"")</f>
        <v/>
      </c>
      <c r="AD85" s="37">
        <f>IF($AR85=1,IFERROR(TRIM(INDEX($A85:$Z85,MATCH(Lists!$B$10,$A$1:$Z$1,0))&amp;""),""),"")</f>
        <v/>
      </c>
      <c r="AE85" s="37">
        <f>IF($AR85=1,IFERROR(TRIM(INDEX($A85:$Z85,MATCH(Lists!$B$12,$A$1:$Z$1,0))&amp;""),""),"")</f>
        <v/>
      </c>
      <c r="AF85" s="38">
        <f>IF($AR85=1,IFERROR(IF(TRIM(INDEX($A85:$Z85,MATCH(Lists!$B$11,$A$1:$Z$1,0))&amp;"")="","",VALUE(TRIM(INDEX($A85:$Z85,MATCH(Lists!$B$11,$A$1:$Z$1,0))&amp;""))),""),"")</f>
        <v/>
      </c>
      <c r="AG85" s="38">
        <f>IF(OR($AR85=0,$AF85="",'Start here'!$F$10="",'Start here'!$F$11="",'Start here'!$F$12="",'Start here'!$F$13="",'Start here'!$F$14=""),"",IF($AF85&lt;'Start here'!$F$10,'Start here'!$F$11,IF($AF85&lt;'Start here'!$F$12,'Start here'!$F$13,'Start here'!$F$14)))</f>
        <v/>
      </c>
      <c r="AH85" s="38">
        <f>IF(OR($AG85="",'Start here'!$F$9=""),"",IF($AF85&lt;=0,"",IFERROR(MAX($AG85,ROUNDUP(ROUND($AF85*'Start here'!$F$9/$AG85,6),0)*$AG85),"")))</f>
        <v/>
      </c>
      <c r="AI85" s="37">
        <f>IF($AR85=0,"",IF($AN85=Lists!$B$19,"",IF(AND($AN85=Lists!$B$18,$AQ85&lt;&gt;""),$AQ85,IF(AND($AP85=Lists!$B$17,$AL85&lt;&gt;""),$AL85,$AK85))))</f>
        <v/>
      </c>
      <c r="AJ85" s="37">
        <f>IF($AR85=0,"",IF(IF($AF85="",", no value",IF($AF85&lt;=0,", no value",""))&amp;IF('Start here'!$F$15="","",IF(LEN($AD85)&lt;'Start here'!$F$15,", short description",""))="","OK",MID(IF($AF85="",", no value",IF($AF85&lt;=0,", no value",""))&amp;IF('Start here'!$F$15="","",IF(LEN($AD85)&lt;'Start here'!$F$15,", short description","")),3,200)))</f>
        <v/>
      </c>
      <c r="AK85" s="37">
        <f>IF($AR85=1,IFERROR(TRIM(INDEX($A85:$Z85,MATCH(Lists!$B$5,$A$1:$Z$1,0))&amp;""),""),"")</f>
        <v/>
      </c>
      <c r="AL85" s="37">
        <f>IF($AR85=1,IFERROR(TRIM(INDEX($A85:$Z85,MATCH(Lists!$B$4,$A$1:$Z$1,0))&amp;""),""),"")</f>
        <v/>
      </c>
      <c r="AM85" s="37">
        <f>IF($AR85=1,IFERROR(TRIM(INDEX($A85:$Z85,MATCH(Lists!$B$6,$A$1:$Z$1,0))&amp;""),""),"")</f>
        <v/>
      </c>
      <c r="AN85" s="37">
        <f>IF($AR85=1,IFERROR(TRIM(INDEX($A85:$Z85,MATCH(Lists!$B$7,$A$1:$Z$1,0))&amp;""),""),"")</f>
        <v/>
      </c>
      <c r="AO85" s="37">
        <f>IF($AR85=1,IFERROR(TRIM(INDEX($A85:$Z85,MATCH(Lists!$B$13,$A$1:$Z$1,0))&amp;""),""),"")</f>
        <v/>
      </c>
      <c r="AP85" s="37">
        <f>IF($AR85=1,IFERROR(TRIM(INDEX($A85:$Z85,MATCH(Lists!$B$3,$A$1:$Z$1,0))&amp;""),""),"")</f>
        <v/>
      </c>
      <c r="AQ85" s="37">
        <f>IF($AR85=1,IFERROR(TRIM(INDEX($A85:$Z85,MATCH(Lists!$B$8,$A$1:$Z$1,0))&amp;""),""),"")</f>
        <v/>
      </c>
      <c r="AR85" s="36">
        <f>IF(LEN($AC85)&gt;0,1,0)</f>
        <v/>
      </c>
      <c r="AS85" s="37">
        <f>IF($AR85=1,IF(IFERROR(IF(ISNUMBER(INDEX($A85:$Z85,MATCH(Lists!$B$2,$A$1:$Z$1,0))),INDEX($A85:$Z85,MATCH(Lists!$B$2,$A$1:$Z$1,0)),DATE(VALUE(LEFT(IFERROR(TRIM(INDEX($A85:$Z85,MATCH(Lists!$B$2,$A$1:$Z$1,0))&amp;""),""),4)),VALUE(MID(IFERROR(TRIM(INDEX($A85:$Z85,MATCH(Lists!$B$2,$A$1:$Z$1,0))&amp;""),""),6,2)),VALUE(MID(IFERROR(TRIM(INDEX($A85:$Z85,MATCH(Lists!$B$2,$A$1:$Z$1,0))&amp;""),""),9,2)))+TIME(VALUE(MID(IFERROR(TRIM(INDEX($A85:$Z85,MATCH(Lists!$B$2,$A$1:$Z$1,0))&amp;""),""),12,2)),VALUE(MID(IFERROR(TRIM(INDEX($A85:$Z85,MATCH(Lists!$B$2,$A$1:$Z$1,0))&amp;""),""),15,2)),VALUE(MID(IFERROR(TRIM(INDEX($A85:$Z85,MATCH(Lists!$B$2,$A$1:$Z$1,0))&amp;""),""),18,2)))),"")="",100000+ROW()/10^7,IFERROR(IF(ISNUMBER(INDEX($A85:$Z85,MATCH(Lists!$B$2,$A$1:$Z$1,0))),INDEX($A85:$Z85,MATCH(Lists!$B$2,$A$1:$Z$1,0)),DATE(VALUE(LEFT(IFERROR(TRIM(INDEX($A85:$Z85,MATCH(Lists!$B$2,$A$1:$Z$1,0))&amp;""),""),4)),VALUE(MID(IFERROR(TRIM(INDEX($A85:$Z85,MATCH(Lists!$B$2,$A$1:$Z$1,0))&amp;""),""),6,2)),VALUE(MID(IFERROR(TRIM(INDEX($A85:$Z85,MATCH(Lists!$B$2,$A$1:$Z$1,0))&amp;""),""),9,2)))+TIME(VALUE(MID(IFERROR(TRIM(INDEX($A85:$Z85,MATCH(Lists!$B$2,$A$1:$Z$1,0))&amp;""),""),12,2)),VALUE(MID(IFERROR(TRIM(INDEX($A85:$Z85,MATCH(Lists!$B$2,$A$1:$Z$1,0))&amp;""),""),15,2)),VALUE(MID(IFERROR(TRIM(INDEX($A85:$Z85,MATCH(Lists!$B$2,$A$1:$Z$1,0))&amp;""),""),18,2)))),"")-ROW()/10^7),"")</f>
        <v/>
      </c>
    </row>
    <row r="86">
      <c r="AB86" s="36">
        <f>IF($AR86=1,COUNTIF($AS$2:$AS$201,"&lt;"&amp;$AS86)+1,"")</f>
        <v/>
      </c>
      <c r="AC86" s="37">
        <f>IFERROR(TRIM(INDEX($A86:$Z86,MATCH(Lists!$B$9,$A$1:$Z$1,0))&amp;""),"")</f>
        <v/>
      </c>
      <c r="AD86" s="37">
        <f>IF($AR86=1,IFERROR(TRIM(INDEX($A86:$Z86,MATCH(Lists!$B$10,$A$1:$Z$1,0))&amp;""),""),"")</f>
        <v/>
      </c>
      <c r="AE86" s="37">
        <f>IF($AR86=1,IFERROR(TRIM(INDEX($A86:$Z86,MATCH(Lists!$B$12,$A$1:$Z$1,0))&amp;""),""),"")</f>
        <v/>
      </c>
      <c r="AF86" s="38">
        <f>IF($AR86=1,IFERROR(IF(TRIM(INDEX($A86:$Z86,MATCH(Lists!$B$11,$A$1:$Z$1,0))&amp;"")="","",VALUE(TRIM(INDEX($A86:$Z86,MATCH(Lists!$B$11,$A$1:$Z$1,0))&amp;""))),""),"")</f>
        <v/>
      </c>
      <c r="AG86" s="38">
        <f>IF(OR($AR86=0,$AF86="",'Start here'!$F$10="",'Start here'!$F$11="",'Start here'!$F$12="",'Start here'!$F$13="",'Start here'!$F$14=""),"",IF($AF86&lt;'Start here'!$F$10,'Start here'!$F$11,IF($AF86&lt;'Start here'!$F$12,'Start here'!$F$13,'Start here'!$F$14)))</f>
        <v/>
      </c>
      <c r="AH86" s="38">
        <f>IF(OR($AG86="",'Start here'!$F$9=""),"",IF($AF86&lt;=0,"",IFERROR(MAX($AG86,ROUNDUP(ROUND($AF86*'Start here'!$F$9/$AG86,6),0)*$AG86),"")))</f>
        <v/>
      </c>
      <c r="AI86" s="37">
        <f>IF($AR86=0,"",IF($AN86=Lists!$B$19,"",IF(AND($AN86=Lists!$B$18,$AQ86&lt;&gt;""),$AQ86,IF(AND($AP86=Lists!$B$17,$AL86&lt;&gt;""),$AL86,$AK86))))</f>
        <v/>
      </c>
      <c r="AJ86" s="37">
        <f>IF($AR86=0,"",IF(IF($AF86="",", no value",IF($AF86&lt;=0,", no value",""))&amp;IF('Start here'!$F$15="","",IF(LEN($AD86)&lt;'Start here'!$F$15,", short description",""))="","OK",MID(IF($AF86="",", no value",IF($AF86&lt;=0,", no value",""))&amp;IF('Start here'!$F$15="","",IF(LEN($AD86)&lt;'Start here'!$F$15,", short description","")),3,200)))</f>
        <v/>
      </c>
      <c r="AK86" s="37">
        <f>IF($AR86=1,IFERROR(TRIM(INDEX($A86:$Z86,MATCH(Lists!$B$5,$A$1:$Z$1,0))&amp;""),""),"")</f>
        <v/>
      </c>
      <c r="AL86" s="37">
        <f>IF($AR86=1,IFERROR(TRIM(INDEX($A86:$Z86,MATCH(Lists!$B$4,$A$1:$Z$1,0))&amp;""),""),"")</f>
        <v/>
      </c>
      <c r="AM86" s="37">
        <f>IF($AR86=1,IFERROR(TRIM(INDEX($A86:$Z86,MATCH(Lists!$B$6,$A$1:$Z$1,0))&amp;""),""),"")</f>
        <v/>
      </c>
      <c r="AN86" s="37">
        <f>IF($AR86=1,IFERROR(TRIM(INDEX($A86:$Z86,MATCH(Lists!$B$7,$A$1:$Z$1,0))&amp;""),""),"")</f>
        <v/>
      </c>
      <c r="AO86" s="37">
        <f>IF($AR86=1,IFERROR(TRIM(INDEX($A86:$Z86,MATCH(Lists!$B$13,$A$1:$Z$1,0))&amp;""),""),"")</f>
        <v/>
      </c>
      <c r="AP86" s="37">
        <f>IF($AR86=1,IFERROR(TRIM(INDEX($A86:$Z86,MATCH(Lists!$B$3,$A$1:$Z$1,0))&amp;""),""),"")</f>
        <v/>
      </c>
      <c r="AQ86" s="37">
        <f>IF($AR86=1,IFERROR(TRIM(INDEX($A86:$Z86,MATCH(Lists!$B$8,$A$1:$Z$1,0))&amp;""),""),"")</f>
        <v/>
      </c>
      <c r="AR86" s="36">
        <f>IF(LEN($AC86)&gt;0,1,0)</f>
        <v/>
      </c>
      <c r="AS86" s="37">
        <f>IF($AR86=1,IF(IFERROR(IF(ISNUMBER(INDEX($A86:$Z86,MATCH(Lists!$B$2,$A$1:$Z$1,0))),INDEX($A86:$Z86,MATCH(Lists!$B$2,$A$1:$Z$1,0)),DATE(VALUE(LEFT(IFERROR(TRIM(INDEX($A86:$Z86,MATCH(Lists!$B$2,$A$1:$Z$1,0))&amp;""),""),4)),VALUE(MID(IFERROR(TRIM(INDEX($A86:$Z86,MATCH(Lists!$B$2,$A$1:$Z$1,0))&amp;""),""),6,2)),VALUE(MID(IFERROR(TRIM(INDEX($A86:$Z86,MATCH(Lists!$B$2,$A$1:$Z$1,0))&amp;""),""),9,2)))+TIME(VALUE(MID(IFERROR(TRIM(INDEX($A86:$Z86,MATCH(Lists!$B$2,$A$1:$Z$1,0))&amp;""),""),12,2)),VALUE(MID(IFERROR(TRIM(INDEX($A86:$Z86,MATCH(Lists!$B$2,$A$1:$Z$1,0))&amp;""),""),15,2)),VALUE(MID(IFERROR(TRIM(INDEX($A86:$Z86,MATCH(Lists!$B$2,$A$1:$Z$1,0))&amp;""),""),18,2)))),"")="",100000+ROW()/10^7,IFERROR(IF(ISNUMBER(INDEX($A86:$Z86,MATCH(Lists!$B$2,$A$1:$Z$1,0))),INDEX($A86:$Z86,MATCH(Lists!$B$2,$A$1:$Z$1,0)),DATE(VALUE(LEFT(IFERROR(TRIM(INDEX($A86:$Z86,MATCH(Lists!$B$2,$A$1:$Z$1,0))&amp;""),""),4)),VALUE(MID(IFERROR(TRIM(INDEX($A86:$Z86,MATCH(Lists!$B$2,$A$1:$Z$1,0))&amp;""),""),6,2)),VALUE(MID(IFERROR(TRIM(INDEX($A86:$Z86,MATCH(Lists!$B$2,$A$1:$Z$1,0))&amp;""),""),9,2)))+TIME(VALUE(MID(IFERROR(TRIM(INDEX($A86:$Z86,MATCH(Lists!$B$2,$A$1:$Z$1,0))&amp;""),""),12,2)),VALUE(MID(IFERROR(TRIM(INDEX($A86:$Z86,MATCH(Lists!$B$2,$A$1:$Z$1,0))&amp;""),""),15,2)),VALUE(MID(IFERROR(TRIM(INDEX($A86:$Z86,MATCH(Lists!$B$2,$A$1:$Z$1,0))&amp;""),""),18,2)))),"")-ROW()/10^7),"")</f>
        <v/>
      </c>
    </row>
    <row r="87">
      <c r="AB87" s="36">
        <f>IF($AR87=1,COUNTIF($AS$2:$AS$201,"&lt;"&amp;$AS87)+1,"")</f>
        <v/>
      </c>
      <c r="AC87" s="37">
        <f>IFERROR(TRIM(INDEX($A87:$Z87,MATCH(Lists!$B$9,$A$1:$Z$1,0))&amp;""),"")</f>
        <v/>
      </c>
      <c r="AD87" s="37">
        <f>IF($AR87=1,IFERROR(TRIM(INDEX($A87:$Z87,MATCH(Lists!$B$10,$A$1:$Z$1,0))&amp;""),""),"")</f>
        <v/>
      </c>
      <c r="AE87" s="37">
        <f>IF($AR87=1,IFERROR(TRIM(INDEX($A87:$Z87,MATCH(Lists!$B$12,$A$1:$Z$1,0))&amp;""),""),"")</f>
        <v/>
      </c>
      <c r="AF87" s="38">
        <f>IF($AR87=1,IFERROR(IF(TRIM(INDEX($A87:$Z87,MATCH(Lists!$B$11,$A$1:$Z$1,0))&amp;"")="","",VALUE(TRIM(INDEX($A87:$Z87,MATCH(Lists!$B$11,$A$1:$Z$1,0))&amp;""))),""),"")</f>
        <v/>
      </c>
      <c r="AG87" s="38">
        <f>IF(OR($AR87=0,$AF87="",'Start here'!$F$10="",'Start here'!$F$11="",'Start here'!$F$12="",'Start here'!$F$13="",'Start here'!$F$14=""),"",IF($AF87&lt;'Start here'!$F$10,'Start here'!$F$11,IF($AF87&lt;'Start here'!$F$12,'Start here'!$F$13,'Start here'!$F$14)))</f>
        <v/>
      </c>
      <c r="AH87" s="38">
        <f>IF(OR($AG87="",'Start here'!$F$9=""),"",IF($AF87&lt;=0,"",IFERROR(MAX($AG87,ROUNDUP(ROUND($AF87*'Start here'!$F$9/$AG87,6),0)*$AG87),"")))</f>
        <v/>
      </c>
      <c r="AI87" s="37">
        <f>IF($AR87=0,"",IF($AN87=Lists!$B$19,"",IF(AND($AN87=Lists!$B$18,$AQ87&lt;&gt;""),$AQ87,IF(AND($AP87=Lists!$B$17,$AL87&lt;&gt;""),$AL87,$AK87))))</f>
        <v/>
      </c>
      <c r="AJ87" s="37">
        <f>IF($AR87=0,"",IF(IF($AF87="",", no value",IF($AF87&lt;=0,", no value",""))&amp;IF('Start here'!$F$15="","",IF(LEN($AD87)&lt;'Start here'!$F$15,", short description",""))="","OK",MID(IF($AF87="",", no value",IF($AF87&lt;=0,", no value",""))&amp;IF('Start here'!$F$15="","",IF(LEN($AD87)&lt;'Start here'!$F$15,", short description","")),3,200)))</f>
        <v/>
      </c>
      <c r="AK87" s="37">
        <f>IF($AR87=1,IFERROR(TRIM(INDEX($A87:$Z87,MATCH(Lists!$B$5,$A$1:$Z$1,0))&amp;""),""),"")</f>
        <v/>
      </c>
      <c r="AL87" s="37">
        <f>IF($AR87=1,IFERROR(TRIM(INDEX($A87:$Z87,MATCH(Lists!$B$4,$A$1:$Z$1,0))&amp;""),""),"")</f>
        <v/>
      </c>
      <c r="AM87" s="37">
        <f>IF($AR87=1,IFERROR(TRIM(INDEX($A87:$Z87,MATCH(Lists!$B$6,$A$1:$Z$1,0))&amp;""),""),"")</f>
        <v/>
      </c>
      <c r="AN87" s="37">
        <f>IF($AR87=1,IFERROR(TRIM(INDEX($A87:$Z87,MATCH(Lists!$B$7,$A$1:$Z$1,0))&amp;""),""),"")</f>
        <v/>
      </c>
      <c r="AO87" s="37">
        <f>IF($AR87=1,IFERROR(TRIM(INDEX($A87:$Z87,MATCH(Lists!$B$13,$A$1:$Z$1,0))&amp;""),""),"")</f>
        <v/>
      </c>
      <c r="AP87" s="37">
        <f>IF($AR87=1,IFERROR(TRIM(INDEX($A87:$Z87,MATCH(Lists!$B$3,$A$1:$Z$1,0))&amp;""),""),"")</f>
        <v/>
      </c>
      <c r="AQ87" s="37">
        <f>IF($AR87=1,IFERROR(TRIM(INDEX($A87:$Z87,MATCH(Lists!$B$8,$A$1:$Z$1,0))&amp;""),""),"")</f>
        <v/>
      </c>
      <c r="AR87" s="36">
        <f>IF(LEN($AC87)&gt;0,1,0)</f>
        <v/>
      </c>
      <c r="AS87" s="37">
        <f>IF($AR87=1,IF(IFERROR(IF(ISNUMBER(INDEX($A87:$Z87,MATCH(Lists!$B$2,$A$1:$Z$1,0))),INDEX($A87:$Z87,MATCH(Lists!$B$2,$A$1:$Z$1,0)),DATE(VALUE(LEFT(IFERROR(TRIM(INDEX($A87:$Z87,MATCH(Lists!$B$2,$A$1:$Z$1,0))&amp;""),""),4)),VALUE(MID(IFERROR(TRIM(INDEX($A87:$Z87,MATCH(Lists!$B$2,$A$1:$Z$1,0))&amp;""),""),6,2)),VALUE(MID(IFERROR(TRIM(INDEX($A87:$Z87,MATCH(Lists!$B$2,$A$1:$Z$1,0))&amp;""),""),9,2)))+TIME(VALUE(MID(IFERROR(TRIM(INDEX($A87:$Z87,MATCH(Lists!$B$2,$A$1:$Z$1,0))&amp;""),""),12,2)),VALUE(MID(IFERROR(TRIM(INDEX($A87:$Z87,MATCH(Lists!$B$2,$A$1:$Z$1,0))&amp;""),""),15,2)),VALUE(MID(IFERROR(TRIM(INDEX($A87:$Z87,MATCH(Lists!$B$2,$A$1:$Z$1,0))&amp;""),""),18,2)))),"")="",100000+ROW()/10^7,IFERROR(IF(ISNUMBER(INDEX($A87:$Z87,MATCH(Lists!$B$2,$A$1:$Z$1,0))),INDEX($A87:$Z87,MATCH(Lists!$B$2,$A$1:$Z$1,0)),DATE(VALUE(LEFT(IFERROR(TRIM(INDEX($A87:$Z87,MATCH(Lists!$B$2,$A$1:$Z$1,0))&amp;""),""),4)),VALUE(MID(IFERROR(TRIM(INDEX($A87:$Z87,MATCH(Lists!$B$2,$A$1:$Z$1,0))&amp;""),""),6,2)),VALUE(MID(IFERROR(TRIM(INDEX($A87:$Z87,MATCH(Lists!$B$2,$A$1:$Z$1,0))&amp;""),""),9,2)))+TIME(VALUE(MID(IFERROR(TRIM(INDEX($A87:$Z87,MATCH(Lists!$B$2,$A$1:$Z$1,0))&amp;""),""),12,2)),VALUE(MID(IFERROR(TRIM(INDEX($A87:$Z87,MATCH(Lists!$B$2,$A$1:$Z$1,0))&amp;""),""),15,2)),VALUE(MID(IFERROR(TRIM(INDEX($A87:$Z87,MATCH(Lists!$B$2,$A$1:$Z$1,0))&amp;""),""),18,2)))),"")-ROW()/10^7),"")</f>
        <v/>
      </c>
    </row>
    <row r="88">
      <c r="AB88" s="36">
        <f>IF($AR88=1,COUNTIF($AS$2:$AS$201,"&lt;"&amp;$AS88)+1,"")</f>
        <v/>
      </c>
      <c r="AC88" s="37">
        <f>IFERROR(TRIM(INDEX($A88:$Z88,MATCH(Lists!$B$9,$A$1:$Z$1,0))&amp;""),"")</f>
        <v/>
      </c>
      <c r="AD88" s="37">
        <f>IF($AR88=1,IFERROR(TRIM(INDEX($A88:$Z88,MATCH(Lists!$B$10,$A$1:$Z$1,0))&amp;""),""),"")</f>
        <v/>
      </c>
      <c r="AE88" s="37">
        <f>IF($AR88=1,IFERROR(TRIM(INDEX($A88:$Z88,MATCH(Lists!$B$12,$A$1:$Z$1,0))&amp;""),""),"")</f>
        <v/>
      </c>
      <c r="AF88" s="38">
        <f>IF($AR88=1,IFERROR(IF(TRIM(INDEX($A88:$Z88,MATCH(Lists!$B$11,$A$1:$Z$1,0))&amp;"")="","",VALUE(TRIM(INDEX($A88:$Z88,MATCH(Lists!$B$11,$A$1:$Z$1,0))&amp;""))),""),"")</f>
        <v/>
      </c>
      <c r="AG88" s="38">
        <f>IF(OR($AR88=0,$AF88="",'Start here'!$F$10="",'Start here'!$F$11="",'Start here'!$F$12="",'Start here'!$F$13="",'Start here'!$F$14=""),"",IF($AF88&lt;'Start here'!$F$10,'Start here'!$F$11,IF($AF88&lt;'Start here'!$F$12,'Start here'!$F$13,'Start here'!$F$14)))</f>
        <v/>
      </c>
      <c r="AH88" s="38">
        <f>IF(OR($AG88="",'Start here'!$F$9=""),"",IF($AF88&lt;=0,"",IFERROR(MAX($AG88,ROUNDUP(ROUND($AF88*'Start here'!$F$9/$AG88,6),0)*$AG88),"")))</f>
        <v/>
      </c>
      <c r="AI88" s="37">
        <f>IF($AR88=0,"",IF($AN88=Lists!$B$19,"",IF(AND($AN88=Lists!$B$18,$AQ88&lt;&gt;""),$AQ88,IF(AND($AP88=Lists!$B$17,$AL88&lt;&gt;""),$AL88,$AK88))))</f>
        <v/>
      </c>
      <c r="AJ88" s="37">
        <f>IF($AR88=0,"",IF(IF($AF88="",", no value",IF($AF88&lt;=0,", no value",""))&amp;IF('Start here'!$F$15="","",IF(LEN($AD88)&lt;'Start here'!$F$15,", short description",""))="","OK",MID(IF($AF88="",", no value",IF($AF88&lt;=0,", no value",""))&amp;IF('Start here'!$F$15="","",IF(LEN($AD88)&lt;'Start here'!$F$15,", short description","")),3,200)))</f>
        <v/>
      </c>
      <c r="AK88" s="37">
        <f>IF($AR88=1,IFERROR(TRIM(INDEX($A88:$Z88,MATCH(Lists!$B$5,$A$1:$Z$1,0))&amp;""),""),"")</f>
        <v/>
      </c>
      <c r="AL88" s="37">
        <f>IF($AR88=1,IFERROR(TRIM(INDEX($A88:$Z88,MATCH(Lists!$B$4,$A$1:$Z$1,0))&amp;""),""),"")</f>
        <v/>
      </c>
      <c r="AM88" s="37">
        <f>IF($AR88=1,IFERROR(TRIM(INDEX($A88:$Z88,MATCH(Lists!$B$6,$A$1:$Z$1,0))&amp;""),""),"")</f>
        <v/>
      </c>
      <c r="AN88" s="37">
        <f>IF($AR88=1,IFERROR(TRIM(INDEX($A88:$Z88,MATCH(Lists!$B$7,$A$1:$Z$1,0))&amp;""),""),"")</f>
        <v/>
      </c>
      <c r="AO88" s="37">
        <f>IF($AR88=1,IFERROR(TRIM(INDEX($A88:$Z88,MATCH(Lists!$B$13,$A$1:$Z$1,0))&amp;""),""),"")</f>
        <v/>
      </c>
      <c r="AP88" s="37">
        <f>IF($AR88=1,IFERROR(TRIM(INDEX($A88:$Z88,MATCH(Lists!$B$3,$A$1:$Z$1,0))&amp;""),""),"")</f>
        <v/>
      </c>
      <c r="AQ88" s="37">
        <f>IF($AR88=1,IFERROR(TRIM(INDEX($A88:$Z88,MATCH(Lists!$B$8,$A$1:$Z$1,0))&amp;""),""),"")</f>
        <v/>
      </c>
      <c r="AR88" s="36">
        <f>IF(LEN($AC88)&gt;0,1,0)</f>
        <v/>
      </c>
      <c r="AS88" s="37">
        <f>IF($AR88=1,IF(IFERROR(IF(ISNUMBER(INDEX($A88:$Z88,MATCH(Lists!$B$2,$A$1:$Z$1,0))),INDEX($A88:$Z88,MATCH(Lists!$B$2,$A$1:$Z$1,0)),DATE(VALUE(LEFT(IFERROR(TRIM(INDEX($A88:$Z88,MATCH(Lists!$B$2,$A$1:$Z$1,0))&amp;""),""),4)),VALUE(MID(IFERROR(TRIM(INDEX($A88:$Z88,MATCH(Lists!$B$2,$A$1:$Z$1,0))&amp;""),""),6,2)),VALUE(MID(IFERROR(TRIM(INDEX($A88:$Z88,MATCH(Lists!$B$2,$A$1:$Z$1,0))&amp;""),""),9,2)))+TIME(VALUE(MID(IFERROR(TRIM(INDEX($A88:$Z88,MATCH(Lists!$B$2,$A$1:$Z$1,0))&amp;""),""),12,2)),VALUE(MID(IFERROR(TRIM(INDEX($A88:$Z88,MATCH(Lists!$B$2,$A$1:$Z$1,0))&amp;""),""),15,2)),VALUE(MID(IFERROR(TRIM(INDEX($A88:$Z88,MATCH(Lists!$B$2,$A$1:$Z$1,0))&amp;""),""),18,2)))),"")="",100000+ROW()/10^7,IFERROR(IF(ISNUMBER(INDEX($A88:$Z88,MATCH(Lists!$B$2,$A$1:$Z$1,0))),INDEX($A88:$Z88,MATCH(Lists!$B$2,$A$1:$Z$1,0)),DATE(VALUE(LEFT(IFERROR(TRIM(INDEX($A88:$Z88,MATCH(Lists!$B$2,$A$1:$Z$1,0))&amp;""),""),4)),VALUE(MID(IFERROR(TRIM(INDEX($A88:$Z88,MATCH(Lists!$B$2,$A$1:$Z$1,0))&amp;""),""),6,2)),VALUE(MID(IFERROR(TRIM(INDEX($A88:$Z88,MATCH(Lists!$B$2,$A$1:$Z$1,0))&amp;""),""),9,2)))+TIME(VALUE(MID(IFERROR(TRIM(INDEX($A88:$Z88,MATCH(Lists!$B$2,$A$1:$Z$1,0))&amp;""),""),12,2)),VALUE(MID(IFERROR(TRIM(INDEX($A88:$Z88,MATCH(Lists!$B$2,$A$1:$Z$1,0))&amp;""),""),15,2)),VALUE(MID(IFERROR(TRIM(INDEX($A88:$Z88,MATCH(Lists!$B$2,$A$1:$Z$1,0))&amp;""),""),18,2)))),"")-ROW()/10^7),"")</f>
        <v/>
      </c>
    </row>
    <row r="89">
      <c r="AB89" s="36">
        <f>IF($AR89=1,COUNTIF($AS$2:$AS$201,"&lt;"&amp;$AS89)+1,"")</f>
        <v/>
      </c>
      <c r="AC89" s="37">
        <f>IFERROR(TRIM(INDEX($A89:$Z89,MATCH(Lists!$B$9,$A$1:$Z$1,0))&amp;""),"")</f>
        <v/>
      </c>
      <c r="AD89" s="37">
        <f>IF($AR89=1,IFERROR(TRIM(INDEX($A89:$Z89,MATCH(Lists!$B$10,$A$1:$Z$1,0))&amp;""),""),"")</f>
        <v/>
      </c>
      <c r="AE89" s="37">
        <f>IF($AR89=1,IFERROR(TRIM(INDEX($A89:$Z89,MATCH(Lists!$B$12,$A$1:$Z$1,0))&amp;""),""),"")</f>
        <v/>
      </c>
      <c r="AF89" s="38">
        <f>IF($AR89=1,IFERROR(IF(TRIM(INDEX($A89:$Z89,MATCH(Lists!$B$11,$A$1:$Z$1,0))&amp;"")="","",VALUE(TRIM(INDEX($A89:$Z89,MATCH(Lists!$B$11,$A$1:$Z$1,0))&amp;""))),""),"")</f>
        <v/>
      </c>
      <c r="AG89" s="38">
        <f>IF(OR($AR89=0,$AF89="",'Start here'!$F$10="",'Start here'!$F$11="",'Start here'!$F$12="",'Start here'!$F$13="",'Start here'!$F$14=""),"",IF($AF89&lt;'Start here'!$F$10,'Start here'!$F$11,IF($AF89&lt;'Start here'!$F$12,'Start here'!$F$13,'Start here'!$F$14)))</f>
        <v/>
      </c>
      <c r="AH89" s="38">
        <f>IF(OR($AG89="",'Start here'!$F$9=""),"",IF($AF89&lt;=0,"",IFERROR(MAX($AG89,ROUNDUP(ROUND($AF89*'Start here'!$F$9/$AG89,6),0)*$AG89),"")))</f>
        <v/>
      </c>
      <c r="AI89" s="37">
        <f>IF($AR89=0,"",IF($AN89=Lists!$B$19,"",IF(AND($AN89=Lists!$B$18,$AQ89&lt;&gt;""),$AQ89,IF(AND($AP89=Lists!$B$17,$AL89&lt;&gt;""),$AL89,$AK89))))</f>
        <v/>
      </c>
      <c r="AJ89" s="37">
        <f>IF($AR89=0,"",IF(IF($AF89="",", no value",IF($AF89&lt;=0,", no value",""))&amp;IF('Start here'!$F$15="","",IF(LEN($AD89)&lt;'Start here'!$F$15,", short description",""))="","OK",MID(IF($AF89="",", no value",IF($AF89&lt;=0,", no value",""))&amp;IF('Start here'!$F$15="","",IF(LEN($AD89)&lt;'Start here'!$F$15,", short description","")),3,200)))</f>
        <v/>
      </c>
      <c r="AK89" s="37">
        <f>IF($AR89=1,IFERROR(TRIM(INDEX($A89:$Z89,MATCH(Lists!$B$5,$A$1:$Z$1,0))&amp;""),""),"")</f>
        <v/>
      </c>
      <c r="AL89" s="37">
        <f>IF($AR89=1,IFERROR(TRIM(INDEX($A89:$Z89,MATCH(Lists!$B$4,$A$1:$Z$1,0))&amp;""),""),"")</f>
        <v/>
      </c>
      <c r="AM89" s="37">
        <f>IF($AR89=1,IFERROR(TRIM(INDEX($A89:$Z89,MATCH(Lists!$B$6,$A$1:$Z$1,0))&amp;""),""),"")</f>
        <v/>
      </c>
      <c r="AN89" s="37">
        <f>IF($AR89=1,IFERROR(TRIM(INDEX($A89:$Z89,MATCH(Lists!$B$7,$A$1:$Z$1,0))&amp;""),""),"")</f>
        <v/>
      </c>
      <c r="AO89" s="37">
        <f>IF($AR89=1,IFERROR(TRIM(INDEX($A89:$Z89,MATCH(Lists!$B$13,$A$1:$Z$1,0))&amp;""),""),"")</f>
        <v/>
      </c>
      <c r="AP89" s="37">
        <f>IF($AR89=1,IFERROR(TRIM(INDEX($A89:$Z89,MATCH(Lists!$B$3,$A$1:$Z$1,0))&amp;""),""),"")</f>
        <v/>
      </c>
      <c r="AQ89" s="37">
        <f>IF($AR89=1,IFERROR(TRIM(INDEX($A89:$Z89,MATCH(Lists!$B$8,$A$1:$Z$1,0))&amp;""),""),"")</f>
        <v/>
      </c>
      <c r="AR89" s="36">
        <f>IF(LEN($AC89)&gt;0,1,0)</f>
        <v/>
      </c>
      <c r="AS89" s="37">
        <f>IF($AR89=1,IF(IFERROR(IF(ISNUMBER(INDEX($A89:$Z89,MATCH(Lists!$B$2,$A$1:$Z$1,0))),INDEX($A89:$Z89,MATCH(Lists!$B$2,$A$1:$Z$1,0)),DATE(VALUE(LEFT(IFERROR(TRIM(INDEX($A89:$Z89,MATCH(Lists!$B$2,$A$1:$Z$1,0))&amp;""),""),4)),VALUE(MID(IFERROR(TRIM(INDEX($A89:$Z89,MATCH(Lists!$B$2,$A$1:$Z$1,0))&amp;""),""),6,2)),VALUE(MID(IFERROR(TRIM(INDEX($A89:$Z89,MATCH(Lists!$B$2,$A$1:$Z$1,0))&amp;""),""),9,2)))+TIME(VALUE(MID(IFERROR(TRIM(INDEX($A89:$Z89,MATCH(Lists!$B$2,$A$1:$Z$1,0))&amp;""),""),12,2)),VALUE(MID(IFERROR(TRIM(INDEX($A89:$Z89,MATCH(Lists!$B$2,$A$1:$Z$1,0))&amp;""),""),15,2)),VALUE(MID(IFERROR(TRIM(INDEX($A89:$Z89,MATCH(Lists!$B$2,$A$1:$Z$1,0))&amp;""),""),18,2)))),"")="",100000+ROW()/10^7,IFERROR(IF(ISNUMBER(INDEX($A89:$Z89,MATCH(Lists!$B$2,$A$1:$Z$1,0))),INDEX($A89:$Z89,MATCH(Lists!$B$2,$A$1:$Z$1,0)),DATE(VALUE(LEFT(IFERROR(TRIM(INDEX($A89:$Z89,MATCH(Lists!$B$2,$A$1:$Z$1,0))&amp;""),""),4)),VALUE(MID(IFERROR(TRIM(INDEX($A89:$Z89,MATCH(Lists!$B$2,$A$1:$Z$1,0))&amp;""),""),6,2)),VALUE(MID(IFERROR(TRIM(INDEX($A89:$Z89,MATCH(Lists!$B$2,$A$1:$Z$1,0))&amp;""),""),9,2)))+TIME(VALUE(MID(IFERROR(TRIM(INDEX($A89:$Z89,MATCH(Lists!$B$2,$A$1:$Z$1,0))&amp;""),""),12,2)),VALUE(MID(IFERROR(TRIM(INDEX($A89:$Z89,MATCH(Lists!$B$2,$A$1:$Z$1,0))&amp;""),""),15,2)),VALUE(MID(IFERROR(TRIM(INDEX($A89:$Z89,MATCH(Lists!$B$2,$A$1:$Z$1,0))&amp;""),""),18,2)))),"")-ROW()/10^7),"")</f>
        <v/>
      </c>
    </row>
    <row r="90">
      <c r="AB90" s="36">
        <f>IF($AR90=1,COUNTIF($AS$2:$AS$201,"&lt;"&amp;$AS90)+1,"")</f>
        <v/>
      </c>
      <c r="AC90" s="37">
        <f>IFERROR(TRIM(INDEX($A90:$Z90,MATCH(Lists!$B$9,$A$1:$Z$1,0))&amp;""),"")</f>
        <v/>
      </c>
      <c r="AD90" s="37">
        <f>IF($AR90=1,IFERROR(TRIM(INDEX($A90:$Z90,MATCH(Lists!$B$10,$A$1:$Z$1,0))&amp;""),""),"")</f>
        <v/>
      </c>
      <c r="AE90" s="37">
        <f>IF($AR90=1,IFERROR(TRIM(INDEX($A90:$Z90,MATCH(Lists!$B$12,$A$1:$Z$1,0))&amp;""),""),"")</f>
        <v/>
      </c>
      <c r="AF90" s="38">
        <f>IF($AR90=1,IFERROR(IF(TRIM(INDEX($A90:$Z90,MATCH(Lists!$B$11,$A$1:$Z$1,0))&amp;"")="","",VALUE(TRIM(INDEX($A90:$Z90,MATCH(Lists!$B$11,$A$1:$Z$1,0))&amp;""))),""),"")</f>
        <v/>
      </c>
      <c r="AG90" s="38">
        <f>IF(OR($AR90=0,$AF90="",'Start here'!$F$10="",'Start here'!$F$11="",'Start here'!$F$12="",'Start here'!$F$13="",'Start here'!$F$14=""),"",IF($AF90&lt;'Start here'!$F$10,'Start here'!$F$11,IF($AF90&lt;'Start here'!$F$12,'Start here'!$F$13,'Start here'!$F$14)))</f>
        <v/>
      </c>
      <c r="AH90" s="38">
        <f>IF(OR($AG90="",'Start here'!$F$9=""),"",IF($AF90&lt;=0,"",IFERROR(MAX($AG90,ROUNDUP(ROUND($AF90*'Start here'!$F$9/$AG90,6),0)*$AG90),"")))</f>
        <v/>
      </c>
      <c r="AI90" s="37">
        <f>IF($AR90=0,"",IF($AN90=Lists!$B$19,"",IF(AND($AN90=Lists!$B$18,$AQ90&lt;&gt;""),$AQ90,IF(AND($AP90=Lists!$B$17,$AL90&lt;&gt;""),$AL90,$AK90))))</f>
        <v/>
      </c>
      <c r="AJ90" s="37">
        <f>IF($AR90=0,"",IF(IF($AF90="",", no value",IF($AF90&lt;=0,", no value",""))&amp;IF('Start here'!$F$15="","",IF(LEN($AD90)&lt;'Start here'!$F$15,", short description",""))="","OK",MID(IF($AF90="",", no value",IF($AF90&lt;=0,", no value",""))&amp;IF('Start here'!$F$15="","",IF(LEN($AD90)&lt;'Start here'!$F$15,", short description","")),3,200)))</f>
        <v/>
      </c>
      <c r="AK90" s="37">
        <f>IF($AR90=1,IFERROR(TRIM(INDEX($A90:$Z90,MATCH(Lists!$B$5,$A$1:$Z$1,0))&amp;""),""),"")</f>
        <v/>
      </c>
      <c r="AL90" s="37">
        <f>IF($AR90=1,IFERROR(TRIM(INDEX($A90:$Z90,MATCH(Lists!$B$4,$A$1:$Z$1,0))&amp;""),""),"")</f>
        <v/>
      </c>
      <c r="AM90" s="37">
        <f>IF($AR90=1,IFERROR(TRIM(INDEX($A90:$Z90,MATCH(Lists!$B$6,$A$1:$Z$1,0))&amp;""),""),"")</f>
        <v/>
      </c>
      <c r="AN90" s="37">
        <f>IF($AR90=1,IFERROR(TRIM(INDEX($A90:$Z90,MATCH(Lists!$B$7,$A$1:$Z$1,0))&amp;""),""),"")</f>
        <v/>
      </c>
      <c r="AO90" s="37">
        <f>IF($AR90=1,IFERROR(TRIM(INDEX($A90:$Z90,MATCH(Lists!$B$13,$A$1:$Z$1,0))&amp;""),""),"")</f>
        <v/>
      </c>
      <c r="AP90" s="37">
        <f>IF($AR90=1,IFERROR(TRIM(INDEX($A90:$Z90,MATCH(Lists!$B$3,$A$1:$Z$1,0))&amp;""),""),"")</f>
        <v/>
      </c>
      <c r="AQ90" s="37">
        <f>IF($AR90=1,IFERROR(TRIM(INDEX($A90:$Z90,MATCH(Lists!$B$8,$A$1:$Z$1,0))&amp;""),""),"")</f>
        <v/>
      </c>
      <c r="AR90" s="36">
        <f>IF(LEN($AC90)&gt;0,1,0)</f>
        <v/>
      </c>
      <c r="AS90" s="37">
        <f>IF($AR90=1,IF(IFERROR(IF(ISNUMBER(INDEX($A90:$Z90,MATCH(Lists!$B$2,$A$1:$Z$1,0))),INDEX($A90:$Z90,MATCH(Lists!$B$2,$A$1:$Z$1,0)),DATE(VALUE(LEFT(IFERROR(TRIM(INDEX($A90:$Z90,MATCH(Lists!$B$2,$A$1:$Z$1,0))&amp;""),""),4)),VALUE(MID(IFERROR(TRIM(INDEX($A90:$Z90,MATCH(Lists!$B$2,$A$1:$Z$1,0))&amp;""),""),6,2)),VALUE(MID(IFERROR(TRIM(INDEX($A90:$Z90,MATCH(Lists!$B$2,$A$1:$Z$1,0))&amp;""),""),9,2)))+TIME(VALUE(MID(IFERROR(TRIM(INDEX($A90:$Z90,MATCH(Lists!$B$2,$A$1:$Z$1,0))&amp;""),""),12,2)),VALUE(MID(IFERROR(TRIM(INDEX($A90:$Z90,MATCH(Lists!$B$2,$A$1:$Z$1,0))&amp;""),""),15,2)),VALUE(MID(IFERROR(TRIM(INDEX($A90:$Z90,MATCH(Lists!$B$2,$A$1:$Z$1,0))&amp;""),""),18,2)))),"")="",100000+ROW()/10^7,IFERROR(IF(ISNUMBER(INDEX($A90:$Z90,MATCH(Lists!$B$2,$A$1:$Z$1,0))),INDEX($A90:$Z90,MATCH(Lists!$B$2,$A$1:$Z$1,0)),DATE(VALUE(LEFT(IFERROR(TRIM(INDEX($A90:$Z90,MATCH(Lists!$B$2,$A$1:$Z$1,0))&amp;""),""),4)),VALUE(MID(IFERROR(TRIM(INDEX($A90:$Z90,MATCH(Lists!$B$2,$A$1:$Z$1,0))&amp;""),""),6,2)),VALUE(MID(IFERROR(TRIM(INDEX($A90:$Z90,MATCH(Lists!$B$2,$A$1:$Z$1,0))&amp;""),""),9,2)))+TIME(VALUE(MID(IFERROR(TRIM(INDEX($A90:$Z90,MATCH(Lists!$B$2,$A$1:$Z$1,0))&amp;""),""),12,2)),VALUE(MID(IFERROR(TRIM(INDEX($A90:$Z90,MATCH(Lists!$B$2,$A$1:$Z$1,0))&amp;""),""),15,2)),VALUE(MID(IFERROR(TRIM(INDEX($A90:$Z90,MATCH(Lists!$B$2,$A$1:$Z$1,0))&amp;""),""),18,2)))),"")-ROW()/10^7),"")</f>
        <v/>
      </c>
    </row>
    <row r="91">
      <c r="AB91" s="36">
        <f>IF($AR91=1,COUNTIF($AS$2:$AS$201,"&lt;"&amp;$AS91)+1,"")</f>
        <v/>
      </c>
      <c r="AC91" s="37">
        <f>IFERROR(TRIM(INDEX($A91:$Z91,MATCH(Lists!$B$9,$A$1:$Z$1,0))&amp;""),"")</f>
        <v/>
      </c>
      <c r="AD91" s="37">
        <f>IF($AR91=1,IFERROR(TRIM(INDEX($A91:$Z91,MATCH(Lists!$B$10,$A$1:$Z$1,0))&amp;""),""),"")</f>
        <v/>
      </c>
      <c r="AE91" s="37">
        <f>IF($AR91=1,IFERROR(TRIM(INDEX($A91:$Z91,MATCH(Lists!$B$12,$A$1:$Z$1,0))&amp;""),""),"")</f>
        <v/>
      </c>
      <c r="AF91" s="38">
        <f>IF($AR91=1,IFERROR(IF(TRIM(INDEX($A91:$Z91,MATCH(Lists!$B$11,$A$1:$Z$1,0))&amp;"")="","",VALUE(TRIM(INDEX($A91:$Z91,MATCH(Lists!$B$11,$A$1:$Z$1,0))&amp;""))),""),"")</f>
        <v/>
      </c>
      <c r="AG91" s="38">
        <f>IF(OR($AR91=0,$AF91="",'Start here'!$F$10="",'Start here'!$F$11="",'Start here'!$F$12="",'Start here'!$F$13="",'Start here'!$F$14=""),"",IF($AF91&lt;'Start here'!$F$10,'Start here'!$F$11,IF($AF91&lt;'Start here'!$F$12,'Start here'!$F$13,'Start here'!$F$14)))</f>
        <v/>
      </c>
      <c r="AH91" s="38">
        <f>IF(OR($AG91="",'Start here'!$F$9=""),"",IF($AF91&lt;=0,"",IFERROR(MAX($AG91,ROUNDUP(ROUND($AF91*'Start here'!$F$9/$AG91,6),0)*$AG91),"")))</f>
        <v/>
      </c>
      <c r="AI91" s="37">
        <f>IF($AR91=0,"",IF($AN91=Lists!$B$19,"",IF(AND($AN91=Lists!$B$18,$AQ91&lt;&gt;""),$AQ91,IF(AND($AP91=Lists!$B$17,$AL91&lt;&gt;""),$AL91,$AK91))))</f>
        <v/>
      </c>
      <c r="AJ91" s="37">
        <f>IF($AR91=0,"",IF(IF($AF91="",", no value",IF($AF91&lt;=0,", no value",""))&amp;IF('Start here'!$F$15="","",IF(LEN($AD91)&lt;'Start here'!$F$15,", short description",""))="","OK",MID(IF($AF91="",", no value",IF($AF91&lt;=0,", no value",""))&amp;IF('Start here'!$F$15="","",IF(LEN($AD91)&lt;'Start here'!$F$15,", short description","")),3,200)))</f>
        <v/>
      </c>
      <c r="AK91" s="37">
        <f>IF($AR91=1,IFERROR(TRIM(INDEX($A91:$Z91,MATCH(Lists!$B$5,$A$1:$Z$1,0))&amp;""),""),"")</f>
        <v/>
      </c>
      <c r="AL91" s="37">
        <f>IF($AR91=1,IFERROR(TRIM(INDEX($A91:$Z91,MATCH(Lists!$B$4,$A$1:$Z$1,0))&amp;""),""),"")</f>
        <v/>
      </c>
      <c r="AM91" s="37">
        <f>IF($AR91=1,IFERROR(TRIM(INDEX($A91:$Z91,MATCH(Lists!$B$6,$A$1:$Z$1,0))&amp;""),""),"")</f>
        <v/>
      </c>
      <c r="AN91" s="37">
        <f>IF($AR91=1,IFERROR(TRIM(INDEX($A91:$Z91,MATCH(Lists!$B$7,$A$1:$Z$1,0))&amp;""),""),"")</f>
        <v/>
      </c>
      <c r="AO91" s="37">
        <f>IF($AR91=1,IFERROR(TRIM(INDEX($A91:$Z91,MATCH(Lists!$B$13,$A$1:$Z$1,0))&amp;""),""),"")</f>
        <v/>
      </c>
      <c r="AP91" s="37">
        <f>IF($AR91=1,IFERROR(TRIM(INDEX($A91:$Z91,MATCH(Lists!$B$3,$A$1:$Z$1,0))&amp;""),""),"")</f>
        <v/>
      </c>
      <c r="AQ91" s="37">
        <f>IF($AR91=1,IFERROR(TRIM(INDEX($A91:$Z91,MATCH(Lists!$B$8,$A$1:$Z$1,0))&amp;""),""),"")</f>
        <v/>
      </c>
      <c r="AR91" s="36">
        <f>IF(LEN($AC91)&gt;0,1,0)</f>
        <v/>
      </c>
      <c r="AS91" s="37">
        <f>IF($AR91=1,IF(IFERROR(IF(ISNUMBER(INDEX($A91:$Z91,MATCH(Lists!$B$2,$A$1:$Z$1,0))),INDEX($A91:$Z91,MATCH(Lists!$B$2,$A$1:$Z$1,0)),DATE(VALUE(LEFT(IFERROR(TRIM(INDEX($A91:$Z91,MATCH(Lists!$B$2,$A$1:$Z$1,0))&amp;""),""),4)),VALUE(MID(IFERROR(TRIM(INDEX($A91:$Z91,MATCH(Lists!$B$2,$A$1:$Z$1,0))&amp;""),""),6,2)),VALUE(MID(IFERROR(TRIM(INDEX($A91:$Z91,MATCH(Lists!$B$2,$A$1:$Z$1,0))&amp;""),""),9,2)))+TIME(VALUE(MID(IFERROR(TRIM(INDEX($A91:$Z91,MATCH(Lists!$B$2,$A$1:$Z$1,0))&amp;""),""),12,2)),VALUE(MID(IFERROR(TRIM(INDEX($A91:$Z91,MATCH(Lists!$B$2,$A$1:$Z$1,0))&amp;""),""),15,2)),VALUE(MID(IFERROR(TRIM(INDEX($A91:$Z91,MATCH(Lists!$B$2,$A$1:$Z$1,0))&amp;""),""),18,2)))),"")="",100000+ROW()/10^7,IFERROR(IF(ISNUMBER(INDEX($A91:$Z91,MATCH(Lists!$B$2,$A$1:$Z$1,0))),INDEX($A91:$Z91,MATCH(Lists!$B$2,$A$1:$Z$1,0)),DATE(VALUE(LEFT(IFERROR(TRIM(INDEX($A91:$Z91,MATCH(Lists!$B$2,$A$1:$Z$1,0))&amp;""),""),4)),VALUE(MID(IFERROR(TRIM(INDEX($A91:$Z91,MATCH(Lists!$B$2,$A$1:$Z$1,0))&amp;""),""),6,2)),VALUE(MID(IFERROR(TRIM(INDEX($A91:$Z91,MATCH(Lists!$B$2,$A$1:$Z$1,0))&amp;""),""),9,2)))+TIME(VALUE(MID(IFERROR(TRIM(INDEX($A91:$Z91,MATCH(Lists!$B$2,$A$1:$Z$1,0))&amp;""),""),12,2)),VALUE(MID(IFERROR(TRIM(INDEX($A91:$Z91,MATCH(Lists!$B$2,$A$1:$Z$1,0))&amp;""),""),15,2)),VALUE(MID(IFERROR(TRIM(INDEX($A91:$Z91,MATCH(Lists!$B$2,$A$1:$Z$1,0))&amp;""),""),18,2)))),"")-ROW()/10^7),"")</f>
        <v/>
      </c>
    </row>
    <row r="92">
      <c r="AB92" s="36">
        <f>IF($AR92=1,COUNTIF($AS$2:$AS$201,"&lt;"&amp;$AS92)+1,"")</f>
        <v/>
      </c>
      <c r="AC92" s="37">
        <f>IFERROR(TRIM(INDEX($A92:$Z92,MATCH(Lists!$B$9,$A$1:$Z$1,0))&amp;""),"")</f>
        <v/>
      </c>
      <c r="AD92" s="37">
        <f>IF($AR92=1,IFERROR(TRIM(INDEX($A92:$Z92,MATCH(Lists!$B$10,$A$1:$Z$1,0))&amp;""),""),"")</f>
        <v/>
      </c>
      <c r="AE92" s="37">
        <f>IF($AR92=1,IFERROR(TRIM(INDEX($A92:$Z92,MATCH(Lists!$B$12,$A$1:$Z$1,0))&amp;""),""),"")</f>
        <v/>
      </c>
      <c r="AF92" s="38">
        <f>IF($AR92=1,IFERROR(IF(TRIM(INDEX($A92:$Z92,MATCH(Lists!$B$11,$A$1:$Z$1,0))&amp;"")="","",VALUE(TRIM(INDEX($A92:$Z92,MATCH(Lists!$B$11,$A$1:$Z$1,0))&amp;""))),""),"")</f>
        <v/>
      </c>
      <c r="AG92" s="38">
        <f>IF(OR($AR92=0,$AF92="",'Start here'!$F$10="",'Start here'!$F$11="",'Start here'!$F$12="",'Start here'!$F$13="",'Start here'!$F$14=""),"",IF($AF92&lt;'Start here'!$F$10,'Start here'!$F$11,IF($AF92&lt;'Start here'!$F$12,'Start here'!$F$13,'Start here'!$F$14)))</f>
        <v/>
      </c>
      <c r="AH92" s="38">
        <f>IF(OR($AG92="",'Start here'!$F$9=""),"",IF($AF92&lt;=0,"",IFERROR(MAX($AG92,ROUNDUP(ROUND($AF92*'Start here'!$F$9/$AG92,6),0)*$AG92),"")))</f>
        <v/>
      </c>
      <c r="AI92" s="37">
        <f>IF($AR92=0,"",IF($AN92=Lists!$B$19,"",IF(AND($AN92=Lists!$B$18,$AQ92&lt;&gt;""),$AQ92,IF(AND($AP92=Lists!$B$17,$AL92&lt;&gt;""),$AL92,$AK92))))</f>
        <v/>
      </c>
      <c r="AJ92" s="37">
        <f>IF($AR92=0,"",IF(IF($AF92="",", no value",IF($AF92&lt;=0,", no value",""))&amp;IF('Start here'!$F$15="","",IF(LEN($AD92)&lt;'Start here'!$F$15,", short description",""))="","OK",MID(IF($AF92="",", no value",IF($AF92&lt;=0,", no value",""))&amp;IF('Start here'!$F$15="","",IF(LEN($AD92)&lt;'Start here'!$F$15,", short description","")),3,200)))</f>
        <v/>
      </c>
      <c r="AK92" s="37">
        <f>IF($AR92=1,IFERROR(TRIM(INDEX($A92:$Z92,MATCH(Lists!$B$5,$A$1:$Z$1,0))&amp;""),""),"")</f>
        <v/>
      </c>
      <c r="AL92" s="37">
        <f>IF($AR92=1,IFERROR(TRIM(INDEX($A92:$Z92,MATCH(Lists!$B$4,$A$1:$Z$1,0))&amp;""),""),"")</f>
        <v/>
      </c>
      <c r="AM92" s="37">
        <f>IF($AR92=1,IFERROR(TRIM(INDEX($A92:$Z92,MATCH(Lists!$B$6,$A$1:$Z$1,0))&amp;""),""),"")</f>
        <v/>
      </c>
      <c r="AN92" s="37">
        <f>IF($AR92=1,IFERROR(TRIM(INDEX($A92:$Z92,MATCH(Lists!$B$7,$A$1:$Z$1,0))&amp;""),""),"")</f>
        <v/>
      </c>
      <c r="AO92" s="37">
        <f>IF($AR92=1,IFERROR(TRIM(INDEX($A92:$Z92,MATCH(Lists!$B$13,$A$1:$Z$1,0))&amp;""),""),"")</f>
        <v/>
      </c>
      <c r="AP92" s="37">
        <f>IF($AR92=1,IFERROR(TRIM(INDEX($A92:$Z92,MATCH(Lists!$B$3,$A$1:$Z$1,0))&amp;""),""),"")</f>
        <v/>
      </c>
      <c r="AQ92" s="37">
        <f>IF($AR92=1,IFERROR(TRIM(INDEX($A92:$Z92,MATCH(Lists!$B$8,$A$1:$Z$1,0))&amp;""),""),"")</f>
        <v/>
      </c>
      <c r="AR92" s="36">
        <f>IF(LEN($AC92)&gt;0,1,0)</f>
        <v/>
      </c>
      <c r="AS92" s="37">
        <f>IF($AR92=1,IF(IFERROR(IF(ISNUMBER(INDEX($A92:$Z92,MATCH(Lists!$B$2,$A$1:$Z$1,0))),INDEX($A92:$Z92,MATCH(Lists!$B$2,$A$1:$Z$1,0)),DATE(VALUE(LEFT(IFERROR(TRIM(INDEX($A92:$Z92,MATCH(Lists!$B$2,$A$1:$Z$1,0))&amp;""),""),4)),VALUE(MID(IFERROR(TRIM(INDEX($A92:$Z92,MATCH(Lists!$B$2,$A$1:$Z$1,0))&amp;""),""),6,2)),VALUE(MID(IFERROR(TRIM(INDEX($A92:$Z92,MATCH(Lists!$B$2,$A$1:$Z$1,0))&amp;""),""),9,2)))+TIME(VALUE(MID(IFERROR(TRIM(INDEX($A92:$Z92,MATCH(Lists!$B$2,$A$1:$Z$1,0))&amp;""),""),12,2)),VALUE(MID(IFERROR(TRIM(INDEX($A92:$Z92,MATCH(Lists!$B$2,$A$1:$Z$1,0))&amp;""),""),15,2)),VALUE(MID(IFERROR(TRIM(INDEX($A92:$Z92,MATCH(Lists!$B$2,$A$1:$Z$1,0))&amp;""),""),18,2)))),"")="",100000+ROW()/10^7,IFERROR(IF(ISNUMBER(INDEX($A92:$Z92,MATCH(Lists!$B$2,$A$1:$Z$1,0))),INDEX($A92:$Z92,MATCH(Lists!$B$2,$A$1:$Z$1,0)),DATE(VALUE(LEFT(IFERROR(TRIM(INDEX($A92:$Z92,MATCH(Lists!$B$2,$A$1:$Z$1,0))&amp;""),""),4)),VALUE(MID(IFERROR(TRIM(INDEX($A92:$Z92,MATCH(Lists!$B$2,$A$1:$Z$1,0))&amp;""),""),6,2)),VALUE(MID(IFERROR(TRIM(INDEX($A92:$Z92,MATCH(Lists!$B$2,$A$1:$Z$1,0))&amp;""),""),9,2)))+TIME(VALUE(MID(IFERROR(TRIM(INDEX($A92:$Z92,MATCH(Lists!$B$2,$A$1:$Z$1,0))&amp;""),""),12,2)),VALUE(MID(IFERROR(TRIM(INDEX($A92:$Z92,MATCH(Lists!$B$2,$A$1:$Z$1,0))&amp;""),""),15,2)),VALUE(MID(IFERROR(TRIM(INDEX($A92:$Z92,MATCH(Lists!$B$2,$A$1:$Z$1,0))&amp;""),""),18,2)))),"")-ROW()/10^7),"")</f>
        <v/>
      </c>
    </row>
    <row r="93">
      <c r="AB93" s="36">
        <f>IF($AR93=1,COUNTIF($AS$2:$AS$201,"&lt;"&amp;$AS93)+1,"")</f>
        <v/>
      </c>
      <c r="AC93" s="37">
        <f>IFERROR(TRIM(INDEX($A93:$Z93,MATCH(Lists!$B$9,$A$1:$Z$1,0))&amp;""),"")</f>
        <v/>
      </c>
      <c r="AD93" s="37">
        <f>IF($AR93=1,IFERROR(TRIM(INDEX($A93:$Z93,MATCH(Lists!$B$10,$A$1:$Z$1,0))&amp;""),""),"")</f>
        <v/>
      </c>
      <c r="AE93" s="37">
        <f>IF($AR93=1,IFERROR(TRIM(INDEX($A93:$Z93,MATCH(Lists!$B$12,$A$1:$Z$1,0))&amp;""),""),"")</f>
        <v/>
      </c>
      <c r="AF93" s="38">
        <f>IF($AR93=1,IFERROR(IF(TRIM(INDEX($A93:$Z93,MATCH(Lists!$B$11,$A$1:$Z$1,0))&amp;"")="","",VALUE(TRIM(INDEX($A93:$Z93,MATCH(Lists!$B$11,$A$1:$Z$1,0))&amp;""))),""),"")</f>
        <v/>
      </c>
      <c r="AG93" s="38">
        <f>IF(OR($AR93=0,$AF93="",'Start here'!$F$10="",'Start here'!$F$11="",'Start here'!$F$12="",'Start here'!$F$13="",'Start here'!$F$14=""),"",IF($AF93&lt;'Start here'!$F$10,'Start here'!$F$11,IF($AF93&lt;'Start here'!$F$12,'Start here'!$F$13,'Start here'!$F$14)))</f>
        <v/>
      </c>
      <c r="AH93" s="38">
        <f>IF(OR($AG93="",'Start here'!$F$9=""),"",IF($AF93&lt;=0,"",IFERROR(MAX($AG93,ROUNDUP(ROUND($AF93*'Start here'!$F$9/$AG93,6),0)*$AG93),"")))</f>
        <v/>
      </c>
      <c r="AI93" s="37">
        <f>IF($AR93=0,"",IF($AN93=Lists!$B$19,"",IF(AND($AN93=Lists!$B$18,$AQ93&lt;&gt;""),$AQ93,IF(AND($AP93=Lists!$B$17,$AL93&lt;&gt;""),$AL93,$AK93))))</f>
        <v/>
      </c>
      <c r="AJ93" s="37">
        <f>IF($AR93=0,"",IF(IF($AF93="",", no value",IF($AF93&lt;=0,", no value",""))&amp;IF('Start here'!$F$15="","",IF(LEN($AD93)&lt;'Start here'!$F$15,", short description",""))="","OK",MID(IF($AF93="",", no value",IF($AF93&lt;=0,", no value",""))&amp;IF('Start here'!$F$15="","",IF(LEN($AD93)&lt;'Start here'!$F$15,", short description","")),3,200)))</f>
        <v/>
      </c>
      <c r="AK93" s="37">
        <f>IF($AR93=1,IFERROR(TRIM(INDEX($A93:$Z93,MATCH(Lists!$B$5,$A$1:$Z$1,0))&amp;""),""),"")</f>
        <v/>
      </c>
      <c r="AL93" s="37">
        <f>IF($AR93=1,IFERROR(TRIM(INDEX($A93:$Z93,MATCH(Lists!$B$4,$A$1:$Z$1,0))&amp;""),""),"")</f>
        <v/>
      </c>
      <c r="AM93" s="37">
        <f>IF($AR93=1,IFERROR(TRIM(INDEX($A93:$Z93,MATCH(Lists!$B$6,$A$1:$Z$1,0))&amp;""),""),"")</f>
        <v/>
      </c>
      <c r="AN93" s="37">
        <f>IF($AR93=1,IFERROR(TRIM(INDEX($A93:$Z93,MATCH(Lists!$B$7,$A$1:$Z$1,0))&amp;""),""),"")</f>
        <v/>
      </c>
      <c r="AO93" s="37">
        <f>IF($AR93=1,IFERROR(TRIM(INDEX($A93:$Z93,MATCH(Lists!$B$13,$A$1:$Z$1,0))&amp;""),""),"")</f>
        <v/>
      </c>
      <c r="AP93" s="37">
        <f>IF($AR93=1,IFERROR(TRIM(INDEX($A93:$Z93,MATCH(Lists!$B$3,$A$1:$Z$1,0))&amp;""),""),"")</f>
        <v/>
      </c>
      <c r="AQ93" s="37">
        <f>IF($AR93=1,IFERROR(TRIM(INDEX($A93:$Z93,MATCH(Lists!$B$8,$A$1:$Z$1,0))&amp;""),""),"")</f>
        <v/>
      </c>
      <c r="AR93" s="36">
        <f>IF(LEN($AC93)&gt;0,1,0)</f>
        <v/>
      </c>
      <c r="AS93" s="37">
        <f>IF($AR93=1,IF(IFERROR(IF(ISNUMBER(INDEX($A93:$Z93,MATCH(Lists!$B$2,$A$1:$Z$1,0))),INDEX($A93:$Z93,MATCH(Lists!$B$2,$A$1:$Z$1,0)),DATE(VALUE(LEFT(IFERROR(TRIM(INDEX($A93:$Z93,MATCH(Lists!$B$2,$A$1:$Z$1,0))&amp;""),""),4)),VALUE(MID(IFERROR(TRIM(INDEX($A93:$Z93,MATCH(Lists!$B$2,$A$1:$Z$1,0))&amp;""),""),6,2)),VALUE(MID(IFERROR(TRIM(INDEX($A93:$Z93,MATCH(Lists!$B$2,$A$1:$Z$1,0))&amp;""),""),9,2)))+TIME(VALUE(MID(IFERROR(TRIM(INDEX($A93:$Z93,MATCH(Lists!$B$2,$A$1:$Z$1,0))&amp;""),""),12,2)),VALUE(MID(IFERROR(TRIM(INDEX($A93:$Z93,MATCH(Lists!$B$2,$A$1:$Z$1,0))&amp;""),""),15,2)),VALUE(MID(IFERROR(TRIM(INDEX($A93:$Z93,MATCH(Lists!$B$2,$A$1:$Z$1,0))&amp;""),""),18,2)))),"")="",100000+ROW()/10^7,IFERROR(IF(ISNUMBER(INDEX($A93:$Z93,MATCH(Lists!$B$2,$A$1:$Z$1,0))),INDEX($A93:$Z93,MATCH(Lists!$B$2,$A$1:$Z$1,0)),DATE(VALUE(LEFT(IFERROR(TRIM(INDEX($A93:$Z93,MATCH(Lists!$B$2,$A$1:$Z$1,0))&amp;""),""),4)),VALUE(MID(IFERROR(TRIM(INDEX($A93:$Z93,MATCH(Lists!$B$2,$A$1:$Z$1,0))&amp;""),""),6,2)),VALUE(MID(IFERROR(TRIM(INDEX($A93:$Z93,MATCH(Lists!$B$2,$A$1:$Z$1,0))&amp;""),""),9,2)))+TIME(VALUE(MID(IFERROR(TRIM(INDEX($A93:$Z93,MATCH(Lists!$B$2,$A$1:$Z$1,0))&amp;""),""),12,2)),VALUE(MID(IFERROR(TRIM(INDEX($A93:$Z93,MATCH(Lists!$B$2,$A$1:$Z$1,0))&amp;""),""),15,2)),VALUE(MID(IFERROR(TRIM(INDEX($A93:$Z93,MATCH(Lists!$B$2,$A$1:$Z$1,0))&amp;""),""),18,2)))),"")-ROW()/10^7),"")</f>
        <v/>
      </c>
    </row>
    <row r="94">
      <c r="AB94" s="36">
        <f>IF($AR94=1,COUNTIF($AS$2:$AS$201,"&lt;"&amp;$AS94)+1,"")</f>
        <v/>
      </c>
      <c r="AC94" s="37">
        <f>IFERROR(TRIM(INDEX($A94:$Z94,MATCH(Lists!$B$9,$A$1:$Z$1,0))&amp;""),"")</f>
        <v/>
      </c>
      <c r="AD94" s="37">
        <f>IF($AR94=1,IFERROR(TRIM(INDEX($A94:$Z94,MATCH(Lists!$B$10,$A$1:$Z$1,0))&amp;""),""),"")</f>
        <v/>
      </c>
      <c r="AE94" s="37">
        <f>IF($AR94=1,IFERROR(TRIM(INDEX($A94:$Z94,MATCH(Lists!$B$12,$A$1:$Z$1,0))&amp;""),""),"")</f>
        <v/>
      </c>
      <c r="AF94" s="38">
        <f>IF($AR94=1,IFERROR(IF(TRIM(INDEX($A94:$Z94,MATCH(Lists!$B$11,$A$1:$Z$1,0))&amp;"")="","",VALUE(TRIM(INDEX($A94:$Z94,MATCH(Lists!$B$11,$A$1:$Z$1,0))&amp;""))),""),"")</f>
        <v/>
      </c>
      <c r="AG94" s="38">
        <f>IF(OR($AR94=0,$AF94="",'Start here'!$F$10="",'Start here'!$F$11="",'Start here'!$F$12="",'Start here'!$F$13="",'Start here'!$F$14=""),"",IF($AF94&lt;'Start here'!$F$10,'Start here'!$F$11,IF($AF94&lt;'Start here'!$F$12,'Start here'!$F$13,'Start here'!$F$14)))</f>
        <v/>
      </c>
      <c r="AH94" s="38">
        <f>IF(OR($AG94="",'Start here'!$F$9=""),"",IF($AF94&lt;=0,"",IFERROR(MAX($AG94,ROUNDUP(ROUND($AF94*'Start here'!$F$9/$AG94,6),0)*$AG94),"")))</f>
        <v/>
      </c>
      <c r="AI94" s="37">
        <f>IF($AR94=0,"",IF($AN94=Lists!$B$19,"",IF(AND($AN94=Lists!$B$18,$AQ94&lt;&gt;""),$AQ94,IF(AND($AP94=Lists!$B$17,$AL94&lt;&gt;""),$AL94,$AK94))))</f>
        <v/>
      </c>
      <c r="AJ94" s="37">
        <f>IF($AR94=0,"",IF(IF($AF94="",", no value",IF($AF94&lt;=0,", no value",""))&amp;IF('Start here'!$F$15="","",IF(LEN($AD94)&lt;'Start here'!$F$15,", short description",""))="","OK",MID(IF($AF94="",", no value",IF($AF94&lt;=0,", no value",""))&amp;IF('Start here'!$F$15="","",IF(LEN($AD94)&lt;'Start here'!$F$15,", short description","")),3,200)))</f>
        <v/>
      </c>
      <c r="AK94" s="37">
        <f>IF($AR94=1,IFERROR(TRIM(INDEX($A94:$Z94,MATCH(Lists!$B$5,$A$1:$Z$1,0))&amp;""),""),"")</f>
        <v/>
      </c>
      <c r="AL94" s="37">
        <f>IF($AR94=1,IFERROR(TRIM(INDEX($A94:$Z94,MATCH(Lists!$B$4,$A$1:$Z$1,0))&amp;""),""),"")</f>
        <v/>
      </c>
      <c r="AM94" s="37">
        <f>IF($AR94=1,IFERROR(TRIM(INDEX($A94:$Z94,MATCH(Lists!$B$6,$A$1:$Z$1,0))&amp;""),""),"")</f>
        <v/>
      </c>
      <c r="AN94" s="37">
        <f>IF($AR94=1,IFERROR(TRIM(INDEX($A94:$Z94,MATCH(Lists!$B$7,$A$1:$Z$1,0))&amp;""),""),"")</f>
        <v/>
      </c>
      <c r="AO94" s="37">
        <f>IF($AR94=1,IFERROR(TRIM(INDEX($A94:$Z94,MATCH(Lists!$B$13,$A$1:$Z$1,0))&amp;""),""),"")</f>
        <v/>
      </c>
      <c r="AP94" s="37">
        <f>IF($AR94=1,IFERROR(TRIM(INDEX($A94:$Z94,MATCH(Lists!$B$3,$A$1:$Z$1,0))&amp;""),""),"")</f>
        <v/>
      </c>
      <c r="AQ94" s="37">
        <f>IF($AR94=1,IFERROR(TRIM(INDEX($A94:$Z94,MATCH(Lists!$B$8,$A$1:$Z$1,0))&amp;""),""),"")</f>
        <v/>
      </c>
      <c r="AR94" s="36">
        <f>IF(LEN($AC94)&gt;0,1,0)</f>
        <v/>
      </c>
      <c r="AS94" s="37">
        <f>IF($AR94=1,IF(IFERROR(IF(ISNUMBER(INDEX($A94:$Z94,MATCH(Lists!$B$2,$A$1:$Z$1,0))),INDEX($A94:$Z94,MATCH(Lists!$B$2,$A$1:$Z$1,0)),DATE(VALUE(LEFT(IFERROR(TRIM(INDEX($A94:$Z94,MATCH(Lists!$B$2,$A$1:$Z$1,0))&amp;""),""),4)),VALUE(MID(IFERROR(TRIM(INDEX($A94:$Z94,MATCH(Lists!$B$2,$A$1:$Z$1,0))&amp;""),""),6,2)),VALUE(MID(IFERROR(TRIM(INDEX($A94:$Z94,MATCH(Lists!$B$2,$A$1:$Z$1,0))&amp;""),""),9,2)))+TIME(VALUE(MID(IFERROR(TRIM(INDEX($A94:$Z94,MATCH(Lists!$B$2,$A$1:$Z$1,0))&amp;""),""),12,2)),VALUE(MID(IFERROR(TRIM(INDEX($A94:$Z94,MATCH(Lists!$B$2,$A$1:$Z$1,0))&amp;""),""),15,2)),VALUE(MID(IFERROR(TRIM(INDEX($A94:$Z94,MATCH(Lists!$B$2,$A$1:$Z$1,0))&amp;""),""),18,2)))),"")="",100000+ROW()/10^7,IFERROR(IF(ISNUMBER(INDEX($A94:$Z94,MATCH(Lists!$B$2,$A$1:$Z$1,0))),INDEX($A94:$Z94,MATCH(Lists!$B$2,$A$1:$Z$1,0)),DATE(VALUE(LEFT(IFERROR(TRIM(INDEX($A94:$Z94,MATCH(Lists!$B$2,$A$1:$Z$1,0))&amp;""),""),4)),VALUE(MID(IFERROR(TRIM(INDEX($A94:$Z94,MATCH(Lists!$B$2,$A$1:$Z$1,0))&amp;""),""),6,2)),VALUE(MID(IFERROR(TRIM(INDEX($A94:$Z94,MATCH(Lists!$B$2,$A$1:$Z$1,0))&amp;""),""),9,2)))+TIME(VALUE(MID(IFERROR(TRIM(INDEX($A94:$Z94,MATCH(Lists!$B$2,$A$1:$Z$1,0))&amp;""),""),12,2)),VALUE(MID(IFERROR(TRIM(INDEX($A94:$Z94,MATCH(Lists!$B$2,$A$1:$Z$1,0))&amp;""),""),15,2)),VALUE(MID(IFERROR(TRIM(INDEX($A94:$Z94,MATCH(Lists!$B$2,$A$1:$Z$1,0))&amp;""),""),18,2)))),"")-ROW()/10^7),"")</f>
        <v/>
      </c>
    </row>
    <row r="95">
      <c r="AB95" s="36">
        <f>IF($AR95=1,COUNTIF($AS$2:$AS$201,"&lt;"&amp;$AS95)+1,"")</f>
        <v/>
      </c>
      <c r="AC95" s="37">
        <f>IFERROR(TRIM(INDEX($A95:$Z95,MATCH(Lists!$B$9,$A$1:$Z$1,0))&amp;""),"")</f>
        <v/>
      </c>
      <c r="AD95" s="37">
        <f>IF($AR95=1,IFERROR(TRIM(INDEX($A95:$Z95,MATCH(Lists!$B$10,$A$1:$Z$1,0))&amp;""),""),"")</f>
        <v/>
      </c>
      <c r="AE95" s="37">
        <f>IF($AR95=1,IFERROR(TRIM(INDEX($A95:$Z95,MATCH(Lists!$B$12,$A$1:$Z$1,0))&amp;""),""),"")</f>
        <v/>
      </c>
      <c r="AF95" s="38">
        <f>IF($AR95=1,IFERROR(IF(TRIM(INDEX($A95:$Z95,MATCH(Lists!$B$11,$A$1:$Z$1,0))&amp;"")="","",VALUE(TRIM(INDEX($A95:$Z95,MATCH(Lists!$B$11,$A$1:$Z$1,0))&amp;""))),""),"")</f>
        <v/>
      </c>
      <c r="AG95" s="38">
        <f>IF(OR($AR95=0,$AF95="",'Start here'!$F$10="",'Start here'!$F$11="",'Start here'!$F$12="",'Start here'!$F$13="",'Start here'!$F$14=""),"",IF($AF95&lt;'Start here'!$F$10,'Start here'!$F$11,IF($AF95&lt;'Start here'!$F$12,'Start here'!$F$13,'Start here'!$F$14)))</f>
        <v/>
      </c>
      <c r="AH95" s="38">
        <f>IF(OR($AG95="",'Start here'!$F$9=""),"",IF($AF95&lt;=0,"",IFERROR(MAX($AG95,ROUNDUP(ROUND($AF95*'Start here'!$F$9/$AG95,6),0)*$AG95),"")))</f>
        <v/>
      </c>
      <c r="AI95" s="37">
        <f>IF($AR95=0,"",IF($AN95=Lists!$B$19,"",IF(AND($AN95=Lists!$B$18,$AQ95&lt;&gt;""),$AQ95,IF(AND($AP95=Lists!$B$17,$AL95&lt;&gt;""),$AL95,$AK95))))</f>
        <v/>
      </c>
      <c r="AJ95" s="37">
        <f>IF($AR95=0,"",IF(IF($AF95="",", no value",IF($AF95&lt;=0,", no value",""))&amp;IF('Start here'!$F$15="","",IF(LEN($AD95)&lt;'Start here'!$F$15,", short description",""))="","OK",MID(IF($AF95="",", no value",IF($AF95&lt;=0,", no value",""))&amp;IF('Start here'!$F$15="","",IF(LEN($AD95)&lt;'Start here'!$F$15,", short description","")),3,200)))</f>
        <v/>
      </c>
      <c r="AK95" s="37">
        <f>IF($AR95=1,IFERROR(TRIM(INDEX($A95:$Z95,MATCH(Lists!$B$5,$A$1:$Z$1,0))&amp;""),""),"")</f>
        <v/>
      </c>
      <c r="AL95" s="37">
        <f>IF($AR95=1,IFERROR(TRIM(INDEX($A95:$Z95,MATCH(Lists!$B$4,$A$1:$Z$1,0))&amp;""),""),"")</f>
        <v/>
      </c>
      <c r="AM95" s="37">
        <f>IF($AR95=1,IFERROR(TRIM(INDEX($A95:$Z95,MATCH(Lists!$B$6,$A$1:$Z$1,0))&amp;""),""),"")</f>
        <v/>
      </c>
      <c r="AN95" s="37">
        <f>IF($AR95=1,IFERROR(TRIM(INDEX($A95:$Z95,MATCH(Lists!$B$7,$A$1:$Z$1,0))&amp;""),""),"")</f>
        <v/>
      </c>
      <c r="AO95" s="37">
        <f>IF($AR95=1,IFERROR(TRIM(INDEX($A95:$Z95,MATCH(Lists!$B$13,$A$1:$Z$1,0))&amp;""),""),"")</f>
        <v/>
      </c>
      <c r="AP95" s="37">
        <f>IF($AR95=1,IFERROR(TRIM(INDEX($A95:$Z95,MATCH(Lists!$B$3,$A$1:$Z$1,0))&amp;""),""),"")</f>
        <v/>
      </c>
      <c r="AQ95" s="37">
        <f>IF($AR95=1,IFERROR(TRIM(INDEX($A95:$Z95,MATCH(Lists!$B$8,$A$1:$Z$1,0))&amp;""),""),"")</f>
        <v/>
      </c>
      <c r="AR95" s="36">
        <f>IF(LEN($AC95)&gt;0,1,0)</f>
        <v/>
      </c>
      <c r="AS95" s="37">
        <f>IF($AR95=1,IF(IFERROR(IF(ISNUMBER(INDEX($A95:$Z95,MATCH(Lists!$B$2,$A$1:$Z$1,0))),INDEX($A95:$Z95,MATCH(Lists!$B$2,$A$1:$Z$1,0)),DATE(VALUE(LEFT(IFERROR(TRIM(INDEX($A95:$Z95,MATCH(Lists!$B$2,$A$1:$Z$1,0))&amp;""),""),4)),VALUE(MID(IFERROR(TRIM(INDEX($A95:$Z95,MATCH(Lists!$B$2,$A$1:$Z$1,0))&amp;""),""),6,2)),VALUE(MID(IFERROR(TRIM(INDEX($A95:$Z95,MATCH(Lists!$B$2,$A$1:$Z$1,0))&amp;""),""),9,2)))+TIME(VALUE(MID(IFERROR(TRIM(INDEX($A95:$Z95,MATCH(Lists!$B$2,$A$1:$Z$1,0))&amp;""),""),12,2)),VALUE(MID(IFERROR(TRIM(INDEX($A95:$Z95,MATCH(Lists!$B$2,$A$1:$Z$1,0))&amp;""),""),15,2)),VALUE(MID(IFERROR(TRIM(INDEX($A95:$Z95,MATCH(Lists!$B$2,$A$1:$Z$1,0))&amp;""),""),18,2)))),"")="",100000+ROW()/10^7,IFERROR(IF(ISNUMBER(INDEX($A95:$Z95,MATCH(Lists!$B$2,$A$1:$Z$1,0))),INDEX($A95:$Z95,MATCH(Lists!$B$2,$A$1:$Z$1,0)),DATE(VALUE(LEFT(IFERROR(TRIM(INDEX($A95:$Z95,MATCH(Lists!$B$2,$A$1:$Z$1,0))&amp;""),""),4)),VALUE(MID(IFERROR(TRIM(INDEX($A95:$Z95,MATCH(Lists!$B$2,$A$1:$Z$1,0))&amp;""),""),6,2)),VALUE(MID(IFERROR(TRIM(INDEX($A95:$Z95,MATCH(Lists!$B$2,$A$1:$Z$1,0))&amp;""),""),9,2)))+TIME(VALUE(MID(IFERROR(TRIM(INDEX($A95:$Z95,MATCH(Lists!$B$2,$A$1:$Z$1,0))&amp;""),""),12,2)),VALUE(MID(IFERROR(TRIM(INDEX($A95:$Z95,MATCH(Lists!$B$2,$A$1:$Z$1,0))&amp;""),""),15,2)),VALUE(MID(IFERROR(TRIM(INDEX($A95:$Z95,MATCH(Lists!$B$2,$A$1:$Z$1,0))&amp;""),""),18,2)))),"")-ROW()/10^7),"")</f>
        <v/>
      </c>
    </row>
    <row r="96">
      <c r="AB96" s="36">
        <f>IF($AR96=1,COUNTIF($AS$2:$AS$201,"&lt;"&amp;$AS96)+1,"")</f>
        <v/>
      </c>
      <c r="AC96" s="37">
        <f>IFERROR(TRIM(INDEX($A96:$Z96,MATCH(Lists!$B$9,$A$1:$Z$1,0))&amp;""),"")</f>
        <v/>
      </c>
      <c r="AD96" s="37">
        <f>IF($AR96=1,IFERROR(TRIM(INDEX($A96:$Z96,MATCH(Lists!$B$10,$A$1:$Z$1,0))&amp;""),""),"")</f>
        <v/>
      </c>
      <c r="AE96" s="37">
        <f>IF($AR96=1,IFERROR(TRIM(INDEX($A96:$Z96,MATCH(Lists!$B$12,$A$1:$Z$1,0))&amp;""),""),"")</f>
        <v/>
      </c>
      <c r="AF96" s="38">
        <f>IF($AR96=1,IFERROR(IF(TRIM(INDEX($A96:$Z96,MATCH(Lists!$B$11,$A$1:$Z$1,0))&amp;"")="","",VALUE(TRIM(INDEX($A96:$Z96,MATCH(Lists!$B$11,$A$1:$Z$1,0))&amp;""))),""),"")</f>
        <v/>
      </c>
      <c r="AG96" s="38">
        <f>IF(OR($AR96=0,$AF96="",'Start here'!$F$10="",'Start here'!$F$11="",'Start here'!$F$12="",'Start here'!$F$13="",'Start here'!$F$14=""),"",IF($AF96&lt;'Start here'!$F$10,'Start here'!$F$11,IF($AF96&lt;'Start here'!$F$12,'Start here'!$F$13,'Start here'!$F$14)))</f>
        <v/>
      </c>
      <c r="AH96" s="38">
        <f>IF(OR($AG96="",'Start here'!$F$9=""),"",IF($AF96&lt;=0,"",IFERROR(MAX($AG96,ROUNDUP(ROUND($AF96*'Start here'!$F$9/$AG96,6),0)*$AG96),"")))</f>
        <v/>
      </c>
      <c r="AI96" s="37">
        <f>IF($AR96=0,"",IF($AN96=Lists!$B$19,"",IF(AND($AN96=Lists!$B$18,$AQ96&lt;&gt;""),$AQ96,IF(AND($AP96=Lists!$B$17,$AL96&lt;&gt;""),$AL96,$AK96))))</f>
        <v/>
      </c>
      <c r="AJ96" s="37">
        <f>IF($AR96=0,"",IF(IF($AF96="",", no value",IF($AF96&lt;=0,", no value",""))&amp;IF('Start here'!$F$15="","",IF(LEN($AD96)&lt;'Start here'!$F$15,", short description",""))="","OK",MID(IF($AF96="",", no value",IF($AF96&lt;=0,", no value",""))&amp;IF('Start here'!$F$15="","",IF(LEN($AD96)&lt;'Start here'!$F$15,", short description","")),3,200)))</f>
        <v/>
      </c>
      <c r="AK96" s="37">
        <f>IF($AR96=1,IFERROR(TRIM(INDEX($A96:$Z96,MATCH(Lists!$B$5,$A$1:$Z$1,0))&amp;""),""),"")</f>
        <v/>
      </c>
      <c r="AL96" s="37">
        <f>IF($AR96=1,IFERROR(TRIM(INDEX($A96:$Z96,MATCH(Lists!$B$4,$A$1:$Z$1,0))&amp;""),""),"")</f>
        <v/>
      </c>
      <c r="AM96" s="37">
        <f>IF($AR96=1,IFERROR(TRIM(INDEX($A96:$Z96,MATCH(Lists!$B$6,$A$1:$Z$1,0))&amp;""),""),"")</f>
        <v/>
      </c>
      <c r="AN96" s="37">
        <f>IF($AR96=1,IFERROR(TRIM(INDEX($A96:$Z96,MATCH(Lists!$B$7,$A$1:$Z$1,0))&amp;""),""),"")</f>
        <v/>
      </c>
      <c r="AO96" s="37">
        <f>IF($AR96=1,IFERROR(TRIM(INDEX($A96:$Z96,MATCH(Lists!$B$13,$A$1:$Z$1,0))&amp;""),""),"")</f>
        <v/>
      </c>
      <c r="AP96" s="37">
        <f>IF($AR96=1,IFERROR(TRIM(INDEX($A96:$Z96,MATCH(Lists!$B$3,$A$1:$Z$1,0))&amp;""),""),"")</f>
        <v/>
      </c>
      <c r="AQ96" s="37">
        <f>IF($AR96=1,IFERROR(TRIM(INDEX($A96:$Z96,MATCH(Lists!$B$8,$A$1:$Z$1,0))&amp;""),""),"")</f>
        <v/>
      </c>
      <c r="AR96" s="36">
        <f>IF(LEN($AC96)&gt;0,1,0)</f>
        <v/>
      </c>
      <c r="AS96" s="37">
        <f>IF($AR96=1,IF(IFERROR(IF(ISNUMBER(INDEX($A96:$Z96,MATCH(Lists!$B$2,$A$1:$Z$1,0))),INDEX($A96:$Z96,MATCH(Lists!$B$2,$A$1:$Z$1,0)),DATE(VALUE(LEFT(IFERROR(TRIM(INDEX($A96:$Z96,MATCH(Lists!$B$2,$A$1:$Z$1,0))&amp;""),""),4)),VALUE(MID(IFERROR(TRIM(INDEX($A96:$Z96,MATCH(Lists!$B$2,$A$1:$Z$1,0))&amp;""),""),6,2)),VALUE(MID(IFERROR(TRIM(INDEX($A96:$Z96,MATCH(Lists!$B$2,$A$1:$Z$1,0))&amp;""),""),9,2)))+TIME(VALUE(MID(IFERROR(TRIM(INDEX($A96:$Z96,MATCH(Lists!$B$2,$A$1:$Z$1,0))&amp;""),""),12,2)),VALUE(MID(IFERROR(TRIM(INDEX($A96:$Z96,MATCH(Lists!$B$2,$A$1:$Z$1,0))&amp;""),""),15,2)),VALUE(MID(IFERROR(TRIM(INDEX($A96:$Z96,MATCH(Lists!$B$2,$A$1:$Z$1,0))&amp;""),""),18,2)))),"")="",100000+ROW()/10^7,IFERROR(IF(ISNUMBER(INDEX($A96:$Z96,MATCH(Lists!$B$2,$A$1:$Z$1,0))),INDEX($A96:$Z96,MATCH(Lists!$B$2,$A$1:$Z$1,0)),DATE(VALUE(LEFT(IFERROR(TRIM(INDEX($A96:$Z96,MATCH(Lists!$B$2,$A$1:$Z$1,0))&amp;""),""),4)),VALUE(MID(IFERROR(TRIM(INDEX($A96:$Z96,MATCH(Lists!$B$2,$A$1:$Z$1,0))&amp;""),""),6,2)),VALUE(MID(IFERROR(TRIM(INDEX($A96:$Z96,MATCH(Lists!$B$2,$A$1:$Z$1,0))&amp;""),""),9,2)))+TIME(VALUE(MID(IFERROR(TRIM(INDEX($A96:$Z96,MATCH(Lists!$B$2,$A$1:$Z$1,0))&amp;""),""),12,2)),VALUE(MID(IFERROR(TRIM(INDEX($A96:$Z96,MATCH(Lists!$B$2,$A$1:$Z$1,0))&amp;""),""),15,2)),VALUE(MID(IFERROR(TRIM(INDEX($A96:$Z96,MATCH(Lists!$B$2,$A$1:$Z$1,0))&amp;""),""),18,2)))),"")-ROW()/10^7),"")</f>
        <v/>
      </c>
    </row>
    <row r="97">
      <c r="AB97" s="36">
        <f>IF($AR97=1,COUNTIF($AS$2:$AS$201,"&lt;"&amp;$AS97)+1,"")</f>
        <v/>
      </c>
      <c r="AC97" s="37">
        <f>IFERROR(TRIM(INDEX($A97:$Z97,MATCH(Lists!$B$9,$A$1:$Z$1,0))&amp;""),"")</f>
        <v/>
      </c>
      <c r="AD97" s="37">
        <f>IF($AR97=1,IFERROR(TRIM(INDEX($A97:$Z97,MATCH(Lists!$B$10,$A$1:$Z$1,0))&amp;""),""),"")</f>
        <v/>
      </c>
      <c r="AE97" s="37">
        <f>IF($AR97=1,IFERROR(TRIM(INDEX($A97:$Z97,MATCH(Lists!$B$12,$A$1:$Z$1,0))&amp;""),""),"")</f>
        <v/>
      </c>
      <c r="AF97" s="38">
        <f>IF($AR97=1,IFERROR(IF(TRIM(INDEX($A97:$Z97,MATCH(Lists!$B$11,$A$1:$Z$1,0))&amp;"")="","",VALUE(TRIM(INDEX($A97:$Z97,MATCH(Lists!$B$11,$A$1:$Z$1,0))&amp;""))),""),"")</f>
        <v/>
      </c>
      <c r="AG97" s="38">
        <f>IF(OR($AR97=0,$AF97="",'Start here'!$F$10="",'Start here'!$F$11="",'Start here'!$F$12="",'Start here'!$F$13="",'Start here'!$F$14=""),"",IF($AF97&lt;'Start here'!$F$10,'Start here'!$F$11,IF($AF97&lt;'Start here'!$F$12,'Start here'!$F$13,'Start here'!$F$14)))</f>
        <v/>
      </c>
      <c r="AH97" s="38">
        <f>IF(OR($AG97="",'Start here'!$F$9=""),"",IF($AF97&lt;=0,"",IFERROR(MAX($AG97,ROUNDUP(ROUND($AF97*'Start here'!$F$9/$AG97,6),0)*$AG97),"")))</f>
        <v/>
      </c>
      <c r="AI97" s="37">
        <f>IF($AR97=0,"",IF($AN97=Lists!$B$19,"",IF(AND($AN97=Lists!$B$18,$AQ97&lt;&gt;""),$AQ97,IF(AND($AP97=Lists!$B$17,$AL97&lt;&gt;""),$AL97,$AK97))))</f>
        <v/>
      </c>
      <c r="AJ97" s="37">
        <f>IF($AR97=0,"",IF(IF($AF97="",", no value",IF($AF97&lt;=0,", no value",""))&amp;IF('Start here'!$F$15="","",IF(LEN($AD97)&lt;'Start here'!$F$15,", short description",""))="","OK",MID(IF($AF97="",", no value",IF($AF97&lt;=0,", no value",""))&amp;IF('Start here'!$F$15="","",IF(LEN($AD97)&lt;'Start here'!$F$15,", short description","")),3,200)))</f>
        <v/>
      </c>
      <c r="AK97" s="37">
        <f>IF($AR97=1,IFERROR(TRIM(INDEX($A97:$Z97,MATCH(Lists!$B$5,$A$1:$Z$1,0))&amp;""),""),"")</f>
        <v/>
      </c>
      <c r="AL97" s="37">
        <f>IF($AR97=1,IFERROR(TRIM(INDEX($A97:$Z97,MATCH(Lists!$B$4,$A$1:$Z$1,0))&amp;""),""),"")</f>
        <v/>
      </c>
      <c r="AM97" s="37">
        <f>IF($AR97=1,IFERROR(TRIM(INDEX($A97:$Z97,MATCH(Lists!$B$6,$A$1:$Z$1,0))&amp;""),""),"")</f>
        <v/>
      </c>
      <c r="AN97" s="37">
        <f>IF($AR97=1,IFERROR(TRIM(INDEX($A97:$Z97,MATCH(Lists!$B$7,$A$1:$Z$1,0))&amp;""),""),"")</f>
        <v/>
      </c>
      <c r="AO97" s="37">
        <f>IF($AR97=1,IFERROR(TRIM(INDEX($A97:$Z97,MATCH(Lists!$B$13,$A$1:$Z$1,0))&amp;""),""),"")</f>
        <v/>
      </c>
      <c r="AP97" s="37">
        <f>IF($AR97=1,IFERROR(TRIM(INDEX($A97:$Z97,MATCH(Lists!$B$3,$A$1:$Z$1,0))&amp;""),""),"")</f>
        <v/>
      </c>
      <c r="AQ97" s="37">
        <f>IF($AR97=1,IFERROR(TRIM(INDEX($A97:$Z97,MATCH(Lists!$B$8,$A$1:$Z$1,0))&amp;""),""),"")</f>
        <v/>
      </c>
      <c r="AR97" s="36">
        <f>IF(LEN($AC97)&gt;0,1,0)</f>
        <v/>
      </c>
      <c r="AS97" s="37">
        <f>IF($AR97=1,IF(IFERROR(IF(ISNUMBER(INDEX($A97:$Z97,MATCH(Lists!$B$2,$A$1:$Z$1,0))),INDEX($A97:$Z97,MATCH(Lists!$B$2,$A$1:$Z$1,0)),DATE(VALUE(LEFT(IFERROR(TRIM(INDEX($A97:$Z97,MATCH(Lists!$B$2,$A$1:$Z$1,0))&amp;""),""),4)),VALUE(MID(IFERROR(TRIM(INDEX($A97:$Z97,MATCH(Lists!$B$2,$A$1:$Z$1,0))&amp;""),""),6,2)),VALUE(MID(IFERROR(TRIM(INDEX($A97:$Z97,MATCH(Lists!$B$2,$A$1:$Z$1,0))&amp;""),""),9,2)))+TIME(VALUE(MID(IFERROR(TRIM(INDEX($A97:$Z97,MATCH(Lists!$B$2,$A$1:$Z$1,0))&amp;""),""),12,2)),VALUE(MID(IFERROR(TRIM(INDEX($A97:$Z97,MATCH(Lists!$B$2,$A$1:$Z$1,0))&amp;""),""),15,2)),VALUE(MID(IFERROR(TRIM(INDEX($A97:$Z97,MATCH(Lists!$B$2,$A$1:$Z$1,0))&amp;""),""),18,2)))),"")="",100000+ROW()/10^7,IFERROR(IF(ISNUMBER(INDEX($A97:$Z97,MATCH(Lists!$B$2,$A$1:$Z$1,0))),INDEX($A97:$Z97,MATCH(Lists!$B$2,$A$1:$Z$1,0)),DATE(VALUE(LEFT(IFERROR(TRIM(INDEX($A97:$Z97,MATCH(Lists!$B$2,$A$1:$Z$1,0))&amp;""),""),4)),VALUE(MID(IFERROR(TRIM(INDEX($A97:$Z97,MATCH(Lists!$B$2,$A$1:$Z$1,0))&amp;""),""),6,2)),VALUE(MID(IFERROR(TRIM(INDEX($A97:$Z97,MATCH(Lists!$B$2,$A$1:$Z$1,0))&amp;""),""),9,2)))+TIME(VALUE(MID(IFERROR(TRIM(INDEX($A97:$Z97,MATCH(Lists!$B$2,$A$1:$Z$1,0))&amp;""),""),12,2)),VALUE(MID(IFERROR(TRIM(INDEX($A97:$Z97,MATCH(Lists!$B$2,$A$1:$Z$1,0))&amp;""),""),15,2)),VALUE(MID(IFERROR(TRIM(INDEX($A97:$Z97,MATCH(Lists!$B$2,$A$1:$Z$1,0))&amp;""),""),18,2)))),"")-ROW()/10^7),"")</f>
        <v/>
      </c>
    </row>
    <row r="98">
      <c r="AB98" s="36">
        <f>IF($AR98=1,COUNTIF($AS$2:$AS$201,"&lt;"&amp;$AS98)+1,"")</f>
        <v/>
      </c>
      <c r="AC98" s="37">
        <f>IFERROR(TRIM(INDEX($A98:$Z98,MATCH(Lists!$B$9,$A$1:$Z$1,0))&amp;""),"")</f>
        <v/>
      </c>
      <c r="AD98" s="37">
        <f>IF($AR98=1,IFERROR(TRIM(INDEX($A98:$Z98,MATCH(Lists!$B$10,$A$1:$Z$1,0))&amp;""),""),"")</f>
        <v/>
      </c>
      <c r="AE98" s="37">
        <f>IF($AR98=1,IFERROR(TRIM(INDEX($A98:$Z98,MATCH(Lists!$B$12,$A$1:$Z$1,0))&amp;""),""),"")</f>
        <v/>
      </c>
      <c r="AF98" s="38">
        <f>IF($AR98=1,IFERROR(IF(TRIM(INDEX($A98:$Z98,MATCH(Lists!$B$11,$A$1:$Z$1,0))&amp;"")="","",VALUE(TRIM(INDEX($A98:$Z98,MATCH(Lists!$B$11,$A$1:$Z$1,0))&amp;""))),""),"")</f>
        <v/>
      </c>
      <c r="AG98" s="38">
        <f>IF(OR($AR98=0,$AF98="",'Start here'!$F$10="",'Start here'!$F$11="",'Start here'!$F$12="",'Start here'!$F$13="",'Start here'!$F$14=""),"",IF($AF98&lt;'Start here'!$F$10,'Start here'!$F$11,IF($AF98&lt;'Start here'!$F$12,'Start here'!$F$13,'Start here'!$F$14)))</f>
        <v/>
      </c>
      <c r="AH98" s="38">
        <f>IF(OR($AG98="",'Start here'!$F$9=""),"",IF($AF98&lt;=0,"",IFERROR(MAX($AG98,ROUNDUP(ROUND($AF98*'Start here'!$F$9/$AG98,6),0)*$AG98),"")))</f>
        <v/>
      </c>
      <c r="AI98" s="37">
        <f>IF($AR98=0,"",IF($AN98=Lists!$B$19,"",IF(AND($AN98=Lists!$B$18,$AQ98&lt;&gt;""),$AQ98,IF(AND($AP98=Lists!$B$17,$AL98&lt;&gt;""),$AL98,$AK98))))</f>
        <v/>
      </c>
      <c r="AJ98" s="37">
        <f>IF($AR98=0,"",IF(IF($AF98="",", no value",IF($AF98&lt;=0,", no value",""))&amp;IF('Start here'!$F$15="","",IF(LEN($AD98)&lt;'Start here'!$F$15,", short description",""))="","OK",MID(IF($AF98="",", no value",IF($AF98&lt;=0,", no value",""))&amp;IF('Start here'!$F$15="","",IF(LEN($AD98)&lt;'Start here'!$F$15,", short description","")),3,200)))</f>
        <v/>
      </c>
      <c r="AK98" s="37">
        <f>IF($AR98=1,IFERROR(TRIM(INDEX($A98:$Z98,MATCH(Lists!$B$5,$A$1:$Z$1,0))&amp;""),""),"")</f>
        <v/>
      </c>
      <c r="AL98" s="37">
        <f>IF($AR98=1,IFERROR(TRIM(INDEX($A98:$Z98,MATCH(Lists!$B$4,$A$1:$Z$1,0))&amp;""),""),"")</f>
        <v/>
      </c>
      <c r="AM98" s="37">
        <f>IF($AR98=1,IFERROR(TRIM(INDEX($A98:$Z98,MATCH(Lists!$B$6,$A$1:$Z$1,0))&amp;""),""),"")</f>
        <v/>
      </c>
      <c r="AN98" s="37">
        <f>IF($AR98=1,IFERROR(TRIM(INDEX($A98:$Z98,MATCH(Lists!$B$7,$A$1:$Z$1,0))&amp;""),""),"")</f>
        <v/>
      </c>
      <c r="AO98" s="37">
        <f>IF($AR98=1,IFERROR(TRIM(INDEX($A98:$Z98,MATCH(Lists!$B$13,$A$1:$Z$1,0))&amp;""),""),"")</f>
        <v/>
      </c>
      <c r="AP98" s="37">
        <f>IF($AR98=1,IFERROR(TRIM(INDEX($A98:$Z98,MATCH(Lists!$B$3,$A$1:$Z$1,0))&amp;""),""),"")</f>
        <v/>
      </c>
      <c r="AQ98" s="37">
        <f>IF($AR98=1,IFERROR(TRIM(INDEX($A98:$Z98,MATCH(Lists!$B$8,$A$1:$Z$1,0))&amp;""),""),"")</f>
        <v/>
      </c>
      <c r="AR98" s="36">
        <f>IF(LEN($AC98)&gt;0,1,0)</f>
        <v/>
      </c>
      <c r="AS98" s="37">
        <f>IF($AR98=1,IF(IFERROR(IF(ISNUMBER(INDEX($A98:$Z98,MATCH(Lists!$B$2,$A$1:$Z$1,0))),INDEX($A98:$Z98,MATCH(Lists!$B$2,$A$1:$Z$1,0)),DATE(VALUE(LEFT(IFERROR(TRIM(INDEX($A98:$Z98,MATCH(Lists!$B$2,$A$1:$Z$1,0))&amp;""),""),4)),VALUE(MID(IFERROR(TRIM(INDEX($A98:$Z98,MATCH(Lists!$B$2,$A$1:$Z$1,0))&amp;""),""),6,2)),VALUE(MID(IFERROR(TRIM(INDEX($A98:$Z98,MATCH(Lists!$B$2,$A$1:$Z$1,0))&amp;""),""),9,2)))+TIME(VALUE(MID(IFERROR(TRIM(INDEX($A98:$Z98,MATCH(Lists!$B$2,$A$1:$Z$1,0))&amp;""),""),12,2)),VALUE(MID(IFERROR(TRIM(INDEX($A98:$Z98,MATCH(Lists!$B$2,$A$1:$Z$1,0))&amp;""),""),15,2)),VALUE(MID(IFERROR(TRIM(INDEX($A98:$Z98,MATCH(Lists!$B$2,$A$1:$Z$1,0))&amp;""),""),18,2)))),"")="",100000+ROW()/10^7,IFERROR(IF(ISNUMBER(INDEX($A98:$Z98,MATCH(Lists!$B$2,$A$1:$Z$1,0))),INDEX($A98:$Z98,MATCH(Lists!$B$2,$A$1:$Z$1,0)),DATE(VALUE(LEFT(IFERROR(TRIM(INDEX($A98:$Z98,MATCH(Lists!$B$2,$A$1:$Z$1,0))&amp;""),""),4)),VALUE(MID(IFERROR(TRIM(INDEX($A98:$Z98,MATCH(Lists!$B$2,$A$1:$Z$1,0))&amp;""),""),6,2)),VALUE(MID(IFERROR(TRIM(INDEX($A98:$Z98,MATCH(Lists!$B$2,$A$1:$Z$1,0))&amp;""),""),9,2)))+TIME(VALUE(MID(IFERROR(TRIM(INDEX($A98:$Z98,MATCH(Lists!$B$2,$A$1:$Z$1,0))&amp;""),""),12,2)),VALUE(MID(IFERROR(TRIM(INDEX($A98:$Z98,MATCH(Lists!$B$2,$A$1:$Z$1,0))&amp;""),""),15,2)),VALUE(MID(IFERROR(TRIM(INDEX($A98:$Z98,MATCH(Lists!$B$2,$A$1:$Z$1,0))&amp;""),""),18,2)))),"")-ROW()/10^7),"")</f>
        <v/>
      </c>
    </row>
    <row r="99">
      <c r="AB99" s="36">
        <f>IF($AR99=1,COUNTIF($AS$2:$AS$201,"&lt;"&amp;$AS99)+1,"")</f>
        <v/>
      </c>
      <c r="AC99" s="37">
        <f>IFERROR(TRIM(INDEX($A99:$Z99,MATCH(Lists!$B$9,$A$1:$Z$1,0))&amp;""),"")</f>
        <v/>
      </c>
      <c r="AD99" s="37">
        <f>IF($AR99=1,IFERROR(TRIM(INDEX($A99:$Z99,MATCH(Lists!$B$10,$A$1:$Z$1,0))&amp;""),""),"")</f>
        <v/>
      </c>
      <c r="AE99" s="37">
        <f>IF($AR99=1,IFERROR(TRIM(INDEX($A99:$Z99,MATCH(Lists!$B$12,$A$1:$Z$1,0))&amp;""),""),"")</f>
        <v/>
      </c>
      <c r="AF99" s="38">
        <f>IF($AR99=1,IFERROR(IF(TRIM(INDEX($A99:$Z99,MATCH(Lists!$B$11,$A$1:$Z$1,0))&amp;"")="","",VALUE(TRIM(INDEX($A99:$Z99,MATCH(Lists!$B$11,$A$1:$Z$1,0))&amp;""))),""),"")</f>
        <v/>
      </c>
      <c r="AG99" s="38">
        <f>IF(OR($AR99=0,$AF99="",'Start here'!$F$10="",'Start here'!$F$11="",'Start here'!$F$12="",'Start here'!$F$13="",'Start here'!$F$14=""),"",IF($AF99&lt;'Start here'!$F$10,'Start here'!$F$11,IF($AF99&lt;'Start here'!$F$12,'Start here'!$F$13,'Start here'!$F$14)))</f>
        <v/>
      </c>
      <c r="AH99" s="38">
        <f>IF(OR($AG99="",'Start here'!$F$9=""),"",IF($AF99&lt;=0,"",IFERROR(MAX($AG99,ROUNDUP(ROUND($AF99*'Start here'!$F$9/$AG99,6),0)*$AG99),"")))</f>
        <v/>
      </c>
      <c r="AI99" s="37">
        <f>IF($AR99=0,"",IF($AN99=Lists!$B$19,"",IF(AND($AN99=Lists!$B$18,$AQ99&lt;&gt;""),$AQ99,IF(AND($AP99=Lists!$B$17,$AL99&lt;&gt;""),$AL99,$AK99))))</f>
        <v/>
      </c>
      <c r="AJ99" s="37">
        <f>IF($AR99=0,"",IF(IF($AF99="",", no value",IF($AF99&lt;=0,", no value",""))&amp;IF('Start here'!$F$15="","",IF(LEN($AD99)&lt;'Start here'!$F$15,", short description",""))="","OK",MID(IF($AF99="",", no value",IF($AF99&lt;=0,", no value",""))&amp;IF('Start here'!$F$15="","",IF(LEN($AD99)&lt;'Start here'!$F$15,", short description","")),3,200)))</f>
        <v/>
      </c>
      <c r="AK99" s="37">
        <f>IF($AR99=1,IFERROR(TRIM(INDEX($A99:$Z99,MATCH(Lists!$B$5,$A$1:$Z$1,0))&amp;""),""),"")</f>
        <v/>
      </c>
      <c r="AL99" s="37">
        <f>IF($AR99=1,IFERROR(TRIM(INDEX($A99:$Z99,MATCH(Lists!$B$4,$A$1:$Z$1,0))&amp;""),""),"")</f>
        <v/>
      </c>
      <c r="AM99" s="37">
        <f>IF($AR99=1,IFERROR(TRIM(INDEX($A99:$Z99,MATCH(Lists!$B$6,$A$1:$Z$1,0))&amp;""),""),"")</f>
        <v/>
      </c>
      <c r="AN99" s="37">
        <f>IF($AR99=1,IFERROR(TRIM(INDEX($A99:$Z99,MATCH(Lists!$B$7,$A$1:$Z$1,0))&amp;""),""),"")</f>
        <v/>
      </c>
      <c r="AO99" s="37">
        <f>IF($AR99=1,IFERROR(TRIM(INDEX($A99:$Z99,MATCH(Lists!$B$13,$A$1:$Z$1,0))&amp;""),""),"")</f>
        <v/>
      </c>
      <c r="AP99" s="37">
        <f>IF($AR99=1,IFERROR(TRIM(INDEX($A99:$Z99,MATCH(Lists!$B$3,$A$1:$Z$1,0))&amp;""),""),"")</f>
        <v/>
      </c>
      <c r="AQ99" s="37">
        <f>IF($AR99=1,IFERROR(TRIM(INDEX($A99:$Z99,MATCH(Lists!$B$8,$A$1:$Z$1,0))&amp;""),""),"")</f>
        <v/>
      </c>
      <c r="AR99" s="36">
        <f>IF(LEN($AC99)&gt;0,1,0)</f>
        <v/>
      </c>
      <c r="AS99" s="37">
        <f>IF($AR99=1,IF(IFERROR(IF(ISNUMBER(INDEX($A99:$Z99,MATCH(Lists!$B$2,$A$1:$Z$1,0))),INDEX($A99:$Z99,MATCH(Lists!$B$2,$A$1:$Z$1,0)),DATE(VALUE(LEFT(IFERROR(TRIM(INDEX($A99:$Z99,MATCH(Lists!$B$2,$A$1:$Z$1,0))&amp;""),""),4)),VALUE(MID(IFERROR(TRIM(INDEX($A99:$Z99,MATCH(Lists!$B$2,$A$1:$Z$1,0))&amp;""),""),6,2)),VALUE(MID(IFERROR(TRIM(INDEX($A99:$Z99,MATCH(Lists!$B$2,$A$1:$Z$1,0))&amp;""),""),9,2)))+TIME(VALUE(MID(IFERROR(TRIM(INDEX($A99:$Z99,MATCH(Lists!$B$2,$A$1:$Z$1,0))&amp;""),""),12,2)),VALUE(MID(IFERROR(TRIM(INDEX($A99:$Z99,MATCH(Lists!$B$2,$A$1:$Z$1,0))&amp;""),""),15,2)),VALUE(MID(IFERROR(TRIM(INDEX($A99:$Z99,MATCH(Lists!$B$2,$A$1:$Z$1,0))&amp;""),""),18,2)))),"")="",100000+ROW()/10^7,IFERROR(IF(ISNUMBER(INDEX($A99:$Z99,MATCH(Lists!$B$2,$A$1:$Z$1,0))),INDEX($A99:$Z99,MATCH(Lists!$B$2,$A$1:$Z$1,0)),DATE(VALUE(LEFT(IFERROR(TRIM(INDEX($A99:$Z99,MATCH(Lists!$B$2,$A$1:$Z$1,0))&amp;""),""),4)),VALUE(MID(IFERROR(TRIM(INDEX($A99:$Z99,MATCH(Lists!$B$2,$A$1:$Z$1,0))&amp;""),""),6,2)),VALUE(MID(IFERROR(TRIM(INDEX($A99:$Z99,MATCH(Lists!$B$2,$A$1:$Z$1,0))&amp;""),""),9,2)))+TIME(VALUE(MID(IFERROR(TRIM(INDEX($A99:$Z99,MATCH(Lists!$B$2,$A$1:$Z$1,0))&amp;""),""),12,2)),VALUE(MID(IFERROR(TRIM(INDEX($A99:$Z99,MATCH(Lists!$B$2,$A$1:$Z$1,0))&amp;""),""),15,2)),VALUE(MID(IFERROR(TRIM(INDEX($A99:$Z99,MATCH(Lists!$B$2,$A$1:$Z$1,0))&amp;""),""),18,2)))),"")-ROW()/10^7),"")</f>
        <v/>
      </c>
    </row>
    <row r="100">
      <c r="AB100" s="36">
        <f>IF($AR100=1,COUNTIF($AS$2:$AS$201,"&lt;"&amp;$AS100)+1,"")</f>
        <v/>
      </c>
      <c r="AC100" s="37">
        <f>IFERROR(TRIM(INDEX($A100:$Z100,MATCH(Lists!$B$9,$A$1:$Z$1,0))&amp;""),"")</f>
        <v/>
      </c>
      <c r="AD100" s="37">
        <f>IF($AR100=1,IFERROR(TRIM(INDEX($A100:$Z100,MATCH(Lists!$B$10,$A$1:$Z$1,0))&amp;""),""),"")</f>
        <v/>
      </c>
      <c r="AE100" s="37">
        <f>IF($AR100=1,IFERROR(TRIM(INDEX($A100:$Z100,MATCH(Lists!$B$12,$A$1:$Z$1,0))&amp;""),""),"")</f>
        <v/>
      </c>
      <c r="AF100" s="38">
        <f>IF($AR100=1,IFERROR(IF(TRIM(INDEX($A100:$Z100,MATCH(Lists!$B$11,$A$1:$Z$1,0))&amp;"")="","",VALUE(TRIM(INDEX($A100:$Z100,MATCH(Lists!$B$11,$A$1:$Z$1,0))&amp;""))),""),"")</f>
        <v/>
      </c>
      <c r="AG100" s="38">
        <f>IF(OR($AR100=0,$AF100="",'Start here'!$F$10="",'Start here'!$F$11="",'Start here'!$F$12="",'Start here'!$F$13="",'Start here'!$F$14=""),"",IF($AF100&lt;'Start here'!$F$10,'Start here'!$F$11,IF($AF100&lt;'Start here'!$F$12,'Start here'!$F$13,'Start here'!$F$14)))</f>
        <v/>
      </c>
      <c r="AH100" s="38">
        <f>IF(OR($AG100="",'Start here'!$F$9=""),"",IF($AF100&lt;=0,"",IFERROR(MAX($AG100,ROUNDUP(ROUND($AF100*'Start here'!$F$9/$AG100,6),0)*$AG100),"")))</f>
        <v/>
      </c>
      <c r="AI100" s="37">
        <f>IF($AR100=0,"",IF($AN100=Lists!$B$19,"",IF(AND($AN100=Lists!$B$18,$AQ100&lt;&gt;""),$AQ100,IF(AND($AP100=Lists!$B$17,$AL100&lt;&gt;""),$AL100,$AK100))))</f>
        <v/>
      </c>
      <c r="AJ100" s="37">
        <f>IF($AR100=0,"",IF(IF($AF100="",", no value",IF($AF100&lt;=0,", no value",""))&amp;IF('Start here'!$F$15="","",IF(LEN($AD100)&lt;'Start here'!$F$15,", short description",""))="","OK",MID(IF($AF100="",", no value",IF($AF100&lt;=0,", no value",""))&amp;IF('Start here'!$F$15="","",IF(LEN($AD100)&lt;'Start here'!$F$15,", short description","")),3,200)))</f>
        <v/>
      </c>
      <c r="AK100" s="37">
        <f>IF($AR100=1,IFERROR(TRIM(INDEX($A100:$Z100,MATCH(Lists!$B$5,$A$1:$Z$1,0))&amp;""),""),"")</f>
        <v/>
      </c>
      <c r="AL100" s="37">
        <f>IF($AR100=1,IFERROR(TRIM(INDEX($A100:$Z100,MATCH(Lists!$B$4,$A$1:$Z$1,0))&amp;""),""),"")</f>
        <v/>
      </c>
      <c r="AM100" s="37">
        <f>IF($AR100=1,IFERROR(TRIM(INDEX($A100:$Z100,MATCH(Lists!$B$6,$A$1:$Z$1,0))&amp;""),""),"")</f>
        <v/>
      </c>
      <c r="AN100" s="37">
        <f>IF($AR100=1,IFERROR(TRIM(INDEX($A100:$Z100,MATCH(Lists!$B$7,$A$1:$Z$1,0))&amp;""),""),"")</f>
        <v/>
      </c>
      <c r="AO100" s="37">
        <f>IF($AR100=1,IFERROR(TRIM(INDEX($A100:$Z100,MATCH(Lists!$B$13,$A$1:$Z$1,0))&amp;""),""),"")</f>
        <v/>
      </c>
      <c r="AP100" s="37">
        <f>IF($AR100=1,IFERROR(TRIM(INDEX($A100:$Z100,MATCH(Lists!$B$3,$A$1:$Z$1,0))&amp;""),""),"")</f>
        <v/>
      </c>
      <c r="AQ100" s="37">
        <f>IF($AR100=1,IFERROR(TRIM(INDEX($A100:$Z100,MATCH(Lists!$B$8,$A$1:$Z$1,0))&amp;""),""),"")</f>
        <v/>
      </c>
      <c r="AR100" s="36">
        <f>IF(LEN($AC100)&gt;0,1,0)</f>
        <v/>
      </c>
      <c r="AS100" s="37">
        <f>IF($AR100=1,IF(IFERROR(IF(ISNUMBER(INDEX($A100:$Z100,MATCH(Lists!$B$2,$A$1:$Z$1,0))),INDEX($A100:$Z100,MATCH(Lists!$B$2,$A$1:$Z$1,0)),DATE(VALUE(LEFT(IFERROR(TRIM(INDEX($A100:$Z100,MATCH(Lists!$B$2,$A$1:$Z$1,0))&amp;""),""),4)),VALUE(MID(IFERROR(TRIM(INDEX($A100:$Z100,MATCH(Lists!$B$2,$A$1:$Z$1,0))&amp;""),""),6,2)),VALUE(MID(IFERROR(TRIM(INDEX($A100:$Z100,MATCH(Lists!$B$2,$A$1:$Z$1,0))&amp;""),""),9,2)))+TIME(VALUE(MID(IFERROR(TRIM(INDEX($A100:$Z100,MATCH(Lists!$B$2,$A$1:$Z$1,0))&amp;""),""),12,2)),VALUE(MID(IFERROR(TRIM(INDEX($A100:$Z100,MATCH(Lists!$B$2,$A$1:$Z$1,0))&amp;""),""),15,2)),VALUE(MID(IFERROR(TRIM(INDEX($A100:$Z100,MATCH(Lists!$B$2,$A$1:$Z$1,0))&amp;""),""),18,2)))),"")="",100000+ROW()/10^7,IFERROR(IF(ISNUMBER(INDEX($A100:$Z100,MATCH(Lists!$B$2,$A$1:$Z$1,0))),INDEX($A100:$Z100,MATCH(Lists!$B$2,$A$1:$Z$1,0)),DATE(VALUE(LEFT(IFERROR(TRIM(INDEX($A100:$Z100,MATCH(Lists!$B$2,$A$1:$Z$1,0))&amp;""),""),4)),VALUE(MID(IFERROR(TRIM(INDEX($A100:$Z100,MATCH(Lists!$B$2,$A$1:$Z$1,0))&amp;""),""),6,2)),VALUE(MID(IFERROR(TRIM(INDEX($A100:$Z100,MATCH(Lists!$B$2,$A$1:$Z$1,0))&amp;""),""),9,2)))+TIME(VALUE(MID(IFERROR(TRIM(INDEX($A100:$Z100,MATCH(Lists!$B$2,$A$1:$Z$1,0))&amp;""),""),12,2)),VALUE(MID(IFERROR(TRIM(INDEX($A100:$Z100,MATCH(Lists!$B$2,$A$1:$Z$1,0))&amp;""),""),15,2)),VALUE(MID(IFERROR(TRIM(INDEX($A100:$Z100,MATCH(Lists!$B$2,$A$1:$Z$1,0))&amp;""),""),18,2)))),"")-ROW()/10^7),"")</f>
        <v/>
      </c>
    </row>
    <row r="101">
      <c r="AB101" s="36">
        <f>IF($AR101=1,COUNTIF($AS$2:$AS$201,"&lt;"&amp;$AS101)+1,"")</f>
        <v/>
      </c>
      <c r="AC101" s="37">
        <f>IFERROR(TRIM(INDEX($A101:$Z101,MATCH(Lists!$B$9,$A$1:$Z$1,0))&amp;""),"")</f>
        <v/>
      </c>
      <c r="AD101" s="37">
        <f>IF($AR101=1,IFERROR(TRIM(INDEX($A101:$Z101,MATCH(Lists!$B$10,$A$1:$Z$1,0))&amp;""),""),"")</f>
        <v/>
      </c>
      <c r="AE101" s="37">
        <f>IF($AR101=1,IFERROR(TRIM(INDEX($A101:$Z101,MATCH(Lists!$B$12,$A$1:$Z$1,0))&amp;""),""),"")</f>
        <v/>
      </c>
      <c r="AF101" s="38">
        <f>IF($AR101=1,IFERROR(IF(TRIM(INDEX($A101:$Z101,MATCH(Lists!$B$11,$A$1:$Z$1,0))&amp;"")="","",VALUE(TRIM(INDEX($A101:$Z101,MATCH(Lists!$B$11,$A$1:$Z$1,0))&amp;""))),""),"")</f>
        <v/>
      </c>
      <c r="AG101" s="38">
        <f>IF(OR($AR101=0,$AF101="",'Start here'!$F$10="",'Start here'!$F$11="",'Start here'!$F$12="",'Start here'!$F$13="",'Start here'!$F$14=""),"",IF($AF101&lt;'Start here'!$F$10,'Start here'!$F$11,IF($AF101&lt;'Start here'!$F$12,'Start here'!$F$13,'Start here'!$F$14)))</f>
        <v/>
      </c>
      <c r="AH101" s="38">
        <f>IF(OR($AG101="",'Start here'!$F$9=""),"",IF($AF101&lt;=0,"",IFERROR(MAX($AG101,ROUNDUP(ROUND($AF101*'Start here'!$F$9/$AG101,6),0)*$AG101),"")))</f>
        <v/>
      </c>
      <c r="AI101" s="37">
        <f>IF($AR101=0,"",IF($AN101=Lists!$B$19,"",IF(AND($AN101=Lists!$B$18,$AQ101&lt;&gt;""),$AQ101,IF(AND($AP101=Lists!$B$17,$AL101&lt;&gt;""),$AL101,$AK101))))</f>
        <v/>
      </c>
      <c r="AJ101" s="37">
        <f>IF($AR101=0,"",IF(IF($AF101="",", no value",IF($AF101&lt;=0,", no value",""))&amp;IF('Start here'!$F$15="","",IF(LEN($AD101)&lt;'Start here'!$F$15,", short description",""))="","OK",MID(IF($AF101="",", no value",IF($AF101&lt;=0,", no value",""))&amp;IF('Start here'!$F$15="","",IF(LEN($AD101)&lt;'Start here'!$F$15,", short description","")),3,200)))</f>
        <v/>
      </c>
      <c r="AK101" s="37">
        <f>IF($AR101=1,IFERROR(TRIM(INDEX($A101:$Z101,MATCH(Lists!$B$5,$A$1:$Z$1,0))&amp;""),""),"")</f>
        <v/>
      </c>
      <c r="AL101" s="37">
        <f>IF($AR101=1,IFERROR(TRIM(INDEX($A101:$Z101,MATCH(Lists!$B$4,$A$1:$Z$1,0))&amp;""),""),"")</f>
        <v/>
      </c>
      <c r="AM101" s="37">
        <f>IF($AR101=1,IFERROR(TRIM(INDEX($A101:$Z101,MATCH(Lists!$B$6,$A$1:$Z$1,0))&amp;""),""),"")</f>
        <v/>
      </c>
      <c r="AN101" s="37">
        <f>IF($AR101=1,IFERROR(TRIM(INDEX($A101:$Z101,MATCH(Lists!$B$7,$A$1:$Z$1,0))&amp;""),""),"")</f>
        <v/>
      </c>
      <c r="AO101" s="37">
        <f>IF($AR101=1,IFERROR(TRIM(INDEX($A101:$Z101,MATCH(Lists!$B$13,$A$1:$Z$1,0))&amp;""),""),"")</f>
        <v/>
      </c>
      <c r="AP101" s="37">
        <f>IF($AR101=1,IFERROR(TRIM(INDEX($A101:$Z101,MATCH(Lists!$B$3,$A$1:$Z$1,0))&amp;""),""),"")</f>
        <v/>
      </c>
      <c r="AQ101" s="37">
        <f>IF($AR101=1,IFERROR(TRIM(INDEX($A101:$Z101,MATCH(Lists!$B$8,$A$1:$Z$1,0))&amp;""),""),"")</f>
        <v/>
      </c>
      <c r="AR101" s="36">
        <f>IF(LEN($AC101)&gt;0,1,0)</f>
        <v/>
      </c>
      <c r="AS101" s="37">
        <f>IF($AR101=1,IF(IFERROR(IF(ISNUMBER(INDEX($A101:$Z101,MATCH(Lists!$B$2,$A$1:$Z$1,0))),INDEX($A101:$Z101,MATCH(Lists!$B$2,$A$1:$Z$1,0)),DATE(VALUE(LEFT(IFERROR(TRIM(INDEX($A101:$Z101,MATCH(Lists!$B$2,$A$1:$Z$1,0))&amp;""),""),4)),VALUE(MID(IFERROR(TRIM(INDEX($A101:$Z101,MATCH(Lists!$B$2,$A$1:$Z$1,0))&amp;""),""),6,2)),VALUE(MID(IFERROR(TRIM(INDEX($A101:$Z101,MATCH(Lists!$B$2,$A$1:$Z$1,0))&amp;""),""),9,2)))+TIME(VALUE(MID(IFERROR(TRIM(INDEX($A101:$Z101,MATCH(Lists!$B$2,$A$1:$Z$1,0))&amp;""),""),12,2)),VALUE(MID(IFERROR(TRIM(INDEX($A101:$Z101,MATCH(Lists!$B$2,$A$1:$Z$1,0))&amp;""),""),15,2)),VALUE(MID(IFERROR(TRIM(INDEX($A101:$Z101,MATCH(Lists!$B$2,$A$1:$Z$1,0))&amp;""),""),18,2)))),"")="",100000+ROW()/10^7,IFERROR(IF(ISNUMBER(INDEX($A101:$Z101,MATCH(Lists!$B$2,$A$1:$Z$1,0))),INDEX($A101:$Z101,MATCH(Lists!$B$2,$A$1:$Z$1,0)),DATE(VALUE(LEFT(IFERROR(TRIM(INDEX($A101:$Z101,MATCH(Lists!$B$2,$A$1:$Z$1,0))&amp;""),""),4)),VALUE(MID(IFERROR(TRIM(INDEX($A101:$Z101,MATCH(Lists!$B$2,$A$1:$Z$1,0))&amp;""),""),6,2)),VALUE(MID(IFERROR(TRIM(INDEX($A101:$Z101,MATCH(Lists!$B$2,$A$1:$Z$1,0))&amp;""),""),9,2)))+TIME(VALUE(MID(IFERROR(TRIM(INDEX($A101:$Z101,MATCH(Lists!$B$2,$A$1:$Z$1,0))&amp;""),""),12,2)),VALUE(MID(IFERROR(TRIM(INDEX($A101:$Z101,MATCH(Lists!$B$2,$A$1:$Z$1,0))&amp;""),""),15,2)),VALUE(MID(IFERROR(TRIM(INDEX($A101:$Z101,MATCH(Lists!$B$2,$A$1:$Z$1,0))&amp;""),""),18,2)))),"")-ROW()/10^7),"")</f>
        <v/>
      </c>
    </row>
    <row r="102">
      <c r="AB102" s="36">
        <f>IF($AR102=1,COUNTIF($AS$2:$AS$201,"&lt;"&amp;$AS102)+1,"")</f>
        <v/>
      </c>
      <c r="AC102" s="37">
        <f>IFERROR(TRIM(INDEX($A102:$Z102,MATCH(Lists!$B$9,$A$1:$Z$1,0))&amp;""),"")</f>
        <v/>
      </c>
      <c r="AD102" s="37">
        <f>IF($AR102=1,IFERROR(TRIM(INDEX($A102:$Z102,MATCH(Lists!$B$10,$A$1:$Z$1,0))&amp;""),""),"")</f>
        <v/>
      </c>
      <c r="AE102" s="37">
        <f>IF($AR102=1,IFERROR(TRIM(INDEX($A102:$Z102,MATCH(Lists!$B$12,$A$1:$Z$1,0))&amp;""),""),"")</f>
        <v/>
      </c>
      <c r="AF102" s="38">
        <f>IF($AR102=1,IFERROR(IF(TRIM(INDEX($A102:$Z102,MATCH(Lists!$B$11,$A$1:$Z$1,0))&amp;"")="","",VALUE(TRIM(INDEX($A102:$Z102,MATCH(Lists!$B$11,$A$1:$Z$1,0))&amp;""))),""),"")</f>
        <v/>
      </c>
      <c r="AG102" s="38">
        <f>IF(OR($AR102=0,$AF102="",'Start here'!$F$10="",'Start here'!$F$11="",'Start here'!$F$12="",'Start here'!$F$13="",'Start here'!$F$14=""),"",IF($AF102&lt;'Start here'!$F$10,'Start here'!$F$11,IF($AF102&lt;'Start here'!$F$12,'Start here'!$F$13,'Start here'!$F$14)))</f>
        <v/>
      </c>
      <c r="AH102" s="38">
        <f>IF(OR($AG102="",'Start here'!$F$9=""),"",IF($AF102&lt;=0,"",IFERROR(MAX($AG102,ROUNDUP(ROUND($AF102*'Start here'!$F$9/$AG102,6),0)*$AG102),"")))</f>
        <v/>
      </c>
      <c r="AI102" s="37">
        <f>IF($AR102=0,"",IF($AN102=Lists!$B$19,"",IF(AND($AN102=Lists!$B$18,$AQ102&lt;&gt;""),$AQ102,IF(AND($AP102=Lists!$B$17,$AL102&lt;&gt;""),$AL102,$AK102))))</f>
        <v/>
      </c>
      <c r="AJ102" s="37">
        <f>IF($AR102=0,"",IF(IF($AF102="",", no value",IF($AF102&lt;=0,", no value",""))&amp;IF('Start here'!$F$15="","",IF(LEN($AD102)&lt;'Start here'!$F$15,", short description",""))="","OK",MID(IF($AF102="",", no value",IF($AF102&lt;=0,", no value",""))&amp;IF('Start here'!$F$15="","",IF(LEN($AD102)&lt;'Start here'!$F$15,", short description","")),3,200)))</f>
        <v/>
      </c>
      <c r="AK102" s="37">
        <f>IF($AR102=1,IFERROR(TRIM(INDEX($A102:$Z102,MATCH(Lists!$B$5,$A$1:$Z$1,0))&amp;""),""),"")</f>
        <v/>
      </c>
      <c r="AL102" s="37">
        <f>IF($AR102=1,IFERROR(TRIM(INDEX($A102:$Z102,MATCH(Lists!$B$4,$A$1:$Z$1,0))&amp;""),""),"")</f>
        <v/>
      </c>
      <c r="AM102" s="37">
        <f>IF($AR102=1,IFERROR(TRIM(INDEX($A102:$Z102,MATCH(Lists!$B$6,$A$1:$Z$1,0))&amp;""),""),"")</f>
        <v/>
      </c>
      <c r="AN102" s="37">
        <f>IF($AR102=1,IFERROR(TRIM(INDEX($A102:$Z102,MATCH(Lists!$B$7,$A$1:$Z$1,0))&amp;""),""),"")</f>
        <v/>
      </c>
      <c r="AO102" s="37">
        <f>IF($AR102=1,IFERROR(TRIM(INDEX($A102:$Z102,MATCH(Lists!$B$13,$A$1:$Z$1,0))&amp;""),""),"")</f>
        <v/>
      </c>
      <c r="AP102" s="37">
        <f>IF($AR102=1,IFERROR(TRIM(INDEX($A102:$Z102,MATCH(Lists!$B$3,$A$1:$Z$1,0))&amp;""),""),"")</f>
        <v/>
      </c>
      <c r="AQ102" s="37">
        <f>IF($AR102=1,IFERROR(TRIM(INDEX($A102:$Z102,MATCH(Lists!$B$8,$A$1:$Z$1,0))&amp;""),""),"")</f>
        <v/>
      </c>
      <c r="AR102" s="36">
        <f>IF(LEN($AC102)&gt;0,1,0)</f>
        <v/>
      </c>
      <c r="AS102" s="37">
        <f>IF($AR102=1,IF(IFERROR(IF(ISNUMBER(INDEX($A102:$Z102,MATCH(Lists!$B$2,$A$1:$Z$1,0))),INDEX($A102:$Z102,MATCH(Lists!$B$2,$A$1:$Z$1,0)),DATE(VALUE(LEFT(IFERROR(TRIM(INDEX($A102:$Z102,MATCH(Lists!$B$2,$A$1:$Z$1,0))&amp;""),""),4)),VALUE(MID(IFERROR(TRIM(INDEX($A102:$Z102,MATCH(Lists!$B$2,$A$1:$Z$1,0))&amp;""),""),6,2)),VALUE(MID(IFERROR(TRIM(INDEX($A102:$Z102,MATCH(Lists!$B$2,$A$1:$Z$1,0))&amp;""),""),9,2)))+TIME(VALUE(MID(IFERROR(TRIM(INDEX($A102:$Z102,MATCH(Lists!$B$2,$A$1:$Z$1,0))&amp;""),""),12,2)),VALUE(MID(IFERROR(TRIM(INDEX($A102:$Z102,MATCH(Lists!$B$2,$A$1:$Z$1,0))&amp;""),""),15,2)),VALUE(MID(IFERROR(TRIM(INDEX($A102:$Z102,MATCH(Lists!$B$2,$A$1:$Z$1,0))&amp;""),""),18,2)))),"")="",100000+ROW()/10^7,IFERROR(IF(ISNUMBER(INDEX($A102:$Z102,MATCH(Lists!$B$2,$A$1:$Z$1,0))),INDEX($A102:$Z102,MATCH(Lists!$B$2,$A$1:$Z$1,0)),DATE(VALUE(LEFT(IFERROR(TRIM(INDEX($A102:$Z102,MATCH(Lists!$B$2,$A$1:$Z$1,0))&amp;""),""),4)),VALUE(MID(IFERROR(TRIM(INDEX($A102:$Z102,MATCH(Lists!$B$2,$A$1:$Z$1,0))&amp;""),""),6,2)),VALUE(MID(IFERROR(TRIM(INDEX($A102:$Z102,MATCH(Lists!$B$2,$A$1:$Z$1,0))&amp;""),""),9,2)))+TIME(VALUE(MID(IFERROR(TRIM(INDEX($A102:$Z102,MATCH(Lists!$B$2,$A$1:$Z$1,0))&amp;""),""),12,2)),VALUE(MID(IFERROR(TRIM(INDEX($A102:$Z102,MATCH(Lists!$B$2,$A$1:$Z$1,0))&amp;""),""),15,2)),VALUE(MID(IFERROR(TRIM(INDEX($A102:$Z102,MATCH(Lists!$B$2,$A$1:$Z$1,0))&amp;""),""),18,2)))),"")-ROW()/10^7),"")</f>
        <v/>
      </c>
    </row>
    <row r="103">
      <c r="AB103" s="36">
        <f>IF($AR103=1,COUNTIF($AS$2:$AS$201,"&lt;"&amp;$AS103)+1,"")</f>
        <v/>
      </c>
      <c r="AC103" s="37">
        <f>IFERROR(TRIM(INDEX($A103:$Z103,MATCH(Lists!$B$9,$A$1:$Z$1,0))&amp;""),"")</f>
        <v/>
      </c>
      <c r="AD103" s="37">
        <f>IF($AR103=1,IFERROR(TRIM(INDEX($A103:$Z103,MATCH(Lists!$B$10,$A$1:$Z$1,0))&amp;""),""),"")</f>
        <v/>
      </c>
      <c r="AE103" s="37">
        <f>IF($AR103=1,IFERROR(TRIM(INDEX($A103:$Z103,MATCH(Lists!$B$12,$A$1:$Z$1,0))&amp;""),""),"")</f>
        <v/>
      </c>
      <c r="AF103" s="38">
        <f>IF($AR103=1,IFERROR(IF(TRIM(INDEX($A103:$Z103,MATCH(Lists!$B$11,$A$1:$Z$1,0))&amp;"")="","",VALUE(TRIM(INDEX($A103:$Z103,MATCH(Lists!$B$11,$A$1:$Z$1,0))&amp;""))),""),"")</f>
        <v/>
      </c>
      <c r="AG103" s="38">
        <f>IF(OR($AR103=0,$AF103="",'Start here'!$F$10="",'Start here'!$F$11="",'Start here'!$F$12="",'Start here'!$F$13="",'Start here'!$F$14=""),"",IF($AF103&lt;'Start here'!$F$10,'Start here'!$F$11,IF($AF103&lt;'Start here'!$F$12,'Start here'!$F$13,'Start here'!$F$14)))</f>
        <v/>
      </c>
      <c r="AH103" s="38">
        <f>IF(OR($AG103="",'Start here'!$F$9=""),"",IF($AF103&lt;=0,"",IFERROR(MAX($AG103,ROUNDUP(ROUND($AF103*'Start here'!$F$9/$AG103,6),0)*$AG103),"")))</f>
        <v/>
      </c>
      <c r="AI103" s="37">
        <f>IF($AR103=0,"",IF($AN103=Lists!$B$19,"",IF(AND($AN103=Lists!$B$18,$AQ103&lt;&gt;""),$AQ103,IF(AND($AP103=Lists!$B$17,$AL103&lt;&gt;""),$AL103,$AK103))))</f>
        <v/>
      </c>
      <c r="AJ103" s="37">
        <f>IF($AR103=0,"",IF(IF($AF103="",", no value",IF($AF103&lt;=0,", no value",""))&amp;IF('Start here'!$F$15="","",IF(LEN($AD103)&lt;'Start here'!$F$15,", short description",""))="","OK",MID(IF($AF103="",", no value",IF($AF103&lt;=0,", no value",""))&amp;IF('Start here'!$F$15="","",IF(LEN($AD103)&lt;'Start here'!$F$15,", short description","")),3,200)))</f>
        <v/>
      </c>
      <c r="AK103" s="37">
        <f>IF($AR103=1,IFERROR(TRIM(INDEX($A103:$Z103,MATCH(Lists!$B$5,$A$1:$Z$1,0))&amp;""),""),"")</f>
        <v/>
      </c>
      <c r="AL103" s="37">
        <f>IF($AR103=1,IFERROR(TRIM(INDEX($A103:$Z103,MATCH(Lists!$B$4,$A$1:$Z$1,0))&amp;""),""),"")</f>
        <v/>
      </c>
      <c r="AM103" s="37">
        <f>IF($AR103=1,IFERROR(TRIM(INDEX($A103:$Z103,MATCH(Lists!$B$6,$A$1:$Z$1,0))&amp;""),""),"")</f>
        <v/>
      </c>
      <c r="AN103" s="37">
        <f>IF($AR103=1,IFERROR(TRIM(INDEX($A103:$Z103,MATCH(Lists!$B$7,$A$1:$Z$1,0))&amp;""),""),"")</f>
        <v/>
      </c>
      <c r="AO103" s="37">
        <f>IF($AR103=1,IFERROR(TRIM(INDEX($A103:$Z103,MATCH(Lists!$B$13,$A$1:$Z$1,0))&amp;""),""),"")</f>
        <v/>
      </c>
      <c r="AP103" s="37">
        <f>IF($AR103=1,IFERROR(TRIM(INDEX($A103:$Z103,MATCH(Lists!$B$3,$A$1:$Z$1,0))&amp;""),""),"")</f>
        <v/>
      </c>
      <c r="AQ103" s="37">
        <f>IF($AR103=1,IFERROR(TRIM(INDEX($A103:$Z103,MATCH(Lists!$B$8,$A$1:$Z$1,0))&amp;""),""),"")</f>
        <v/>
      </c>
      <c r="AR103" s="36">
        <f>IF(LEN($AC103)&gt;0,1,0)</f>
        <v/>
      </c>
      <c r="AS103" s="37">
        <f>IF($AR103=1,IF(IFERROR(IF(ISNUMBER(INDEX($A103:$Z103,MATCH(Lists!$B$2,$A$1:$Z$1,0))),INDEX($A103:$Z103,MATCH(Lists!$B$2,$A$1:$Z$1,0)),DATE(VALUE(LEFT(IFERROR(TRIM(INDEX($A103:$Z103,MATCH(Lists!$B$2,$A$1:$Z$1,0))&amp;""),""),4)),VALUE(MID(IFERROR(TRIM(INDEX($A103:$Z103,MATCH(Lists!$B$2,$A$1:$Z$1,0))&amp;""),""),6,2)),VALUE(MID(IFERROR(TRIM(INDEX($A103:$Z103,MATCH(Lists!$B$2,$A$1:$Z$1,0))&amp;""),""),9,2)))+TIME(VALUE(MID(IFERROR(TRIM(INDEX($A103:$Z103,MATCH(Lists!$B$2,$A$1:$Z$1,0))&amp;""),""),12,2)),VALUE(MID(IFERROR(TRIM(INDEX($A103:$Z103,MATCH(Lists!$B$2,$A$1:$Z$1,0))&amp;""),""),15,2)),VALUE(MID(IFERROR(TRIM(INDEX($A103:$Z103,MATCH(Lists!$B$2,$A$1:$Z$1,0))&amp;""),""),18,2)))),"")="",100000+ROW()/10^7,IFERROR(IF(ISNUMBER(INDEX($A103:$Z103,MATCH(Lists!$B$2,$A$1:$Z$1,0))),INDEX($A103:$Z103,MATCH(Lists!$B$2,$A$1:$Z$1,0)),DATE(VALUE(LEFT(IFERROR(TRIM(INDEX($A103:$Z103,MATCH(Lists!$B$2,$A$1:$Z$1,0))&amp;""),""),4)),VALUE(MID(IFERROR(TRIM(INDEX($A103:$Z103,MATCH(Lists!$B$2,$A$1:$Z$1,0))&amp;""),""),6,2)),VALUE(MID(IFERROR(TRIM(INDEX($A103:$Z103,MATCH(Lists!$B$2,$A$1:$Z$1,0))&amp;""),""),9,2)))+TIME(VALUE(MID(IFERROR(TRIM(INDEX($A103:$Z103,MATCH(Lists!$B$2,$A$1:$Z$1,0))&amp;""),""),12,2)),VALUE(MID(IFERROR(TRIM(INDEX($A103:$Z103,MATCH(Lists!$B$2,$A$1:$Z$1,0))&amp;""),""),15,2)),VALUE(MID(IFERROR(TRIM(INDEX($A103:$Z103,MATCH(Lists!$B$2,$A$1:$Z$1,0))&amp;""),""),18,2)))),"")-ROW()/10^7),"")</f>
        <v/>
      </c>
    </row>
    <row r="104">
      <c r="AB104" s="36">
        <f>IF($AR104=1,COUNTIF($AS$2:$AS$201,"&lt;"&amp;$AS104)+1,"")</f>
        <v/>
      </c>
      <c r="AC104" s="37">
        <f>IFERROR(TRIM(INDEX($A104:$Z104,MATCH(Lists!$B$9,$A$1:$Z$1,0))&amp;""),"")</f>
        <v/>
      </c>
      <c r="AD104" s="37">
        <f>IF($AR104=1,IFERROR(TRIM(INDEX($A104:$Z104,MATCH(Lists!$B$10,$A$1:$Z$1,0))&amp;""),""),"")</f>
        <v/>
      </c>
      <c r="AE104" s="37">
        <f>IF($AR104=1,IFERROR(TRIM(INDEX($A104:$Z104,MATCH(Lists!$B$12,$A$1:$Z$1,0))&amp;""),""),"")</f>
        <v/>
      </c>
      <c r="AF104" s="38">
        <f>IF($AR104=1,IFERROR(IF(TRIM(INDEX($A104:$Z104,MATCH(Lists!$B$11,$A$1:$Z$1,0))&amp;"")="","",VALUE(TRIM(INDEX($A104:$Z104,MATCH(Lists!$B$11,$A$1:$Z$1,0))&amp;""))),""),"")</f>
        <v/>
      </c>
      <c r="AG104" s="38">
        <f>IF(OR($AR104=0,$AF104="",'Start here'!$F$10="",'Start here'!$F$11="",'Start here'!$F$12="",'Start here'!$F$13="",'Start here'!$F$14=""),"",IF($AF104&lt;'Start here'!$F$10,'Start here'!$F$11,IF($AF104&lt;'Start here'!$F$12,'Start here'!$F$13,'Start here'!$F$14)))</f>
        <v/>
      </c>
      <c r="AH104" s="38">
        <f>IF(OR($AG104="",'Start here'!$F$9=""),"",IF($AF104&lt;=0,"",IFERROR(MAX($AG104,ROUNDUP(ROUND($AF104*'Start here'!$F$9/$AG104,6),0)*$AG104),"")))</f>
        <v/>
      </c>
      <c r="AI104" s="37">
        <f>IF($AR104=0,"",IF($AN104=Lists!$B$19,"",IF(AND($AN104=Lists!$B$18,$AQ104&lt;&gt;""),$AQ104,IF(AND($AP104=Lists!$B$17,$AL104&lt;&gt;""),$AL104,$AK104))))</f>
        <v/>
      </c>
      <c r="AJ104" s="37">
        <f>IF($AR104=0,"",IF(IF($AF104="",", no value",IF($AF104&lt;=0,", no value",""))&amp;IF('Start here'!$F$15="","",IF(LEN($AD104)&lt;'Start here'!$F$15,", short description",""))="","OK",MID(IF($AF104="",", no value",IF($AF104&lt;=0,", no value",""))&amp;IF('Start here'!$F$15="","",IF(LEN($AD104)&lt;'Start here'!$F$15,", short description","")),3,200)))</f>
        <v/>
      </c>
      <c r="AK104" s="37">
        <f>IF($AR104=1,IFERROR(TRIM(INDEX($A104:$Z104,MATCH(Lists!$B$5,$A$1:$Z$1,0))&amp;""),""),"")</f>
        <v/>
      </c>
      <c r="AL104" s="37">
        <f>IF($AR104=1,IFERROR(TRIM(INDEX($A104:$Z104,MATCH(Lists!$B$4,$A$1:$Z$1,0))&amp;""),""),"")</f>
        <v/>
      </c>
      <c r="AM104" s="37">
        <f>IF($AR104=1,IFERROR(TRIM(INDEX($A104:$Z104,MATCH(Lists!$B$6,$A$1:$Z$1,0))&amp;""),""),"")</f>
        <v/>
      </c>
      <c r="AN104" s="37">
        <f>IF($AR104=1,IFERROR(TRIM(INDEX($A104:$Z104,MATCH(Lists!$B$7,$A$1:$Z$1,0))&amp;""),""),"")</f>
        <v/>
      </c>
      <c r="AO104" s="37">
        <f>IF($AR104=1,IFERROR(TRIM(INDEX($A104:$Z104,MATCH(Lists!$B$13,$A$1:$Z$1,0))&amp;""),""),"")</f>
        <v/>
      </c>
      <c r="AP104" s="37">
        <f>IF($AR104=1,IFERROR(TRIM(INDEX($A104:$Z104,MATCH(Lists!$B$3,$A$1:$Z$1,0))&amp;""),""),"")</f>
        <v/>
      </c>
      <c r="AQ104" s="37">
        <f>IF($AR104=1,IFERROR(TRIM(INDEX($A104:$Z104,MATCH(Lists!$B$8,$A$1:$Z$1,0))&amp;""),""),"")</f>
        <v/>
      </c>
      <c r="AR104" s="36">
        <f>IF(LEN($AC104)&gt;0,1,0)</f>
        <v/>
      </c>
      <c r="AS104" s="37">
        <f>IF($AR104=1,IF(IFERROR(IF(ISNUMBER(INDEX($A104:$Z104,MATCH(Lists!$B$2,$A$1:$Z$1,0))),INDEX($A104:$Z104,MATCH(Lists!$B$2,$A$1:$Z$1,0)),DATE(VALUE(LEFT(IFERROR(TRIM(INDEX($A104:$Z104,MATCH(Lists!$B$2,$A$1:$Z$1,0))&amp;""),""),4)),VALUE(MID(IFERROR(TRIM(INDEX($A104:$Z104,MATCH(Lists!$B$2,$A$1:$Z$1,0))&amp;""),""),6,2)),VALUE(MID(IFERROR(TRIM(INDEX($A104:$Z104,MATCH(Lists!$B$2,$A$1:$Z$1,0))&amp;""),""),9,2)))+TIME(VALUE(MID(IFERROR(TRIM(INDEX($A104:$Z104,MATCH(Lists!$B$2,$A$1:$Z$1,0))&amp;""),""),12,2)),VALUE(MID(IFERROR(TRIM(INDEX($A104:$Z104,MATCH(Lists!$B$2,$A$1:$Z$1,0))&amp;""),""),15,2)),VALUE(MID(IFERROR(TRIM(INDEX($A104:$Z104,MATCH(Lists!$B$2,$A$1:$Z$1,0))&amp;""),""),18,2)))),"")="",100000+ROW()/10^7,IFERROR(IF(ISNUMBER(INDEX($A104:$Z104,MATCH(Lists!$B$2,$A$1:$Z$1,0))),INDEX($A104:$Z104,MATCH(Lists!$B$2,$A$1:$Z$1,0)),DATE(VALUE(LEFT(IFERROR(TRIM(INDEX($A104:$Z104,MATCH(Lists!$B$2,$A$1:$Z$1,0))&amp;""),""),4)),VALUE(MID(IFERROR(TRIM(INDEX($A104:$Z104,MATCH(Lists!$B$2,$A$1:$Z$1,0))&amp;""),""),6,2)),VALUE(MID(IFERROR(TRIM(INDEX($A104:$Z104,MATCH(Lists!$B$2,$A$1:$Z$1,0))&amp;""),""),9,2)))+TIME(VALUE(MID(IFERROR(TRIM(INDEX($A104:$Z104,MATCH(Lists!$B$2,$A$1:$Z$1,0))&amp;""),""),12,2)),VALUE(MID(IFERROR(TRIM(INDEX($A104:$Z104,MATCH(Lists!$B$2,$A$1:$Z$1,0))&amp;""),""),15,2)),VALUE(MID(IFERROR(TRIM(INDEX($A104:$Z104,MATCH(Lists!$B$2,$A$1:$Z$1,0))&amp;""),""),18,2)))),"")-ROW()/10^7),"")</f>
        <v/>
      </c>
    </row>
    <row r="105">
      <c r="AB105" s="36">
        <f>IF($AR105=1,COUNTIF($AS$2:$AS$201,"&lt;"&amp;$AS105)+1,"")</f>
        <v/>
      </c>
      <c r="AC105" s="37">
        <f>IFERROR(TRIM(INDEX($A105:$Z105,MATCH(Lists!$B$9,$A$1:$Z$1,0))&amp;""),"")</f>
        <v/>
      </c>
      <c r="AD105" s="37">
        <f>IF($AR105=1,IFERROR(TRIM(INDEX($A105:$Z105,MATCH(Lists!$B$10,$A$1:$Z$1,0))&amp;""),""),"")</f>
        <v/>
      </c>
      <c r="AE105" s="37">
        <f>IF($AR105=1,IFERROR(TRIM(INDEX($A105:$Z105,MATCH(Lists!$B$12,$A$1:$Z$1,0))&amp;""),""),"")</f>
        <v/>
      </c>
      <c r="AF105" s="38">
        <f>IF($AR105=1,IFERROR(IF(TRIM(INDEX($A105:$Z105,MATCH(Lists!$B$11,$A$1:$Z$1,0))&amp;"")="","",VALUE(TRIM(INDEX($A105:$Z105,MATCH(Lists!$B$11,$A$1:$Z$1,0))&amp;""))),""),"")</f>
        <v/>
      </c>
      <c r="AG105" s="38">
        <f>IF(OR($AR105=0,$AF105="",'Start here'!$F$10="",'Start here'!$F$11="",'Start here'!$F$12="",'Start here'!$F$13="",'Start here'!$F$14=""),"",IF($AF105&lt;'Start here'!$F$10,'Start here'!$F$11,IF($AF105&lt;'Start here'!$F$12,'Start here'!$F$13,'Start here'!$F$14)))</f>
        <v/>
      </c>
      <c r="AH105" s="38">
        <f>IF(OR($AG105="",'Start here'!$F$9=""),"",IF($AF105&lt;=0,"",IFERROR(MAX($AG105,ROUNDUP(ROUND($AF105*'Start here'!$F$9/$AG105,6),0)*$AG105),"")))</f>
        <v/>
      </c>
      <c r="AI105" s="37">
        <f>IF($AR105=0,"",IF($AN105=Lists!$B$19,"",IF(AND($AN105=Lists!$B$18,$AQ105&lt;&gt;""),$AQ105,IF(AND($AP105=Lists!$B$17,$AL105&lt;&gt;""),$AL105,$AK105))))</f>
        <v/>
      </c>
      <c r="AJ105" s="37">
        <f>IF($AR105=0,"",IF(IF($AF105="",", no value",IF($AF105&lt;=0,", no value",""))&amp;IF('Start here'!$F$15="","",IF(LEN($AD105)&lt;'Start here'!$F$15,", short description",""))="","OK",MID(IF($AF105="",", no value",IF($AF105&lt;=0,", no value",""))&amp;IF('Start here'!$F$15="","",IF(LEN($AD105)&lt;'Start here'!$F$15,", short description","")),3,200)))</f>
        <v/>
      </c>
      <c r="AK105" s="37">
        <f>IF($AR105=1,IFERROR(TRIM(INDEX($A105:$Z105,MATCH(Lists!$B$5,$A$1:$Z$1,0))&amp;""),""),"")</f>
        <v/>
      </c>
      <c r="AL105" s="37">
        <f>IF($AR105=1,IFERROR(TRIM(INDEX($A105:$Z105,MATCH(Lists!$B$4,$A$1:$Z$1,0))&amp;""),""),"")</f>
        <v/>
      </c>
      <c r="AM105" s="37">
        <f>IF($AR105=1,IFERROR(TRIM(INDEX($A105:$Z105,MATCH(Lists!$B$6,$A$1:$Z$1,0))&amp;""),""),"")</f>
        <v/>
      </c>
      <c r="AN105" s="37">
        <f>IF($AR105=1,IFERROR(TRIM(INDEX($A105:$Z105,MATCH(Lists!$B$7,$A$1:$Z$1,0))&amp;""),""),"")</f>
        <v/>
      </c>
      <c r="AO105" s="37">
        <f>IF($AR105=1,IFERROR(TRIM(INDEX($A105:$Z105,MATCH(Lists!$B$13,$A$1:$Z$1,0))&amp;""),""),"")</f>
        <v/>
      </c>
      <c r="AP105" s="37">
        <f>IF($AR105=1,IFERROR(TRIM(INDEX($A105:$Z105,MATCH(Lists!$B$3,$A$1:$Z$1,0))&amp;""),""),"")</f>
        <v/>
      </c>
      <c r="AQ105" s="37">
        <f>IF($AR105=1,IFERROR(TRIM(INDEX($A105:$Z105,MATCH(Lists!$B$8,$A$1:$Z$1,0))&amp;""),""),"")</f>
        <v/>
      </c>
      <c r="AR105" s="36">
        <f>IF(LEN($AC105)&gt;0,1,0)</f>
        <v/>
      </c>
      <c r="AS105" s="37">
        <f>IF($AR105=1,IF(IFERROR(IF(ISNUMBER(INDEX($A105:$Z105,MATCH(Lists!$B$2,$A$1:$Z$1,0))),INDEX($A105:$Z105,MATCH(Lists!$B$2,$A$1:$Z$1,0)),DATE(VALUE(LEFT(IFERROR(TRIM(INDEX($A105:$Z105,MATCH(Lists!$B$2,$A$1:$Z$1,0))&amp;""),""),4)),VALUE(MID(IFERROR(TRIM(INDEX($A105:$Z105,MATCH(Lists!$B$2,$A$1:$Z$1,0))&amp;""),""),6,2)),VALUE(MID(IFERROR(TRIM(INDEX($A105:$Z105,MATCH(Lists!$B$2,$A$1:$Z$1,0))&amp;""),""),9,2)))+TIME(VALUE(MID(IFERROR(TRIM(INDEX($A105:$Z105,MATCH(Lists!$B$2,$A$1:$Z$1,0))&amp;""),""),12,2)),VALUE(MID(IFERROR(TRIM(INDEX($A105:$Z105,MATCH(Lists!$B$2,$A$1:$Z$1,0))&amp;""),""),15,2)),VALUE(MID(IFERROR(TRIM(INDEX($A105:$Z105,MATCH(Lists!$B$2,$A$1:$Z$1,0))&amp;""),""),18,2)))),"")="",100000+ROW()/10^7,IFERROR(IF(ISNUMBER(INDEX($A105:$Z105,MATCH(Lists!$B$2,$A$1:$Z$1,0))),INDEX($A105:$Z105,MATCH(Lists!$B$2,$A$1:$Z$1,0)),DATE(VALUE(LEFT(IFERROR(TRIM(INDEX($A105:$Z105,MATCH(Lists!$B$2,$A$1:$Z$1,0))&amp;""),""),4)),VALUE(MID(IFERROR(TRIM(INDEX($A105:$Z105,MATCH(Lists!$B$2,$A$1:$Z$1,0))&amp;""),""),6,2)),VALUE(MID(IFERROR(TRIM(INDEX($A105:$Z105,MATCH(Lists!$B$2,$A$1:$Z$1,0))&amp;""),""),9,2)))+TIME(VALUE(MID(IFERROR(TRIM(INDEX($A105:$Z105,MATCH(Lists!$B$2,$A$1:$Z$1,0))&amp;""),""),12,2)),VALUE(MID(IFERROR(TRIM(INDEX($A105:$Z105,MATCH(Lists!$B$2,$A$1:$Z$1,0))&amp;""),""),15,2)),VALUE(MID(IFERROR(TRIM(INDEX($A105:$Z105,MATCH(Lists!$B$2,$A$1:$Z$1,0))&amp;""),""),18,2)))),"")-ROW()/10^7),"")</f>
        <v/>
      </c>
    </row>
    <row r="106">
      <c r="AB106" s="36">
        <f>IF($AR106=1,COUNTIF($AS$2:$AS$201,"&lt;"&amp;$AS106)+1,"")</f>
        <v/>
      </c>
      <c r="AC106" s="37">
        <f>IFERROR(TRIM(INDEX($A106:$Z106,MATCH(Lists!$B$9,$A$1:$Z$1,0))&amp;""),"")</f>
        <v/>
      </c>
      <c r="AD106" s="37">
        <f>IF($AR106=1,IFERROR(TRIM(INDEX($A106:$Z106,MATCH(Lists!$B$10,$A$1:$Z$1,0))&amp;""),""),"")</f>
        <v/>
      </c>
      <c r="AE106" s="37">
        <f>IF($AR106=1,IFERROR(TRIM(INDEX($A106:$Z106,MATCH(Lists!$B$12,$A$1:$Z$1,0))&amp;""),""),"")</f>
        <v/>
      </c>
      <c r="AF106" s="38">
        <f>IF($AR106=1,IFERROR(IF(TRIM(INDEX($A106:$Z106,MATCH(Lists!$B$11,$A$1:$Z$1,0))&amp;"")="","",VALUE(TRIM(INDEX($A106:$Z106,MATCH(Lists!$B$11,$A$1:$Z$1,0))&amp;""))),""),"")</f>
        <v/>
      </c>
      <c r="AG106" s="38">
        <f>IF(OR($AR106=0,$AF106="",'Start here'!$F$10="",'Start here'!$F$11="",'Start here'!$F$12="",'Start here'!$F$13="",'Start here'!$F$14=""),"",IF($AF106&lt;'Start here'!$F$10,'Start here'!$F$11,IF($AF106&lt;'Start here'!$F$12,'Start here'!$F$13,'Start here'!$F$14)))</f>
        <v/>
      </c>
      <c r="AH106" s="38">
        <f>IF(OR($AG106="",'Start here'!$F$9=""),"",IF($AF106&lt;=0,"",IFERROR(MAX($AG106,ROUNDUP(ROUND($AF106*'Start here'!$F$9/$AG106,6),0)*$AG106),"")))</f>
        <v/>
      </c>
      <c r="AI106" s="37">
        <f>IF($AR106=0,"",IF($AN106=Lists!$B$19,"",IF(AND($AN106=Lists!$B$18,$AQ106&lt;&gt;""),$AQ106,IF(AND($AP106=Lists!$B$17,$AL106&lt;&gt;""),$AL106,$AK106))))</f>
        <v/>
      </c>
      <c r="AJ106" s="37">
        <f>IF($AR106=0,"",IF(IF($AF106="",", no value",IF($AF106&lt;=0,", no value",""))&amp;IF('Start here'!$F$15="","",IF(LEN($AD106)&lt;'Start here'!$F$15,", short description",""))="","OK",MID(IF($AF106="",", no value",IF($AF106&lt;=0,", no value",""))&amp;IF('Start here'!$F$15="","",IF(LEN($AD106)&lt;'Start here'!$F$15,", short description","")),3,200)))</f>
        <v/>
      </c>
      <c r="AK106" s="37">
        <f>IF($AR106=1,IFERROR(TRIM(INDEX($A106:$Z106,MATCH(Lists!$B$5,$A$1:$Z$1,0))&amp;""),""),"")</f>
        <v/>
      </c>
      <c r="AL106" s="37">
        <f>IF($AR106=1,IFERROR(TRIM(INDEX($A106:$Z106,MATCH(Lists!$B$4,$A$1:$Z$1,0))&amp;""),""),"")</f>
        <v/>
      </c>
      <c r="AM106" s="37">
        <f>IF($AR106=1,IFERROR(TRIM(INDEX($A106:$Z106,MATCH(Lists!$B$6,$A$1:$Z$1,0))&amp;""),""),"")</f>
        <v/>
      </c>
      <c r="AN106" s="37">
        <f>IF($AR106=1,IFERROR(TRIM(INDEX($A106:$Z106,MATCH(Lists!$B$7,$A$1:$Z$1,0))&amp;""),""),"")</f>
        <v/>
      </c>
      <c r="AO106" s="37">
        <f>IF($AR106=1,IFERROR(TRIM(INDEX($A106:$Z106,MATCH(Lists!$B$13,$A$1:$Z$1,0))&amp;""),""),"")</f>
        <v/>
      </c>
      <c r="AP106" s="37">
        <f>IF($AR106=1,IFERROR(TRIM(INDEX($A106:$Z106,MATCH(Lists!$B$3,$A$1:$Z$1,0))&amp;""),""),"")</f>
        <v/>
      </c>
      <c r="AQ106" s="37">
        <f>IF($AR106=1,IFERROR(TRIM(INDEX($A106:$Z106,MATCH(Lists!$B$8,$A$1:$Z$1,0))&amp;""),""),"")</f>
        <v/>
      </c>
      <c r="AR106" s="36">
        <f>IF(LEN($AC106)&gt;0,1,0)</f>
        <v/>
      </c>
      <c r="AS106" s="37">
        <f>IF($AR106=1,IF(IFERROR(IF(ISNUMBER(INDEX($A106:$Z106,MATCH(Lists!$B$2,$A$1:$Z$1,0))),INDEX($A106:$Z106,MATCH(Lists!$B$2,$A$1:$Z$1,0)),DATE(VALUE(LEFT(IFERROR(TRIM(INDEX($A106:$Z106,MATCH(Lists!$B$2,$A$1:$Z$1,0))&amp;""),""),4)),VALUE(MID(IFERROR(TRIM(INDEX($A106:$Z106,MATCH(Lists!$B$2,$A$1:$Z$1,0))&amp;""),""),6,2)),VALUE(MID(IFERROR(TRIM(INDEX($A106:$Z106,MATCH(Lists!$B$2,$A$1:$Z$1,0))&amp;""),""),9,2)))+TIME(VALUE(MID(IFERROR(TRIM(INDEX($A106:$Z106,MATCH(Lists!$B$2,$A$1:$Z$1,0))&amp;""),""),12,2)),VALUE(MID(IFERROR(TRIM(INDEX($A106:$Z106,MATCH(Lists!$B$2,$A$1:$Z$1,0))&amp;""),""),15,2)),VALUE(MID(IFERROR(TRIM(INDEX($A106:$Z106,MATCH(Lists!$B$2,$A$1:$Z$1,0))&amp;""),""),18,2)))),"")="",100000+ROW()/10^7,IFERROR(IF(ISNUMBER(INDEX($A106:$Z106,MATCH(Lists!$B$2,$A$1:$Z$1,0))),INDEX($A106:$Z106,MATCH(Lists!$B$2,$A$1:$Z$1,0)),DATE(VALUE(LEFT(IFERROR(TRIM(INDEX($A106:$Z106,MATCH(Lists!$B$2,$A$1:$Z$1,0))&amp;""),""),4)),VALUE(MID(IFERROR(TRIM(INDEX($A106:$Z106,MATCH(Lists!$B$2,$A$1:$Z$1,0))&amp;""),""),6,2)),VALUE(MID(IFERROR(TRIM(INDEX($A106:$Z106,MATCH(Lists!$B$2,$A$1:$Z$1,0))&amp;""),""),9,2)))+TIME(VALUE(MID(IFERROR(TRIM(INDEX($A106:$Z106,MATCH(Lists!$B$2,$A$1:$Z$1,0))&amp;""),""),12,2)),VALUE(MID(IFERROR(TRIM(INDEX($A106:$Z106,MATCH(Lists!$B$2,$A$1:$Z$1,0))&amp;""),""),15,2)),VALUE(MID(IFERROR(TRIM(INDEX($A106:$Z106,MATCH(Lists!$B$2,$A$1:$Z$1,0))&amp;""),""),18,2)))),"")-ROW()/10^7),"")</f>
        <v/>
      </c>
    </row>
    <row r="107">
      <c r="AB107" s="36">
        <f>IF($AR107=1,COUNTIF($AS$2:$AS$201,"&lt;"&amp;$AS107)+1,"")</f>
        <v/>
      </c>
      <c r="AC107" s="37">
        <f>IFERROR(TRIM(INDEX($A107:$Z107,MATCH(Lists!$B$9,$A$1:$Z$1,0))&amp;""),"")</f>
        <v/>
      </c>
      <c r="AD107" s="37">
        <f>IF($AR107=1,IFERROR(TRIM(INDEX($A107:$Z107,MATCH(Lists!$B$10,$A$1:$Z$1,0))&amp;""),""),"")</f>
        <v/>
      </c>
      <c r="AE107" s="37">
        <f>IF($AR107=1,IFERROR(TRIM(INDEX($A107:$Z107,MATCH(Lists!$B$12,$A$1:$Z$1,0))&amp;""),""),"")</f>
        <v/>
      </c>
      <c r="AF107" s="38">
        <f>IF($AR107=1,IFERROR(IF(TRIM(INDEX($A107:$Z107,MATCH(Lists!$B$11,$A$1:$Z$1,0))&amp;"")="","",VALUE(TRIM(INDEX($A107:$Z107,MATCH(Lists!$B$11,$A$1:$Z$1,0))&amp;""))),""),"")</f>
        <v/>
      </c>
      <c r="AG107" s="38">
        <f>IF(OR($AR107=0,$AF107="",'Start here'!$F$10="",'Start here'!$F$11="",'Start here'!$F$12="",'Start here'!$F$13="",'Start here'!$F$14=""),"",IF($AF107&lt;'Start here'!$F$10,'Start here'!$F$11,IF($AF107&lt;'Start here'!$F$12,'Start here'!$F$13,'Start here'!$F$14)))</f>
        <v/>
      </c>
      <c r="AH107" s="38">
        <f>IF(OR($AG107="",'Start here'!$F$9=""),"",IF($AF107&lt;=0,"",IFERROR(MAX($AG107,ROUNDUP(ROUND($AF107*'Start here'!$F$9/$AG107,6),0)*$AG107),"")))</f>
        <v/>
      </c>
      <c r="AI107" s="37">
        <f>IF($AR107=0,"",IF($AN107=Lists!$B$19,"",IF(AND($AN107=Lists!$B$18,$AQ107&lt;&gt;""),$AQ107,IF(AND($AP107=Lists!$B$17,$AL107&lt;&gt;""),$AL107,$AK107))))</f>
        <v/>
      </c>
      <c r="AJ107" s="37">
        <f>IF($AR107=0,"",IF(IF($AF107="",", no value",IF($AF107&lt;=0,", no value",""))&amp;IF('Start here'!$F$15="","",IF(LEN($AD107)&lt;'Start here'!$F$15,", short description",""))="","OK",MID(IF($AF107="",", no value",IF($AF107&lt;=0,", no value",""))&amp;IF('Start here'!$F$15="","",IF(LEN($AD107)&lt;'Start here'!$F$15,", short description","")),3,200)))</f>
        <v/>
      </c>
      <c r="AK107" s="37">
        <f>IF($AR107=1,IFERROR(TRIM(INDEX($A107:$Z107,MATCH(Lists!$B$5,$A$1:$Z$1,0))&amp;""),""),"")</f>
        <v/>
      </c>
      <c r="AL107" s="37">
        <f>IF($AR107=1,IFERROR(TRIM(INDEX($A107:$Z107,MATCH(Lists!$B$4,$A$1:$Z$1,0))&amp;""),""),"")</f>
        <v/>
      </c>
      <c r="AM107" s="37">
        <f>IF($AR107=1,IFERROR(TRIM(INDEX($A107:$Z107,MATCH(Lists!$B$6,$A$1:$Z$1,0))&amp;""),""),"")</f>
        <v/>
      </c>
      <c r="AN107" s="37">
        <f>IF($AR107=1,IFERROR(TRIM(INDEX($A107:$Z107,MATCH(Lists!$B$7,$A$1:$Z$1,0))&amp;""),""),"")</f>
        <v/>
      </c>
      <c r="AO107" s="37">
        <f>IF($AR107=1,IFERROR(TRIM(INDEX($A107:$Z107,MATCH(Lists!$B$13,$A$1:$Z$1,0))&amp;""),""),"")</f>
        <v/>
      </c>
      <c r="AP107" s="37">
        <f>IF($AR107=1,IFERROR(TRIM(INDEX($A107:$Z107,MATCH(Lists!$B$3,$A$1:$Z$1,0))&amp;""),""),"")</f>
        <v/>
      </c>
      <c r="AQ107" s="37">
        <f>IF($AR107=1,IFERROR(TRIM(INDEX($A107:$Z107,MATCH(Lists!$B$8,$A$1:$Z$1,0))&amp;""),""),"")</f>
        <v/>
      </c>
      <c r="AR107" s="36">
        <f>IF(LEN($AC107)&gt;0,1,0)</f>
        <v/>
      </c>
      <c r="AS107" s="37">
        <f>IF($AR107=1,IF(IFERROR(IF(ISNUMBER(INDEX($A107:$Z107,MATCH(Lists!$B$2,$A$1:$Z$1,0))),INDEX($A107:$Z107,MATCH(Lists!$B$2,$A$1:$Z$1,0)),DATE(VALUE(LEFT(IFERROR(TRIM(INDEX($A107:$Z107,MATCH(Lists!$B$2,$A$1:$Z$1,0))&amp;""),""),4)),VALUE(MID(IFERROR(TRIM(INDEX($A107:$Z107,MATCH(Lists!$B$2,$A$1:$Z$1,0))&amp;""),""),6,2)),VALUE(MID(IFERROR(TRIM(INDEX($A107:$Z107,MATCH(Lists!$B$2,$A$1:$Z$1,0))&amp;""),""),9,2)))+TIME(VALUE(MID(IFERROR(TRIM(INDEX($A107:$Z107,MATCH(Lists!$B$2,$A$1:$Z$1,0))&amp;""),""),12,2)),VALUE(MID(IFERROR(TRIM(INDEX($A107:$Z107,MATCH(Lists!$B$2,$A$1:$Z$1,0))&amp;""),""),15,2)),VALUE(MID(IFERROR(TRIM(INDEX($A107:$Z107,MATCH(Lists!$B$2,$A$1:$Z$1,0))&amp;""),""),18,2)))),"")="",100000+ROW()/10^7,IFERROR(IF(ISNUMBER(INDEX($A107:$Z107,MATCH(Lists!$B$2,$A$1:$Z$1,0))),INDEX($A107:$Z107,MATCH(Lists!$B$2,$A$1:$Z$1,0)),DATE(VALUE(LEFT(IFERROR(TRIM(INDEX($A107:$Z107,MATCH(Lists!$B$2,$A$1:$Z$1,0))&amp;""),""),4)),VALUE(MID(IFERROR(TRIM(INDEX($A107:$Z107,MATCH(Lists!$B$2,$A$1:$Z$1,0))&amp;""),""),6,2)),VALUE(MID(IFERROR(TRIM(INDEX($A107:$Z107,MATCH(Lists!$B$2,$A$1:$Z$1,0))&amp;""),""),9,2)))+TIME(VALUE(MID(IFERROR(TRIM(INDEX($A107:$Z107,MATCH(Lists!$B$2,$A$1:$Z$1,0))&amp;""),""),12,2)),VALUE(MID(IFERROR(TRIM(INDEX($A107:$Z107,MATCH(Lists!$B$2,$A$1:$Z$1,0))&amp;""),""),15,2)),VALUE(MID(IFERROR(TRIM(INDEX($A107:$Z107,MATCH(Lists!$B$2,$A$1:$Z$1,0))&amp;""),""),18,2)))),"")-ROW()/10^7),"")</f>
        <v/>
      </c>
    </row>
    <row r="108">
      <c r="AB108" s="36">
        <f>IF($AR108=1,COUNTIF($AS$2:$AS$201,"&lt;"&amp;$AS108)+1,"")</f>
        <v/>
      </c>
      <c r="AC108" s="37">
        <f>IFERROR(TRIM(INDEX($A108:$Z108,MATCH(Lists!$B$9,$A$1:$Z$1,0))&amp;""),"")</f>
        <v/>
      </c>
      <c r="AD108" s="37">
        <f>IF($AR108=1,IFERROR(TRIM(INDEX($A108:$Z108,MATCH(Lists!$B$10,$A$1:$Z$1,0))&amp;""),""),"")</f>
        <v/>
      </c>
      <c r="AE108" s="37">
        <f>IF($AR108=1,IFERROR(TRIM(INDEX($A108:$Z108,MATCH(Lists!$B$12,$A$1:$Z$1,0))&amp;""),""),"")</f>
        <v/>
      </c>
      <c r="AF108" s="38">
        <f>IF($AR108=1,IFERROR(IF(TRIM(INDEX($A108:$Z108,MATCH(Lists!$B$11,$A$1:$Z$1,0))&amp;"")="","",VALUE(TRIM(INDEX($A108:$Z108,MATCH(Lists!$B$11,$A$1:$Z$1,0))&amp;""))),""),"")</f>
        <v/>
      </c>
      <c r="AG108" s="38">
        <f>IF(OR($AR108=0,$AF108="",'Start here'!$F$10="",'Start here'!$F$11="",'Start here'!$F$12="",'Start here'!$F$13="",'Start here'!$F$14=""),"",IF($AF108&lt;'Start here'!$F$10,'Start here'!$F$11,IF($AF108&lt;'Start here'!$F$12,'Start here'!$F$13,'Start here'!$F$14)))</f>
        <v/>
      </c>
      <c r="AH108" s="38">
        <f>IF(OR($AG108="",'Start here'!$F$9=""),"",IF($AF108&lt;=0,"",IFERROR(MAX($AG108,ROUNDUP(ROUND($AF108*'Start here'!$F$9/$AG108,6),0)*$AG108),"")))</f>
        <v/>
      </c>
      <c r="AI108" s="37">
        <f>IF($AR108=0,"",IF($AN108=Lists!$B$19,"",IF(AND($AN108=Lists!$B$18,$AQ108&lt;&gt;""),$AQ108,IF(AND($AP108=Lists!$B$17,$AL108&lt;&gt;""),$AL108,$AK108))))</f>
        <v/>
      </c>
      <c r="AJ108" s="37">
        <f>IF($AR108=0,"",IF(IF($AF108="",", no value",IF($AF108&lt;=0,", no value",""))&amp;IF('Start here'!$F$15="","",IF(LEN($AD108)&lt;'Start here'!$F$15,", short description",""))="","OK",MID(IF($AF108="",", no value",IF($AF108&lt;=0,", no value",""))&amp;IF('Start here'!$F$15="","",IF(LEN($AD108)&lt;'Start here'!$F$15,", short description","")),3,200)))</f>
        <v/>
      </c>
      <c r="AK108" s="37">
        <f>IF($AR108=1,IFERROR(TRIM(INDEX($A108:$Z108,MATCH(Lists!$B$5,$A$1:$Z$1,0))&amp;""),""),"")</f>
        <v/>
      </c>
      <c r="AL108" s="37">
        <f>IF($AR108=1,IFERROR(TRIM(INDEX($A108:$Z108,MATCH(Lists!$B$4,$A$1:$Z$1,0))&amp;""),""),"")</f>
        <v/>
      </c>
      <c r="AM108" s="37">
        <f>IF($AR108=1,IFERROR(TRIM(INDEX($A108:$Z108,MATCH(Lists!$B$6,$A$1:$Z$1,0))&amp;""),""),"")</f>
        <v/>
      </c>
      <c r="AN108" s="37">
        <f>IF($AR108=1,IFERROR(TRIM(INDEX($A108:$Z108,MATCH(Lists!$B$7,$A$1:$Z$1,0))&amp;""),""),"")</f>
        <v/>
      </c>
      <c r="AO108" s="37">
        <f>IF($AR108=1,IFERROR(TRIM(INDEX($A108:$Z108,MATCH(Lists!$B$13,$A$1:$Z$1,0))&amp;""),""),"")</f>
        <v/>
      </c>
      <c r="AP108" s="37">
        <f>IF($AR108=1,IFERROR(TRIM(INDEX($A108:$Z108,MATCH(Lists!$B$3,$A$1:$Z$1,0))&amp;""),""),"")</f>
        <v/>
      </c>
      <c r="AQ108" s="37">
        <f>IF($AR108=1,IFERROR(TRIM(INDEX($A108:$Z108,MATCH(Lists!$B$8,$A$1:$Z$1,0))&amp;""),""),"")</f>
        <v/>
      </c>
      <c r="AR108" s="36">
        <f>IF(LEN($AC108)&gt;0,1,0)</f>
        <v/>
      </c>
      <c r="AS108" s="37">
        <f>IF($AR108=1,IF(IFERROR(IF(ISNUMBER(INDEX($A108:$Z108,MATCH(Lists!$B$2,$A$1:$Z$1,0))),INDEX($A108:$Z108,MATCH(Lists!$B$2,$A$1:$Z$1,0)),DATE(VALUE(LEFT(IFERROR(TRIM(INDEX($A108:$Z108,MATCH(Lists!$B$2,$A$1:$Z$1,0))&amp;""),""),4)),VALUE(MID(IFERROR(TRIM(INDEX($A108:$Z108,MATCH(Lists!$B$2,$A$1:$Z$1,0))&amp;""),""),6,2)),VALUE(MID(IFERROR(TRIM(INDEX($A108:$Z108,MATCH(Lists!$B$2,$A$1:$Z$1,0))&amp;""),""),9,2)))+TIME(VALUE(MID(IFERROR(TRIM(INDEX($A108:$Z108,MATCH(Lists!$B$2,$A$1:$Z$1,0))&amp;""),""),12,2)),VALUE(MID(IFERROR(TRIM(INDEX($A108:$Z108,MATCH(Lists!$B$2,$A$1:$Z$1,0))&amp;""),""),15,2)),VALUE(MID(IFERROR(TRIM(INDEX($A108:$Z108,MATCH(Lists!$B$2,$A$1:$Z$1,0))&amp;""),""),18,2)))),"")="",100000+ROW()/10^7,IFERROR(IF(ISNUMBER(INDEX($A108:$Z108,MATCH(Lists!$B$2,$A$1:$Z$1,0))),INDEX($A108:$Z108,MATCH(Lists!$B$2,$A$1:$Z$1,0)),DATE(VALUE(LEFT(IFERROR(TRIM(INDEX($A108:$Z108,MATCH(Lists!$B$2,$A$1:$Z$1,0))&amp;""),""),4)),VALUE(MID(IFERROR(TRIM(INDEX($A108:$Z108,MATCH(Lists!$B$2,$A$1:$Z$1,0))&amp;""),""),6,2)),VALUE(MID(IFERROR(TRIM(INDEX($A108:$Z108,MATCH(Lists!$B$2,$A$1:$Z$1,0))&amp;""),""),9,2)))+TIME(VALUE(MID(IFERROR(TRIM(INDEX($A108:$Z108,MATCH(Lists!$B$2,$A$1:$Z$1,0))&amp;""),""),12,2)),VALUE(MID(IFERROR(TRIM(INDEX($A108:$Z108,MATCH(Lists!$B$2,$A$1:$Z$1,0))&amp;""),""),15,2)),VALUE(MID(IFERROR(TRIM(INDEX($A108:$Z108,MATCH(Lists!$B$2,$A$1:$Z$1,0))&amp;""),""),18,2)))),"")-ROW()/10^7),"")</f>
        <v/>
      </c>
    </row>
    <row r="109">
      <c r="AB109" s="36">
        <f>IF($AR109=1,COUNTIF($AS$2:$AS$201,"&lt;"&amp;$AS109)+1,"")</f>
        <v/>
      </c>
      <c r="AC109" s="37">
        <f>IFERROR(TRIM(INDEX($A109:$Z109,MATCH(Lists!$B$9,$A$1:$Z$1,0))&amp;""),"")</f>
        <v/>
      </c>
      <c r="AD109" s="37">
        <f>IF($AR109=1,IFERROR(TRIM(INDEX($A109:$Z109,MATCH(Lists!$B$10,$A$1:$Z$1,0))&amp;""),""),"")</f>
        <v/>
      </c>
      <c r="AE109" s="37">
        <f>IF($AR109=1,IFERROR(TRIM(INDEX($A109:$Z109,MATCH(Lists!$B$12,$A$1:$Z$1,0))&amp;""),""),"")</f>
        <v/>
      </c>
      <c r="AF109" s="38">
        <f>IF($AR109=1,IFERROR(IF(TRIM(INDEX($A109:$Z109,MATCH(Lists!$B$11,$A$1:$Z$1,0))&amp;"")="","",VALUE(TRIM(INDEX($A109:$Z109,MATCH(Lists!$B$11,$A$1:$Z$1,0))&amp;""))),""),"")</f>
        <v/>
      </c>
      <c r="AG109" s="38">
        <f>IF(OR($AR109=0,$AF109="",'Start here'!$F$10="",'Start here'!$F$11="",'Start here'!$F$12="",'Start here'!$F$13="",'Start here'!$F$14=""),"",IF($AF109&lt;'Start here'!$F$10,'Start here'!$F$11,IF($AF109&lt;'Start here'!$F$12,'Start here'!$F$13,'Start here'!$F$14)))</f>
        <v/>
      </c>
      <c r="AH109" s="38">
        <f>IF(OR($AG109="",'Start here'!$F$9=""),"",IF($AF109&lt;=0,"",IFERROR(MAX($AG109,ROUNDUP(ROUND($AF109*'Start here'!$F$9/$AG109,6),0)*$AG109),"")))</f>
        <v/>
      </c>
      <c r="AI109" s="37">
        <f>IF($AR109=0,"",IF($AN109=Lists!$B$19,"",IF(AND($AN109=Lists!$B$18,$AQ109&lt;&gt;""),$AQ109,IF(AND($AP109=Lists!$B$17,$AL109&lt;&gt;""),$AL109,$AK109))))</f>
        <v/>
      </c>
      <c r="AJ109" s="37">
        <f>IF($AR109=0,"",IF(IF($AF109="",", no value",IF($AF109&lt;=0,", no value",""))&amp;IF('Start here'!$F$15="","",IF(LEN($AD109)&lt;'Start here'!$F$15,", short description",""))="","OK",MID(IF($AF109="",", no value",IF($AF109&lt;=0,", no value",""))&amp;IF('Start here'!$F$15="","",IF(LEN($AD109)&lt;'Start here'!$F$15,", short description","")),3,200)))</f>
        <v/>
      </c>
      <c r="AK109" s="37">
        <f>IF($AR109=1,IFERROR(TRIM(INDEX($A109:$Z109,MATCH(Lists!$B$5,$A$1:$Z$1,0))&amp;""),""),"")</f>
        <v/>
      </c>
      <c r="AL109" s="37">
        <f>IF($AR109=1,IFERROR(TRIM(INDEX($A109:$Z109,MATCH(Lists!$B$4,$A$1:$Z$1,0))&amp;""),""),"")</f>
        <v/>
      </c>
      <c r="AM109" s="37">
        <f>IF($AR109=1,IFERROR(TRIM(INDEX($A109:$Z109,MATCH(Lists!$B$6,$A$1:$Z$1,0))&amp;""),""),"")</f>
        <v/>
      </c>
      <c r="AN109" s="37">
        <f>IF($AR109=1,IFERROR(TRIM(INDEX($A109:$Z109,MATCH(Lists!$B$7,$A$1:$Z$1,0))&amp;""),""),"")</f>
        <v/>
      </c>
      <c r="AO109" s="37">
        <f>IF($AR109=1,IFERROR(TRIM(INDEX($A109:$Z109,MATCH(Lists!$B$13,$A$1:$Z$1,0))&amp;""),""),"")</f>
        <v/>
      </c>
      <c r="AP109" s="37">
        <f>IF($AR109=1,IFERROR(TRIM(INDEX($A109:$Z109,MATCH(Lists!$B$3,$A$1:$Z$1,0))&amp;""),""),"")</f>
        <v/>
      </c>
      <c r="AQ109" s="37">
        <f>IF($AR109=1,IFERROR(TRIM(INDEX($A109:$Z109,MATCH(Lists!$B$8,$A$1:$Z$1,0))&amp;""),""),"")</f>
        <v/>
      </c>
      <c r="AR109" s="36">
        <f>IF(LEN($AC109)&gt;0,1,0)</f>
        <v/>
      </c>
      <c r="AS109" s="37">
        <f>IF($AR109=1,IF(IFERROR(IF(ISNUMBER(INDEX($A109:$Z109,MATCH(Lists!$B$2,$A$1:$Z$1,0))),INDEX($A109:$Z109,MATCH(Lists!$B$2,$A$1:$Z$1,0)),DATE(VALUE(LEFT(IFERROR(TRIM(INDEX($A109:$Z109,MATCH(Lists!$B$2,$A$1:$Z$1,0))&amp;""),""),4)),VALUE(MID(IFERROR(TRIM(INDEX($A109:$Z109,MATCH(Lists!$B$2,$A$1:$Z$1,0))&amp;""),""),6,2)),VALUE(MID(IFERROR(TRIM(INDEX($A109:$Z109,MATCH(Lists!$B$2,$A$1:$Z$1,0))&amp;""),""),9,2)))+TIME(VALUE(MID(IFERROR(TRIM(INDEX($A109:$Z109,MATCH(Lists!$B$2,$A$1:$Z$1,0))&amp;""),""),12,2)),VALUE(MID(IFERROR(TRIM(INDEX($A109:$Z109,MATCH(Lists!$B$2,$A$1:$Z$1,0))&amp;""),""),15,2)),VALUE(MID(IFERROR(TRIM(INDEX($A109:$Z109,MATCH(Lists!$B$2,$A$1:$Z$1,0))&amp;""),""),18,2)))),"")="",100000+ROW()/10^7,IFERROR(IF(ISNUMBER(INDEX($A109:$Z109,MATCH(Lists!$B$2,$A$1:$Z$1,0))),INDEX($A109:$Z109,MATCH(Lists!$B$2,$A$1:$Z$1,0)),DATE(VALUE(LEFT(IFERROR(TRIM(INDEX($A109:$Z109,MATCH(Lists!$B$2,$A$1:$Z$1,0))&amp;""),""),4)),VALUE(MID(IFERROR(TRIM(INDEX($A109:$Z109,MATCH(Lists!$B$2,$A$1:$Z$1,0))&amp;""),""),6,2)),VALUE(MID(IFERROR(TRIM(INDEX($A109:$Z109,MATCH(Lists!$B$2,$A$1:$Z$1,0))&amp;""),""),9,2)))+TIME(VALUE(MID(IFERROR(TRIM(INDEX($A109:$Z109,MATCH(Lists!$B$2,$A$1:$Z$1,0))&amp;""),""),12,2)),VALUE(MID(IFERROR(TRIM(INDEX($A109:$Z109,MATCH(Lists!$B$2,$A$1:$Z$1,0))&amp;""),""),15,2)),VALUE(MID(IFERROR(TRIM(INDEX($A109:$Z109,MATCH(Lists!$B$2,$A$1:$Z$1,0))&amp;""),""),18,2)))),"")-ROW()/10^7),"")</f>
        <v/>
      </c>
    </row>
    <row r="110">
      <c r="AB110" s="36">
        <f>IF($AR110=1,COUNTIF($AS$2:$AS$201,"&lt;"&amp;$AS110)+1,"")</f>
        <v/>
      </c>
      <c r="AC110" s="37">
        <f>IFERROR(TRIM(INDEX($A110:$Z110,MATCH(Lists!$B$9,$A$1:$Z$1,0))&amp;""),"")</f>
        <v/>
      </c>
      <c r="AD110" s="37">
        <f>IF($AR110=1,IFERROR(TRIM(INDEX($A110:$Z110,MATCH(Lists!$B$10,$A$1:$Z$1,0))&amp;""),""),"")</f>
        <v/>
      </c>
      <c r="AE110" s="37">
        <f>IF($AR110=1,IFERROR(TRIM(INDEX($A110:$Z110,MATCH(Lists!$B$12,$A$1:$Z$1,0))&amp;""),""),"")</f>
        <v/>
      </c>
      <c r="AF110" s="38">
        <f>IF($AR110=1,IFERROR(IF(TRIM(INDEX($A110:$Z110,MATCH(Lists!$B$11,$A$1:$Z$1,0))&amp;"")="","",VALUE(TRIM(INDEX($A110:$Z110,MATCH(Lists!$B$11,$A$1:$Z$1,0))&amp;""))),""),"")</f>
        <v/>
      </c>
      <c r="AG110" s="38">
        <f>IF(OR($AR110=0,$AF110="",'Start here'!$F$10="",'Start here'!$F$11="",'Start here'!$F$12="",'Start here'!$F$13="",'Start here'!$F$14=""),"",IF($AF110&lt;'Start here'!$F$10,'Start here'!$F$11,IF($AF110&lt;'Start here'!$F$12,'Start here'!$F$13,'Start here'!$F$14)))</f>
        <v/>
      </c>
      <c r="AH110" s="38">
        <f>IF(OR($AG110="",'Start here'!$F$9=""),"",IF($AF110&lt;=0,"",IFERROR(MAX($AG110,ROUNDUP(ROUND($AF110*'Start here'!$F$9/$AG110,6),0)*$AG110),"")))</f>
        <v/>
      </c>
      <c r="AI110" s="37">
        <f>IF($AR110=0,"",IF($AN110=Lists!$B$19,"",IF(AND($AN110=Lists!$B$18,$AQ110&lt;&gt;""),$AQ110,IF(AND($AP110=Lists!$B$17,$AL110&lt;&gt;""),$AL110,$AK110))))</f>
        <v/>
      </c>
      <c r="AJ110" s="37">
        <f>IF($AR110=0,"",IF(IF($AF110="",", no value",IF($AF110&lt;=0,", no value",""))&amp;IF('Start here'!$F$15="","",IF(LEN($AD110)&lt;'Start here'!$F$15,", short description",""))="","OK",MID(IF($AF110="",", no value",IF($AF110&lt;=0,", no value",""))&amp;IF('Start here'!$F$15="","",IF(LEN($AD110)&lt;'Start here'!$F$15,", short description","")),3,200)))</f>
        <v/>
      </c>
      <c r="AK110" s="37">
        <f>IF($AR110=1,IFERROR(TRIM(INDEX($A110:$Z110,MATCH(Lists!$B$5,$A$1:$Z$1,0))&amp;""),""),"")</f>
        <v/>
      </c>
      <c r="AL110" s="37">
        <f>IF($AR110=1,IFERROR(TRIM(INDEX($A110:$Z110,MATCH(Lists!$B$4,$A$1:$Z$1,0))&amp;""),""),"")</f>
        <v/>
      </c>
      <c r="AM110" s="37">
        <f>IF($AR110=1,IFERROR(TRIM(INDEX($A110:$Z110,MATCH(Lists!$B$6,$A$1:$Z$1,0))&amp;""),""),"")</f>
        <v/>
      </c>
      <c r="AN110" s="37">
        <f>IF($AR110=1,IFERROR(TRIM(INDEX($A110:$Z110,MATCH(Lists!$B$7,$A$1:$Z$1,0))&amp;""),""),"")</f>
        <v/>
      </c>
      <c r="AO110" s="37">
        <f>IF($AR110=1,IFERROR(TRIM(INDEX($A110:$Z110,MATCH(Lists!$B$13,$A$1:$Z$1,0))&amp;""),""),"")</f>
        <v/>
      </c>
      <c r="AP110" s="37">
        <f>IF($AR110=1,IFERROR(TRIM(INDEX($A110:$Z110,MATCH(Lists!$B$3,$A$1:$Z$1,0))&amp;""),""),"")</f>
        <v/>
      </c>
      <c r="AQ110" s="37">
        <f>IF($AR110=1,IFERROR(TRIM(INDEX($A110:$Z110,MATCH(Lists!$B$8,$A$1:$Z$1,0))&amp;""),""),"")</f>
        <v/>
      </c>
      <c r="AR110" s="36">
        <f>IF(LEN($AC110)&gt;0,1,0)</f>
        <v/>
      </c>
      <c r="AS110" s="37">
        <f>IF($AR110=1,IF(IFERROR(IF(ISNUMBER(INDEX($A110:$Z110,MATCH(Lists!$B$2,$A$1:$Z$1,0))),INDEX($A110:$Z110,MATCH(Lists!$B$2,$A$1:$Z$1,0)),DATE(VALUE(LEFT(IFERROR(TRIM(INDEX($A110:$Z110,MATCH(Lists!$B$2,$A$1:$Z$1,0))&amp;""),""),4)),VALUE(MID(IFERROR(TRIM(INDEX($A110:$Z110,MATCH(Lists!$B$2,$A$1:$Z$1,0))&amp;""),""),6,2)),VALUE(MID(IFERROR(TRIM(INDEX($A110:$Z110,MATCH(Lists!$B$2,$A$1:$Z$1,0))&amp;""),""),9,2)))+TIME(VALUE(MID(IFERROR(TRIM(INDEX($A110:$Z110,MATCH(Lists!$B$2,$A$1:$Z$1,0))&amp;""),""),12,2)),VALUE(MID(IFERROR(TRIM(INDEX($A110:$Z110,MATCH(Lists!$B$2,$A$1:$Z$1,0))&amp;""),""),15,2)),VALUE(MID(IFERROR(TRIM(INDEX($A110:$Z110,MATCH(Lists!$B$2,$A$1:$Z$1,0))&amp;""),""),18,2)))),"")="",100000+ROW()/10^7,IFERROR(IF(ISNUMBER(INDEX($A110:$Z110,MATCH(Lists!$B$2,$A$1:$Z$1,0))),INDEX($A110:$Z110,MATCH(Lists!$B$2,$A$1:$Z$1,0)),DATE(VALUE(LEFT(IFERROR(TRIM(INDEX($A110:$Z110,MATCH(Lists!$B$2,$A$1:$Z$1,0))&amp;""),""),4)),VALUE(MID(IFERROR(TRIM(INDEX($A110:$Z110,MATCH(Lists!$B$2,$A$1:$Z$1,0))&amp;""),""),6,2)),VALUE(MID(IFERROR(TRIM(INDEX($A110:$Z110,MATCH(Lists!$B$2,$A$1:$Z$1,0))&amp;""),""),9,2)))+TIME(VALUE(MID(IFERROR(TRIM(INDEX($A110:$Z110,MATCH(Lists!$B$2,$A$1:$Z$1,0))&amp;""),""),12,2)),VALUE(MID(IFERROR(TRIM(INDEX($A110:$Z110,MATCH(Lists!$B$2,$A$1:$Z$1,0))&amp;""),""),15,2)),VALUE(MID(IFERROR(TRIM(INDEX($A110:$Z110,MATCH(Lists!$B$2,$A$1:$Z$1,0))&amp;""),""),18,2)))),"")-ROW()/10^7),"")</f>
        <v/>
      </c>
    </row>
    <row r="111">
      <c r="AB111" s="36">
        <f>IF($AR111=1,COUNTIF($AS$2:$AS$201,"&lt;"&amp;$AS111)+1,"")</f>
        <v/>
      </c>
      <c r="AC111" s="37">
        <f>IFERROR(TRIM(INDEX($A111:$Z111,MATCH(Lists!$B$9,$A$1:$Z$1,0))&amp;""),"")</f>
        <v/>
      </c>
      <c r="AD111" s="37">
        <f>IF($AR111=1,IFERROR(TRIM(INDEX($A111:$Z111,MATCH(Lists!$B$10,$A$1:$Z$1,0))&amp;""),""),"")</f>
        <v/>
      </c>
      <c r="AE111" s="37">
        <f>IF($AR111=1,IFERROR(TRIM(INDEX($A111:$Z111,MATCH(Lists!$B$12,$A$1:$Z$1,0))&amp;""),""),"")</f>
        <v/>
      </c>
      <c r="AF111" s="38">
        <f>IF($AR111=1,IFERROR(IF(TRIM(INDEX($A111:$Z111,MATCH(Lists!$B$11,$A$1:$Z$1,0))&amp;"")="","",VALUE(TRIM(INDEX($A111:$Z111,MATCH(Lists!$B$11,$A$1:$Z$1,0))&amp;""))),""),"")</f>
        <v/>
      </c>
      <c r="AG111" s="38">
        <f>IF(OR($AR111=0,$AF111="",'Start here'!$F$10="",'Start here'!$F$11="",'Start here'!$F$12="",'Start here'!$F$13="",'Start here'!$F$14=""),"",IF($AF111&lt;'Start here'!$F$10,'Start here'!$F$11,IF($AF111&lt;'Start here'!$F$12,'Start here'!$F$13,'Start here'!$F$14)))</f>
        <v/>
      </c>
      <c r="AH111" s="38">
        <f>IF(OR($AG111="",'Start here'!$F$9=""),"",IF($AF111&lt;=0,"",IFERROR(MAX($AG111,ROUNDUP(ROUND($AF111*'Start here'!$F$9/$AG111,6),0)*$AG111),"")))</f>
        <v/>
      </c>
      <c r="AI111" s="37">
        <f>IF($AR111=0,"",IF($AN111=Lists!$B$19,"",IF(AND($AN111=Lists!$B$18,$AQ111&lt;&gt;""),$AQ111,IF(AND($AP111=Lists!$B$17,$AL111&lt;&gt;""),$AL111,$AK111))))</f>
        <v/>
      </c>
      <c r="AJ111" s="37">
        <f>IF($AR111=0,"",IF(IF($AF111="",", no value",IF($AF111&lt;=0,", no value",""))&amp;IF('Start here'!$F$15="","",IF(LEN($AD111)&lt;'Start here'!$F$15,", short description",""))="","OK",MID(IF($AF111="",", no value",IF($AF111&lt;=0,", no value",""))&amp;IF('Start here'!$F$15="","",IF(LEN($AD111)&lt;'Start here'!$F$15,", short description","")),3,200)))</f>
        <v/>
      </c>
      <c r="AK111" s="37">
        <f>IF($AR111=1,IFERROR(TRIM(INDEX($A111:$Z111,MATCH(Lists!$B$5,$A$1:$Z$1,0))&amp;""),""),"")</f>
        <v/>
      </c>
      <c r="AL111" s="37">
        <f>IF($AR111=1,IFERROR(TRIM(INDEX($A111:$Z111,MATCH(Lists!$B$4,$A$1:$Z$1,0))&amp;""),""),"")</f>
        <v/>
      </c>
      <c r="AM111" s="37">
        <f>IF($AR111=1,IFERROR(TRIM(INDEX($A111:$Z111,MATCH(Lists!$B$6,$A$1:$Z$1,0))&amp;""),""),"")</f>
        <v/>
      </c>
      <c r="AN111" s="37">
        <f>IF($AR111=1,IFERROR(TRIM(INDEX($A111:$Z111,MATCH(Lists!$B$7,$A$1:$Z$1,0))&amp;""),""),"")</f>
        <v/>
      </c>
      <c r="AO111" s="37">
        <f>IF($AR111=1,IFERROR(TRIM(INDEX($A111:$Z111,MATCH(Lists!$B$13,$A$1:$Z$1,0))&amp;""),""),"")</f>
        <v/>
      </c>
      <c r="AP111" s="37">
        <f>IF($AR111=1,IFERROR(TRIM(INDEX($A111:$Z111,MATCH(Lists!$B$3,$A$1:$Z$1,0))&amp;""),""),"")</f>
        <v/>
      </c>
      <c r="AQ111" s="37">
        <f>IF($AR111=1,IFERROR(TRIM(INDEX($A111:$Z111,MATCH(Lists!$B$8,$A$1:$Z$1,0))&amp;""),""),"")</f>
        <v/>
      </c>
      <c r="AR111" s="36">
        <f>IF(LEN($AC111)&gt;0,1,0)</f>
        <v/>
      </c>
      <c r="AS111" s="37">
        <f>IF($AR111=1,IF(IFERROR(IF(ISNUMBER(INDEX($A111:$Z111,MATCH(Lists!$B$2,$A$1:$Z$1,0))),INDEX($A111:$Z111,MATCH(Lists!$B$2,$A$1:$Z$1,0)),DATE(VALUE(LEFT(IFERROR(TRIM(INDEX($A111:$Z111,MATCH(Lists!$B$2,$A$1:$Z$1,0))&amp;""),""),4)),VALUE(MID(IFERROR(TRIM(INDEX($A111:$Z111,MATCH(Lists!$B$2,$A$1:$Z$1,0))&amp;""),""),6,2)),VALUE(MID(IFERROR(TRIM(INDEX($A111:$Z111,MATCH(Lists!$B$2,$A$1:$Z$1,0))&amp;""),""),9,2)))+TIME(VALUE(MID(IFERROR(TRIM(INDEX($A111:$Z111,MATCH(Lists!$B$2,$A$1:$Z$1,0))&amp;""),""),12,2)),VALUE(MID(IFERROR(TRIM(INDEX($A111:$Z111,MATCH(Lists!$B$2,$A$1:$Z$1,0))&amp;""),""),15,2)),VALUE(MID(IFERROR(TRIM(INDEX($A111:$Z111,MATCH(Lists!$B$2,$A$1:$Z$1,0))&amp;""),""),18,2)))),"")="",100000+ROW()/10^7,IFERROR(IF(ISNUMBER(INDEX($A111:$Z111,MATCH(Lists!$B$2,$A$1:$Z$1,0))),INDEX($A111:$Z111,MATCH(Lists!$B$2,$A$1:$Z$1,0)),DATE(VALUE(LEFT(IFERROR(TRIM(INDEX($A111:$Z111,MATCH(Lists!$B$2,$A$1:$Z$1,0))&amp;""),""),4)),VALUE(MID(IFERROR(TRIM(INDEX($A111:$Z111,MATCH(Lists!$B$2,$A$1:$Z$1,0))&amp;""),""),6,2)),VALUE(MID(IFERROR(TRIM(INDEX($A111:$Z111,MATCH(Lists!$B$2,$A$1:$Z$1,0))&amp;""),""),9,2)))+TIME(VALUE(MID(IFERROR(TRIM(INDEX($A111:$Z111,MATCH(Lists!$B$2,$A$1:$Z$1,0))&amp;""),""),12,2)),VALUE(MID(IFERROR(TRIM(INDEX($A111:$Z111,MATCH(Lists!$B$2,$A$1:$Z$1,0))&amp;""),""),15,2)),VALUE(MID(IFERROR(TRIM(INDEX($A111:$Z111,MATCH(Lists!$B$2,$A$1:$Z$1,0))&amp;""),""),18,2)))),"")-ROW()/10^7),"")</f>
        <v/>
      </c>
    </row>
    <row r="112">
      <c r="AB112" s="36">
        <f>IF($AR112=1,COUNTIF($AS$2:$AS$201,"&lt;"&amp;$AS112)+1,"")</f>
        <v/>
      </c>
      <c r="AC112" s="37">
        <f>IFERROR(TRIM(INDEX($A112:$Z112,MATCH(Lists!$B$9,$A$1:$Z$1,0))&amp;""),"")</f>
        <v/>
      </c>
      <c r="AD112" s="37">
        <f>IF($AR112=1,IFERROR(TRIM(INDEX($A112:$Z112,MATCH(Lists!$B$10,$A$1:$Z$1,0))&amp;""),""),"")</f>
        <v/>
      </c>
      <c r="AE112" s="37">
        <f>IF($AR112=1,IFERROR(TRIM(INDEX($A112:$Z112,MATCH(Lists!$B$12,$A$1:$Z$1,0))&amp;""),""),"")</f>
        <v/>
      </c>
      <c r="AF112" s="38">
        <f>IF($AR112=1,IFERROR(IF(TRIM(INDEX($A112:$Z112,MATCH(Lists!$B$11,$A$1:$Z$1,0))&amp;"")="","",VALUE(TRIM(INDEX($A112:$Z112,MATCH(Lists!$B$11,$A$1:$Z$1,0))&amp;""))),""),"")</f>
        <v/>
      </c>
      <c r="AG112" s="38">
        <f>IF(OR($AR112=0,$AF112="",'Start here'!$F$10="",'Start here'!$F$11="",'Start here'!$F$12="",'Start here'!$F$13="",'Start here'!$F$14=""),"",IF($AF112&lt;'Start here'!$F$10,'Start here'!$F$11,IF($AF112&lt;'Start here'!$F$12,'Start here'!$F$13,'Start here'!$F$14)))</f>
        <v/>
      </c>
      <c r="AH112" s="38">
        <f>IF(OR($AG112="",'Start here'!$F$9=""),"",IF($AF112&lt;=0,"",IFERROR(MAX($AG112,ROUNDUP(ROUND($AF112*'Start here'!$F$9/$AG112,6),0)*$AG112),"")))</f>
        <v/>
      </c>
      <c r="AI112" s="37">
        <f>IF($AR112=0,"",IF($AN112=Lists!$B$19,"",IF(AND($AN112=Lists!$B$18,$AQ112&lt;&gt;""),$AQ112,IF(AND($AP112=Lists!$B$17,$AL112&lt;&gt;""),$AL112,$AK112))))</f>
        <v/>
      </c>
      <c r="AJ112" s="37">
        <f>IF($AR112=0,"",IF(IF($AF112="",", no value",IF($AF112&lt;=0,", no value",""))&amp;IF('Start here'!$F$15="","",IF(LEN($AD112)&lt;'Start here'!$F$15,", short description",""))="","OK",MID(IF($AF112="",", no value",IF($AF112&lt;=0,", no value",""))&amp;IF('Start here'!$F$15="","",IF(LEN($AD112)&lt;'Start here'!$F$15,", short description","")),3,200)))</f>
        <v/>
      </c>
      <c r="AK112" s="37">
        <f>IF($AR112=1,IFERROR(TRIM(INDEX($A112:$Z112,MATCH(Lists!$B$5,$A$1:$Z$1,0))&amp;""),""),"")</f>
        <v/>
      </c>
      <c r="AL112" s="37">
        <f>IF($AR112=1,IFERROR(TRIM(INDEX($A112:$Z112,MATCH(Lists!$B$4,$A$1:$Z$1,0))&amp;""),""),"")</f>
        <v/>
      </c>
      <c r="AM112" s="37">
        <f>IF($AR112=1,IFERROR(TRIM(INDEX($A112:$Z112,MATCH(Lists!$B$6,$A$1:$Z$1,0))&amp;""),""),"")</f>
        <v/>
      </c>
      <c r="AN112" s="37">
        <f>IF($AR112=1,IFERROR(TRIM(INDEX($A112:$Z112,MATCH(Lists!$B$7,$A$1:$Z$1,0))&amp;""),""),"")</f>
        <v/>
      </c>
      <c r="AO112" s="37">
        <f>IF($AR112=1,IFERROR(TRIM(INDEX($A112:$Z112,MATCH(Lists!$B$13,$A$1:$Z$1,0))&amp;""),""),"")</f>
        <v/>
      </c>
      <c r="AP112" s="37">
        <f>IF($AR112=1,IFERROR(TRIM(INDEX($A112:$Z112,MATCH(Lists!$B$3,$A$1:$Z$1,0))&amp;""),""),"")</f>
        <v/>
      </c>
      <c r="AQ112" s="37">
        <f>IF($AR112=1,IFERROR(TRIM(INDEX($A112:$Z112,MATCH(Lists!$B$8,$A$1:$Z$1,0))&amp;""),""),"")</f>
        <v/>
      </c>
      <c r="AR112" s="36">
        <f>IF(LEN($AC112)&gt;0,1,0)</f>
        <v/>
      </c>
      <c r="AS112" s="37">
        <f>IF($AR112=1,IF(IFERROR(IF(ISNUMBER(INDEX($A112:$Z112,MATCH(Lists!$B$2,$A$1:$Z$1,0))),INDEX($A112:$Z112,MATCH(Lists!$B$2,$A$1:$Z$1,0)),DATE(VALUE(LEFT(IFERROR(TRIM(INDEX($A112:$Z112,MATCH(Lists!$B$2,$A$1:$Z$1,0))&amp;""),""),4)),VALUE(MID(IFERROR(TRIM(INDEX($A112:$Z112,MATCH(Lists!$B$2,$A$1:$Z$1,0))&amp;""),""),6,2)),VALUE(MID(IFERROR(TRIM(INDEX($A112:$Z112,MATCH(Lists!$B$2,$A$1:$Z$1,0))&amp;""),""),9,2)))+TIME(VALUE(MID(IFERROR(TRIM(INDEX($A112:$Z112,MATCH(Lists!$B$2,$A$1:$Z$1,0))&amp;""),""),12,2)),VALUE(MID(IFERROR(TRIM(INDEX($A112:$Z112,MATCH(Lists!$B$2,$A$1:$Z$1,0))&amp;""),""),15,2)),VALUE(MID(IFERROR(TRIM(INDEX($A112:$Z112,MATCH(Lists!$B$2,$A$1:$Z$1,0))&amp;""),""),18,2)))),"")="",100000+ROW()/10^7,IFERROR(IF(ISNUMBER(INDEX($A112:$Z112,MATCH(Lists!$B$2,$A$1:$Z$1,0))),INDEX($A112:$Z112,MATCH(Lists!$B$2,$A$1:$Z$1,0)),DATE(VALUE(LEFT(IFERROR(TRIM(INDEX($A112:$Z112,MATCH(Lists!$B$2,$A$1:$Z$1,0))&amp;""),""),4)),VALUE(MID(IFERROR(TRIM(INDEX($A112:$Z112,MATCH(Lists!$B$2,$A$1:$Z$1,0))&amp;""),""),6,2)),VALUE(MID(IFERROR(TRIM(INDEX($A112:$Z112,MATCH(Lists!$B$2,$A$1:$Z$1,0))&amp;""),""),9,2)))+TIME(VALUE(MID(IFERROR(TRIM(INDEX($A112:$Z112,MATCH(Lists!$B$2,$A$1:$Z$1,0))&amp;""),""),12,2)),VALUE(MID(IFERROR(TRIM(INDEX($A112:$Z112,MATCH(Lists!$B$2,$A$1:$Z$1,0))&amp;""),""),15,2)),VALUE(MID(IFERROR(TRIM(INDEX($A112:$Z112,MATCH(Lists!$B$2,$A$1:$Z$1,0))&amp;""),""),18,2)))),"")-ROW()/10^7),"")</f>
        <v/>
      </c>
    </row>
    <row r="113">
      <c r="AB113" s="36">
        <f>IF($AR113=1,COUNTIF($AS$2:$AS$201,"&lt;"&amp;$AS113)+1,"")</f>
        <v/>
      </c>
      <c r="AC113" s="37">
        <f>IFERROR(TRIM(INDEX($A113:$Z113,MATCH(Lists!$B$9,$A$1:$Z$1,0))&amp;""),"")</f>
        <v/>
      </c>
      <c r="AD113" s="37">
        <f>IF($AR113=1,IFERROR(TRIM(INDEX($A113:$Z113,MATCH(Lists!$B$10,$A$1:$Z$1,0))&amp;""),""),"")</f>
        <v/>
      </c>
      <c r="AE113" s="37">
        <f>IF($AR113=1,IFERROR(TRIM(INDEX($A113:$Z113,MATCH(Lists!$B$12,$A$1:$Z$1,0))&amp;""),""),"")</f>
        <v/>
      </c>
      <c r="AF113" s="38">
        <f>IF($AR113=1,IFERROR(IF(TRIM(INDEX($A113:$Z113,MATCH(Lists!$B$11,$A$1:$Z$1,0))&amp;"")="","",VALUE(TRIM(INDEX($A113:$Z113,MATCH(Lists!$B$11,$A$1:$Z$1,0))&amp;""))),""),"")</f>
        <v/>
      </c>
      <c r="AG113" s="38">
        <f>IF(OR($AR113=0,$AF113="",'Start here'!$F$10="",'Start here'!$F$11="",'Start here'!$F$12="",'Start here'!$F$13="",'Start here'!$F$14=""),"",IF($AF113&lt;'Start here'!$F$10,'Start here'!$F$11,IF($AF113&lt;'Start here'!$F$12,'Start here'!$F$13,'Start here'!$F$14)))</f>
        <v/>
      </c>
      <c r="AH113" s="38">
        <f>IF(OR($AG113="",'Start here'!$F$9=""),"",IF($AF113&lt;=0,"",IFERROR(MAX($AG113,ROUNDUP(ROUND($AF113*'Start here'!$F$9/$AG113,6),0)*$AG113),"")))</f>
        <v/>
      </c>
      <c r="AI113" s="37">
        <f>IF($AR113=0,"",IF($AN113=Lists!$B$19,"",IF(AND($AN113=Lists!$B$18,$AQ113&lt;&gt;""),$AQ113,IF(AND($AP113=Lists!$B$17,$AL113&lt;&gt;""),$AL113,$AK113))))</f>
        <v/>
      </c>
      <c r="AJ113" s="37">
        <f>IF($AR113=0,"",IF(IF($AF113="",", no value",IF($AF113&lt;=0,", no value",""))&amp;IF('Start here'!$F$15="","",IF(LEN($AD113)&lt;'Start here'!$F$15,", short description",""))="","OK",MID(IF($AF113="",", no value",IF($AF113&lt;=0,", no value",""))&amp;IF('Start here'!$F$15="","",IF(LEN($AD113)&lt;'Start here'!$F$15,", short description","")),3,200)))</f>
        <v/>
      </c>
      <c r="AK113" s="37">
        <f>IF($AR113=1,IFERROR(TRIM(INDEX($A113:$Z113,MATCH(Lists!$B$5,$A$1:$Z$1,0))&amp;""),""),"")</f>
        <v/>
      </c>
      <c r="AL113" s="37">
        <f>IF($AR113=1,IFERROR(TRIM(INDEX($A113:$Z113,MATCH(Lists!$B$4,$A$1:$Z$1,0))&amp;""),""),"")</f>
        <v/>
      </c>
      <c r="AM113" s="37">
        <f>IF($AR113=1,IFERROR(TRIM(INDEX($A113:$Z113,MATCH(Lists!$B$6,$A$1:$Z$1,0))&amp;""),""),"")</f>
        <v/>
      </c>
      <c r="AN113" s="37">
        <f>IF($AR113=1,IFERROR(TRIM(INDEX($A113:$Z113,MATCH(Lists!$B$7,$A$1:$Z$1,0))&amp;""),""),"")</f>
        <v/>
      </c>
      <c r="AO113" s="37">
        <f>IF($AR113=1,IFERROR(TRIM(INDEX($A113:$Z113,MATCH(Lists!$B$13,$A$1:$Z$1,0))&amp;""),""),"")</f>
        <v/>
      </c>
      <c r="AP113" s="37">
        <f>IF($AR113=1,IFERROR(TRIM(INDEX($A113:$Z113,MATCH(Lists!$B$3,$A$1:$Z$1,0))&amp;""),""),"")</f>
        <v/>
      </c>
      <c r="AQ113" s="37">
        <f>IF($AR113=1,IFERROR(TRIM(INDEX($A113:$Z113,MATCH(Lists!$B$8,$A$1:$Z$1,0))&amp;""),""),"")</f>
        <v/>
      </c>
      <c r="AR113" s="36">
        <f>IF(LEN($AC113)&gt;0,1,0)</f>
        <v/>
      </c>
      <c r="AS113" s="37">
        <f>IF($AR113=1,IF(IFERROR(IF(ISNUMBER(INDEX($A113:$Z113,MATCH(Lists!$B$2,$A$1:$Z$1,0))),INDEX($A113:$Z113,MATCH(Lists!$B$2,$A$1:$Z$1,0)),DATE(VALUE(LEFT(IFERROR(TRIM(INDEX($A113:$Z113,MATCH(Lists!$B$2,$A$1:$Z$1,0))&amp;""),""),4)),VALUE(MID(IFERROR(TRIM(INDEX($A113:$Z113,MATCH(Lists!$B$2,$A$1:$Z$1,0))&amp;""),""),6,2)),VALUE(MID(IFERROR(TRIM(INDEX($A113:$Z113,MATCH(Lists!$B$2,$A$1:$Z$1,0))&amp;""),""),9,2)))+TIME(VALUE(MID(IFERROR(TRIM(INDEX($A113:$Z113,MATCH(Lists!$B$2,$A$1:$Z$1,0))&amp;""),""),12,2)),VALUE(MID(IFERROR(TRIM(INDEX($A113:$Z113,MATCH(Lists!$B$2,$A$1:$Z$1,0))&amp;""),""),15,2)),VALUE(MID(IFERROR(TRIM(INDEX($A113:$Z113,MATCH(Lists!$B$2,$A$1:$Z$1,0))&amp;""),""),18,2)))),"")="",100000+ROW()/10^7,IFERROR(IF(ISNUMBER(INDEX($A113:$Z113,MATCH(Lists!$B$2,$A$1:$Z$1,0))),INDEX($A113:$Z113,MATCH(Lists!$B$2,$A$1:$Z$1,0)),DATE(VALUE(LEFT(IFERROR(TRIM(INDEX($A113:$Z113,MATCH(Lists!$B$2,$A$1:$Z$1,0))&amp;""),""),4)),VALUE(MID(IFERROR(TRIM(INDEX($A113:$Z113,MATCH(Lists!$B$2,$A$1:$Z$1,0))&amp;""),""),6,2)),VALUE(MID(IFERROR(TRIM(INDEX($A113:$Z113,MATCH(Lists!$B$2,$A$1:$Z$1,0))&amp;""),""),9,2)))+TIME(VALUE(MID(IFERROR(TRIM(INDEX($A113:$Z113,MATCH(Lists!$B$2,$A$1:$Z$1,0))&amp;""),""),12,2)),VALUE(MID(IFERROR(TRIM(INDEX($A113:$Z113,MATCH(Lists!$B$2,$A$1:$Z$1,0))&amp;""),""),15,2)),VALUE(MID(IFERROR(TRIM(INDEX($A113:$Z113,MATCH(Lists!$B$2,$A$1:$Z$1,0))&amp;""),""),18,2)))),"")-ROW()/10^7),"")</f>
        <v/>
      </c>
    </row>
    <row r="114">
      <c r="AB114" s="36">
        <f>IF($AR114=1,COUNTIF($AS$2:$AS$201,"&lt;"&amp;$AS114)+1,"")</f>
        <v/>
      </c>
      <c r="AC114" s="37">
        <f>IFERROR(TRIM(INDEX($A114:$Z114,MATCH(Lists!$B$9,$A$1:$Z$1,0))&amp;""),"")</f>
        <v/>
      </c>
      <c r="AD114" s="37">
        <f>IF($AR114=1,IFERROR(TRIM(INDEX($A114:$Z114,MATCH(Lists!$B$10,$A$1:$Z$1,0))&amp;""),""),"")</f>
        <v/>
      </c>
      <c r="AE114" s="37">
        <f>IF($AR114=1,IFERROR(TRIM(INDEX($A114:$Z114,MATCH(Lists!$B$12,$A$1:$Z$1,0))&amp;""),""),"")</f>
        <v/>
      </c>
      <c r="AF114" s="38">
        <f>IF($AR114=1,IFERROR(IF(TRIM(INDEX($A114:$Z114,MATCH(Lists!$B$11,$A$1:$Z$1,0))&amp;"")="","",VALUE(TRIM(INDEX($A114:$Z114,MATCH(Lists!$B$11,$A$1:$Z$1,0))&amp;""))),""),"")</f>
        <v/>
      </c>
      <c r="AG114" s="38">
        <f>IF(OR($AR114=0,$AF114="",'Start here'!$F$10="",'Start here'!$F$11="",'Start here'!$F$12="",'Start here'!$F$13="",'Start here'!$F$14=""),"",IF($AF114&lt;'Start here'!$F$10,'Start here'!$F$11,IF($AF114&lt;'Start here'!$F$12,'Start here'!$F$13,'Start here'!$F$14)))</f>
        <v/>
      </c>
      <c r="AH114" s="38">
        <f>IF(OR($AG114="",'Start here'!$F$9=""),"",IF($AF114&lt;=0,"",IFERROR(MAX($AG114,ROUNDUP(ROUND($AF114*'Start here'!$F$9/$AG114,6),0)*$AG114),"")))</f>
        <v/>
      </c>
      <c r="AI114" s="37">
        <f>IF($AR114=0,"",IF($AN114=Lists!$B$19,"",IF(AND($AN114=Lists!$B$18,$AQ114&lt;&gt;""),$AQ114,IF(AND($AP114=Lists!$B$17,$AL114&lt;&gt;""),$AL114,$AK114))))</f>
        <v/>
      </c>
      <c r="AJ114" s="37">
        <f>IF($AR114=0,"",IF(IF($AF114="",", no value",IF($AF114&lt;=0,", no value",""))&amp;IF('Start here'!$F$15="","",IF(LEN($AD114)&lt;'Start here'!$F$15,", short description",""))="","OK",MID(IF($AF114="",", no value",IF($AF114&lt;=0,", no value",""))&amp;IF('Start here'!$F$15="","",IF(LEN($AD114)&lt;'Start here'!$F$15,", short description","")),3,200)))</f>
        <v/>
      </c>
      <c r="AK114" s="37">
        <f>IF($AR114=1,IFERROR(TRIM(INDEX($A114:$Z114,MATCH(Lists!$B$5,$A$1:$Z$1,0))&amp;""),""),"")</f>
        <v/>
      </c>
      <c r="AL114" s="37">
        <f>IF($AR114=1,IFERROR(TRIM(INDEX($A114:$Z114,MATCH(Lists!$B$4,$A$1:$Z$1,0))&amp;""),""),"")</f>
        <v/>
      </c>
      <c r="AM114" s="37">
        <f>IF($AR114=1,IFERROR(TRIM(INDEX($A114:$Z114,MATCH(Lists!$B$6,$A$1:$Z$1,0))&amp;""),""),"")</f>
        <v/>
      </c>
      <c r="AN114" s="37">
        <f>IF($AR114=1,IFERROR(TRIM(INDEX($A114:$Z114,MATCH(Lists!$B$7,$A$1:$Z$1,0))&amp;""),""),"")</f>
        <v/>
      </c>
      <c r="AO114" s="37">
        <f>IF($AR114=1,IFERROR(TRIM(INDEX($A114:$Z114,MATCH(Lists!$B$13,$A$1:$Z$1,0))&amp;""),""),"")</f>
        <v/>
      </c>
      <c r="AP114" s="37">
        <f>IF($AR114=1,IFERROR(TRIM(INDEX($A114:$Z114,MATCH(Lists!$B$3,$A$1:$Z$1,0))&amp;""),""),"")</f>
        <v/>
      </c>
      <c r="AQ114" s="37">
        <f>IF($AR114=1,IFERROR(TRIM(INDEX($A114:$Z114,MATCH(Lists!$B$8,$A$1:$Z$1,0))&amp;""),""),"")</f>
        <v/>
      </c>
      <c r="AR114" s="36">
        <f>IF(LEN($AC114)&gt;0,1,0)</f>
        <v/>
      </c>
      <c r="AS114" s="37">
        <f>IF($AR114=1,IF(IFERROR(IF(ISNUMBER(INDEX($A114:$Z114,MATCH(Lists!$B$2,$A$1:$Z$1,0))),INDEX($A114:$Z114,MATCH(Lists!$B$2,$A$1:$Z$1,0)),DATE(VALUE(LEFT(IFERROR(TRIM(INDEX($A114:$Z114,MATCH(Lists!$B$2,$A$1:$Z$1,0))&amp;""),""),4)),VALUE(MID(IFERROR(TRIM(INDEX($A114:$Z114,MATCH(Lists!$B$2,$A$1:$Z$1,0))&amp;""),""),6,2)),VALUE(MID(IFERROR(TRIM(INDEX($A114:$Z114,MATCH(Lists!$B$2,$A$1:$Z$1,0))&amp;""),""),9,2)))+TIME(VALUE(MID(IFERROR(TRIM(INDEX($A114:$Z114,MATCH(Lists!$B$2,$A$1:$Z$1,0))&amp;""),""),12,2)),VALUE(MID(IFERROR(TRIM(INDEX($A114:$Z114,MATCH(Lists!$B$2,$A$1:$Z$1,0))&amp;""),""),15,2)),VALUE(MID(IFERROR(TRIM(INDEX($A114:$Z114,MATCH(Lists!$B$2,$A$1:$Z$1,0))&amp;""),""),18,2)))),"")="",100000+ROW()/10^7,IFERROR(IF(ISNUMBER(INDEX($A114:$Z114,MATCH(Lists!$B$2,$A$1:$Z$1,0))),INDEX($A114:$Z114,MATCH(Lists!$B$2,$A$1:$Z$1,0)),DATE(VALUE(LEFT(IFERROR(TRIM(INDEX($A114:$Z114,MATCH(Lists!$B$2,$A$1:$Z$1,0))&amp;""),""),4)),VALUE(MID(IFERROR(TRIM(INDEX($A114:$Z114,MATCH(Lists!$B$2,$A$1:$Z$1,0))&amp;""),""),6,2)),VALUE(MID(IFERROR(TRIM(INDEX($A114:$Z114,MATCH(Lists!$B$2,$A$1:$Z$1,0))&amp;""),""),9,2)))+TIME(VALUE(MID(IFERROR(TRIM(INDEX($A114:$Z114,MATCH(Lists!$B$2,$A$1:$Z$1,0))&amp;""),""),12,2)),VALUE(MID(IFERROR(TRIM(INDEX($A114:$Z114,MATCH(Lists!$B$2,$A$1:$Z$1,0))&amp;""),""),15,2)),VALUE(MID(IFERROR(TRIM(INDEX($A114:$Z114,MATCH(Lists!$B$2,$A$1:$Z$1,0))&amp;""),""),18,2)))),"")-ROW()/10^7),"")</f>
        <v/>
      </c>
    </row>
    <row r="115">
      <c r="AB115" s="36">
        <f>IF($AR115=1,COUNTIF($AS$2:$AS$201,"&lt;"&amp;$AS115)+1,"")</f>
        <v/>
      </c>
      <c r="AC115" s="37">
        <f>IFERROR(TRIM(INDEX($A115:$Z115,MATCH(Lists!$B$9,$A$1:$Z$1,0))&amp;""),"")</f>
        <v/>
      </c>
      <c r="AD115" s="37">
        <f>IF($AR115=1,IFERROR(TRIM(INDEX($A115:$Z115,MATCH(Lists!$B$10,$A$1:$Z$1,0))&amp;""),""),"")</f>
        <v/>
      </c>
      <c r="AE115" s="37">
        <f>IF($AR115=1,IFERROR(TRIM(INDEX($A115:$Z115,MATCH(Lists!$B$12,$A$1:$Z$1,0))&amp;""),""),"")</f>
        <v/>
      </c>
      <c r="AF115" s="38">
        <f>IF($AR115=1,IFERROR(IF(TRIM(INDEX($A115:$Z115,MATCH(Lists!$B$11,$A$1:$Z$1,0))&amp;"")="","",VALUE(TRIM(INDEX($A115:$Z115,MATCH(Lists!$B$11,$A$1:$Z$1,0))&amp;""))),""),"")</f>
        <v/>
      </c>
      <c r="AG115" s="38">
        <f>IF(OR($AR115=0,$AF115="",'Start here'!$F$10="",'Start here'!$F$11="",'Start here'!$F$12="",'Start here'!$F$13="",'Start here'!$F$14=""),"",IF($AF115&lt;'Start here'!$F$10,'Start here'!$F$11,IF($AF115&lt;'Start here'!$F$12,'Start here'!$F$13,'Start here'!$F$14)))</f>
        <v/>
      </c>
      <c r="AH115" s="38">
        <f>IF(OR($AG115="",'Start here'!$F$9=""),"",IF($AF115&lt;=0,"",IFERROR(MAX($AG115,ROUNDUP(ROUND($AF115*'Start here'!$F$9/$AG115,6),0)*$AG115),"")))</f>
        <v/>
      </c>
      <c r="AI115" s="37">
        <f>IF($AR115=0,"",IF($AN115=Lists!$B$19,"",IF(AND($AN115=Lists!$B$18,$AQ115&lt;&gt;""),$AQ115,IF(AND($AP115=Lists!$B$17,$AL115&lt;&gt;""),$AL115,$AK115))))</f>
        <v/>
      </c>
      <c r="AJ115" s="37">
        <f>IF($AR115=0,"",IF(IF($AF115="",", no value",IF($AF115&lt;=0,", no value",""))&amp;IF('Start here'!$F$15="","",IF(LEN($AD115)&lt;'Start here'!$F$15,", short description",""))="","OK",MID(IF($AF115="",", no value",IF($AF115&lt;=0,", no value",""))&amp;IF('Start here'!$F$15="","",IF(LEN($AD115)&lt;'Start here'!$F$15,", short description","")),3,200)))</f>
        <v/>
      </c>
      <c r="AK115" s="37">
        <f>IF($AR115=1,IFERROR(TRIM(INDEX($A115:$Z115,MATCH(Lists!$B$5,$A$1:$Z$1,0))&amp;""),""),"")</f>
        <v/>
      </c>
      <c r="AL115" s="37">
        <f>IF($AR115=1,IFERROR(TRIM(INDEX($A115:$Z115,MATCH(Lists!$B$4,$A$1:$Z$1,0))&amp;""),""),"")</f>
        <v/>
      </c>
      <c r="AM115" s="37">
        <f>IF($AR115=1,IFERROR(TRIM(INDEX($A115:$Z115,MATCH(Lists!$B$6,$A$1:$Z$1,0))&amp;""),""),"")</f>
        <v/>
      </c>
      <c r="AN115" s="37">
        <f>IF($AR115=1,IFERROR(TRIM(INDEX($A115:$Z115,MATCH(Lists!$B$7,$A$1:$Z$1,0))&amp;""),""),"")</f>
        <v/>
      </c>
      <c r="AO115" s="37">
        <f>IF($AR115=1,IFERROR(TRIM(INDEX($A115:$Z115,MATCH(Lists!$B$13,$A$1:$Z$1,0))&amp;""),""),"")</f>
        <v/>
      </c>
      <c r="AP115" s="37">
        <f>IF($AR115=1,IFERROR(TRIM(INDEX($A115:$Z115,MATCH(Lists!$B$3,$A$1:$Z$1,0))&amp;""),""),"")</f>
        <v/>
      </c>
      <c r="AQ115" s="37">
        <f>IF($AR115=1,IFERROR(TRIM(INDEX($A115:$Z115,MATCH(Lists!$B$8,$A$1:$Z$1,0))&amp;""),""),"")</f>
        <v/>
      </c>
      <c r="AR115" s="36">
        <f>IF(LEN($AC115)&gt;0,1,0)</f>
        <v/>
      </c>
      <c r="AS115" s="37">
        <f>IF($AR115=1,IF(IFERROR(IF(ISNUMBER(INDEX($A115:$Z115,MATCH(Lists!$B$2,$A$1:$Z$1,0))),INDEX($A115:$Z115,MATCH(Lists!$B$2,$A$1:$Z$1,0)),DATE(VALUE(LEFT(IFERROR(TRIM(INDEX($A115:$Z115,MATCH(Lists!$B$2,$A$1:$Z$1,0))&amp;""),""),4)),VALUE(MID(IFERROR(TRIM(INDEX($A115:$Z115,MATCH(Lists!$B$2,$A$1:$Z$1,0))&amp;""),""),6,2)),VALUE(MID(IFERROR(TRIM(INDEX($A115:$Z115,MATCH(Lists!$B$2,$A$1:$Z$1,0))&amp;""),""),9,2)))+TIME(VALUE(MID(IFERROR(TRIM(INDEX($A115:$Z115,MATCH(Lists!$B$2,$A$1:$Z$1,0))&amp;""),""),12,2)),VALUE(MID(IFERROR(TRIM(INDEX($A115:$Z115,MATCH(Lists!$B$2,$A$1:$Z$1,0))&amp;""),""),15,2)),VALUE(MID(IFERROR(TRIM(INDEX($A115:$Z115,MATCH(Lists!$B$2,$A$1:$Z$1,0))&amp;""),""),18,2)))),"")="",100000+ROW()/10^7,IFERROR(IF(ISNUMBER(INDEX($A115:$Z115,MATCH(Lists!$B$2,$A$1:$Z$1,0))),INDEX($A115:$Z115,MATCH(Lists!$B$2,$A$1:$Z$1,0)),DATE(VALUE(LEFT(IFERROR(TRIM(INDEX($A115:$Z115,MATCH(Lists!$B$2,$A$1:$Z$1,0))&amp;""),""),4)),VALUE(MID(IFERROR(TRIM(INDEX($A115:$Z115,MATCH(Lists!$B$2,$A$1:$Z$1,0))&amp;""),""),6,2)),VALUE(MID(IFERROR(TRIM(INDEX($A115:$Z115,MATCH(Lists!$B$2,$A$1:$Z$1,0))&amp;""),""),9,2)))+TIME(VALUE(MID(IFERROR(TRIM(INDEX($A115:$Z115,MATCH(Lists!$B$2,$A$1:$Z$1,0))&amp;""),""),12,2)),VALUE(MID(IFERROR(TRIM(INDEX($A115:$Z115,MATCH(Lists!$B$2,$A$1:$Z$1,0))&amp;""),""),15,2)),VALUE(MID(IFERROR(TRIM(INDEX($A115:$Z115,MATCH(Lists!$B$2,$A$1:$Z$1,0))&amp;""),""),18,2)))),"")-ROW()/10^7),"")</f>
        <v/>
      </c>
    </row>
    <row r="116">
      <c r="AB116" s="36">
        <f>IF($AR116=1,COUNTIF($AS$2:$AS$201,"&lt;"&amp;$AS116)+1,"")</f>
        <v/>
      </c>
      <c r="AC116" s="37">
        <f>IFERROR(TRIM(INDEX($A116:$Z116,MATCH(Lists!$B$9,$A$1:$Z$1,0))&amp;""),"")</f>
        <v/>
      </c>
      <c r="AD116" s="37">
        <f>IF($AR116=1,IFERROR(TRIM(INDEX($A116:$Z116,MATCH(Lists!$B$10,$A$1:$Z$1,0))&amp;""),""),"")</f>
        <v/>
      </c>
      <c r="AE116" s="37">
        <f>IF($AR116=1,IFERROR(TRIM(INDEX($A116:$Z116,MATCH(Lists!$B$12,$A$1:$Z$1,0))&amp;""),""),"")</f>
        <v/>
      </c>
      <c r="AF116" s="38">
        <f>IF($AR116=1,IFERROR(IF(TRIM(INDEX($A116:$Z116,MATCH(Lists!$B$11,$A$1:$Z$1,0))&amp;"")="","",VALUE(TRIM(INDEX($A116:$Z116,MATCH(Lists!$B$11,$A$1:$Z$1,0))&amp;""))),""),"")</f>
        <v/>
      </c>
      <c r="AG116" s="38">
        <f>IF(OR($AR116=0,$AF116="",'Start here'!$F$10="",'Start here'!$F$11="",'Start here'!$F$12="",'Start here'!$F$13="",'Start here'!$F$14=""),"",IF($AF116&lt;'Start here'!$F$10,'Start here'!$F$11,IF($AF116&lt;'Start here'!$F$12,'Start here'!$F$13,'Start here'!$F$14)))</f>
        <v/>
      </c>
      <c r="AH116" s="38">
        <f>IF(OR($AG116="",'Start here'!$F$9=""),"",IF($AF116&lt;=0,"",IFERROR(MAX($AG116,ROUNDUP(ROUND($AF116*'Start here'!$F$9/$AG116,6),0)*$AG116),"")))</f>
        <v/>
      </c>
      <c r="AI116" s="37">
        <f>IF($AR116=0,"",IF($AN116=Lists!$B$19,"",IF(AND($AN116=Lists!$B$18,$AQ116&lt;&gt;""),$AQ116,IF(AND($AP116=Lists!$B$17,$AL116&lt;&gt;""),$AL116,$AK116))))</f>
        <v/>
      </c>
      <c r="AJ116" s="37">
        <f>IF($AR116=0,"",IF(IF($AF116="",", no value",IF($AF116&lt;=0,", no value",""))&amp;IF('Start here'!$F$15="","",IF(LEN($AD116)&lt;'Start here'!$F$15,", short description",""))="","OK",MID(IF($AF116="",", no value",IF($AF116&lt;=0,", no value",""))&amp;IF('Start here'!$F$15="","",IF(LEN($AD116)&lt;'Start here'!$F$15,", short description","")),3,200)))</f>
        <v/>
      </c>
      <c r="AK116" s="37">
        <f>IF($AR116=1,IFERROR(TRIM(INDEX($A116:$Z116,MATCH(Lists!$B$5,$A$1:$Z$1,0))&amp;""),""),"")</f>
        <v/>
      </c>
      <c r="AL116" s="37">
        <f>IF($AR116=1,IFERROR(TRIM(INDEX($A116:$Z116,MATCH(Lists!$B$4,$A$1:$Z$1,0))&amp;""),""),"")</f>
        <v/>
      </c>
      <c r="AM116" s="37">
        <f>IF($AR116=1,IFERROR(TRIM(INDEX($A116:$Z116,MATCH(Lists!$B$6,$A$1:$Z$1,0))&amp;""),""),"")</f>
        <v/>
      </c>
      <c r="AN116" s="37">
        <f>IF($AR116=1,IFERROR(TRIM(INDEX($A116:$Z116,MATCH(Lists!$B$7,$A$1:$Z$1,0))&amp;""),""),"")</f>
        <v/>
      </c>
      <c r="AO116" s="37">
        <f>IF($AR116=1,IFERROR(TRIM(INDEX($A116:$Z116,MATCH(Lists!$B$13,$A$1:$Z$1,0))&amp;""),""),"")</f>
        <v/>
      </c>
      <c r="AP116" s="37">
        <f>IF($AR116=1,IFERROR(TRIM(INDEX($A116:$Z116,MATCH(Lists!$B$3,$A$1:$Z$1,0))&amp;""),""),"")</f>
        <v/>
      </c>
      <c r="AQ116" s="37">
        <f>IF($AR116=1,IFERROR(TRIM(INDEX($A116:$Z116,MATCH(Lists!$B$8,$A$1:$Z$1,0))&amp;""),""),"")</f>
        <v/>
      </c>
      <c r="AR116" s="36">
        <f>IF(LEN($AC116)&gt;0,1,0)</f>
        <v/>
      </c>
      <c r="AS116" s="37">
        <f>IF($AR116=1,IF(IFERROR(IF(ISNUMBER(INDEX($A116:$Z116,MATCH(Lists!$B$2,$A$1:$Z$1,0))),INDEX($A116:$Z116,MATCH(Lists!$B$2,$A$1:$Z$1,0)),DATE(VALUE(LEFT(IFERROR(TRIM(INDEX($A116:$Z116,MATCH(Lists!$B$2,$A$1:$Z$1,0))&amp;""),""),4)),VALUE(MID(IFERROR(TRIM(INDEX($A116:$Z116,MATCH(Lists!$B$2,$A$1:$Z$1,0))&amp;""),""),6,2)),VALUE(MID(IFERROR(TRIM(INDEX($A116:$Z116,MATCH(Lists!$B$2,$A$1:$Z$1,0))&amp;""),""),9,2)))+TIME(VALUE(MID(IFERROR(TRIM(INDEX($A116:$Z116,MATCH(Lists!$B$2,$A$1:$Z$1,0))&amp;""),""),12,2)),VALUE(MID(IFERROR(TRIM(INDEX($A116:$Z116,MATCH(Lists!$B$2,$A$1:$Z$1,0))&amp;""),""),15,2)),VALUE(MID(IFERROR(TRIM(INDEX($A116:$Z116,MATCH(Lists!$B$2,$A$1:$Z$1,0))&amp;""),""),18,2)))),"")="",100000+ROW()/10^7,IFERROR(IF(ISNUMBER(INDEX($A116:$Z116,MATCH(Lists!$B$2,$A$1:$Z$1,0))),INDEX($A116:$Z116,MATCH(Lists!$B$2,$A$1:$Z$1,0)),DATE(VALUE(LEFT(IFERROR(TRIM(INDEX($A116:$Z116,MATCH(Lists!$B$2,$A$1:$Z$1,0))&amp;""),""),4)),VALUE(MID(IFERROR(TRIM(INDEX($A116:$Z116,MATCH(Lists!$B$2,$A$1:$Z$1,0))&amp;""),""),6,2)),VALUE(MID(IFERROR(TRIM(INDEX($A116:$Z116,MATCH(Lists!$B$2,$A$1:$Z$1,0))&amp;""),""),9,2)))+TIME(VALUE(MID(IFERROR(TRIM(INDEX($A116:$Z116,MATCH(Lists!$B$2,$A$1:$Z$1,0))&amp;""),""),12,2)),VALUE(MID(IFERROR(TRIM(INDEX($A116:$Z116,MATCH(Lists!$B$2,$A$1:$Z$1,0))&amp;""),""),15,2)),VALUE(MID(IFERROR(TRIM(INDEX($A116:$Z116,MATCH(Lists!$B$2,$A$1:$Z$1,0))&amp;""),""),18,2)))),"")-ROW()/10^7),"")</f>
        <v/>
      </c>
    </row>
    <row r="117">
      <c r="AB117" s="36">
        <f>IF($AR117=1,COUNTIF($AS$2:$AS$201,"&lt;"&amp;$AS117)+1,"")</f>
        <v/>
      </c>
      <c r="AC117" s="37">
        <f>IFERROR(TRIM(INDEX($A117:$Z117,MATCH(Lists!$B$9,$A$1:$Z$1,0))&amp;""),"")</f>
        <v/>
      </c>
      <c r="AD117" s="37">
        <f>IF($AR117=1,IFERROR(TRIM(INDEX($A117:$Z117,MATCH(Lists!$B$10,$A$1:$Z$1,0))&amp;""),""),"")</f>
        <v/>
      </c>
      <c r="AE117" s="37">
        <f>IF($AR117=1,IFERROR(TRIM(INDEX($A117:$Z117,MATCH(Lists!$B$12,$A$1:$Z$1,0))&amp;""),""),"")</f>
        <v/>
      </c>
      <c r="AF117" s="38">
        <f>IF($AR117=1,IFERROR(IF(TRIM(INDEX($A117:$Z117,MATCH(Lists!$B$11,$A$1:$Z$1,0))&amp;"")="","",VALUE(TRIM(INDEX($A117:$Z117,MATCH(Lists!$B$11,$A$1:$Z$1,0))&amp;""))),""),"")</f>
        <v/>
      </c>
      <c r="AG117" s="38">
        <f>IF(OR($AR117=0,$AF117="",'Start here'!$F$10="",'Start here'!$F$11="",'Start here'!$F$12="",'Start here'!$F$13="",'Start here'!$F$14=""),"",IF($AF117&lt;'Start here'!$F$10,'Start here'!$F$11,IF($AF117&lt;'Start here'!$F$12,'Start here'!$F$13,'Start here'!$F$14)))</f>
        <v/>
      </c>
      <c r="AH117" s="38">
        <f>IF(OR($AG117="",'Start here'!$F$9=""),"",IF($AF117&lt;=0,"",IFERROR(MAX($AG117,ROUNDUP(ROUND($AF117*'Start here'!$F$9/$AG117,6),0)*$AG117),"")))</f>
        <v/>
      </c>
      <c r="AI117" s="37">
        <f>IF($AR117=0,"",IF($AN117=Lists!$B$19,"",IF(AND($AN117=Lists!$B$18,$AQ117&lt;&gt;""),$AQ117,IF(AND($AP117=Lists!$B$17,$AL117&lt;&gt;""),$AL117,$AK117))))</f>
        <v/>
      </c>
      <c r="AJ117" s="37">
        <f>IF($AR117=0,"",IF(IF($AF117="",", no value",IF($AF117&lt;=0,", no value",""))&amp;IF('Start here'!$F$15="","",IF(LEN($AD117)&lt;'Start here'!$F$15,", short description",""))="","OK",MID(IF($AF117="",", no value",IF($AF117&lt;=0,", no value",""))&amp;IF('Start here'!$F$15="","",IF(LEN($AD117)&lt;'Start here'!$F$15,", short description","")),3,200)))</f>
        <v/>
      </c>
      <c r="AK117" s="37">
        <f>IF($AR117=1,IFERROR(TRIM(INDEX($A117:$Z117,MATCH(Lists!$B$5,$A$1:$Z$1,0))&amp;""),""),"")</f>
        <v/>
      </c>
      <c r="AL117" s="37">
        <f>IF($AR117=1,IFERROR(TRIM(INDEX($A117:$Z117,MATCH(Lists!$B$4,$A$1:$Z$1,0))&amp;""),""),"")</f>
        <v/>
      </c>
      <c r="AM117" s="37">
        <f>IF($AR117=1,IFERROR(TRIM(INDEX($A117:$Z117,MATCH(Lists!$B$6,$A$1:$Z$1,0))&amp;""),""),"")</f>
        <v/>
      </c>
      <c r="AN117" s="37">
        <f>IF($AR117=1,IFERROR(TRIM(INDEX($A117:$Z117,MATCH(Lists!$B$7,$A$1:$Z$1,0))&amp;""),""),"")</f>
        <v/>
      </c>
      <c r="AO117" s="37">
        <f>IF($AR117=1,IFERROR(TRIM(INDEX($A117:$Z117,MATCH(Lists!$B$13,$A$1:$Z$1,0))&amp;""),""),"")</f>
        <v/>
      </c>
      <c r="AP117" s="37">
        <f>IF($AR117=1,IFERROR(TRIM(INDEX($A117:$Z117,MATCH(Lists!$B$3,$A$1:$Z$1,0))&amp;""),""),"")</f>
        <v/>
      </c>
      <c r="AQ117" s="37">
        <f>IF($AR117=1,IFERROR(TRIM(INDEX($A117:$Z117,MATCH(Lists!$B$8,$A$1:$Z$1,0))&amp;""),""),"")</f>
        <v/>
      </c>
      <c r="AR117" s="36">
        <f>IF(LEN($AC117)&gt;0,1,0)</f>
        <v/>
      </c>
      <c r="AS117" s="37">
        <f>IF($AR117=1,IF(IFERROR(IF(ISNUMBER(INDEX($A117:$Z117,MATCH(Lists!$B$2,$A$1:$Z$1,0))),INDEX($A117:$Z117,MATCH(Lists!$B$2,$A$1:$Z$1,0)),DATE(VALUE(LEFT(IFERROR(TRIM(INDEX($A117:$Z117,MATCH(Lists!$B$2,$A$1:$Z$1,0))&amp;""),""),4)),VALUE(MID(IFERROR(TRIM(INDEX($A117:$Z117,MATCH(Lists!$B$2,$A$1:$Z$1,0))&amp;""),""),6,2)),VALUE(MID(IFERROR(TRIM(INDEX($A117:$Z117,MATCH(Lists!$B$2,$A$1:$Z$1,0))&amp;""),""),9,2)))+TIME(VALUE(MID(IFERROR(TRIM(INDEX($A117:$Z117,MATCH(Lists!$B$2,$A$1:$Z$1,0))&amp;""),""),12,2)),VALUE(MID(IFERROR(TRIM(INDEX($A117:$Z117,MATCH(Lists!$B$2,$A$1:$Z$1,0))&amp;""),""),15,2)),VALUE(MID(IFERROR(TRIM(INDEX($A117:$Z117,MATCH(Lists!$B$2,$A$1:$Z$1,0))&amp;""),""),18,2)))),"")="",100000+ROW()/10^7,IFERROR(IF(ISNUMBER(INDEX($A117:$Z117,MATCH(Lists!$B$2,$A$1:$Z$1,0))),INDEX($A117:$Z117,MATCH(Lists!$B$2,$A$1:$Z$1,0)),DATE(VALUE(LEFT(IFERROR(TRIM(INDEX($A117:$Z117,MATCH(Lists!$B$2,$A$1:$Z$1,0))&amp;""),""),4)),VALUE(MID(IFERROR(TRIM(INDEX($A117:$Z117,MATCH(Lists!$B$2,$A$1:$Z$1,0))&amp;""),""),6,2)),VALUE(MID(IFERROR(TRIM(INDEX($A117:$Z117,MATCH(Lists!$B$2,$A$1:$Z$1,0))&amp;""),""),9,2)))+TIME(VALUE(MID(IFERROR(TRIM(INDEX($A117:$Z117,MATCH(Lists!$B$2,$A$1:$Z$1,0))&amp;""),""),12,2)),VALUE(MID(IFERROR(TRIM(INDEX($A117:$Z117,MATCH(Lists!$B$2,$A$1:$Z$1,0))&amp;""),""),15,2)),VALUE(MID(IFERROR(TRIM(INDEX($A117:$Z117,MATCH(Lists!$B$2,$A$1:$Z$1,0))&amp;""),""),18,2)))),"")-ROW()/10^7),"")</f>
        <v/>
      </c>
    </row>
    <row r="118">
      <c r="AB118" s="36">
        <f>IF($AR118=1,COUNTIF($AS$2:$AS$201,"&lt;"&amp;$AS118)+1,"")</f>
        <v/>
      </c>
      <c r="AC118" s="37">
        <f>IFERROR(TRIM(INDEX($A118:$Z118,MATCH(Lists!$B$9,$A$1:$Z$1,0))&amp;""),"")</f>
        <v/>
      </c>
      <c r="AD118" s="37">
        <f>IF($AR118=1,IFERROR(TRIM(INDEX($A118:$Z118,MATCH(Lists!$B$10,$A$1:$Z$1,0))&amp;""),""),"")</f>
        <v/>
      </c>
      <c r="AE118" s="37">
        <f>IF($AR118=1,IFERROR(TRIM(INDEX($A118:$Z118,MATCH(Lists!$B$12,$A$1:$Z$1,0))&amp;""),""),"")</f>
        <v/>
      </c>
      <c r="AF118" s="38">
        <f>IF($AR118=1,IFERROR(IF(TRIM(INDEX($A118:$Z118,MATCH(Lists!$B$11,$A$1:$Z$1,0))&amp;"")="","",VALUE(TRIM(INDEX($A118:$Z118,MATCH(Lists!$B$11,$A$1:$Z$1,0))&amp;""))),""),"")</f>
        <v/>
      </c>
      <c r="AG118" s="38">
        <f>IF(OR($AR118=0,$AF118="",'Start here'!$F$10="",'Start here'!$F$11="",'Start here'!$F$12="",'Start here'!$F$13="",'Start here'!$F$14=""),"",IF($AF118&lt;'Start here'!$F$10,'Start here'!$F$11,IF($AF118&lt;'Start here'!$F$12,'Start here'!$F$13,'Start here'!$F$14)))</f>
        <v/>
      </c>
      <c r="AH118" s="38">
        <f>IF(OR($AG118="",'Start here'!$F$9=""),"",IF($AF118&lt;=0,"",IFERROR(MAX($AG118,ROUNDUP(ROUND($AF118*'Start here'!$F$9/$AG118,6),0)*$AG118),"")))</f>
        <v/>
      </c>
      <c r="AI118" s="37">
        <f>IF($AR118=0,"",IF($AN118=Lists!$B$19,"",IF(AND($AN118=Lists!$B$18,$AQ118&lt;&gt;""),$AQ118,IF(AND($AP118=Lists!$B$17,$AL118&lt;&gt;""),$AL118,$AK118))))</f>
        <v/>
      </c>
      <c r="AJ118" s="37">
        <f>IF($AR118=0,"",IF(IF($AF118="",", no value",IF($AF118&lt;=0,", no value",""))&amp;IF('Start here'!$F$15="","",IF(LEN($AD118)&lt;'Start here'!$F$15,", short description",""))="","OK",MID(IF($AF118="",", no value",IF($AF118&lt;=0,", no value",""))&amp;IF('Start here'!$F$15="","",IF(LEN($AD118)&lt;'Start here'!$F$15,", short description","")),3,200)))</f>
        <v/>
      </c>
      <c r="AK118" s="37">
        <f>IF($AR118=1,IFERROR(TRIM(INDEX($A118:$Z118,MATCH(Lists!$B$5,$A$1:$Z$1,0))&amp;""),""),"")</f>
        <v/>
      </c>
      <c r="AL118" s="37">
        <f>IF($AR118=1,IFERROR(TRIM(INDEX($A118:$Z118,MATCH(Lists!$B$4,$A$1:$Z$1,0))&amp;""),""),"")</f>
        <v/>
      </c>
      <c r="AM118" s="37">
        <f>IF($AR118=1,IFERROR(TRIM(INDEX($A118:$Z118,MATCH(Lists!$B$6,$A$1:$Z$1,0))&amp;""),""),"")</f>
        <v/>
      </c>
      <c r="AN118" s="37">
        <f>IF($AR118=1,IFERROR(TRIM(INDEX($A118:$Z118,MATCH(Lists!$B$7,$A$1:$Z$1,0))&amp;""),""),"")</f>
        <v/>
      </c>
      <c r="AO118" s="37">
        <f>IF($AR118=1,IFERROR(TRIM(INDEX($A118:$Z118,MATCH(Lists!$B$13,$A$1:$Z$1,0))&amp;""),""),"")</f>
        <v/>
      </c>
      <c r="AP118" s="37">
        <f>IF($AR118=1,IFERROR(TRIM(INDEX($A118:$Z118,MATCH(Lists!$B$3,$A$1:$Z$1,0))&amp;""),""),"")</f>
        <v/>
      </c>
      <c r="AQ118" s="37">
        <f>IF($AR118=1,IFERROR(TRIM(INDEX($A118:$Z118,MATCH(Lists!$B$8,$A$1:$Z$1,0))&amp;""),""),"")</f>
        <v/>
      </c>
      <c r="AR118" s="36">
        <f>IF(LEN($AC118)&gt;0,1,0)</f>
        <v/>
      </c>
      <c r="AS118" s="37">
        <f>IF($AR118=1,IF(IFERROR(IF(ISNUMBER(INDEX($A118:$Z118,MATCH(Lists!$B$2,$A$1:$Z$1,0))),INDEX($A118:$Z118,MATCH(Lists!$B$2,$A$1:$Z$1,0)),DATE(VALUE(LEFT(IFERROR(TRIM(INDEX($A118:$Z118,MATCH(Lists!$B$2,$A$1:$Z$1,0))&amp;""),""),4)),VALUE(MID(IFERROR(TRIM(INDEX($A118:$Z118,MATCH(Lists!$B$2,$A$1:$Z$1,0))&amp;""),""),6,2)),VALUE(MID(IFERROR(TRIM(INDEX($A118:$Z118,MATCH(Lists!$B$2,$A$1:$Z$1,0))&amp;""),""),9,2)))+TIME(VALUE(MID(IFERROR(TRIM(INDEX($A118:$Z118,MATCH(Lists!$B$2,$A$1:$Z$1,0))&amp;""),""),12,2)),VALUE(MID(IFERROR(TRIM(INDEX($A118:$Z118,MATCH(Lists!$B$2,$A$1:$Z$1,0))&amp;""),""),15,2)),VALUE(MID(IFERROR(TRIM(INDEX($A118:$Z118,MATCH(Lists!$B$2,$A$1:$Z$1,0))&amp;""),""),18,2)))),"")="",100000+ROW()/10^7,IFERROR(IF(ISNUMBER(INDEX($A118:$Z118,MATCH(Lists!$B$2,$A$1:$Z$1,0))),INDEX($A118:$Z118,MATCH(Lists!$B$2,$A$1:$Z$1,0)),DATE(VALUE(LEFT(IFERROR(TRIM(INDEX($A118:$Z118,MATCH(Lists!$B$2,$A$1:$Z$1,0))&amp;""),""),4)),VALUE(MID(IFERROR(TRIM(INDEX($A118:$Z118,MATCH(Lists!$B$2,$A$1:$Z$1,0))&amp;""),""),6,2)),VALUE(MID(IFERROR(TRIM(INDEX($A118:$Z118,MATCH(Lists!$B$2,$A$1:$Z$1,0))&amp;""),""),9,2)))+TIME(VALUE(MID(IFERROR(TRIM(INDEX($A118:$Z118,MATCH(Lists!$B$2,$A$1:$Z$1,0))&amp;""),""),12,2)),VALUE(MID(IFERROR(TRIM(INDEX($A118:$Z118,MATCH(Lists!$B$2,$A$1:$Z$1,0))&amp;""),""),15,2)),VALUE(MID(IFERROR(TRIM(INDEX($A118:$Z118,MATCH(Lists!$B$2,$A$1:$Z$1,0))&amp;""),""),18,2)))),"")-ROW()/10^7),"")</f>
        <v/>
      </c>
    </row>
    <row r="119">
      <c r="AB119" s="36">
        <f>IF($AR119=1,COUNTIF($AS$2:$AS$201,"&lt;"&amp;$AS119)+1,"")</f>
        <v/>
      </c>
      <c r="AC119" s="37">
        <f>IFERROR(TRIM(INDEX($A119:$Z119,MATCH(Lists!$B$9,$A$1:$Z$1,0))&amp;""),"")</f>
        <v/>
      </c>
      <c r="AD119" s="37">
        <f>IF($AR119=1,IFERROR(TRIM(INDEX($A119:$Z119,MATCH(Lists!$B$10,$A$1:$Z$1,0))&amp;""),""),"")</f>
        <v/>
      </c>
      <c r="AE119" s="37">
        <f>IF($AR119=1,IFERROR(TRIM(INDEX($A119:$Z119,MATCH(Lists!$B$12,$A$1:$Z$1,0))&amp;""),""),"")</f>
        <v/>
      </c>
      <c r="AF119" s="38">
        <f>IF($AR119=1,IFERROR(IF(TRIM(INDEX($A119:$Z119,MATCH(Lists!$B$11,$A$1:$Z$1,0))&amp;"")="","",VALUE(TRIM(INDEX($A119:$Z119,MATCH(Lists!$B$11,$A$1:$Z$1,0))&amp;""))),""),"")</f>
        <v/>
      </c>
      <c r="AG119" s="38">
        <f>IF(OR($AR119=0,$AF119="",'Start here'!$F$10="",'Start here'!$F$11="",'Start here'!$F$12="",'Start here'!$F$13="",'Start here'!$F$14=""),"",IF($AF119&lt;'Start here'!$F$10,'Start here'!$F$11,IF($AF119&lt;'Start here'!$F$12,'Start here'!$F$13,'Start here'!$F$14)))</f>
        <v/>
      </c>
      <c r="AH119" s="38">
        <f>IF(OR($AG119="",'Start here'!$F$9=""),"",IF($AF119&lt;=0,"",IFERROR(MAX($AG119,ROUNDUP(ROUND($AF119*'Start here'!$F$9/$AG119,6),0)*$AG119),"")))</f>
        <v/>
      </c>
      <c r="AI119" s="37">
        <f>IF($AR119=0,"",IF($AN119=Lists!$B$19,"",IF(AND($AN119=Lists!$B$18,$AQ119&lt;&gt;""),$AQ119,IF(AND($AP119=Lists!$B$17,$AL119&lt;&gt;""),$AL119,$AK119))))</f>
        <v/>
      </c>
      <c r="AJ119" s="37">
        <f>IF($AR119=0,"",IF(IF($AF119="",", no value",IF($AF119&lt;=0,", no value",""))&amp;IF('Start here'!$F$15="","",IF(LEN($AD119)&lt;'Start here'!$F$15,", short description",""))="","OK",MID(IF($AF119="",", no value",IF($AF119&lt;=0,", no value",""))&amp;IF('Start here'!$F$15="","",IF(LEN($AD119)&lt;'Start here'!$F$15,", short description","")),3,200)))</f>
        <v/>
      </c>
      <c r="AK119" s="37">
        <f>IF($AR119=1,IFERROR(TRIM(INDEX($A119:$Z119,MATCH(Lists!$B$5,$A$1:$Z$1,0))&amp;""),""),"")</f>
        <v/>
      </c>
      <c r="AL119" s="37">
        <f>IF($AR119=1,IFERROR(TRIM(INDEX($A119:$Z119,MATCH(Lists!$B$4,$A$1:$Z$1,0))&amp;""),""),"")</f>
        <v/>
      </c>
      <c r="AM119" s="37">
        <f>IF($AR119=1,IFERROR(TRIM(INDEX($A119:$Z119,MATCH(Lists!$B$6,$A$1:$Z$1,0))&amp;""),""),"")</f>
        <v/>
      </c>
      <c r="AN119" s="37">
        <f>IF($AR119=1,IFERROR(TRIM(INDEX($A119:$Z119,MATCH(Lists!$B$7,$A$1:$Z$1,0))&amp;""),""),"")</f>
        <v/>
      </c>
      <c r="AO119" s="37">
        <f>IF($AR119=1,IFERROR(TRIM(INDEX($A119:$Z119,MATCH(Lists!$B$13,$A$1:$Z$1,0))&amp;""),""),"")</f>
        <v/>
      </c>
      <c r="AP119" s="37">
        <f>IF($AR119=1,IFERROR(TRIM(INDEX($A119:$Z119,MATCH(Lists!$B$3,$A$1:$Z$1,0))&amp;""),""),"")</f>
        <v/>
      </c>
      <c r="AQ119" s="37">
        <f>IF($AR119=1,IFERROR(TRIM(INDEX($A119:$Z119,MATCH(Lists!$B$8,$A$1:$Z$1,0))&amp;""),""),"")</f>
        <v/>
      </c>
      <c r="AR119" s="36">
        <f>IF(LEN($AC119)&gt;0,1,0)</f>
        <v/>
      </c>
      <c r="AS119" s="37">
        <f>IF($AR119=1,IF(IFERROR(IF(ISNUMBER(INDEX($A119:$Z119,MATCH(Lists!$B$2,$A$1:$Z$1,0))),INDEX($A119:$Z119,MATCH(Lists!$B$2,$A$1:$Z$1,0)),DATE(VALUE(LEFT(IFERROR(TRIM(INDEX($A119:$Z119,MATCH(Lists!$B$2,$A$1:$Z$1,0))&amp;""),""),4)),VALUE(MID(IFERROR(TRIM(INDEX($A119:$Z119,MATCH(Lists!$B$2,$A$1:$Z$1,0))&amp;""),""),6,2)),VALUE(MID(IFERROR(TRIM(INDEX($A119:$Z119,MATCH(Lists!$B$2,$A$1:$Z$1,0))&amp;""),""),9,2)))+TIME(VALUE(MID(IFERROR(TRIM(INDEX($A119:$Z119,MATCH(Lists!$B$2,$A$1:$Z$1,0))&amp;""),""),12,2)),VALUE(MID(IFERROR(TRIM(INDEX($A119:$Z119,MATCH(Lists!$B$2,$A$1:$Z$1,0))&amp;""),""),15,2)),VALUE(MID(IFERROR(TRIM(INDEX($A119:$Z119,MATCH(Lists!$B$2,$A$1:$Z$1,0))&amp;""),""),18,2)))),"")="",100000+ROW()/10^7,IFERROR(IF(ISNUMBER(INDEX($A119:$Z119,MATCH(Lists!$B$2,$A$1:$Z$1,0))),INDEX($A119:$Z119,MATCH(Lists!$B$2,$A$1:$Z$1,0)),DATE(VALUE(LEFT(IFERROR(TRIM(INDEX($A119:$Z119,MATCH(Lists!$B$2,$A$1:$Z$1,0))&amp;""),""),4)),VALUE(MID(IFERROR(TRIM(INDEX($A119:$Z119,MATCH(Lists!$B$2,$A$1:$Z$1,0))&amp;""),""),6,2)),VALUE(MID(IFERROR(TRIM(INDEX($A119:$Z119,MATCH(Lists!$B$2,$A$1:$Z$1,0))&amp;""),""),9,2)))+TIME(VALUE(MID(IFERROR(TRIM(INDEX($A119:$Z119,MATCH(Lists!$B$2,$A$1:$Z$1,0))&amp;""),""),12,2)),VALUE(MID(IFERROR(TRIM(INDEX($A119:$Z119,MATCH(Lists!$B$2,$A$1:$Z$1,0))&amp;""),""),15,2)),VALUE(MID(IFERROR(TRIM(INDEX($A119:$Z119,MATCH(Lists!$B$2,$A$1:$Z$1,0))&amp;""),""),18,2)))),"")-ROW()/10^7),"")</f>
        <v/>
      </c>
    </row>
    <row r="120">
      <c r="AB120" s="36">
        <f>IF($AR120=1,COUNTIF($AS$2:$AS$201,"&lt;"&amp;$AS120)+1,"")</f>
        <v/>
      </c>
      <c r="AC120" s="37">
        <f>IFERROR(TRIM(INDEX($A120:$Z120,MATCH(Lists!$B$9,$A$1:$Z$1,0))&amp;""),"")</f>
        <v/>
      </c>
      <c r="AD120" s="37">
        <f>IF($AR120=1,IFERROR(TRIM(INDEX($A120:$Z120,MATCH(Lists!$B$10,$A$1:$Z$1,0))&amp;""),""),"")</f>
        <v/>
      </c>
      <c r="AE120" s="37">
        <f>IF($AR120=1,IFERROR(TRIM(INDEX($A120:$Z120,MATCH(Lists!$B$12,$A$1:$Z$1,0))&amp;""),""),"")</f>
        <v/>
      </c>
      <c r="AF120" s="38">
        <f>IF($AR120=1,IFERROR(IF(TRIM(INDEX($A120:$Z120,MATCH(Lists!$B$11,$A$1:$Z$1,0))&amp;"")="","",VALUE(TRIM(INDEX($A120:$Z120,MATCH(Lists!$B$11,$A$1:$Z$1,0))&amp;""))),""),"")</f>
        <v/>
      </c>
      <c r="AG120" s="38">
        <f>IF(OR($AR120=0,$AF120="",'Start here'!$F$10="",'Start here'!$F$11="",'Start here'!$F$12="",'Start here'!$F$13="",'Start here'!$F$14=""),"",IF($AF120&lt;'Start here'!$F$10,'Start here'!$F$11,IF($AF120&lt;'Start here'!$F$12,'Start here'!$F$13,'Start here'!$F$14)))</f>
        <v/>
      </c>
      <c r="AH120" s="38">
        <f>IF(OR($AG120="",'Start here'!$F$9=""),"",IF($AF120&lt;=0,"",IFERROR(MAX($AG120,ROUNDUP(ROUND($AF120*'Start here'!$F$9/$AG120,6),0)*$AG120),"")))</f>
        <v/>
      </c>
      <c r="AI120" s="37">
        <f>IF($AR120=0,"",IF($AN120=Lists!$B$19,"",IF(AND($AN120=Lists!$B$18,$AQ120&lt;&gt;""),$AQ120,IF(AND($AP120=Lists!$B$17,$AL120&lt;&gt;""),$AL120,$AK120))))</f>
        <v/>
      </c>
      <c r="AJ120" s="37">
        <f>IF($AR120=0,"",IF(IF($AF120="",", no value",IF($AF120&lt;=0,", no value",""))&amp;IF('Start here'!$F$15="","",IF(LEN($AD120)&lt;'Start here'!$F$15,", short description",""))="","OK",MID(IF($AF120="",", no value",IF($AF120&lt;=0,", no value",""))&amp;IF('Start here'!$F$15="","",IF(LEN($AD120)&lt;'Start here'!$F$15,", short description","")),3,200)))</f>
        <v/>
      </c>
      <c r="AK120" s="37">
        <f>IF($AR120=1,IFERROR(TRIM(INDEX($A120:$Z120,MATCH(Lists!$B$5,$A$1:$Z$1,0))&amp;""),""),"")</f>
        <v/>
      </c>
      <c r="AL120" s="37">
        <f>IF($AR120=1,IFERROR(TRIM(INDEX($A120:$Z120,MATCH(Lists!$B$4,$A$1:$Z$1,0))&amp;""),""),"")</f>
        <v/>
      </c>
      <c r="AM120" s="37">
        <f>IF($AR120=1,IFERROR(TRIM(INDEX($A120:$Z120,MATCH(Lists!$B$6,$A$1:$Z$1,0))&amp;""),""),"")</f>
        <v/>
      </c>
      <c r="AN120" s="37">
        <f>IF($AR120=1,IFERROR(TRIM(INDEX($A120:$Z120,MATCH(Lists!$B$7,$A$1:$Z$1,0))&amp;""),""),"")</f>
        <v/>
      </c>
      <c r="AO120" s="37">
        <f>IF($AR120=1,IFERROR(TRIM(INDEX($A120:$Z120,MATCH(Lists!$B$13,$A$1:$Z$1,0))&amp;""),""),"")</f>
        <v/>
      </c>
      <c r="AP120" s="37">
        <f>IF($AR120=1,IFERROR(TRIM(INDEX($A120:$Z120,MATCH(Lists!$B$3,$A$1:$Z$1,0))&amp;""),""),"")</f>
        <v/>
      </c>
      <c r="AQ120" s="37">
        <f>IF($AR120=1,IFERROR(TRIM(INDEX($A120:$Z120,MATCH(Lists!$B$8,$A$1:$Z$1,0))&amp;""),""),"")</f>
        <v/>
      </c>
      <c r="AR120" s="36">
        <f>IF(LEN($AC120)&gt;0,1,0)</f>
        <v/>
      </c>
      <c r="AS120" s="37">
        <f>IF($AR120=1,IF(IFERROR(IF(ISNUMBER(INDEX($A120:$Z120,MATCH(Lists!$B$2,$A$1:$Z$1,0))),INDEX($A120:$Z120,MATCH(Lists!$B$2,$A$1:$Z$1,0)),DATE(VALUE(LEFT(IFERROR(TRIM(INDEX($A120:$Z120,MATCH(Lists!$B$2,$A$1:$Z$1,0))&amp;""),""),4)),VALUE(MID(IFERROR(TRIM(INDEX($A120:$Z120,MATCH(Lists!$B$2,$A$1:$Z$1,0))&amp;""),""),6,2)),VALUE(MID(IFERROR(TRIM(INDEX($A120:$Z120,MATCH(Lists!$B$2,$A$1:$Z$1,0))&amp;""),""),9,2)))+TIME(VALUE(MID(IFERROR(TRIM(INDEX($A120:$Z120,MATCH(Lists!$B$2,$A$1:$Z$1,0))&amp;""),""),12,2)),VALUE(MID(IFERROR(TRIM(INDEX($A120:$Z120,MATCH(Lists!$B$2,$A$1:$Z$1,0))&amp;""),""),15,2)),VALUE(MID(IFERROR(TRIM(INDEX($A120:$Z120,MATCH(Lists!$B$2,$A$1:$Z$1,0))&amp;""),""),18,2)))),"")="",100000+ROW()/10^7,IFERROR(IF(ISNUMBER(INDEX($A120:$Z120,MATCH(Lists!$B$2,$A$1:$Z$1,0))),INDEX($A120:$Z120,MATCH(Lists!$B$2,$A$1:$Z$1,0)),DATE(VALUE(LEFT(IFERROR(TRIM(INDEX($A120:$Z120,MATCH(Lists!$B$2,$A$1:$Z$1,0))&amp;""),""),4)),VALUE(MID(IFERROR(TRIM(INDEX($A120:$Z120,MATCH(Lists!$B$2,$A$1:$Z$1,0))&amp;""),""),6,2)),VALUE(MID(IFERROR(TRIM(INDEX($A120:$Z120,MATCH(Lists!$B$2,$A$1:$Z$1,0))&amp;""),""),9,2)))+TIME(VALUE(MID(IFERROR(TRIM(INDEX($A120:$Z120,MATCH(Lists!$B$2,$A$1:$Z$1,0))&amp;""),""),12,2)),VALUE(MID(IFERROR(TRIM(INDEX($A120:$Z120,MATCH(Lists!$B$2,$A$1:$Z$1,0))&amp;""),""),15,2)),VALUE(MID(IFERROR(TRIM(INDEX($A120:$Z120,MATCH(Lists!$B$2,$A$1:$Z$1,0))&amp;""),""),18,2)))),"")-ROW()/10^7),"")</f>
        <v/>
      </c>
    </row>
    <row r="121">
      <c r="AB121" s="36">
        <f>IF($AR121=1,COUNTIF($AS$2:$AS$201,"&lt;"&amp;$AS121)+1,"")</f>
        <v/>
      </c>
      <c r="AC121" s="37">
        <f>IFERROR(TRIM(INDEX($A121:$Z121,MATCH(Lists!$B$9,$A$1:$Z$1,0))&amp;""),"")</f>
        <v/>
      </c>
      <c r="AD121" s="37">
        <f>IF($AR121=1,IFERROR(TRIM(INDEX($A121:$Z121,MATCH(Lists!$B$10,$A$1:$Z$1,0))&amp;""),""),"")</f>
        <v/>
      </c>
      <c r="AE121" s="37">
        <f>IF($AR121=1,IFERROR(TRIM(INDEX($A121:$Z121,MATCH(Lists!$B$12,$A$1:$Z$1,0))&amp;""),""),"")</f>
        <v/>
      </c>
      <c r="AF121" s="38">
        <f>IF($AR121=1,IFERROR(IF(TRIM(INDEX($A121:$Z121,MATCH(Lists!$B$11,$A$1:$Z$1,0))&amp;"")="","",VALUE(TRIM(INDEX($A121:$Z121,MATCH(Lists!$B$11,$A$1:$Z$1,0))&amp;""))),""),"")</f>
        <v/>
      </c>
      <c r="AG121" s="38">
        <f>IF(OR($AR121=0,$AF121="",'Start here'!$F$10="",'Start here'!$F$11="",'Start here'!$F$12="",'Start here'!$F$13="",'Start here'!$F$14=""),"",IF($AF121&lt;'Start here'!$F$10,'Start here'!$F$11,IF($AF121&lt;'Start here'!$F$12,'Start here'!$F$13,'Start here'!$F$14)))</f>
        <v/>
      </c>
      <c r="AH121" s="38">
        <f>IF(OR($AG121="",'Start here'!$F$9=""),"",IF($AF121&lt;=0,"",IFERROR(MAX($AG121,ROUNDUP(ROUND($AF121*'Start here'!$F$9/$AG121,6),0)*$AG121),"")))</f>
        <v/>
      </c>
      <c r="AI121" s="37">
        <f>IF($AR121=0,"",IF($AN121=Lists!$B$19,"",IF(AND($AN121=Lists!$B$18,$AQ121&lt;&gt;""),$AQ121,IF(AND($AP121=Lists!$B$17,$AL121&lt;&gt;""),$AL121,$AK121))))</f>
        <v/>
      </c>
      <c r="AJ121" s="37">
        <f>IF($AR121=0,"",IF(IF($AF121="",", no value",IF($AF121&lt;=0,", no value",""))&amp;IF('Start here'!$F$15="","",IF(LEN($AD121)&lt;'Start here'!$F$15,", short description",""))="","OK",MID(IF($AF121="",", no value",IF($AF121&lt;=0,", no value",""))&amp;IF('Start here'!$F$15="","",IF(LEN($AD121)&lt;'Start here'!$F$15,", short description","")),3,200)))</f>
        <v/>
      </c>
      <c r="AK121" s="37">
        <f>IF($AR121=1,IFERROR(TRIM(INDEX($A121:$Z121,MATCH(Lists!$B$5,$A$1:$Z$1,0))&amp;""),""),"")</f>
        <v/>
      </c>
      <c r="AL121" s="37">
        <f>IF($AR121=1,IFERROR(TRIM(INDEX($A121:$Z121,MATCH(Lists!$B$4,$A$1:$Z$1,0))&amp;""),""),"")</f>
        <v/>
      </c>
      <c r="AM121" s="37">
        <f>IF($AR121=1,IFERROR(TRIM(INDEX($A121:$Z121,MATCH(Lists!$B$6,$A$1:$Z$1,0))&amp;""),""),"")</f>
        <v/>
      </c>
      <c r="AN121" s="37">
        <f>IF($AR121=1,IFERROR(TRIM(INDEX($A121:$Z121,MATCH(Lists!$B$7,$A$1:$Z$1,0))&amp;""),""),"")</f>
        <v/>
      </c>
      <c r="AO121" s="37">
        <f>IF($AR121=1,IFERROR(TRIM(INDEX($A121:$Z121,MATCH(Lists!$B$13,$A$1:$Z$1,0))&amp;""),""),"")</f>
        <v/>
      </c>
      <c r="AP121" s="37">
        <f>IF($AR121=1,IFERROR(TRIM(INDEX($A121:$Z121,MATCH(Lists!$B$3,$A$1:$Z$1,0))&amp;""),""),"")</f>
        <v/>
      </c>
      <c r="AQ121" s="37">
        <f>IF($AR121=1,IFERROR(TRIM(INDEX($A121:$Z121,MATCH(Lists!$B$8,$A$1:$Z$1,0))&amp;""),""),"")</f>
        <v/>
      </c>
      <c r="AR121" s="36">
        <f>IF(LEN($AC121)&gt;0,1,0)</f>
        <v/>
      </c>
      <c r="AS121" s="37">
        <f>IF($AR121=1,IF(IFERROR(IF(ISNUMBER(INDEX($A121:$Z121,MATCH(Lists!$B$2,$A$1:$Z$1,0))),INDEX($A121:$Z121,MATCH(Lists!$B$2,$A$1:$Z$1,0)),DATE(VALUE(LEFT(IFERROR(TRIM(INDEX($A121:$Z121,MATCH(Lists!$B$2,$A$1:$Z$1,0))&amp;""),""),4)),VALUE(MID(IFERROR(TRIM(INDEX($A121:$Z121,MATCH(Lists!$B$2,$A$1:$Z$1,0))&amp;""),""),6,2)),VALUE(MID(IFERROR(TRIM(INDEX($A121:$Z121,MATCH(Lists!$B$2,$A$1:$Z$1,0))&amp;""),""),9,2)))+TIME(VALUE(MID(IFERROR(TRIM(INDEX($A121:$Z121,MATCH(Lists!$B$2,$A$1:$Z$1,0))&amp;""),""),12,2)),VALUE(MID(IFERROR(TRIM(INDEX($A121:$Z121,MATCH(Lists!$B$2,$A$1:$Z$1,0))&amp;""),""),15,2)),VALUE(MID(IFERROR(TRIM(INDEX($A121:$Z121,MATCH(Lists!$B$2,$A$1:$Z$1,0))&amp;""),""),18,2)))),"")="",100000+ROW()/10^7,IFERROR(IF(ISNUMBER(INDEX($A121:$Z121,MATCH(Lists!$B$2,$A$1:$Z$1,0))),INDEX($A121:$Z121,MATCH(Lists!$B$2,$A$1:$Z$1,0)),DATE(VALUE(LEFT(IFERROR(TRIM(INDEX($A121:$Z121,MATCH(Lists!$B$2,$A$1:$Z$1,0))&amp;""),""),4)),VALUE(MID(IFERROR(TRIM(INDEX($A121:$Z121,MATCH(Lists!$B$2,$A$1:$Z$1,0))&amp;""),""),6,2)),VALUE(MID(IFERROR(TRIM(INDEX($A121:$Z121,MATCH(Lists!$B$2,$A$1:$Z$1,0))&amp;""),""),9,2)))+TIME(VALUE(MID(IFERROR(TRIM(INDEX($A121:$Z121,MATCH(Lists!$B$2,$A$1:$Z$1,0))&amp;""),""),12,2)),VALUE(MID(IFERROR(TRIM(INDEX($A121:$Z121,MATCH(Lists!$B$2,$A$1:$Z$1,0))&amp;""),""),15,2)),VALUE(MID(IFERROR(TRIM(INDEX($A121:$Z121,MATCH(Lists!$B$2,$A$1:$Z$1,0))&amp;""),""),18,2)))),"")-ROW()/10^7),"")</f>
        <v/>
      </c>
    </row>
    <row r="122">
      <c r="AB122" s="36">
        <f>IF($AR122=1,COUNTIF($AS$2:$AS$201,"&lt;"&amp;$AS122)+1,"")</f>
        <v/>
      </c>
      <c r="AC122" s="37">
        <f>IFERROR(TRIM(INDEX($A122:$Z122,MATCH(Lists!$B$9,$A$1:$Z$1,0))&amp;""),"")</f>
        <v/>
      </c>
      <c r="AD122" s="37">
        <f>IF($AR122=1,IFERROR(TRIM(INDEX($A122:$Z122,MATCH(Lists!$B$10,$A$1:$Z$1,0))&amp;""),""),"")</f>
        <v/>
      </c>
      <c r="AE122" s="37">
        <f>IF($AR122=1,IFERROR(TRIM(INDEX($A122:$Z122,MATCH(Lists!$B$12,$A$1:$Z$1,0))&amp;""),""),"")</f>
        <v/>
      </c>
      <c r="AF122" s="38">
        <f>IF($AR122=1,IFERROR(IF(TRIM(INDEX($A122:$Z122,MATCH(Lists!$B$11,$A$1:$Z$1,0))&amp;"")="","",VALUE(TRIM(INDEX($A122:$Z122,MATCH(Lists!$B$11,$A$1:$Z$1,0))&amp;""))),""),"")</f>
        <v/>
      </c>
      <c r="AG122" s="38">
        <f>IF(OR($AR122=0,$AF122="",'Start here'!$F$10="",'Start here'!$F$11="",'Start here'!$F$12="",'Start here'!$F$13="",'Start here'!$F$14=""),"",IF($AF122&lt;'Start here'!$F$10,'Start here'!$F$11,IF($AF122&lt;'Start here'!$F$12,'Start here'!$F$13,'Start here'!$F$14)))</f>
        <v/>
      </c>
      <c r="AH122" s="38">
        <f>IF(OR($AG122="",'Start here'!$F$9=""),"",IF($AF122&lt;=0,"",IFERROR(MAX($AG122,ROUNDUP(ROUND($AF122*'Start here'!$F$9/$AG122,6),0)*$AG122),"")))</f>
        <v/>
      </c>
      <c r="AI122" s="37">
        <f>IF($AR122=0,"",IF($AN122=Lists!$B$19,"",IF(AND($AN122=Lists!$B$18,$AQ122&lt;&gt;""),$AQ122,IF(AND($AP122=Lists!$B$17,$AL122&lt;&gt;""),$AL122,$AK122))))</f>
        <v/>
      </c>
      <c r="AJ122" s="37">
        <f>IF($AR122=0,"",IF(IF($AF122="",", no value",IF($AF122&lt;=0,", no value",""))&amp;IF('Start here'!$F$15="","",IF(LEN($AD122)&lt;'Start here'!$F$15,", short description",""))="","OK",MID(IF($AF122="",", no value",IF($AF122&lt;=0,", no value",""))&amp;IF('Start here'!$F$15="","",IF(LEN($AD122)&lt;'Start here'!$F$15,", short description","")),3,200)))</f>
        <v/>
      </c>
      <c r="AK122" s="37">
        <f>IF($AR122=1,IFERROR(TRIM(INDEX($A122:$Z122,MATCH(Lists!$B$5,$A$1:$Z$1,0))&amp;""),""),"")</f>
        <v/>
      </c>
      <c r="AL122" s="37">
        <f>IF($AR122=1,IFERROR(TRIM(INDEX($A122:$Z122,MATCH(Lists!$B$4,$A$1:$Z$1,0))&amp;""),""),"")</f>
        <v/>
      </c>
      <c r="AM122" s="37">
        <f>IF($AR122=1,IFERROR(TRIM(INDEX($A122:$Z122,MATCH(Lists!$B$6,$A$1:$Z$1,0))&amp;""),""),"")</f>
        <v/>
      </c>
      <c r="AN122" s="37">
        <f>IF($AR122=1,IFERROR(TRIM(INDEX($A122:$Z122,MATCH(Lists!$B$7,$A$1:$Z$1,0))&amp;""),""),"")</f>
        <v/>
      </c>
      <c r="AO122" s="37">
        <f>IF($AR122=1,IFERROR(TRIM(INDEX($A122:$Z122,MATCH(Lists!$B$13,$A$1:$Z$1,0))&amp;""),""),"")</f>
        <v/>
      </c>
      <c r="AP122" s="37">
        <f>IF($AR122=1,IFERROR(TRIM(INDEX($A122:$Z122,MATCH(Lists!$B$3,$A$1:$Z$1,0))&amp;""),""),"")</f>
        <v/>
      </c>
      <c r="AQ122" s="37">
        <f>IF($AR122=1,IFERROR(TRIM(INDEX($A122:$Z122,MATCH(Lists!$B$8,$A$1:$Z$1,0))&amp;""),""),"")</f>
        <v/>
      </c>
      <c r="AR122" s="36">
        <f>IF(LEN($AC122)&gt;0,1,0)</f>
        <v/>
      </c>
      <c r="AS122" s="37">
        <f>IF($AR122=1,IF(IFERROR(IF(ISNUMBER(INDEX($A122:$Z122,MATCH(Lists!$B$2,$A$1:$Z$1,0))),INDEX($A122:$Z122,MATCH(Lists!$B$2,$A$1:$Z$1,0)),DATE(VALUE(LEFT(IFERROR(TRIM(INDEX($A122:$Z122,MATCH(Lists!$B$2,$A$1:$Z$1,0))&amp;""),""),4)),VALUE(MID(IFERROR(TRIM(INDEX($A122:$Z122,MATCH(Lists!$B$2,$A$1:$Z$1,0))&amp;""),""),6,2)),VALUE(MID(IFERROR(TRIM(INDEX($A122:$Z122,MATCH(Lists!$B$2,$A$1:$Z$1,0))&amp;""),""),9,2)))+TIME(VALUE(MID(IFERROR(TRIM(INDEX($A122:$Z122,MATCH(Lists!$B$2,$A$1:$Z$1,0))&amp;""),""),12,2)),VALUE(MID(IFERROR(TRIM(INDEX($A122:$Z122,MATCH(Lists!$B$2,$A$1:$Z$1,0))&amp;""),""),15,2)),VALUE(MID(IFERROR(TRIM(INDEX($A122:$Z122,MATCH(Lists!$B$2,$A$1:$Z$1,0))&amp;""),""),18,2)))),"")="",100000+ROW()/10^7,IFERROR(IF(ISNUMBER(INDEX($A122:$Z122,MATCH(Lists!$B$2,$A$1:$Z$1,0))),INDEX($A122:$Z122,MATCH(Lists!$B$2,$A$1:$Z$1,0)),DATE(VALUE(LEFT(IFERROR(TRIM(INDEX($A122:$Z122,MATCH(Lists!$B$2,$A$1:$Z$1,0))&amp;""),""),4)),VALUE(MID(IFERROR(TRIM(INDEX($A122:$Z122,MATCH(Lists!$B$2,$A$1:$Z$1,0))&amp;""),""),6,2)),VALUE(MID(IFERROR(TRIM(INDEX($A122:$Z122,MATCH(Lists!$B$2,$A$1:$Z$1,0))&amp;""),""),9,2)))+TIME(VALUE(MID(IFERROR(TRIM(INDEX($A122:$Z122,MATCH(Lists!$B$2,$A$1:$Z$1,0))&amp;""),""),12,2)),VALUE(MID(IFERROR(TRIM(INDEX($A122:$Z122,MATCH(Lists!$B$2,$A$1:$Z$1,0))&amp;""),""),15,2)),VALUE(MID(IFERROR(TRIM(INDEX($A122:$Z122,MATCH(Lists!$B$2,$A$1:$Z$1,0))&amp;""),""),18,2)))),"")-ROW()/10^7),"")</f>
        <v/>
      </c>
    </row>
    <row r="123">
      <c r="AB123" s="36">
        <f>IF($AR123=1,COUNTIF($AS$2:$AS$201,"&lt;"&amp;$AS123)+1,"")</f>
        <v/>
      </c>
      <c r="AC123" s="37">
        <f>IFERROR(TRIM(INDEX($A123:$Z123,MATCH(Lists!$B$9,$A$1:$Z$1,0))&amp;""),"")</f>
        <v/>
      </c>
      <c r="AD123" s="37">
        <f>IF($AR123=1,IFERROR(TRIM(INDEX($A123:$Z123,MATCH(Lists!$B$10,$A$1:$Z$1,0))&amp;""),""),"")</f>
        <v/>
      </c>
      <c r="AE123" s="37">
        <f>IF($AR123=1,IFERROR(TRIM(INDEX($A123:$Z123,MATCH(Lists!$B$12,$A$1:$Z$1,0))&amp;""),""),"")</f>
        <v/>
      </c>
      <c r="AF123" s="38">
        <f>IF($AR123=1,IFERROR(IF(TRIM(INDEX($A123:$Z123,MATCH(Lists!$B$11,$A$1:$Z$1,0))&amp;"")="","",VALUE(TRIM(INDEX($A123:$Z123,MATCH(Lists!$B$11,$A$1:$Z$1,0))&amp;""))),""),"")</f>
        <v/>
      </c>
      <c r="AG123" s="38">
        <f>IF(OR($AR123=0,$AF123="",'Start here'!$F$10="",'Start here'!$F$11="",'Start here'!$F$12="",'Start here'!$F$13="",'Start here'!$F$14=""),"",IF($AF123&lt;'Start here'!$F$10,'Start here'!$F$11,IF($AF123&lt;'Start here'!$F$12,'Start here'!$F$13,'Start here'!$F$14)))</f>
        <v/>
      </c>
      <c r="AH123" s="38">
        <f>IF(OR($AG123="",'Start here'!$F$9=""),"",IF($AF123&lt;=0,"",IFERROR(MAX($AG123,ROUNDUP(ROUND($AF123*'Start here'!$F$9/$AG123,6),0)*$AG123),"")))</f>
        <v/>
      </c>
      <c r="AI123" s="37">
        <f>IF($AR123=0,"",IF($AN123=Lists!$B$19,"",IF(AND($AN123=Lists!$B$18,$AQ123&lt;&gt;""),$AQ123,IF(AND($AP123=Lists!$B$17,$AL123&lt;&gt;""),$AL123,$AK123))))</f>
        <v/>
      </c>
      <c r="AJ123" s="37">
        <f>IF($AR123=0,"",IF(IF($AF123="",", no value",IF($AF123&lt;=0,", no value",""))&amp;IF('Start here'!$F$15="","",IF(LEN($AD123)&lt;'Start here'!$F$15,", short description",""))="","OK",MID(IF($AF123="",", no value",IF($AF123&lt;=0,", no value",""))&amp;IF('Start here'!$F$15="","",IF(LEN($AD123)&lt;'Start here'!$F$15,", short description","")),3,200)))</f>
        <v/>
      </c>
      <c r="AK123" s="37">
        <f>IF($AR123=1,IFERROR(TRIM(INDEX($A123:$Z123,MATCH(Lists!$B$5,$A$1:$Z$1,0))&amp;""),""),"")</f>
        <v/>
      </c>
      <c r="AL123" s="37">
        <f>IF($AR123=1,IFERROR(TRIM(INDEX($A123:$Z123,MATCH(Lists!$B$4,$A$1:$Z$1,0))&amp;""),""),"")</f>
        <v/>
      </c>
      <c r="AM123" s="37">
        <f>IF($AR123=1,IFERROR(TRIM(INDEX($A123:$Z123,MATCH(Lists!$B$6,$A$1:$Z$1,0))&amp;""),""),"")</f>
        <v/>
      </c>
      <c r="AN123" s="37">
        <f>IF($AR123=1,IFERROR(TRIM(INDEX($A123:$Z123,MATCH(Lists!$B$7,$A$1:$Z$1,0))&amp;""),""),"")</f>
        <v/>
      </c>
      <c r="AO123" s="37">
        <f>IF($AR123=1,IFERROR(TRIM(INDEX($A123:$Z123,MATCH(Lists!$B$13,$A$1:$Z$1,0))&amp;""),""),"")</f>
        <v/>
      </c>
      <c r="AP123" s="37">
        <f>IF($AR123=1,IFERROR(TRIM(INDEX($A123:$Z123,MATCH(Lists!$B$3,$A$1:$Z$1,0))&amp;""),""),"")</f>
        <v/>
      </c>
      <c r="AQ123" s="37">
        <f>IF($AR123=1,IFERROR(TRIM(INDEX($A123:$Z123,MATCH(Lists!$B$8,$A$1:$Z$1,0))&amp;""),""),"")</f>
        <v/>
      </c>
      <c r="AR123" s="36">
        <f>IF(LEN($AC123)&gt;0,1,0)</f>
        <v/>
      </c>
      <c r="AS123" s="37">
        <f>IF($AR123=1,IF(IFERROR(IF(ISNUMBER(INDEX($A123:$Z123,MATCH(Lists!$B$2,$A$1:$Z$1,0))),INDEX($A123:$Z123,MATCH(Lists!$B$2,$A$1:$Z$1,0)),DATE(VALUE(LEFT(IFERROR(TRIM(INDEX($A123:$Z123,MATCH(Lists!$B$2,$A$1:$Z$1,0))&amp;""),""),4)),VALUE(MID(IFERROR(TRIM(INDEX($A123:$Z123,MATCH(Lists!$B$2,$A$1:$Z$1,0))&amp;""),""),6,2)),VALUE(MID(IFERROR(TRIM(INDEX($A123:$Z123,MATCH(Lists!$B$2,$A$1:$Z$1,0))&amp;""),""),9,2)))+TIME(VALUE(MID(IFERROR(TRIM(INDEX($A123:$Z123,MATCH(Lists!$B$2,$A$1:$Z$1,0))&amp;""),""),12,2)),VALUE(MID(IFERROR(TRIM(INDEX($A123:$Z123,MATCH(Lists!$B$2,$A$1:$Z$1,0))&amp;""),""),15,2)),VALUE(MID(IFERROR(TRIM(INDEX($A123:$Z123,MATCH(Lists!$B$2,$A$1:$Z$1,0))&amp;""),""),18,2)))),"")="",100000+ROW()/10^7,IFERROR(IF(ISNUMBER(INDEX($A123:$Z123,MATCH(Lists!$B$2,$A$1:$Z$1,0))),INDEX($A123:$Z123,MATCH(Lists!$B$2,$A$1:$Z$1,0)),DATE(VALUE(LEFT(IFERROR(TRIM(INDEX($A123:$Z123,MATCH(Lists!$B$2,$A$1:$Z$1,0))&amp;""),""),4)),VALUE(MID(IFERROR(TRIM(INDEX($A123:$Z123,MATCH(Lists!$B$2,$A$1:$Z$1,0))&amp;""),""),6,2)),VALUE(MID(IFERROR(TRIM(INDEX($A123:$Z123,MATCH(Lists!$B$2,$A$1:$Z$1,0))&amp;""),""),9,2)))+TIME(VALUE(MID(IFERROR(TRIM(INDEX($A123:$Z123,MATCH(Lists!$B$2,$A$1:$Z$1,0))&amp;""),""),12,2)),VALUE(MID(IFERROR(TRIM(INDEX($A123:$Z123,MATCH(Lists!$B$2,$A$1:$Z$1,0))&amp;""),""),15,2)),VALUE(MID(IFERROR(TRIM(INDEX($A123:$Z123,MATCH(Lists!$B$2,$A$1:$Z$1,0))&amp;""),""),18,2)))),"")-ROW()/10^7),"")</f>
        <v/>
      </c>
    </row>
    <row r="124">
      <c r="AB124" s="36">
        <f>IF($AR124=1,COUNTIF($AS$2:$AS$201,"&lt;"&amp;$AS124)+1,"")</f>
        <v/>
      </c>
      <c r="AC124" s="37">
        <f>IFERROR(TRIM(INDEX($A124:$Z124,MATCH(Lists!$B$9,$A$1:$Z$1,0))&amp;""),"")</f>
        <v/>
      </c>
      <c r="AD124" s="37">
        <f>IF($AR124=1,IFERROR(TRIM(INDEX($A124:$Z124,MATCH(Lists!$B$10,$A$1:$Z$1,0))&amp;""),""),"")</f>
        <v/>
      </c>
      <c r="AE124" s="37">
        <f>IF($AR124=1,IFERROR(TRIM(INDEX($A124:$Z124,MATCH(Lists!$B$12,$A$1:$Z$1,0))&amp;""),""),"")</f>
        <v/>
      </c>
      <c r="AF124" s="38">
        <f>IF($AR124=1,IFERROR(IF(TRIM(INDEX($A124:$Z124,MATCH(Lists!$B$11,$A$1:$Z$1,0))&amp;"")="","",VALUE(TRIM(INDEX($A124:$Z124,MATCH(Lists!$B$11,$A$1:$Z$1,0))&amp;""))),""),"")</f>
        <v/>
      </c>
      <c r="AG124" s="38">
        <f>IF(OR($AR124=0,$AF124="",'Start here'!$F$10="",'Start here'!$F$11="",'Start here'!$F$12="",'Start here'!$F$13="",'Start here'!$F$14=""),"",IF($AF124&lt;'Start here'!$F$10,'Start here'!$F$11,IF($AF124&lt;'Start here'!$F$12,'Start here'!$F$13,'Start here'!$F$14)))</f>
        <v/>
      </c>
      <c r="AH124" s="38">
        <f>IF(OR($AG124="",'Start here'!$F$9=""),"",IF($AF124&lt;=0,"",IFERROR(MAX($AG124,ROUNDUP(ROUND($AF124*'Start here'!$F$9/$AG124,6),0)*$AG124),"")))</f>
        <v/>
      </c>
      <c r="AI124" s="37">
        <f>IF($AR124=0,"",IF($AN124=Lists!$B$19,"",IF(AND($AN124=Lists!$B$18,$AQ124&lt;&gt;""),$AQ124,IF(AND($AP124=Lists!$B$17,$AL124&lt;&gt;""),$AL124,$AK124))))</f>
        <v/>
      </c>
      <c r="AJ124" s="37">
        <f>IF($AR124=0,"",IF(IF($AF124="",", no value",IF($AF124&lt;=0,", no value",""))&amp;IF('Start here'!$F$15="","",IF(LEN($AD124)&lt;'Start here'!$F$15,", short description",""))="","OK",MID(IF($AF124="",", no value",IF($AF124&lt;=0,", no value",""))&amp;IF('Start here'!$F$15="","",IF(LEN($AD124)&lt;'Start here'!$F$15,", short description","")),3,200)))</f>
        <v/>
      </c>
      <c r="AK124" s="37">
        <f>IF($AR124=1,IFERROR(TRIM(INDEX($A124:$Z124,MATCH(Lists!$B$5,$A$1:$Z$1,0))&amp;""),""),"")</f>
        <v/>
      </c>
      <c r="AL124" s="37">
        <f>IF($AR124=1,IFERROR(TRIM(INDEX($A124:$Z124,MATCH(Lists!$B$4,$A$1:$Z$1,0))&amp;""),""),"")</f>
        <v/>
      </c>
      <c r="AM124" s="37">
        <f>IF($AR124=1,IFERROR(TRIM(INDEX($A124:$Z124,MATCH(Lists!$B$6,$A$1:$Z$1,0))&amp;""),""),"")</f>
        <v/>
      </c>
      <c r="AN124" s="37">
        <f>IF($AR124=1,IFERROR(TRIM(INDEX($A124:$Z124,MATCH(Lists!$B$7,$A$1:$Z$1,0))&amp;""),""),"")</f>
        <v/>
      </c>
      <c r="AO124" s="37">
        <f>IF($AR124=1,IFERROR(TRIM(INDEX($A124:$Z124,MATCH(Lists!$B$13,$A$1:$Z$1,0))&amp;""),""),"")</f>
        <v/>
      </c>
      <c r="AP124" s="37">
        <f>IF($AR124=1,IFERROR(TRIM(INDEX($A124:$Z124,MATCH(Lists!$B$3,$A$1:$Z$1,0))&amp;""),""),"")</f>
        <v/>
      </c>
      <c r="AQ124" s="37">
        <f>IF($AR124=1,IFERROR(TRIM(INDEX($A124:$Z124,MATCH(Lists!$B$8,$A$1:$Z$1,0))&amp;""),""),"")</f>
        <v/>
      </c>
      <c r="AR124" s="36">
        <f>IF(LEN($AC124)&gt;0,1,0)</f>
        <v/>
      </c>
      <c r="AS124" s="37">
        <f>IF($AR124=1,IF(IFERROR(IF(ISNUMBER(INDEX($A124:$Z124,MATCH(Lists!$B$2,$A$1:$Z$1,0))),INDEX($A124:$Z124,MATCH(Lists!$B$2,$A$1:$Z$1,0)),DATE(VALUE(LEFT(IFERROR(TRIM(INDEX($A124:$Z124,MATCH(Lists!$B$2,$A$1:$Z$1,0))&amp;""),""),4)),VALUE(MID(IFERROR(TRIM(INDEX($A124:$Z124,MATCH(Lists!$B$2,$A$1:$Z$1,0))&amp;""),""),6,2)),VALUE(MID(IFERROR(TRIM(INDEX($A124:$Z124,MATCH(Lists!$B$2,$A$1:$Z$1,0))&amp;""),""),9,2)))+TIME(VALUE(MID(IFERROR(TRIM(INDEX($A124:$Z124,MATCH(Lists!$B$2,$A$1:$Z$1,0))&amp;""),""),12,2)),VALUE(MID(IFERROR(TRIM(INDEX($A124:$Z124,MATCH(Lists!$B$2,$A$1:$Z$1,0))&amp;""),""),15,2)),VALUE(MID(IFERROR(TRIM(INDEX($A124:$Z124,MATCH(Lists!$B$2,$A$1:$Z$1,0))&amp;""),""),18,2)))),"")="",100000+ROW()/10^7,IFERROR(IF(ISNUMBER(INDEX($A124:$Z124,MATCH(Lists!$B$2,$A$1:$Z$1,0))),INDEX($A124:$Z124,MATCH(Lists!$B$2,$A$1:$Z$1,0)),DATE(VALUE(LEFT(IFERROR(TRIM(INDEX($A124:$Z124,MATCH(Lists!$B$2,$A$1:$Z$1,0))&amp;""),""),4)),VALUE(MID(IFERROR(TRIM(INDEX($A124:$Z124,MATCH(Lists!$B$2,$A$1:$Z$1,0))&amp;""),""),6,2)),VALUE(MID(IFERROR(TRIM(INDEX($A124:$Z124,MATCH(Lists!$B$2,$A$1:$Z$1,0))&amp;""),""),9,2)))+TIME(VALUE(MID(IFERROR(TRIM(INDEX($A124:$Z124,MATCH(Lists!$B$2,$A$1:$Z$1,0))&amp;""),""),12,2)),VALUE(MID(IFERROR(TRIM(INDEX($A124:$Z124,MATCH(Lists!$B$2,$A$1:$Z$1,0))&amp;""),""),15,2)),VALUE(MID(IFERROR(TRIM(INDEX($A124:$Z124,MATCH(Lists!$B$2,$A$1:$Z$1,0))&amp;""),""),18,2)))),"")-ROW()/10^7),"")</f>
        <v/>
      </c>
    </row>
    <row r="125">
      <c r="AB125" s="36">
        <f>IF($AR125=1,COUNTIF($AS$2:$AS$201,"&lt;"&amp;$AS125)+1,"")</f>
        <v/>
      </c>
      <c r="AC125" s="37">
        <f>IFERROR(TRIM(INDEX($A125:$Z125,MATCH(Lists!$B$9,$A$1:$Z$1,0))&amp;""),"")</f>
        <v/>
      </c>
      <c r="AD125" s="37">
        <f>IF($AR125=1,IFERROR(TRIM(INDEX($A125:$Z125,MATCH(Lists!$B$10,$A$1:$Z$1,0))&amp;""),""),"")</f>
        <v/>
      </c>
      <c r="AE125" s="37">
        <f>IF($AR125=1,IFERROR(TRIM(INDEX($A125:$Z125,MATCH(Lists!$B$12,$A$1:$Z$1,0))&amp;""),""),"")</f>
        <v/>
      </c>
      <c r="AF125" s="38">
        <f>IF($AR125=1,IFERROR(IF(TRIM(INDEX($A125:$Z125,MATCH(Lists!$B$11,$A$1:$Z$1,0))&amp;"")="","",VALUE(TRIM(INDEX($A125:$Z125,MATCH(Lists!$B$11,$A$1:$Z$1,0))&amp;""))),""),"")</f>
        <v/>
      </c>
      <c r="AG125" s="38">
        <f>IF(OR($AR125=0,$AF125="",'Start here'!$F$10="",'Start here'!$F$11="",'Start here'!$F$12="",'Start here'!$F$13="",'Start here'!$F$14=""),"",IF($AF125&lt;'Start here'!$F$10,'Start here'!$F$11,IF($AF125&lt;'Start here'!$F$12,'Start here'!$F$13,'Start here'!$F$14)))</f>
        <v/>
      </c>
      <c r="AH125" s="38">
        <f>IF(OR($AG125="",'Start here'!$F$9=""),"",IF($AF125&lt;=0,"",IFERROR(MAX($AG125,ROUNDUP(ROUND($AF125*'Start here'!$F$9/$AG125,6),0)*$AG125),"")))</f>
        <v/>
      </c>
      <c r="AI125" s="37">
        <f>IF($AR125=0,"",IF($AN125=Lists!$B$19,"",IF(AND($AN125=Lists!$B$18,$AQ125&lt;&gt;""),$AQ125,IF(AND($AP125=Lists!$B$17,$AL125&lt;&gt;""),$AL125,$AK125))))</f>
        <v/>
      </c>
      <c r="AJ125" s="37">
        <f>IF($AR125=0,"",IF(IF($AF125="",", no value",IF($AF125&lt;=0,", no value",""))&amp;IF('Start here'!$F$15="","",IF(LEN($AD125)&lt;'Start here'!$F$15,", short description",""))="","OK",MID(IF($AF125="",", no value",IF($AF125&lt;=0,", no value",""))&amp;IF('Start here'!$F$15="","",IF(LEN($AD125)&lt;'Start here'!$F$15,", short description","")),3,200)))</f>
        <v/>
      </c>
      <c r="AK125" s="37">
        <f>IF($AR125=1,IFERROR(TRIM(INDEX($A125:$Z125,MATCH(Lists!$B$5,$A$1:$Z$1,0))&amp;""),""),"")</f>
        <v/>
      </c>
      <c r="AL125" s="37">
        <f>IF($AR125=1,IFERROR(TRIM(INDEX($A125:$Z125,MATCH(Lists!$B$4,$A$1:$Z$1,0))&amp;""),""),"")</f>
        <v/>
      </c>
      <c r="AM125" s="37">
        <f>IF($AR125=1,IFERROR(TRIM(INDEX($A125:$Z125,MATCH(Lists!$B$6,$A$1:$Z$1,0))&amp;""),""),"")</f>
        <v/>
      </c>
      <c r="AN125" s="37">
        <f>IF($AR125=1,IFERROR(TRIM(INDEX($A125:$Z125,MATCH(Lists!$B$7,$A$1:$Z$1,0))&amp;""),""),"")</f>
        <v/>
      </c>
      <c r="AO125" s="37">
        <f>IF($AR125=1,IFERROR(TRIM(INDEX($A125:$Z125,MATCH(Lists!$B$13,$A$1:$Z$1,0))&amp;""),""),"")</f>
        <v/>
      </c>
      <c r="AP125" s="37">
        <f>IF($AR125=1,IFERROR(TRIM(INDEX($A125:$Z125,MATCH(Lists!$B$3,$A$1:$Z$1,0))&amp;""),""),"")</f>
        <v/>
      </c>
      <c r="AQ125" s="37">
        <f>IF($AR125=1,IFERROR(TRIM(INDEX($A125:$Z125,MATCH(Lists!$B$8,$A$1:$Z$1,0))&amp;""),""),"")</f>
        <v/>
      </c>
      <c r="AR125" s="36">
        <f>IF(LEN($AC125)&gt;0,1,0)</f>
        <v/>
      </c>
      <c r="AS125" s="37">
        <f>IF($AR125=1,IF(IFERROR(IF(ISNUMBER(INDEX($A125:$Z125,MATCH(Lists!$B$2,$A$1:$Z$1,0))),INDEX($A125:$Z125,MATCH(Lists!$B$2,$A$1:$Z$1,0)),DATE(VALUE(LEFT(IFERROR(TRIM(INDEX($A125:$Z125,MATCH(Lists!$B$2,$A$1:$Z$1,0))&amp;""),""),4)),VALUE(MID(IFERROR(TRIM(INDEX($A125:$Z125,MATCH(Lists!$B$2,$A$1:$Z$1,0))&amp;""),""),6,2)),VALUE(MID(IFERROR(TRIM(INDEX($A125:$Z125,MATCH(Lists!$B$2,$A$1:$Z$1,0))&amp;""),""),9,2)))+TIME(VALUE(MID(IFERROR(TRIM(INDEX($A125:$Z125,MATCH(Lists!$B$2,$A$1:$Z$1,0))&amp;""),""),12,2)),VALUE(MID(IFERROR(TRIM(INDEX($A125:$Z125,MATCH(Lists!$B$2,$A$1:$Z$1,0))&amp;""),""),15,2)),VALUE(MID(IFERROR(TRIM(INDEX($A125:$Z125,MATCH(Lists!$B$2,$A$1:$Z$1,0))&amp;""),""),18,2)))),"")="",100000+ROW()/10^7,IFERROR(IF(ISNUMBER(INDEX($A125:$Z125,MATCH(Lists!$B$2,$A$1:$Z$1,0))),INDEX($A125:$Z125,MATCH(Lists!$B$2,$A$1:$Z$1,0)),DATE(VALUE(LEFT(IFERROR(TRIM(INDEX($A125:$Z125,MATCH(Lists!$B$2,$A$1:$Z$1,0))&amp;""),""),4)),VALUE(MID(IFERROR(TRIM(INDEX($A125:$Z125,MATCH(Lists!$B$2,$A$1:$Z$1,0))&amp;""),""),6,2)),VALUE(MID(IFERROR(TRIM(INDEX($A125:$Z125,MATCH(Lists!$B$2,$A$1:$Z$1,0))&amp;""),""),9,2)))+TIME(VALUE(MID(IFERROR(TRIM(INDEX($A125:$Z125,MATCH(Lists!$B$2,$A$1:$Z$1,0))&amp;""),""),12,2)),VALUE(MID(IFERROR(TRIM(INDEX($A125:$Z125,MATCH(Lists!$B$2,$A$1:$Z$1,0))&amp;""),""),15,2)),VALUE(MID(IFERROR(TRIM(INDEX($A125:$Z125,MATCH(Lists!$B$2,$A$1:$Z$1,0))&amp;""),""),18,2)))),"")-ROW()/10^7),"")</f>
        <v/>
      </c>
    </row>
    <row r="126">
      <c r="AB126" s="36">
        <f>IF($AR126=1,COUNTIF($AS$2:$AS$201,"&lt;"&amp;$AS126)+1,"")</f>
        <v/>
      </c>
      <c r="AC126" s="37">
        <f>IFERROR(TRIM(INDEX($A126:$Z126,MATCH(Lists!$B$9,$A$1:$Z$1,0))&amp;""),"")</f>
        <v/>
      </c>
      <c r="AD126" s="37">
        <f>IF($AR126=1,IFERROR(TRIM(INDEX($A126:$Z126,MATCH(Lists!$B$10,$A$1:$Z$1,0))&amp;""),""),"")</f>
        <v/>
      </c>
      <c r="AE126" s="37">
        <f>IF($AR126=1,IFERROR(TRIM(INDEX($A126:$Z126,MATCH(Lists!$B$12,$A$1:$Z$1,0))&amp;""),""),"")</f>
        <v/>
      </c>
      <c r="AF126" s="38">
        <f>IF($AR126=1,IFERROR(IF(TRIM(INDEX($A126:$Z126,MATCH(Lists!$B$11,$A$1:$Z$1,0))&amp;"")="","",VALUE(TRIM(INDEX($A126:$Z126,MATCH(Lists!$B$11,$A$1:$Z$1,0))&amp;""))),""),"")</f>
        <v/>
      </c>
      <c r="AG126" s="38">
        <f>IF(OR($AR126=0,$AF126="",'Start here'!$F$10="",'Start here'!$F$11="",'Start here'!$F$12="",'Start here'!$F$13="",'Start here'!$F$14=""),"",IF($AF126&lt;'Start here'!$F$10,'Start here'!$F$11,IF($AF126&lt;'Start here'!$F$12,'Start here'!$F$13,'Start here'!$F$14)))</f>
        <v/>
      </c>
      <c r="AH126" s="38">
        <f>IF(OR($AG126="",'Start here'!$F$9=""),"",IF($AF126&lt;=0,"",IFERROR(MAX($AG126,ROUNDUP(ROUND($AF126*'Start here'!$F$9/$AG126,6),0)*$AG126),"")))</f>
        <v/>
      </c>
      <c r="AI126" s="37">
        <f>IF($AR126=0,"",IF($AN126=Lists!$B$19,"",IF(AND($AN126=Lists!$B$18,$AQ126&lt;&gt;""),$AQ126,IF(AND($AP126=Lists!$B$17,$AL126&lt;&gt;""),$AL126,$AK126))))</f>
        <v/>
      </c>
      <c r="AJ126" s="37">
        <f>IF($AR126=0,"",IF(IF($AF126="",", no value",IF($AF126&lt;=0,", no value",""))&amp;IF('Start here'!$F$15="","",IF(LEN($AD126)&lt;'Start here'!$F$15,", short description",""))="","OK",MID(IF($AF126="",", no value",IF($AF126&lt;=0,", no value",""))&amp;IF('Start here'!$F$15="","",IF(LEN($AD126)&lt;'Start here'!$F$15,", short description","")),3,200)))</f>
        <v/>
      </c>
      <c r="AK126" s="37">
        <f>IF($AR126=1,IFERROR(TRIM(INDEX($A126:$Z126,MATCH(Lists!$B$5,$A$1:$Z$1,0))&amp;""),""),"")</f>
        <v/>
      </c>
      <c r="AL126" s="37">
        <f>IF($AR126=1,IFERROR(TRIM(INDEX($A126:$Z126,MATCH(Lists!$B$4,$A$1:$Z$1,0))&amp;""),""),"")</f>
        <v/>
      </c>
      <c r="AM126" s="37">
        <f>IF($AR126=1,IFERROR(TRIM(INDEX($A126:$Z126,MATCH(Lists!$B$6,$A$1:$Z$1,0))&amp;""),""),"")</f>
        <v/>
      </c>
      <c r="AN126" s="37">
        <f>IF($AR126=1,IFERROR(TRIM(INDEX($A126:$Z126,MATCH(Lists!$B$7,$A$1:$Z$1,0))&amp;""),""),"")</f>
        <v/>
      </c>
      <c r="AO126" s="37">
        <f>IF($AR126=1,IFERROR(TRIM(INDEX($A126:$Z126,MATCH(Lists!$B$13,$A$1:$Z$1,0))&amp;""),""),"")</f>
        <v/>
      </c>
      <c r="AP126" s="37">
        <f>IF($AR126=1,IFERROR(TRIM(INDEX($A126:$Z126,MATCH(Lists!$B$3,$A$1:$Z$1,0))&amp;""),""),"")</f>
        <v/>
      </c>
      <c r="AQ126" s="37">
        <f>IF($AR126=1,IFERROR(TRIM(INDEX($A126:$Z126,MATCH(Lists!$B$8,$A$1:$Z$1,0))&amp;""),""),"")</f>
        <v/>
      </c>
      <c r="AR126" s="36">
        <f>IF(LEN($AC126)&gt;0,1,0)</f>
        <v/>
      </c>
      <c r="AS126" s="37">
        <f>IF($AR126=1,IF(IFERROR(IF(ISNUMBER(INDEX($A126:$Z126,MATCH(Lists!$B$2,$A$1:$Z$1,0))),INDEX($A126:$Z126,MATCH(Lists!$B$2,$A$1:$Z$1,0)),DATE(VALUE(LEFT(IFERROR(TRIM(INDEX($A126:$Z126,MATCH(Lists!$B$2,$A$1:$Z$1,0))&amp;""),""),4)),VALUE(MID(IFERROR(TRIM(INDEX($A126:$Z126,MATCH(Lists!$B$2,$A$1:$Z$1,0))&amp;""),""),6,2)),VALUE(MID(IFERROR(TRIM(INDEX($A126:$Z126,MATCH(Lists!$B$2,$A$1:$Z$1,0))&amp;""),""),9,2)))+TIME(VALUE(MID(IFERROR(TRIM(INDEX($A126:$Z126,MATCH(Lists!$B$2,$A$1:$Z$1,0))&amp;""),""),12,2)),VALUE(MID(IFERROR(TRIM(INDEX($A126:$Z126,MATCH(Lists!$B$2,$A$1:$Z$1,0))&amp;""),""),15,2)),VALUE(MID(IFERROR(TRIM(INDEX($A126:$Z126,MATCH(Lists!$B$2,$A$1:$Z$1,0))&amp;""),""),18,2)))),"")="",100000+ROW()/10^7,IFERROR(IF(ISNUMBER(INDEX($A126:$Z126,MATCH(Lists!$B$2,$A$1:$Z$1,0))),INDEX($A126:$Z126,MATCH(Lists!$B$2,$A$1:$Z$1,0)),DATE(VALUE(LEFT(IFERROR(TRIM(INDEX($A126:$Z126,MATCH(Lists!$B$2,$A$1:$Z$1,0))&amp;""),""),4)),VALUE(MID(IFERROR(TRIM(INDEX($A126:$Z126,MATCH(Lists!$B$2,$A$1:$Z$1,0))&amp;""),""),6,2)),VALUE(MID(IFERROR(TRIM(INDEX($A126:$Z126,MATCH(Lists!$B$2,$A$1:$Z$1,0))&amp;""),""),9,2)))+TIME(VALUE(MID(IFERROR(TRIM(INDEX($A126:$Z126,MATCH(Lists!$B$2,$A$1:$Z$1,0))&amp;""),""),12,2)),VALUE(MID(IFERROR(TRIM(INDEX($A126:$Z126,MATCH(Lists!$B$2,$A$1:$Z$1,0))&amp;""),""),15,2)),VALUE(MID(IFERROR(TRIM(INDEX($A126:$Z126,MATCH(Lists!$B$2,$A$1:$Z$1,0))&amp;""),""),18,2)))),"")-ROW()/10^7),"")</f>
        <v/>
      </c>
    </row>
    <row r="127">
      <c r="AB127" s="36">
        <f>IF($AR127=1,COUNTIF($AS$2:$AS$201,"&lt;"&amp;$AS127)+1,"")</f>
        <v/>
      </c>
      <c r="AC127" s="37">
        <f>IFERROR(TRIM(INDEX($A127:$Z127,MATCH(Lists!$B$9,$A$1:$Z$1,0))&amp;""),"")</f>
        <v/>
      </c>
      <c r="AD127" s="37">
        <f>IF($AR127=1,IFERROR(TRIM(INDEX($A127:$Z127,MATCH(Lists!$B$10,$A$1:$Z$1,0))&amp;""),""),"")</f>
        <v/>
      </c>
      <c r="AE127" s="37">
        <f>IF($AR127=1,IFERROR(TRIM(INDEX($A127:$Z127,MATCH(Lists!$B$12,$A$1:$Z$1,0))&amp;""),""),"")</f>
        <v/>
      </c>
      <c r="AF127" s="38">
        <f>IF($AR127=1,IFERROR(IF(TRIM(INDEX($A127:$Z127,MATCH(Lists!$B$11,$A$1:$Z$1,0))&amp;"")="","",VALUE(TRIM(INDEX($A127:$Z127,MATCH(Lists!$B$11,$A$1:$Z$1,0))&amp;""))),""),"")</f>
        <v/>
      </c>
      <c r="AG127" s="38">
        <f>IF(OR($AR127=0,$AF127="",'Start here'!$F$10="",'Start here'!$F$11="",'Start here'!$F$12="",'Start here'!$F$13="",'Start here'!$F$14=""),"",IF($AF127&lt;'Start here'!$F$10,'Start here'!$F$11,IF($AF127&lt;'Start here'!$F$12,'Start here'!$F$13,'Start here'!$F$14)))</f>
        <v/>
      </c>
      <c r="AH127" s="38">
        <f>IF(OR($AG127="",'Start here'!$F$9=""),"",IF($AF127&lt;=0,"",IFERROR(MAX($AG127,ROUNDUP(ROUND($AF127*'Start here'!$F$9/$AG127,6),0)*$AG127),"")))</f>
        <v/>
      </c>
      <c r="AI127" s="37">
        <f>IF($AR127=0,"",IF($AN127=Lists!$B$19,"",IF(AND($AN127=Lists!$B$18,$AQ127&lt;&gt;""),$AQ127,IF(AND($AP127=Lists!$B$17,$AL127&lt;&gt;""),$AL127,$AK127))))</f>
        <v/>
      </c>
      <c r="AJ127" s="37">
        <f>IF($AR127=0,"",IF(IF($AF127="",", no value",IF($AF127&lt;=0,", no value",""))&amp;IF('Start here'!$F$15="","",IF(LEN($AD127)&lt;'Start here'!$F$15,", short description",""))="","OK",MID(IF($AF127="",", no value",IF($AF127&lt;=0,", no value",""))&amp;IF('Start here'!$F$15="","",IF(LEN($AD127)&lt;'Start here'!$F$15,", short description","")),3,200)))</f>
        <v/>
      </c>
      <c r="AK127" s="37">
        <f>IF($AR127=1,IFERROR(TRIM(INDEX($A127:$Z127,MATCH(Lists!$B$5,$A$1:$Z$1,0))&amp;""),""),"")</f>
        <v/>
      </c>
      <c r="AL127" s="37">
        <f>IF($AR127=1,IFERROR(TRIM(INDEX($A127:$Z127,MATCH(Lists!$B$4,$A$1:$Z$1,0))&amp;""),""),"")</f>
        <v/>
      </c>
      <c r="AM127" s="37">
        <f>IF($AR127=1,IFERROR(TRIM(INDEX($A127:$Z127,MATCH(Lists!$B$6,$A$1:$Z$1,0))&amp;""),""),"")</f>
        <v/>
      </c>
      <c r="AN127" s="37">
        <f>IF($AR127=1,IFERROR(TRIM(INDEX($A127:$Z127,MATCH(Lists!$B$7,$A$1:$Z$1,0))&amp;""),""),"")</f>
        <v/>
      </c>
      <c r="AO127" s="37">
        <f>IF($AR127=1,IFERROR(TRIM(INDEX($A127:$Z127,MATCH(Lists!$B$13,$A$1:$Z$1,0))&amp;""),""),"")</f>
        <v/>
      </c>
      <c r="AP127" s="37">
        <f>IF($AR127=1,IFERROR(TRIM(INDEX($A127:$Z127,MATCH(Lists!$B$3,$A$1:$Z$1,0))&amp;""),""),"")</f>
        <v/>
      </c>
      <c r="AQ127" s="37">
        <f>IF($AR127=1,IFERROR(TRIM(INDEX($A127:$Z127,MATCH(Lists!$B$8,$A$1:$Z$1,0))&amp;""),""),"")</f>
        <v/>
      </c>
      <c r="AR127" s="36">
        <f>IF(LEN($AC127)&gt;0,1,0)</f>
        <v/>
      </c>
      <c r="AS127" s="37">
        <f>IF($AR127=1,IF(IFERROR(IF(ISNUMBER(INDEX($A127:$Z127,MATCH(Lists!$B$2,$A$1:$Z$1,0))),INDEX($A127:$Z127,MATCH(Lists!$B$2,$A$1:$Z$1,0)),DATE(VALUE(LEFT(IFERROR(TRIM(INDEX($A127:$Z127,MATCH(Lists!$B$2,$A$1:$Z$1,0))&amp;""),""),4)),VALUE(MID(IFERROR(TRIM(INDEX($A127:$Z127,MATCH(Lists!$B$2,$A$1:$Z$1,0))&amp;""),""),6,2)),VALUE(MID(IFERROR(TRIM(INDEX($A127:$Z127,MATCH(Lists!$B$2,$A$1:$Z$1,0))&amp;""),""),9,2)))+TIME(VALUE(MID(IFERROR(TRIM(INDEX($A127:$Z127,MATCH(Lists!$B$2,$A$1:$Z$1,0))&amp;""),""),12,2)),VALUE(MID(IFERROR(TRIM(INDEX($A127:$Z127,MATCH(Lists!$B$2,$A$1:$Z$1,0))&amp;""),""),15,2)),VALUE(MID(IFERROR(TRIM(INDEX($A127:$Z127,MATCH(Lists!$B$2,$A$1:$Z$1,0))&amp;""),""),18,2)))),"")="",100000+ROW()/10^7,IFERROR(IF(ISNUMBER(INDEX($A127:$Z127,MATCH(Lists!$B$2,$A$1:$Z$1,0))),INDEX($A127:$Z127,MATCH(Lists!$B$2,$A$1:$Z$1,0)),DATE(VALUE(LEFT(IFERROR(TRIM(INDEX($A127:$Z127,MATCH(Lists!$B$2,$A$1:$Z$1,0))&amp;""),""),4)),VALUE(MID(IFERROR(TRIM(INDEX($A127:$Z127,MATCH(Lists!$B$2,$A$1:$Z$1,0))&amp;""),""),6,2)),VALUE(MID(IFERROR(TRIM(INDEX($A127:$Z127,MATCH(Lists!$B$2,$A$1:$Z$1,0))&amp;""),""),9,2)))+TIME(VALUE(MID(IFERROR(TRIM(INDEX($A127:$Z127,MATCH(Lists!$B$2,$A$1:$Z$1,0))&amp;""),""),12,2)),VALUE(MID(IFERROR(TRIM(INDEX($A127:$Z127,MATCH(Lists!$B$2,$A$1:$Z$1,0))&amp;""),""),15,2)),VALUE(MID(IFERROR(TRIM(INDEX($A127:$Z127,MATCH(Lists!$B$2,$A$1:$Z$1,0))&amp;""),""),18,2)))),"")-ROW()/10^7),"")</f>
        <v/>
      </c>
    </row>
    <row r="128">
      <c r="AB128" s="36">
        <f>IF($AR128=1,COUNTIF($AS$2:$AS$201,"&lt;"&amp;$AS128)+1,"")</f>
        <v/>
      </c>
      <c r="AC128" s="37">
        <f>IFERROR(TRIM(INDEX($A128:$Z128,MATCH(Lists!$B$9,$A$1:$Z$1,0))&amp;""),"")</f>
        <v/>
      </c>
      <c r="AD128" s="37">
        <f>IF($AR128=1,IFERROR(TRIM(INDEX($A128:$Z128,MATCH(Lists!$B$10,$A$1:$Z$1,0))&amp;""),""),"")</f>
        <v/>
      </c>
      <c r="AE128" s="37">
        <f>IF($AR128=1,IFERROR(TRIM(INDEX($A128:$Z128,MATCH(Lists!$B$12,$A$1:$Z$1,0))&amp;""),""),"")</f>
        <v/>
      </c>
      <c r="AF128" s="38">
        <f>IF($AR128=1,IFERROR(IF(TRIM(INDEX($A128:$Z128,MATCH(Lists!$B$11,$A$1:$Z$1,0))&amp;"")="","",VALUE(TRIM(INDEX($A128:$Z128,MATCH(Lists!$B$11,$A$1:$Z$1,0))&amp;""))),""),"")</f>
        <v/>
      </c>
      <c r="AG128" s="38">
        <f>IF(OR($AR128=0,$AF128="",'Start here'!$F$10="",'Start here'!$F$11="",'Start here'!$F$12="",'Start here'!$F$13="",'Start here'!$F$14=""),"",IF($AF128&lt;'Start here'!$F$10,'Start here'!$F$11,IF($AF128&lt;'Start here'!$F$12,'Start here'!$F$13,'Start here'!$F$14)))</f>
        <v/>
      </c>
      <c r="AH128" s="38">
        <f>IF(OR($AG128="",'Start here'!$F$9=""),"",IF($AF128&lt;=0,"",IFERROR(MAX($AG128,ROUNDUP(ROUND($AF128*'Start here'!$F$9/$AG128,6),0)*$AG128),"")))</f>
        <v/>
      </c>
      <c r="AI128" s="37">
        <f>IF($AR128=0,"",IF($AN128=Lists!$B$19,"",IF(AND($AN128=Lists!$B$18,$AQ128&lt;&gt;""),$AQ128,IF(AND($AP128=Lists!$B$17,$AL128&lt;&gt;""),$AL128,$AK128))))</f>
        <v/>
      </c>
      <c r="AJ128" s="37">
        <f>IF($AR128=0,"",IF(IF($AF128="",", no value",IF($AF128&lt;=0,", no value",""))&amp;IF('Start here'!$F$15="","",IF(LEN($AD128)&lt;'Start here'!$F$15,", short description",""))="","OK",MID(IF($AF128="",", no value",IF($AF128&lt;=0,", no value",""))&amp;IF('Start here'!$F$15="","",IF(LEN($AD128)&lt;'Start here'!$F$15,", short description","")),3,200)))</f>
        <v/>
      </c>
      <c r="AK128" s="37">
        <f>IF($AR128=1,IFERROR(TRIM(INDEX($A128:$Z128,MATCH(Lists!$B$5,$A$1:$Z$1,0))&amp;""),""),"")</f>
        <v/>
      </c>
      <c r="AL128" s="37">
        <f>IF($AR128=1,IFERROR(TRIM(INDEX($A128:$Z128,MATCH(Lists!$B$4,$A$1:$Z$1,0))&amp;""),""),"")</f>
        <v/>
      </c>
      <c r="AM128" s="37">
        <f>IF($AR128=1,IFERROR(TRIM(INDEX($A128:$Z128,MATCH(Lists!$B$6,$A$1:$Z$1,0))&amp;""),""),"")</f>
        <v/>
      </c>
      <c r="AN128" s="37">
        <f>IF($AR128=1,IFERROR(TRIM(INDEX($A128:$Z128,MATCH(Lists!$B$7,$A$1:$Z$1,0))&amp;""),""),"")</f>
        <v/>
      </c>
      <c r="AO128" s="37">
        <f>IF($AR128=1,IFERROR(TRIM(INDEX($A128:$Z128,MATCH(Lists!$B$13,$A$1:$Z$1,0))&amp;""),""),"")</f>
        <v/>
      </c>
      <c r="AP128" s="37">
        <f>IF($AR128=1,IFERROR(TRIM(INDEX($A128:$Z128,MATCH(Lists!$B$3,$A$1:$Z$1,0))&amp;""),""),"")</f>
        <v/>
      </c>
      <c r="AQ128" s="37">
        <f>IF($AR128=1,IFERROR(TRIM(INDEX($A128:$Z128,MATCH(Lists!$B$8,$A$1:$Z$1,0))&amp;""),""),"")</f>
        <v/>
      </c>
      <c r="AR128" s="36">
        <f>IF(LEN($AC128)&gt;0,1,0)</f>
        <v/>
      </c>
      <c r="AS128" s="37">
        <f>IF($AR128=1,IF(IFERROR(IF(ISNUMBER(INDEX($A128:$Z128,MATCH(Lists!$B$2,$A$1:$Z$1,0))),INDEX($A128:$Z128,MATCH(Lists!$B$2,$A$1:$Z$1,0)),DATE(VALUE(LEFT(IFERROR(TRIM(INDEX($A128:$Z128,MATCH(Lists!$B$2,$A$1:$Z$1,0))&amp;""),""),4)),VALUE(MID(IFERROR(TRIM(INDEX($A128:$Z128,MATCH(Lists!$B$2,$A$1:$Z$1,0))&amp;""),""),6,2)),VALUE(MID(IFERROR(TRIM(INDEX($A128:$Z128,MATCH(Lists!$B$2,$A$1:$Z$1,0))&amp;""),""),9,2)))+TIME(VALUE(MID(IFERROR(TRIM(INDEX($A128:$Z128,MATCH(Lists!$B$2,$A$1:$Z$1,0))&amp;""),""),12,2)),VALUE(MID(IFERROR(TRIM(INDEX($A128:$Z128,MATCH(Lists!$B$2,$A$1:$Z$1,0))&amp;""),""),15,2)),VALUE(MID(IFERROR(TRIM(INDEX($A128:$Z128,MATCH(Lists!$B$2,$A$1:$Z$1,0))&amp;""),""),18,2)))),"")="",100000+ROW()/10^7,IFERROR(IF(ISNUMBER(INDEX($A128:$Z128,MATCH(Lists!$B$2,$A$1:$Z$1,0))),INDEX($A128:$Z128,MATCH(Lists!$B$2,$A$1:$Z$1,0)),DATE(VALUE(LEFT(IFERROR(TRIM(INDEX($A128:$Z128,MATCH(Lists!$B$2,$A$1:$Z$1,0))&amp;""),""),4)),VALUE(MID(IFERROR(TRIM(INDEX($A128:$Z128,MATCH(Lists!$B$2,$A$1:$Z$1,0))&amp;""),""),6,2)),VALUE(MID(IFERROR(TRIM(INDEX($A128:$Z128,MATCH(Lists!$B$2,$A$1:$Z$1,0))&amp;""),""),9,2)))+TIME(VALUE(MID(IFERROR(TRIM(INDEX($A128:$Z128,MATCH(Lists!$B$2,$A$1:$Z$1,0))&amp;""),""),12,2)),VALUE(MID(IFERROR(TRIM(INDEX($A128:$Z128,MATCH(Lists!$B$2,$A$1:$Z$1,0))&amp;""),""),15,2)),VALUE(MID(IFERROR(TRIM(INDEX($A128:$Z128,MATCH(Lists!$B$2,$A$1:$Z$1,0))&amp;""),""),18,2)))),"")-ROW()/10^7),"")</f>
        <v/>
      </c>
    </row>
    <row r="129">
      <c r="AB129" s="36">
        <f>IF($AR129=1,COUNTIF($AS$2:$AS$201,"&lt;"&amp;$AS129)+1,"")</f>
        <v/>
      </c>
      <c r="AC129" s="37">
        <f>IFERROR(TRIM(INDEX($A129:$Z129,MATCH(Lists!$B$9,$A$1:$Z$1,0))&amp;""),"")</f>
        <v/>
      </c>
      <c r="AD129" s="37">
        <f>IF($AR129=1,IFERROR(TRIM(INDEX($A129:$Z129,MATCH(Lists!$B$10,$A$1:$Z$1,0))&amp;""),""),"")</f>
        <v/>
      </c>
      <c r="AE129" s="37">
        <f>IF($AR129=1,IFERROR(TRIM(INDEX($A129:$Z129,MATCH(Lists!$B$12,$A$1:$Z$1,0))&amp;""),""),"")</f>
        <v/>
      </c>
      <c r="AF129" s="38">
        <f>IF($AR129=1,IFERROR(IF(TRIM(INDEX($A129:$Z129,MATCH(Lists!$B$11,$A$1:$Z$1,0))&amp;"")="","",VALUE(TRIM(INDEX($A129:$Z129,MATCH(Lists!$B$11,$A$1:$Z$1,0))&amp;""))),""),"")</f>
        <v/>
      </c>
      <c r="AG129" s="38">
        <f>IF(OR($AR129=0,$AF129="",'Start here'!$F$10="",'Start here'!$F$11="",'Start here'!$F$12="",'Start here'!$F$13="",'Start here'!$F$14=""),"",IF($AF129&lt;'Start here'!$F$10,'Start here'!$F$11,IF($AF129&lt;'Start here'!$F$12,'Start here'!$F$13,'Start here'!$F$14)))</f>
        <v/>
      </c>
      <c r="AH129" s="38">
        <f>IF(OR($AG129="",'Start here'!$F$9=""),"",IF($AF129&lt;=0,"",IFERROR(MAX($AG129,ROUNDUP(ROUND($AF129*'Start here'!$F$9/$AG129,6),0)*$AG129),"")))</f>
        <v/>
      </c>
      <c r="AI129" s="37">
        <f>IF($AR129=0,"",IF($AN129=Lists!$B$19,"",IF(AND($AN129=Lists!$B$18,$AQ129&lt;&gt;""),$AQ129,IF(AND($AP129=Lists!$B$17,$AL129&lt;&gt;""),$AL129,$AK129))))</f>
        <v/>
      </c>
      <c r="AJ129" s="37">
        <f>IF($AR129=0,"",IF(IF($AF129="",", no value",IF($AF129&lt;=0,", no value",""))&amp;IF('Start here'!$F$15="","",IF(LEN($AD129)&lt;'Start here'!$F$15,", short description",""))="","OK",MID(IF($AF129="",", no value",IF($AF129&lt;=0,", no value",""))&amp;IF('Start here'!$F$15="","",IF(LEN($AD129)&lt;'Start here'!$F$15,", short description","")),3,200)))</f>
        <v/>
      </c>
      <c r="AK129" s="37">
        <f>IF($AR129=1,IFERROR(TRIM(INDEX($A129:$Z129,MATCH(Lists!$B$5,$A$1:$Z$1,0))&amp;""),""),"")</f>
        <v/>
      </c>
      <c r="AL129" s="37">
        <f>IF($AR129=1,IFERROR(TRIM(INDEX($A129:$Z129,MATCH(Lists!$B$4,$A$1:$Z$1,0))&amp;""),""),"")</f>
        <v/>
      </c>
      <c r="AM129" s="37">
        <f>IF($AR129=1,IFERROR(TRIM(INDEX($A129:$Z129,MATCH(Lists!$B$6,$A$1:$Z$1,0))&amp;""),""),"")</f>
        <v/>
      </c>
      <c r="AN129" s="37">
        <f>IF($AR129=1,IFERROR(TRIM(INDEX($A129:$Z129,MATCH(Lists!$B$7,$A$1:$Z$1,0))&amp;""),""),"")</f>
        <v/>
      </c>
      <c r="AO129" s="37">
        <f>IF($AR129=1,IFERROR(TRIM(INDEX($A129:$Z129,MATCH(Lists!$B$13,$A$1:$Z$1,0))&amp;""),""),"")</f>
        <v/>
      </c>
      <c r="AP129" s="37">
        <f>IF($AR129=1,IFERROR(TRIM(INDEX($A129:$Z129,MATCH(Lists!$B$3,$A$1:$Z$1,0))&amp;""),""),"")</f>
        <v/>
      </c>
      <c r="AQ129" s="37">
        <f>IF($AR129=1,IFERROR(TRIM(INDEX($A129:$Z129,MATCH(Lists!$B$8,$A$1:$Z$1,0))&amp;""),""),"")</f>
        <v/>
      </c>
      <c r="AR129" s="36">
        <f>IF(LEN($AC129)&gt;0,1,0)</f>
        <v/>
      </c>
      <c r="AS129" s="37">
        <f>IF($AR129=1,IF(IFERROR(IF(ISNUMBER(INDEX($A129:$Z129,MATCH(Lists!$B$2,$A$1:$Z$1,0))),INDEX($A129:$Z129,MATCH(Lists!$B$2,$A$1:$Z$1,0)),DATE(VALUE(LEFT(IFERROR(TRIM(INDEX($A129:$Z129,MATCH(Lists!$B$2,$A$1:$Z$1,0))&amp;""),""),4)),VALUE(MID(IFERROR(TRIM(INDEX($A129:$Z129,MATCH(Lists!$B$2,$A$1:$Z$1,0))&amp;""),""),6,2)),VALUE(MID(IFERROR(TRIM(INDEX($A129:$Z129,MATCH(Lists!$B$2,$A$1:$Z$1,0))&amp;""),""),9,2)))+TIME(VALUE(MID(IFERROR(TRIM(INDEX($A129:$Z129,MATCH(Lists!$B$2,$A$1:$Z$1,0))&amp;""),""),12,2)),VALUE(MID(IFERROR(TRIM(INDEX($A129:$Z129,MATCH(Lists!$B$2,$A$1:$Z$1,0))&amp;""),""),15,2)),VALUE(MID(IFERROR(TRIM(INDEX($A129:$Z129,MATCH(Lists!$B$2,$A$1:$Z$1,0))&amp;""),""),18,2)))),"")="",100000+ROW()/10^7,IFERROR(IF(ISNUMBER(INDEX($A129:$Z129,MATCH(Lists!$B$2,$A$1:$Z$1,0))),INDEX($A129:$Z129,MATCH(Lists!$B$2,$A$1:$Z$1,0)),DATE(VALUE(LEFT(IFERROR(TRIM(INDEX($A129:$Z129,MATCH(Lists!$B$2,$A$1:$Z$1,0))&amp;""),""),4)),VALUE(MID(IFERROR(TRIM(INDEX($A129:$Z129,MATCH(Lists!$B$2,$A$1:$Z$1,0))&amp;""),""),6,2)),VALUE(MID(IFERROR(TRIM(INDEX($A129:$Z129,MATCH(Lists!$B$2,$A$1:$Z$1,0))&amp;""),""),9,2)))+TIME(VALUE(MID(IFERROR(TRIM(INDEX($A129:$Z129,MATCH(Lists!$B$2,$A$1:$Z$1,0))&amp;""),""),12,2)),VALUE(MID(IFERROR(TRIM(INDEX($A129:$Z129,MATCH(Lists!$B$2,$A$1:$Z$1,0))&amp;""),""),15,2)),VALUE(MID(IFERROR(TRIM(INDEX($A129:$Z129,MATCH(Lists!$B$2,$A$1:$Z$1,0))&amp;""),""),18,2)))),"")-ROW()/10^7),"")</f>
        <v/>
      </c>
    </row>
    <row r="130">
      <c r="AB130" s="36">
        <f>IF($AR130=1,COUNTIF($AS$2:$AS$201,"&lt;"&amp;$AS130)+1,"")</f>
        <v/>
      </c>
      <c r="AC130" s="37">
        <f>IFERROR(TRIM(INDEX($A130:$Z130,MATCH(Lists!$B$9,$A$1:$Z$1,0))&amp;""),"")</f>
        <v/>
      </c>
      <c r="AD130" s="37">
        <f>IF($AR130=1,IFERROR(TRIM(INDEX($A130:$Z130,MATCH(Lists!$B$10,$A$1:$Z$1,0))&amp;""),""),"")</f>
        <v/>
      </c>
      <c r="AE130" s="37">
        <f>IF($AR130=1,IFERROR(TRIM(INDEX($A130:$Z130,MATCH(Lists!$B$12,$A$1:$Z$1,0))&amp;""),""),"")</f>
        <v/>
      </c>
      <c r="AF130" s="38">
        <f>IF($AR130=1,IFERROR(IF(TRIM(INDEX($A130:$Z130,MATCH(Lists!$B$11,$A$1:$Z$1,0))&amp;"")="","",VALUE(TRIM(INDEX($A130:$Z130,MATCH(Lists!$B$11,$A$1:$Z$1,0))&amp;""))),""),"")</f>
        <v/>
      </c>
      <c r="AG130" s="38">
        <f>IF(OR($AR130=0,$AF130="",'Start here'!$F$10="",'Start here'!$F$11="",'Start here'!$F$12="",'Start here'!$F$13="",'Start here'!$F$14=""),"",IF($AF130&lt;'Start here'!$F$10,'Start here'!$F$11,IF($AF130&lt;'Start here'!$F$12,'Start here'!$F$13,'Start here'!$F$14)))</f>
        <v/>
      </c>
      <c r="AH130" s="38">
        <f>IF(OR($AG130="",'Start here'!$F$9=""),"",IF($AF130&lt;=0,"",IFERROR(MAX($AG130,ROUNDUP(ROUND($AF130*'Start here'!$F$9/$AG130,6),0)*$AG130),"")))</f>
        <v/>
      </c>
      <c r="AI130" s="37">
        <f>IF($AR130=0,"",IF($AN130=Lists!$B$19,"",IF(AND($AN130=Lists!$B$18,$AQ130&lt;&gt;""),$AQ130,IF(AND($AP130=Lists!$B$17,$AL130&lt;&gt;""),$AL130,$AK130))))</f>
        <v/>
      </c>
      <c r="AJ130" s="37">
        <f>IF($AR130=0,"",IF(IF($AF130="",", no value",IF($AF130&lt;=0,", no value",""))&amp;IF('Start here'!$F$15="","",IF(LEN($AD130)&lt;'Start here'!$F$15,", short description",""))="","OK",MID(IF($AF130="",", no value",IF($AF130&lt;=0,", no value",""))&amp;IF('Start here'!$F$15="","",IF(LEN($AD130)&lt;'Start here'!$F$15,", short description","")),3,200)))</f>
        <v/>
      </c>
      <c r="AK130" s="37">
        <f>IF($AR130=1,IFERROR(TRIM(INDEX($A130:$Z130,MATCH(Lists!$B$5,$A$1:$Z$1,0))&amp;""),""),"")</f>
        <v/>
      </c>
      <c r="AL130" s="37">
        <f>IF($AR130=1,IFERROR(TRIM(INDEX($A130:$Z130,MATCH(Lists!$B$4,$A$1:$Z$1,0))&amp;""),""),"")</f>
        <v/>
      </c>
      <c r="AM130" s="37">
        <f>IF($AR130=1,IFERROR(TRIM(INDEX($A130:$Z130,MATCH(Lists!$B$6,$A$1:$Z$1,0))&amp;""),""),"")</f>
        <v/>
      </c>
      <c r="AN130" s="37">
        <f>IF($AR130=1,IFERROR(TRIM(INDEX($A130:$Z130,MATCH(Lists!$B$7,$A$1:$Z$1,0))&amp;""),""),"")</f>
        <v/>
      </c>
      <c r="AO130" s="37">
        <f>IF($AR130=1,IFERROR(TRIM(INDEX($A130:$Z130,MATCH(Lists!$B$13,$A$1:$Z$1,0))&amp;""),""),"")</f>
        <v/>
      </c>
      <c r="AP130" s="37">
        <f>IF($AR130=1,IFERROR(TRIM(INDEX($A130:$Z130,MATCH(Lists!$B$3,$A$1:$Z$1,0))&amp;""),""),"")</f>
        <v/>
      </c>
      <c r="AQ130" s="37">
        <f>IF($AR130=1,IFERROR(TRIM(INDEX($A130:$Z130,MATCH(Lists!$B$8,$A$1:$Z$1,0))&amp;""),""),"")</f>
        <v/>
      </c>
      <c r="AR130" s="36">
        <f>IF(LEN($AC130)&gt;0,1,0)</f>
        <v/>
      </c>
      <c r="AS130" s="37">
        <f>IF($AR130=1,IF(IFERROR(IF(ISNUMBER(INDEX($A130:$Z130,MATCH(Lists!$B$2,$A$1:$Z$1,0))),INDEX($A130:$Z130,MATCH(Lists!$B$2,$A$1:$Z$1,0)),DATE(VALUE(LEFT(IFERROR(TRIM(INDEX($A130:$Z130,MATCH(Lists!$B$2,$A$1:$Z$1,0))&amp;""),""),4)),VALUE(MID(IFERROR(TRIM(INDEX($A130:$Z130,MATCH(Lists!$B$2,$A$1:$Z$1,0))&amp;""),""),6,2)),VALUE(MID(IFERROR(TRIM(INDEX($A130:$Z130,MATCH(Lists!$B$2,$A$1:$Z$1,0))&amp;""),""),9,2)))+TIME(VALUE(MID(IFERROR(TRIM(INDEX($A130:$Z130,MATCH(Lists!$B$2,$A$1:$Z$1,0))&amp;""),""),12,2)),VALUE(MID(IFERROR(TRIM(INDEX($A130:$Z130,MATCH(Lists!$B$2,$A$1:$Z$1,0))&amp;""),""),15,2)),VALUE(MID(IFERROR(TRIM(INDEX($A130:$Z130,MATCH(Lists!$B$2,$A$1:$Z$1,0))&amp;""),""),18,2)))),"")="",100000+ROW()/10^7,IFERROR(IF(ISNUMBER(INDEX($A130:$Z130,MATCH(Lists!$B$2,$A$1:$Z$1,0))),INDEX($A130:$Z130,MATCH(Lists!$B$2,$A$1:$Z$1,0)),DATE(VALUE(LEFT(IFERROR(TRIM(INDEX($A130:$Z130,MATCH(Lists!$B$2,$A$1:$Z$1,0))&amp;""),""),4)),VALUE(MID(IFERROR(TRIM(INDEX($A130:$Z130,MATCH(Lists!$B$2,$A$1:$Z$1,0))&amp;""),""),6,2)),VALUE(MID(IFERROR(TRIM(INDEX($A130:$Z130,MATCH(Lists!$B$2,$A$1:$Z$1,0))&amp;""),""),9,2)))+TIME(VALUE(MID(IFERROR(TRIM(INDEX($A130:$Z130,MATCH(Lists!$B$2,$A$1:$Z$1,0))&amp;""),""),12,2)),VALUE(MID(IFERROR(TRIM(INDEX($A130:$Z130,MATCH(Lists!$B$2,$A$1:$Z$1,0))&amp;""),""),15,2)),VALUE(MID(IFERROR(TRIM(INDEX($A130:$Z130,MATCH(Lists!$B$2,$A$1:$Z$1,0))&amp;""),""),18,2)))),"")-ROW()/10^7),"")</f>
        <v/>
      </c>
    </row>
    <row r="131">
      <c r="AB131" s="36">
        <f>IF($AR131=1,COUNTIF($AS$2:$AS$201,"&lt;"&amp;$AS131)+1,"")</f>
        <v/>
      </c>
      <c r="AC131" s="37">
        <f>IFERROR(TRIM(INDEX($A131:$Z131,MATCH(Lists!$B$9,$A$1:$Z$1,0))&amp;""),"")</f>
        <v/>
      </c>
      <c r="AD131" s="37">
        <f>IF($AR131=1,IFERROR(TRIM(INDEX($A131:$Z131,MATCH(Lists!$B$10,$A$1:$Z$1,0))&amp;""),""),"")</f>
        <v/>
      </c>
      <c r="AE131" s="37">
        <f>IF($AR131=1,IFERROR(TRIM(INDEX($A131:$Z131,MATCH(Lists!$B$12,$A$1:$Z$1,0))&amp;""),""),"")</f>
        <v/>
      </c>
      <c r="AF131" s="38">
        <f>IF($AR131=1,IFERROR(IF(TRIM(INDEX($A131:$Z131,MATCH(Lists!$B$11,$A$1:$Z$1,0))&amp;"")="","",VALUE(TRIM(INDEX($A131:$Z131,MATCH(Lists!$B$11,$A$1:$Z$1,0))&amp;""))),""),"")</f>
        <v/>
      </c>
      <c r="AG131" s="38">
        <f>IF(OR($AR131=0,$AF131="",'Start here'!$F$10="",'Start here'!$F$11="",'Start here'!$F$12="",'Start here'!$F$13="",'Start here'!$F$14=""),"",IF($AF131&lt;'Start here'!$F$10,'Start here'!$F$11,IF($AF131&lt;'Start here'!$F$12,'Start here'!$F$13,'Start here'!$F$14)))</f>
        <v/>
      </c>
      <c r="AH131" s="38">
        <f>IF(OR($AG131="",'Start here'!$F$9=""),"",IF($AF131&lt;=0,"",IFERROR(MAX($AG131,ROUNDUP(ROUND($AF131*'Start here'!$F$9/$AG131,6),0)*$AG131),"")))</f>
        <v/>
      </c>
      <c r="AI131" s="37">
        <f>IF($AR131=0,"",IF($AN131=Lists!$B$19,"",IF(AND($AN131=Lists!$B$18,$AQ131&lt;&gt;""),$AQ131,IF(AND($AP131=Lists!$B$17,$AL131&lt;&gt;""),$AL131,$AK131))))</f>
        <v/>
      </c>
      <c r="AJ131" s="37">
        <f>IF($AR131=0,"",IF(IF($AF131="",", no value",IF($AF131&lt;=0,", no value",""))&amp;IF('Start here'!$F$15="","",IF(LEN($AD131)&lt;'Start here'!$F$15,", short description",""))="","OK",MID(IF($AF131="",", no value",IF($AF131&lt;=0,", no value",""))&amp;IF('Start here'!$F$15="","",IF(LEN($AD131)&lt;'Start here'!$F$15,", short description","")),3,200)))</f>
        <v/>
      </c>
      <c r="AK131" s="37">
        <f>IF($AR131=1,IFERROR(TRIM(INDEX($A131:$Z131,MATCH(Lists!$B$5,$A$1:$Z$1,0))&amp;""),""),"")</f>
        <v/>
      </c>
      <c r="AL131" s="37">
        <f>IF($AR131=1,IFERROR(TRIM(INDEX($A131:$Z131,MATCH(Lists!$B$4,$A$1:$Z$1,0))&amp;""),""),"")</f>
        <v/>
      </c>
      <c r="AM131" s="37">
        <f>IF($AR131=1,IFERROR(TRIM(INDEX($A131:$Z131,MATCH(Lists!$B$6,$A$1:$Z$1,0))&amp;""),""),"")</f>
        <v/>
      </c>
      <c r="AN131" s="37">
        <f>IF($AR131=1,IFERROR(TRIM(INDEX($A131:$Z131,MATCH(Lists!$B$7,$A$1:$Z$1,0))&amp;""),""),"")</f>
        <v/>
      </c>
      <c r="AO131" s="37">
        <f>IF($AR131=1,IFERROR(TRIM(INDEX($A131:$Z131,MATCH(Lists!$B$13,$A$1:$Z$1,0))&amp;""),""),"")</f>
        <v/>
      </c>
      <c r="AP131" s="37">
        <f>IF($AR131=1,IFERROR(TRIM(INDEX($A131:$Z131,MATCH(Lists!$B$3,$A$1:$Z$1,0))&amp;""),""),"")</f>
        <v/>
      </c>
      <c r="AQ131" s="37">
        <f>IF($AR131=1,IFERROR(TRIM(INDEX($A131:$Z131,MATCH(Lists!$B$8,$A$1:$Z$1,0))&amp;""),""),"")</f>
        <v/>
      </c>
      <c r="AR131" s="36">
        <f>IF(LEN($AC131)&gt;0,1,0)</f>
        <v/>
      </c>
      <c r="AS131" s="37">
        <f>IF($AR131=1,IF(IFERROR(IF(ISNUMBER(INDEX($A131:$Z131,MATCH(Lists!$B$2,$A$1:$Z$1,0))),INDEX($A131:$Z131,MATCH(Lists!$B$2,$A$1:$Z$1,0)),DATE(VALUE(LEFT(IFERROR(TRIM(INDEX($A131:$Z131,MATCH(Lists!$B$2,$A$1:$Z$1,0))&amp;""),""),4)),VALUE(MID(IFERROR(TRIM(INDEX($A131:$Z131,MATCH(Lists!$B$2,$A$1:$Z$1,0))&amp;""),""),6,2)),VALUE(MID(IFERROR(TRIM(INDEX($A131:$Z131,MATCH(Lists!$B$2,$A$1:$Z$1,0))&amp;""),""),9,2)))+TIME(VALUE(MID(IFERROR(TRIM(INDEX($A131:$Z131,MATCH(Lists!$B$2,$A$1:$Z$1,0))&amp;""),""),12,2)),VALUE(MID(IFERROR(TRIM(INDEX($A131:$Z131,MATCH(Lists!$B$2,$A$1:$Z$1,0))&amp;""),""),15,2)),VALUE(MID(IFERROR(TRIM(INDEX($A131:$Z131,MATCH(Lists!$B$2,$A$1:$Z$1,0))&amp;""),""),18,2)))),"")="",100000+ROW()/10^7,IFERROR(IF(ISNUMBER(INDEX($A131:$Z131,MATCH(Lists!$B$2,$A$1:$Z$1,0))),INDEX($A131:$Z131,MATCH(Lists!$B$2,$A$1:$Z$1,0)),DATE(VALUE(LEFT(IFERROR(TRIM(INDEX($A131:$Z131,MATCH(Lists!$B$2,$A$1:$Z$1,0))&amp;""),""),4)),VALUE(MID(IFERROR(TRIM(INDEX($A131:$Z131,MATCH(Lists!$B$2,$A$1:$Z$1,0))&amp;""),""),6,2)),VALUE(MID(IFERROR(TRIM(INDEX($A131:$Z131,MATCH(Lists!$B$2,$A$1:$Z$1,0))&amp;""),""),9,2)))+TIME(VALUE(MID(IFERROR(TRIM(INDEX($A131:$Z131,MATCH(Lists!$B$2,$A$1:$Z$1,0))&amp;""),""),12,2)),VALUE(MID(IFERROR(TRIM(INDEX($A131:$Z131,MATCH(Lists!$B$2,$A$1:$Z$1,0))&amp;""),""),15,2)),VALUE(MID(IFERROR(TRIM(INDEX($A131:$Z131,MATCH(Lists!$B$2,$A$1:$Z$1,0))&amp;""),""),18,2)))),"")-ROW()/10^7),"")</f>
        <v/>
      </c>
    </row>
    <row r="132">
      <c r="AB132" s="36">
        <f>IF($AR132=1,COUNTIF($AS$2:$AS$201,"&lt;"&amp;$AS132)+1,"")</f>
        <v/>
      </c>
      <c r="AC132" s="37">
        <f>IFERROR(TRIM(INDEX($A132:$Z132,MATCH(Lists!$B$9,$A$1:$Z$1,0))&amp;""),"")</f>
        <v/>
      </c>
      <c r="AD132" s="37">
        <f>IF($AR132=1,IFERROR(TRIM(INDEX($A132:$Z132,MATCH(Lists!$B$10,$A$1:$Z$1,0))&amp;""),""),"")</f>
        <v/>
      </c>
      <c r="AE132" s="37">
        <f>IF($AR132=1,IFERROR(TRIM(INDEX($A132:$Z132,MATCH(Lists!$B$12,$A$1:$Z$1,0))&amp;""),""),"")</f>
        <v/>
      </c>
      <c r="AF132" s="38">
        <f>IF($AR132=1,IFERROR(IF(TRIM(INDEX($A132:$Z132,MATCH(Lists!$B$11,$A$1:$Z$1,0))&amp;"")="","",VALUE(TRIM(INDEX($A132:$Z132,MATCH(Lists!$B$11,$A$1:$Z$1,0))&amp;""))),""),"")</f>
        <v/>
      </c>
      <c r="AG132" s="38">
        <f>IF(OR($AR132=0,$AF132="",'Start here'!$F$10="",'Start here'!$F$11="",'Start here'!$F$12="",'Start here'!$F$13="",'Start here'!$F$14=""),"",IF($AF132&lt;'Start here'!$F$10,'Start here'!$F$11,IF($AF132&lt;'Start here'!$F$12,'Start here'!$F$13,'Start here'!$F$14)))</f>
        <v/>
      </c>
      <c r="AH132" s="38">
        <f>IF(OR($AG132="",'Start here'!$F$9=""),"",IF($AF132&lt;=0,"",IFERROR(MAX($AG132,ROUNDUP(ROUND($AF132*'Start here'!$F$9/$AG132,6),0)*$AG132),"")))</f>
        <v/>
      </c>
      <c r="AI132" s="37">
        <f>IF($AR132=0,"",IF($AN132=Lists!$B$19,"",IF(AND($AN132=Lists!$B$18,$AQ132&lt;&gt;""),$AQ132,IF(AND($AP132=Lists!$B$17,$AL132&lt;&gt;""),$AL132,$AK132))))</f>
        <v/>
      </c>
      <c r="AJ132" s="37">
        <f>IF($AR132=0,"",IF(IF($AF132="",", no value",IF($AF132&lt;=0,", no value",""))&amp;IF('Start here'!$F$15="","",IF(LEN($AD132)&lt;'Start here'!$F$15,", short description",""))="","OK",MID(IF($AF132="",", no value",IF($AF132&lt;=0,", no value",""))&amp;IF('Start here'!$F$15="","",IF(LEN($AD132)&lt;'Start here'!$F$15,", short description","")),3,200)))</f>
        <v/>
      </c>
      <c r="AK132" s="37">
        <f>IF($AR132=1,IFERROR(TRIM(INDEX($A132:$Z132,MATCH(Lists!$B$5,$A$1:$Z$1,0))&amp;""),""),"")</f>
        <v/>
      </c>
      <c r="AL132" s="37">
        <f>IF($AR132=1,IFERROR(TRIM(INDEX($A132:$Z132,MATCH(Lists!$B$4,$A$1:$Z$1,0))&amp;""),""),"")</f>
        <v/>
      </c>
      <c r="AM132" s="37">
        <f>IF($AR132=1,IFERROR(TRIM(INDEX($A132:$Z132,MATCH(Lists!$B$6,$A$1:$Z$1,0))&amp;""),""),"")</f>
        <v/>
      </c>
      <c r="AN132" s="37">
        <f>IF($AR132=1,IFERROR(TRIM(INDEX($A132:$Z132,MATCH(Lists!$B$7,$A$1:$Z$1,0))&amp;""),""),"")</f>
        <v/>
      </c>
      <c r="AO132" s="37">
        <f>IF($AR132=1,IFERROR(TRIM(INDEX($A132:$Z132,MATCH(Lists!$B$13,$A$1:$Z$1,0))&amp;""),""),"")</f>
        <v/>
      </c>
      <c r="AP132" s="37">
        <f>IF($AR132=1,IFERROR(TRIM(INDEX($A132:$Z132,MATCH(Lists!$B$3,$A$1:$Z$1,0))&amp;""),""),"")</f>
        <v/>
      </c>
      <c r="AQ132" s="37">
        <f>IF($AR132=1,IFERROR(TRIM(INDEX($A132:$Z132,MATCH(Lists!$B$8,$A$1:$Z$1,0))&amp;""),""),"")</f>
        <v/>
      </c>
      <c r="AR132" s="36">
        <f>IF(LEN($AC132)&gt;0,1,0)</f>
        <v/>
      </c>
      <c r="AS132" s="37">
        <f>IF($AR132=1,IF(IFERROR(IF(ISNUMBER(INDEX($A132:$Z132,MATCH(Lists!$B$2,$A$1:$Z$1,0))),INDEX($A132:$Z132,MATCH(Lists!$B$2,$A$1:$Z$1,0)),DATE(VALUE(LEFT(IFERROR(TRIM(INDEX($A132:$Z132,MATCH(Lists!$B$2,$A$1:$Z$1,0))&amp;""),""),4)),VALUE(MID(IFERROR(TRIM(INDEX($A132:$Z132,MATCH(Lists!$B$2,$A$1:$Z$1,0))&amp;""),""),6,2)),VALUE(MID(IFERROR(TRIM(INDEX($A132:$Z132,MATCH(Lists!$B$2,$A$1:$Z$1,0))&amp;""),""),9,2)))+TIME(VALUE(MID(IFERROR(TRIM(INDEX($A132:$Z132,MATCH(Lists!$B$2,$A$1:$Z$1,0))&amp;""),""),12,2)),VALUE(MID(IFERROR(TRIM(INDEX($A132:$Z132,MATCH(Lists!$B$2,$A$1:$Z$1,0))&amp;""),""),15,2)),VALUE(MID(IFERROR(TRIM(INDEX($A132:$Z132,MATCH(Lists!$B$2,$A$1:$Z$1,0))&amp;""),""),18,2)))),"")="",100000+ROW()/10^7,IFERROR(IF(ISNUMBER(INDEX($A132:$Z132,MATCH(Lists!$B$2,$A$1:$Z$1,0))),INDEX($A132:$Z132,MATCH(Lists!$B$2,$A$1:$Z$1,0)),DATE(VALUE(LEFT(IFERROR(TRIM(INDEX($A132:$Z132,MATCH(Lists!$B$2,$A$1:$Z$1,0))&amp;""),""),4)),VALUE(MID(IFERROR(TRIM(INDEX($A132:$Z132,MATCH(Lists!$B$2,$A$1:$Z$1,0))&amp;""),""),6,2)),VALUE(MID(IFERROR(TRIM(INDEX($A132:$Z132,MATCH(Lists!$B$2,$A$1:$Z$1,0))&amp;""),""),9,2)))+TIME(VALUE(MID(IFERROR(TRIM(INDEX($A132:$Z132,MATCH(Lists!$B$2,$A$1:$Z$1,0))&amp;""),""),12,2)),VALUE(MID(IFERROR(TRIM(INDEX($A132:$Z132,MATCH(Lists!$B$2,$A$1:$Z$1,0))&amp;""),""),15,2)),VALUE(MID(IFERROR(TRIM(INDEX($A132:$Z132,MATCH(Lists!$B$2,$A$1:$Z$1,0))&amp;""),""),18,2)))),"")-ROW()/10^7),"")</f>
        <v/>
      </c>
    </row>
    <row r="133">
      <c r="AB133" s="36">
        <f>IF($AR133=1,COUNTIF($AS$2:$AS$201,"&lt;"&amp;$AS133)+1,"")</f>
        <v/>
      </c>
      <c r="AC133" s="37">
        <f>IFERROR(TRIM(INDEX($A133:$Z133,MATCH(Lists!$B$9,$A$1:$Z$1,0))&amp;""),"")</f>
        <v/>
      </c>
      <c r="AD133" s="37">
        <f>IF($AR133=1,IFERROR(TRIM(INDEX($A133:$Z133,MATCH(Lists!$B$10,$A$1:$Z$1,0))&amp;""),""),"")</f>
        <v/>
      </c>
      <c r="AE133" s="37">
        <f>IF($AR133=1,IFERROR(TRIM(INDEX($A133:$Z133,MATCH(Lists!$B$12,$A$1:$Z$1,0))&amp;""),""),"")</f>
        <v/>
      </c>
      <c r="AF133" s="38">
        <f>IF($AR133=1,IFERROR(IF(TRIM(INDEX($A133:$Z133,MATCH(Lists!$B$11,$A$1:$Z$1,0))&amp;"")="","",VALUE(TRIM(INDEX($A133:$Z133,MATCH(Lists!$B$11,$A$1:$Z$1,0))&amp;""))),""),"")</f>
        <v/>
      </c>
      <c r="AG133" s="38">
        <f>IF(OR($AR133=0,$AF133="",'Start here'!$F$10="",'Start here'!$F$11="",'Start here'!$F$12="",'Start here'!$F$13="",'Start here'!$F$14=""),"",IF($AF133&lt;'Start here'!$F$10,'Start here'!$F$11,IF($AF133&lt;'Start here'!$F$12,'Start here'!$F$13,'Start here'!$F$14)))</f>
        <v/>
      </c>
      <c r="AH133" s="38">
        <f>IF(OR($AG133="",'Start here'!$F$9=""),"",IF($AF133&lt;=0,"",IFERROR(MAX($AG133,ROUNDUP(ROUND($AF133*'Start here'!$F$9/$AG133,6),0)*$AG133),"")))</f>
        <v/>
      </c>
      <c r="AI133" s="37">
        <f>IF($AR133=0,"",IF($AN133=Lists!$B$19,"",IF(AND($AN133=Lists!$B$18,$AQ133&lt;&gt;""),$AQ133,IF(AND($AP133=Lists!$B$17,$AL133&lt;&gt;""),$AL133,$AK133))))</f>
        <v/>
      </c>
      <c r="AJ133" s="37">
        <f>IF($AR133=0,"",IF(IF($AF133="",", no value",IF($AF133&lt;=0,", no value",""))&amp;IF('Start here'!$F$15="","",IF(LEN($AD133)&lt;'Start here'!$F$15,", short description",""))="","OK",MID(IF($AF133="",", no value",IF($AF133&lt;=0,", no value",""))&amp;IF('Start here'!$F$15="","",IF(LEN($AD133)&lt;'Start here'!$F$15,", short description","")),3,200)))</f>
        <v/>
      </c>
      <c r="AK133" s="37">
        <f>IF($AR133=1,IFERROR(TRIM(INDEX($A133:$Z133,MATCH(Lists!$B$5,$A$1:$Z$1,0))&amp;""),""),"")</f>
        <v/>
      </c>
      <c r="AL133" s="37">
        <f>IF($AR133=1,IFERROR(TRIM(INDEX($A133:$Z133,MATCH(Lists!$B$4,$A$1:$Z$1,0))&amp;""),""),"")</f>
        <v/>
      </c>
      <c r="AM133" s="37">
        <f>IF($AR133=1,IFERROR(TRIM(INDEX($A133:$Z133,MATCH(Lists!$B$6,$A$1:$Z$1,0))&amp;""),""),"")</f>
        <v/>
      </c>
      <c r="AN133" s="37">
        <f>IF($AR133=1,IFERROR(TRIM(INDEX($A133:$Z133,MATCH(Lists!$B$7,$A$1:$Z$1,0))&amp;""),""),"")</f>
        <v/>
      </c>
      <c r="AO133" s="37">
        <f>IF($AR133=1,IFERROR(TRIM(INDEX($A133:$Z133,MATCH(Lists!$B$13,$A$1:$Z$1,0))&amp;""),""),"")</f>
        <v/>
      </c>
      <c r="AP133" s="37">
        <f>IF($AR133=1,IFERROR(TRIM(INDEX($A133:$Z133,MATCH(Lists!$B$3,$A$1:$Z$1,0))&amp;""),""),"")</f>
        <v/>
      </c>
      <c r="AQ133" s="37">
        <f>IF($AR133=1,IFERROR(TRIM(INDEX($A133:$Z133,MATCH(Lists!$B$8,$A$1:$Z$1,0))&amp;""),""),"")</f>
        <v/>
      </c>
      <c r="AR133" s="36">
        <f>IF(LEN($AC133)&gt;0,1,0)</f>
        <v/>
      </c>
      <c r="AS133" s="37">
        <f>IF($AR133=1,IF(IFERROR(IF(ISNUMBER(INDEX($A133:$Z133,MATCH(Lists!$B$2,$A$1:$Z$1,0))),INDEX($A133:$Z133,MATCH(Lists!$B$2,$A$1:$Z$1,0)),DATE(VALUE(LEFT(IFERROR(TRIM(INDEX($A133:$Z133,MATCH(Lists!$B$2,$A$1:$Z$1,0))&amp;""),""),4)),VALUE(MID(IFERROR(TRIM(INDEX($A133:$Z133,MATCH(Lists!$B$2,$A$1:$Z$1,0))&amp;""),""),6,2)),VALUE(MID(IFERROR(TRIM(INDEX($A133:$Z133,MATCH(Lists!$B$2,$A$1:$Z$1,0))&amp;""),""),9,2)))+TIME(VALUE(MID(IFERROR(TRIM(INDEX($A133:$Z133,MATCH(Lists!$B$2,$A$1:$Z$1,0))&amp;""),""),12,2)),VALUE(MID(IFERROR(TRIM(INDEX($A133:$Z133,MATCH(Lists!$B$2,$A$1:$Z$1,0))&amp;""),""),15,2)),VALUE(MID(IFERROR(TRIM(INDEX($A133:$Z133,MATCH(Lists!$B$2,$A$1:$Z$1,0))&amp;""),""),18,2)))),"")="",100000+ROW()/10^7,IFERROR(IF(ISNUMBER(INDEX($A133:$Z133,MATCH(Lists!$B$2,$A$1:$Z$1,0))),INDEX($A133:$Z133,MATCH(Lists!$B$2,$A$1:$Z$1,0)),DATE(VALUE(LEFT(IFERROR(TRIM(INDEX($A133:$Z133,MATCH(Lists!$B$2,$A$1:$Z$1,0))&amp;""),""),4)),VALUE(MID(IFERROR(TRIM(INDEX($A133:$Z133,MATCH(Lists!$B$2,$A$1:$Z$1,0))&amp;""),""),6,2)),VALUE(MID(IFERROR(TRIM(INDEX($A133:$Z133,MATCH(Lists!$B$2,$A$1:$Z$1,0))&amp;""),""),9,2)))+TIME(VALUE(MID(IFERROR(TRIM(INDEX($A133:$Z133,MATCH(Lists!$B$2,$A$1:$Z$1,0))&amp;""),""),12,2)),VALUE(MID(IFERROR(TRIM(INDEX($A133:$Z133,MATCH(Lists!$B$2,$A$1:$Z$1,0))&amp;""),""),15,2)),VALUE(MID(IFERROR(TRIM(INDEX($A133:$Z133,MATCH(Lists!$B$2,$A$1:$Z$1,0))&amp;""),""),18,2)))),"")-ROW()/10^7),"")</f>
        <v/>
      </c>
    </row>
    <row r="134">
      <c r="AB134" s="36">
        <f>IF($AR134=1,COUNTIF($AS$2:$AS$201,"&lt;"&amp;$AS134)+1,"")</f>
        <v/>
      </c>
      <c r="AC134" s="37">
        <f>IFERROR(TRIM(INDEX($A134:$Z134,MATCH(Lists!$B$9,$A$1:$Z$1,0))&amp;""),"")</f>
        <v/>
      </c>
      <c r="AD134" s="37">
        <f>IF($AR134=1,IFERROR(TRIM(INDEX($A134:$Z134,MATCH(Lists!$B$10,$A$1:$Z$1,0))&amp;""),""),"")</f>
        <v/>
      </c>
      <c r="AE134" s="37">
        <f>IF($AR134=1,IFERROR(TRIM(INDEX($A134:$Z134,MATCH(Lists!$B$12,$A$1:$Z$1,0))&amp;""),""),"")</f>
        <v/>
      </c>
      <c r="AF134" s="38">
        <f>IF($AR134=1,IFERROR(IF(TRIM(INDEX($A134:$Z134,MATCH(Lists!$B$11,$A$1:$Z$1,0))&amp;"")="","",VALUE(TRIM(INDEX($A134:$Z134,MATCH(Lists!$B$11,$A$1:$Z$1,0))&amp;""))),""),"")</f>
        <v/>
      </c>
      <c r="AG134" s="38">
        <f>IF(OR($AR134=0,$AF134="",'Start here'!$F$10="",'Start here'!$F$11="",'Start here'!$F$12="",'Start here'!$F$13="",'Start here'!$F$14=""),"",IF($AF134&lt;'Start here'!$F$10,'Start here'!$F$11,IF($AF134&lt;'Start here'!$F$12,'Start here'!$F$13,'Start here'!$F$14)))</f>
        <v/>
      </c>
      <c r="AH134" s="38">
        <f>IF(OR($AG134="",'Start here'!$F$9=""),"",IF($AF134&lt;=0,"",IFERROR(MAX($AG134,ROUNDUP(ROUND($AF134*'Start here'!$F$9/$AG134,6),0)*$AG134),"")))</f>
        <v/>
      </c>
      <c r="AI134" s="37">
        <f>IF($AR134=0,"",IF($AN134=Lists!$B$19,"",IF(AND($AN134=Lists!$B$18,$AQ134&lt;&gt;""),$AQ134,IF(AND($AP134=Lists!$B$17,$AL134&lt;&gt;""),$AL134,$AK134))))</f>
        <v/>
      </c>
      <c r="AJ134" s="37">
        <f>IF($AR134=0,"",IF(IF($AF134="",", no value",IF($AF134&lt;=0,", no value",""))&amp;IF('Start here'!$F$15="","",IF(LEN($AD134)&lt;'Start here'!$F$15,", short description",""))="","OK",MID(IF($AF134="",", no value",IF($AF134&lt;=0,", no value",""))&amp;IF('Start here'!$F$15="","",IF(LEN($AD134)&lt;'Start here'!$F$15,", short description","")),3,200)))</f>
        <v/>
      </c>
      <c r="AK134" s="37">
        <f>IF($AR134=1,IFERROR(TRIM(INDEX($A134:$Z134,MATCH(Lists!$B$5,$A$1:$Z$1,0))&amp;""),""),"")</f>
        <v/>
      </c>
      <c r="AL134" s="37">
        <f>IF($AR134=1,IFERROR(TRIM(INDEX($A134:$Z134,MATCH(Lists!$B$4,$A$1:$Z$1,0))&amp;""),""),"")</f>
        <v/>
      </c>
      <c r="AM134" s="37">
        <f>IF($AR134=1,IFERROR(TRIM(INDEX($A134:$Z134,MATCH(Lists!$B$6,$A$1:$Z$1,0))&amp;""),""),"")</f>
        <v/>
      </c>
      <c r="AN134" s="37">
        <f>IF($AR134=1,IFERROR(TRIM(INDEX($A134:$Z134,MATCH(Lists!$B$7,$A$1:$Z$1,0))&amp;""),""),"")</f>
        <v/>
      </c>
      <c r="AO134" s="37">
        <f>IF($AR134=1,IFERROR(TRIM(INDEX($A134:$Z134,MATCH(Lists!$B$13,$A$1:$Z$1,0))&amp;""),""),"")</f>
        <v/>
      </c>
      <c r="AP134" s="37">
        <f>IF($AR134=1,IFERROR(TRIM(INDEX($A134:$Z134,MATCH(Lists!$B$3,$A$1:$Z$1,0))&amp;""),""),"")</f>
        <v/>
      </c>
      <c r="AQ134" s="37">
        <f>IF($AR134=1,IFERROR(TRIM(INDEX($A134:$Z134,MATCH(Lists!$B$8,$A$1:$Z$1,0))&amp;""),""),"")</f>
        <v/>
      </c>
      <c r="AR134" s="36">
        <f>IF(LEN($AC134)&gt;0,1,0)</f>
        <v/>
      </c>
      <c r="AS134" s="37">
        <f>IF($AR134=1,IF(IFERROR(IF(ISNUMBER(INDEX($A134:$Z134,MATCH(Lists!$B$2,$A$1:$Z$1,0))),INDEX($A134:$Z134,MATCH(Lists!$B$2,$A$1:$Z$1,0)),DATE(VALUE(LEFT(IFERROR(TRIM(INDEX($A134:$Z134,MATCH(Lists!$B$2,$A$1:$Z$1,0))&amp;""),""),4)),VALUE(MID(IFERROR(TRIM(INDEX($A134:$Z134,MATCH(Lists!$B$2,$A$1:$Z$1,0))&amp;""),""),6,2)),VALUE(MID(IFERROR(TRIM(INDEX($A134:$Z134,MATCH(Lists!$B$2,$A$1:$Z$1,0))&amp;""),""),9,2)))+TIME(VALUE(MID(IFERROR(TRIM(INDEX($A134:$Z134,MATCH(Lists!$B$2,$A$1:$Z$1,0))&amp;""),""),12,2)),VALUE(MID(IFERROR(TRIM(INDEX($A134:$Z134,MATCH(Lists!$B$2,$A$1:$Z$1,0))&amp;""),""),15,2)),VALUE(MID(IFERROR(TRIM(INDEX($A134:$Z134,MATCH(Lists!$B$2,$A$1:$Z$1,0))&amp;""),""),18,2)))),"")="",100000+ROW()/10^7,IFERROR(IF(ISNUMBER(INDEX($A134:$Z134,MATCH(Lists!$B$2,$A$1:$Z$1,0))),INDEX($A134:$Z134,MATCH(Lists!$B$2,$A$1:$Z$1,0)),DATE(VALUE(LEFT(IFERROR(TRIM(INDEX($A134:$Z134,MATCH(Lists!$B$2,$A$1:$Z$1,0))&amp;""),""),4)),VALUE(MID(IFERROR(TRIM(INDEX($A134:$Z134,MATCH(Lists!$B$2,$A$1:$Z$1,0))&amp;""),""),6,2)),VALUE(MID(IFERROR(TRIM(INDEX($A134:$Z134,MATCH(Lists!$B$2,$A$1:$Z$1,0))&amp;""),""),9,2)))+TIME(VALUE(MID(IFERROR(TRIM(INDEX($A134:$Z134,MATCH(Lists!$B$2,$A$1:$Z$1,0))&amp;""),""),12,2)),VALUE(MID(IFERROR(TRIM(INDEX($A134:$Z134,MATCH(Lists!$B$2,$A$1:$Z$1,0))&amp;""),""),15,2)),VALUE(MID(IFERROR(TRIM(INDEX($A134:$Z134,MATCH(Lists!$B$2,$A$1:$Z$1,0))&amp;""),""),18,2)))),"")-ROW()/10^7),"")</f>
        <v/>
      </c>
    </row>
    <row r="135">
      <c r="AB135" s="36">
        <f>IF($AR135=1,COUNTIF($AS$2:$AS$201,"&lt;"&amp;$AS135)+1,"")</f>
        <v/>
      </c>
      <c r="AC135" s="37">
        <f>IFERROR(TRIM(INDEX($A135:$Z135,MATCH(Lists!$B$9,$A$1:$Z$1,0))&amp;""),"")</f>
        <v/>
      </c>
      <c r="AD135" s="37">
        <f>IF($AR135=1,IFERROR(TRIM(INDEX($A135:$Z135,MATCH(Lists!$B$10,$A$1:$Z$1,0))&amp;""),""),"")</f>
        <v/>
      </c>
      <c r="AE135" s="37">
        <f>IF($AR135=1,IFERROR(TRIM(INDEX($A135:$Z135,MATCH(Lists!$B$12,$A$1:$Z$1,0))&amp;""),""),"")</f>
        <v/>
      </c>
      <c r="AF135" s="38">
        <f>IF($AR135=1,IFERROR(IF(TRIM(INDEX($A135:$Z135,MATCH(Lists!$B$11,$A$1:$Z$1,0))&amp;"")="","",VALUE(TRIM(INDEX($A135:$Z135,MATCH(Lists!$B$11,$A$1:$Z$1,0))&amp;""))),""),"")</f>
        <v/>
      </c>
      <c r="AG135" s="38">
        <f>IF(OR($AR135=0,$AF135="",'Start here'!$F$10="",'Start here'!$F$11="",'Start here'!$F$12="",'Start here'!$F$13="",'Start here'!$F$14=""),"",IF($AF135&lt;'Start here'!$F$10,'Start here'!$F$11,IF($AF135&lt;'Start here'!$F$12,'Start here'!$F$13,'Start here'!$F$14)))</f>
        <v/>
      </c>
      <c r="AH135" s="38">
        <f>IF(OR($AG135="",'Start here'!$F$9=""),"",IF($AF135&lt;=0,"",IFERROR(MAX($AG135,ROUNDUP(ROUND($AF135*'Start here'!$F$9/$AG135,6),0)*$AG135),"")))</f>
        <v/>
      </c>
      <c r="AI135" s="37">
        <f>IF($AR135=0,"",IF($AN135=Lists!$B$19,"",IF(AND($AN135=Lists!$B$18,$AQ135&lt;&gt;""),$AQ135,IF(AND($AP135=Lists!$B$17,$AL135&lt;&gt;""),$AL135,$AK135))))</f>
        <v/>
      </c>
      <c r="AJ135" s="37">
        <f>IF($AR135=0,"",IF(IF($AF135="",", no value",IF($AF135&lt;=0,", no value",""))&amp;IF('Start here'!$F$15="","",IF(LEN($AD135)&lt;'Start here'!$F$15,", short description",""))="","OK",MID(IF($AF135="",", no value",IF($AF135&lt;=0,", no value",""))&amp;IF('Start here'!$F$15="","",IF(LEN($AD135)&lt;'Start here'!$F$15,", short description","")),3,200)))</f>
        <v/>
      </c>
      <c r="AK135" s="37">
        <f>IF($AR135=1,IFERROR(TRIM(INDEX($A135:$Z135,MATCH(Lists!$B$5,$A$1:$Z$1,0))&amp;""),""),"")</f>
        <v/>
      </c>
      <c r="AL135" s="37">
        <f>IF($AR135=1,IFERROR(TRIM(INDEX($A135:$Z135,MATCH(Lists!$B$4,$A$1:$Z$1,0))&amp;""),""),"")</f>
        <v/>
      </c>
      <c r="AM135" s="37">
        <f>IF($AR135=1,IFERROR(TRIM(INDEX($A135:$Z135,MATCH(Lists!$B$6,$A$1:$Z$1,0))&amp;""),""),"")</f>
        <v/>
      </c>
      <c r="AN135" s="37">
        <f>IF($AR135=1,IFERROR(TRIM(INDEX($A135:$Z135,MATCH(Lists!$B$7,$A$1:$Z$1,0))&amp;""),""),"")</f>
        <v/>
      </c>
      <c r="AO135" s="37">
        <f>IF($AR135=1,IFERROR(TRIM(INDEX($A135:$Z135,MATCH(Lists!$B$13,$A$1:$Z$1,0))&amp;""),""),"")</f>
        <v/>
      </c>
      <c r="AP135" s="37">
        <f>IF($AR135=1,IFERROR(TRIM(INDEX($A135:$Z135,MATCH(Lists!$B$3,$A$1:$Z$1,0))&amp;""),""),"")</f>
        <v/>
      </c>
      <c r="AQ135" s="37">
        <f>IF($AR135=1,IFERROR(TRIM(INDEX($A135:$Z135,MATCH(Lists!$B$8,$A$1:$Z$1,0))&amp;""),""),"")</f>
        <v/>
      </c>
      <c r="AR135" s="36">
        <f>IF(LEN($AC135)&gt;0,1,0)</f>
        <v/>
      </c>
      <c r="AS135" s="37">
        <f>IF($AR135=1,IF(IFERROR(IF(ISNUMBER(INDEX($A135:$Z135,MATCH(Lists!$B$2,$A$1:$Z$1,0))),INDEX($A135:$Z135,MATCH(Lists!$B$2,$A$1:$Z$1,0)),DATE(VALUE(LEFT(IFERROR(TRIM(INDEX($A135:$Z135,MATCH(Lists!$B$2,$A$1:$Z$1,0))&amp;""),""),4)),VALUE(MID(IFERROR(TRIM(INDEX($A135:$Z135,MATCH(Lists!$B$2,$A$1:$Z$1,0))&amp;""),""),6,2)),VALUE(MID(IFERROR(TRIM(INDEX($A135:$Z135,MATCH(Lists!$B$2,$A$1:$Z$1,0))&amp;""),""),9,2)))+TIME(VALUE(MID(IFERROR(TRIM(INDEX($A135:$Z135,MATCH(Lists!$B$2,$A$1:$Z$1,0))&amp;""),""),12,2)),VALUE(MID(IFERROR(TRIM(INDEX($A135:$Z135,MATCH(Lists!$B$2,$A$1:$Z$1,0))&amp;""),""),15,2)),VALUE(MID(IFERROR(TRIM(INDEX($A135:$Z135,MATCH(Lists!$B$2,$A$1:$Z$1,0))&amp;""),""),18,2)))),"")="",100000+ROW()/10^7,IFERROR(IF(ISNUMBER(INDEX($A135:$Z135,MATCH(Lists!$B$2,$A$1:$Z$1,0))),INDEX($A135:$Z135,MATCH(Lists!$B$2,$A$1:$Z$1,0)),DATE(VALUE(LEFT(IFERROR(TRIM(INDEX($A135:$Z135,MATCH(Lists!$B$2,$A$1:$Z$1,0))&amp;""),""),4)),VALUE(MID(IFERROR(TRIM(INDEX($A135:$Z135,MATCH(Lists!$B$2,$A$1:$Z$1,0))&amp;""),""),6,2)),VALUE(MID(IFERROR(TRIM(INDEX($A135:$Z135,MATCH(Lists!$B$2,$A$1:$Z$1,0))&amp;""),""),9,2)))+TIME(VALUE(MID(IFERROR(TRIM(INDEX($A135:$Z135,MATCH(Lists!$B$2,$A$1:$Z$1,0))&amp;""),""),12,2)),VALUE(MID(IFERROR(TRIM(INDEX($A135:$Z135,MATCH(Lists!$B$2,$A$1:$Z$1,0))&amp;""),""),15,2)),VALUE(MID(IFERROR(TRIM(INDEX($A135:$Z135,MATCH(Lists!$B$2,$A$1:$Z$1,0))&amp;""),""),18,2)))),"")-ROW()/10^7),"")</f>
        <v/>
      </c>
    </row>
    <row r="136">
      <c r="AB136" s="36">
        <f>IF($AR136=1,COUNTIF($AS$2:$AS$201,"&lt;"&amp;$AS136)+1,"")</f>
        <v/>
      </c>
      <c r="AC136" s="37">
        <f>IFERROR(TRIM(INDEX($A136:$Z136,MATCH(Lists!$B$9,$A$1:$Z$1,0))&amp;""),"")</f>
        <v/>
      </c>
      <c r="AD136" s="37">
        <f>IF($AR136=1,IFERROR(TRIM(INDEX($A136:$Z136,MATCH(Lists!$B$10,$A$1:$Z$1,0))&amp;""),""),"")</f>
        <v/>
      </c>
      <c r="AE136" s="37">
        <f>IF($AR136=1,IFERROR(TRIM(INDEX($A136:$Z136,MATCH(Lists!$B$12,$A$1:$Z$1,0))&amp;""),""),"")</f>
        <v/>
      </c>
      <c r="AF136" s="38">
        <f>IF($AR136=1,IFERROR(IF(TRIM(INDEX($A136:$Z136,MATCH(Lists!$B$11,$A$1:$Z$1,0))&amp;"")="","",VALUE(TRIM(INDEX($A136:$Z136,MATCH(Lists!$B$11,$A$1:$Z$1,0))&amp;""))),""),"")</f>
        <v/>
      </c>
      <c r="AG136" s="38">
        <f>IF(OR($AR136=0,$AF136="",'Start here'!$F$10="",'Start here'!$F$11="",'Start here'!$F$12="",'Start here'!$F$13="",'Start here'!$F$14=""),"",IF($AF136&lt;'Start here'!$F$10,'Start here'!$F$11,IF($AF136&lt;'Start here'!$F$12,'Start here'!$F$13,'Start here'!$F$14)))</f>
        <v/>
      </c>
      <c r="AH136" s="38">
        <f>IF(OR($AG136="",'Start here'!$F$9=""),"",IF($AF136&lt;=0,"",IFERROR(MAX($AG136,ROUNDUP(ROUND($AF136*'Start here'!$F$9/$AG136,6),0)*$AG136),"")))</f>
        <v/>
      </c>
      <c r="AI136" s="37">
        <f>IF($AR136=0,"",IF($AN136=Lists!$B$19,"",IF(AND($AN136=Lists!$B$18,$AQ136&lt;&gt;""),$AQ136,IF(AND($AP136=Lists!$B$17,$AL136&lt;&gt;""),$AL136,$AK136))))</f>
        <v/>
      </c>
      <c r="AJ136" s="37">
        <f>IF($AR136=0,"",IF(IF($AF136="",", no value",IF($AF136&lt;=0,", no value",""))&amp;IF('Start here'!$F$15="","",IF(LEN($AD136)&lt;'Start here'!$F$15,", short description",""))="","OK",MID(IF($AF136="",", no value",IF($AF136&lt;=0,", no value",""))&amp;IF('Start here'!$F$15="","",IF(LEN($AD136)&lt;'Start here'!$F$15,", short description","")),3,200)))</f>
        <v/>
      </c>
      <c r="AK136" s="37">
        <f>IF($AR136=1,IFERROR(TRIM(INDEX($A136:$Z136,MATCH(Lists!$B$5,$A$1:$Z$1,0))&amp;""),""),"")</f>
        <v/>
      </c>
      <c r="AL136" s="37">
        <f>IF($AR136=1,IFERROR(TRIM(INDEX($A136:$Z136,MATCH(Lists!$B$4,$A$1:$Z$1,0))&amp;""),""),"")</f>
        <v/>
      </c>
      <c r="AM136" s="37">
        <f>IF($AR136=1,IFERROR(TRIM(INDEX($A136:$Z136,MATCH(Lists!$B$6,$A$1:$Z$1,0))&amp;""),""),"")</f>
        <v/>
      </c>
      <c r="AN136" s="37">
        <f>IF($AR136=1,IFERROR(TRIM(INDEX($A136:$Z136,MATCH(Lists!$B$7,$A$1:$Z$1,0))&amp;""),""),"")</f>
        <v/>
      </c>
      <c r="AO136" s="37">
        <f>IF($AR136=1,IFERROR(TRIM(INDEX($A136:$Z136,MATCH(Lists!$B$13,$A$1:$Z$1,0))&amp;""),""),"")</f>
        <v/>
      </c>
      <c r="AP136" s="37">
        <f>IF($AR136=1,IFERROR(TRIM(INDEX($A136:$Z136,MATCH(Lists!$B$3,$A$1:$Z$1,0))&amp;""),""),"")</f>
        <v/>
      </c>
      <c r="AQ136" s="37">
        <f>IF($AR136=1,IFERROR(TRIM(INDEX($A136:$Z136,MATCH(Lists!$B$8,$A$1:$Z$1,0))&amp;""),""),"")</f>
        <v/>
      </c>
      <c r="AR136" s="36">
        <f>IF(LEN($AC136)&gt;0,1,0)</f>
        <v/>
      </c>
      <c r="AS136" s="37">
        <f>IF($AR136=1,IF(IFERROR(IF(ISNUMBER(INDEX($A136:$Z136,MATCH(Lists!$B$2,$A$1:$Z$1,0))),INDEX($A136:$Z136,MATCH(Lists!$B$2,$A$1:$Z$1,0)),DATE(VALUE(LEFT(IFERROR(TRIM(INDEX($A136:$Z136,MATCH(Lists!$B$2,$A$1:$Z$1,0))&amp;""),""),4)),VALUE(MID(IFERROR(TRIM(INDEX($A136:$Z136,MATCH(Lists!$B$2,$A$1:$Z$1,0))&amp;""),""),6,2)),VALUE(MID(IFERROR(TRIM(INDEX($A136:$Z136,MATCH(Lists!$B$2,$A$1:$Z$1,0))&amp;""),""),9,2)))+TIME(VALUE(MID(IFERROR(TRIM(INDEX($A136:$Z136,MATCH(Lists!$B$2,$A$1:$Z$1,0))&amp;""),""),12,2)),VALUE(MID(IFERROR(TRIM(INDEX($A136:$Z136,MATCH(Lists!$B$2,$A$1:$Z$1,0))&amp;""),""),15,2)),VALUE(MID(IFERROR(TRIM(INDEX($A136:$Z136,MATCH(Lists!$B$2,$A$1:$Z$1,0))&amp;""),""),18,2)))),"")="",100000+ROW()/10^7,IFERROR(IF(ISNUMBER(INDEX($A136:$Z136,MATCH(Lists!$B$2,$A$1:$Z$1,0))),INDEX($A136:$Z136,MATCH(Lists!$B$2,$A$1:$Z$1,0)),DATE(VALUE(LEFT(IFERROR(TRIM(INDEX($A136:$Z136,MATCH(Lists!$B$2,$A$1:$Z$1,0))&amp;""),""),4)),VALUE(MID(IFERROR(TRIM(INDEX($A136:$Z136,MATCH(Lists!$B$2,$A$1:$Z$1,0))&amp;""),""),6,2)),VALUE(MID(IFERROR(TRIM(INDEX($A136:$Z136,MATCH(Lists!$B$2,$A$1:$Z$1,0))&amp;""),""),9,2)))+TIME(VALUE(MID(IFERROR(TRIM(INDEX($A136:$Z136,MATCH(Lists!$B$2,$A$1:$Z$1,0))&amp;""),""),12,2)),VALUE(MID(IFERROR(TRIM(INDEX($A136:$Z136,MATCH(Lists!$B$2,$A$1:$Z$1,0))&amp;""),""),15,2)),VALUE(MID(IFERROR(TRIM(INDEX($A136:$Z136,MATCH(Lists!$B$2,$A$1:$Z$1,0))&amp;""),""),18,2)))),"")-ROW()/10^7),"")</f>
        <v/>
      </c>
    </row>
    <row r="137">
      <c r="AB137" s="36">
        <f>IF($AR137=1,COUNTIF($AS$2:$AS$201,"&lt;"&amp;$AS137)+1,"")</f>
        <v/>
      </c>
      <c r="AC137" s="37">
        <f>IFERROR(TRIM(INDEX($A137:$Z137,MATCH(Lists!$B$9,$A$1:$Z$1,0))&amp;""),"")</f>
        <v/>
      </c>
      <c r="AD137" s="37">
        <f>IF($AR137=1,IFERROR(TRIM(INDEX($A137:$Z137,MATCH(Lists!$B$10,$A$1:$Z$1,0))&amp;""),""),"")</f>
        <v/>
      </c>
      <c r="AE137" s="37">
        <f>IF($AR137=1,IFERROR(TRIM(INDEX($A137:$Z137,MATCH(Lists!$B$12,$A$1:$Z$1,0))&amp;""),""),"")</f>
        <v/>
      </c>
      <c r="AF137" s="38">
        <f>IF($AR137=1,IFERROR(IF(TRIM(INDEX($A137:$Z137,MATCH(Lists!$B$11,$A$1:$Z$1,0))&amp;"")="","",VALUE(TRIM(INDEX($A137:$Z137,MATCH(Lists!$B$11,$A$1:$Z$1,0))&amp;""))),""),"")</f>
        <v/>
      </c>
      <c r="AG137" s="38">
        <f>IF(OR($AR137=0,$AF137="",'Start here'!$F$10="",'Start here'!$F$11="",'Start here'!$F$12="",'Start here'!$F$13="",'Start here'!$F$14=""),"",IF($AF137&lt;'Start here'!$F$10,'Start here'!$F$11,IF($AF137&lt;'Start here'!$F$12,'Start here'!$F$13,'Start here'!$F$14)))</f>
        <v/>
      </c>
      <c r="AH137" s="38">
        <f>IF(OR($AG137="",'Start here'!$F$9=""),"",IF($AF137&lt;=0,"",IFERROR(MAX($AG137,ROUNDUP(ROUND($AF137*'Start here'!$F$9/$AG137,6),0)*$AG137),"")))</f>
        <v/>
      </c>
      <c r="AI137" s="37">
        <f>IF($AR137=0,"",IF($AN137=Lists!$B$19,"",IF(AND($AN137=Lists!$B$18,$AQ137&lt;&gt;""),$AQ137,IF(AND($AP137=Lists!$B$17,$AL137&lt;&gt;""),$AL137,$AK137))))</f>
        <v/>
      </c>
      <c r="AJ137" s="37">
        <f>IF($AR137=0,"",IF(IF($AF137="",", no value",IF($AF137&lt;=0,", no value",""))&amp;IF('Start here'!$F$15="","",IF(LEN($AD137)&lt;'Start here'!$F$15,", short description",""))="","OK",MID(IF($AF137="",", no value",IF($AF137&lt;=0,", no value",""))&amp;IF('Start here'!$F$15="","",IF(LEN($AD137)&lt;'Start here'!$F$15,", short description","")),3,200)))</f>
        <v/>
      </c>
      <c r="AK137" s="37">
        <f>IF($AR137=1,IFERROR(TRIM(INDEX($A137:$Z137,MATCH(Lists!$B$5,$A$1:$Z$1,0))&amp;""),""),"")</f>
        <v/>
      </c>
      <c r="AL137" s="37">
        <f>IF($AR137=1,IFERROR(TRIM(INDEX($A137:$Z137,MATCH(Lists!$B$4,$A$1:$Z$1,0))&amp;""),""),"")</f>
        <v/>
      </c>
      <c r="AM137" s="37">
        <f>IF($AR137=1,IFERROR(TRIM(INDEX($A137:$Z137,MATCH(Lists!$B$6,$A$1:$Z$1,0))&amp;""),""),"")</f>
        <v/>
      </c>
      <c r="AN137" s="37">
        <f>IF($AR137=1,IFERROR(TRIM(INDEX($A137:$Z137,MATCH(Lists!$B$7,$A$1:$Z$1,0))&amp;""),""),"")</f>
        <v/>
      </c>
      <c r="AO137" s="37">
        <f>IF($AR137=1,IFERROR(TRIM(INDEX($A137:$Z137,MATCH(Lists!$B$13,$A$1:$Z$1,0))&amp;""),""),"")</f>
        <v/>
      </c>
      <c r="AP137" s="37">
        <f>IF($AR137=1,IFERROR(TRIM(INDEX($A137:$Z137,MATCH(Lists!$B$3,$A$1:$Z$1,0))&amp;""),""),"")</f>
        <v/>
      </c>
      <c r="AQ137" s="37">
        <f>IF($AR137=1,IFERROR(TRIM(INDEX($A137:$Z137,MATCH(Lists!$B$8,$A$1:$Z$1,0))&amp;""),""),"")</f>
        <v/>
      </c>
      <c r="AR137" s="36">
        <f>IF(LEN($AC137)&gt;0,1,0)</f>
        <v/>
      </c>
      <c r="AS137" s="37">
        <f>IF($AR137=1,IF(IFERROR(IF(ISNUMBER(INDEX($A137:$Z137,MATCH(Lists!$B$2,$A$1:$Z$1,0))),INDEX($A137:$Z137,MATCH(Lists!$B$2,$A$1:$Z$1,0)),DATE(VALUE(LEFT(IFERROR(TRIM(INDEX($A137:$Z137,MATCH(Lists!$B$2,$A$1:$Z$1,0))&amp;""),""),4)),VALUE(MID(IFERROR(TRIM(INDEX($A137:$Z137,MATCH(Lists!$B$2,$A$1:$Z$1,0))&amp;""),""),6,2)),VALUE(MID(IFERROR(TRIM(INDEX($A137:$Z137,MATCH(Lists!$B$2,$A$1:$Z$1,0))&amp;""),""),9,2)))+TIME(VALUE(MID(IFERROR(TRIM(INDEX($A137:$Z137,MATCH(Lists!$B$2,$A$1:$Z$1,0))&amp;""),""),12,2)),VALUE(MID(IFERROR(TRIM(INDEX($A137:$Z137,MATCH(Lists!$B$2,$A$1:$Z$1,0))&amp;""),""),15,2)),VALUE(MID(IFERROR(TRIM(INDEX($A137:$Z137,MATCH(Lists!$B$2,$A$1:$Z$1,0))&amp;""),""),18,2)))),"")="",100000+ROW()/10^7,IFERROR(IF(ISNUMBER(INDEX($A137:$Z137,MATCH(Lists!$B$2,$A$1:$Z$1,0))),INDEX($A137:$Z137,MATCH(Lists!$B$2,$A$1:$Z$1,0)),DATE(VALUE(LEFT(IFERROR(TRIM(INDEX($A137:$Z137,MATCH(Lists!$B$2,$A$1:$Z$1,0))&amp;""),""),4)),VALUE(MID(IFERROR(TRIM(INDEX($A137:$Z137,MATCH(Lists!$B$2,$A$1:$Z$1,0))&amp;""),""),6,2)),VALUE(MID(IFERROR(TRIM(INDEX($A137:$Z137,MATCH(Lists!$B$2,$A$1:$Z$1,0))&amp;""),""),9,2)))+TIME(VALUE(MID(IFERROR(TRIM(INDEX($A137:$Z137,MATCH(Lists!$B$2,$A$1:$Z$1,0))&amp;""),""),12,2)),VALUE(MID(IFERROR(TRIM(INDEX($A137:$Z137,MATCH(Lists!$B$2,$A$1:$Z$1,0))&amp;""),""),15,2)),VALUE(MID(IFERROR(TRIM(INDEX($A137:$Z137,MATCH(Lists!$B$2,$A$1:$Z$1,0))&amp;""),""),18,2)))),"")-ROW()/10^7),"")</f>
        <v/>
      </c>
    </row>
    <row r="138">
      <c r="AB138" s="36">
        <f>IF($AR138=1,COUNTIF($AS$2:$AS$201,"&lt;"&amp;$AS138)+1,"")</f>
        <v/>
      </c>
      <c r="AC138" s="37">
        <f>IFERROR(TRIM(INDEX($A138:$Z138,MATCH(Lists!$B$9,$A$1:$Z$1,0))&amp;""),"")</f>
        <v/>
      </c>
      <c r="AD138" s="37">
        <f>IF($AR138=1,IFERROR(TRIM(INDEX($A138:$Z138,MATCH(Lists!$B$10,$A$1:$Z$1,0))&amp;""),""),"")</f>
        <v/>
      </c>
      <c r="AE138" s="37">
        <f>IF($AR138=1,IFERROR(TRIM(INDEX($A138:$Z138,MATCH(Lists!$B$12,$A$1:$Z$1,0))&amp;""),""),"")</f>
        <v/>
      </c>
      <c r="AF138" s="38">
        <f>IF($AR138=1,IFERROR(IF(TRIM(INDEX($A138:$Z138,MATCH(Lists!$B$11,$A$1:$Z$1,0))&amp;"")="","",VALUE(TRIM(INDEX($A138:$Z138,MATCH(Lists!$B$11,$A$1:$Z$1,0))&amp;""))),""),"")</f>
        <v/>
      </c>
      <c r="AG138" s="38">
        <f>IF(OR($AR138=0,$AF138="",'Start here'!$F$10="",'Start here'!$F$11="",'Start here'!$F$12="",'Start here'!$F$13="",'Start here'!$F$14=""),"",IF($AF138&lt;'Start here'!$F$10,'Start here'!$F$11,IF($AF138&lt;'Start here'!$F$12,'Start here'!$F$13,'Start here'!$F$14)))</f>
        <v/>
      </c>
      <c r="AH138" s="38">
        <f>IF(OR($AG138="",'Start here'!$F$9=""),"",IF($AF138&lt;=0,"",IFERROR(MAX($AG138,ROUNDUP(ROUND($AF138*'Start here'!$F$9/$AG138,6),0)*$AG138),"")))</f>
        <v/>
      </c>
      <c r="AI138" s="37">
        <f>IF($AR138=0,"",IF($AN138=Lists!$B$19,"",IF(AND($AN138=Lists!$B$18,$AQ138&lt;&gt;""),$AQ138,IF(AND($AP138=Lists!$B$17,$AL138&lt;&gt;""),$AL138,$AK138))))</f>
        <v/>
      </c>
      <c r="AJ138" s="37">
        <f>IF($AR138=0,"",IF(IF($AF138="",", no value",IF($AF138&lt;=0,", no value",""))&amp;IF('Start here'!$F$15="","",IF(LEN($AD138)&lt;'Start here'!$F$15,", short description",""))="","OK",MID(IF($AF138="",", no value",IF($AF138&lt;=0,", no value",""))&amp;IF('Start here'!$F$15="","",IF(LEN($AD138)&lt;'Start here'!$F$15,", short description","")),3,200)))</f>
        <v/>
      </c>
      <c r="AK138" s="37">
        <f>IF($AR138=1,IFERROR(TRIM(INDEX($A138:$Z138,MATCH(Lists!$B$5,$A$1:$Z$1,0))&amp;""),""),"")</f>
        <v/>
      </c>
      <c r="AL138" s="37">
        <f>IF($AR138=1,IFERROR(TRIM(INDEX($A138:$Z138,MATCH(Lists!$B$4,$A$1:$Z$1,0))&amp;""),""),"")</f>
        <v/>
      </c>
      <c r="AM138" s="37">
        <f>IF($AR138=1,IFERROR(TRIM(INDEX($A138:$Z138,MATCH(Lists!$B$6,$A$1:$Z$1,0))&amp;""),""),"")</f>
        <v/>
      </c>
      <c r="AN138" s="37">
        <f>IF($AR138=1,IFERROR(TRIM(INDEX($A138:$Z138,MATCH(Lists!$B$7,$A$1:$Z$1,0))&amp;""),""),"")</f>
        <v/>
      </c>
      <c r="AO138" s="37">
        <f>IF($AR138=1,IFERROR(TRIM(INDEX($A138:$Z138,MATCH(Lists!$B$13,$A$1:$Z$1,0))&amp;""),""),"")</f>
        <v/>
      </c>
      <c r="AP138" s="37">
        <f>IF($AR138=1,IFERROR(TRIM(INDEX($A138:$Z138,MATCH(Lists!$B$3,$A$1:$Z$1,0))&amp;""),""),"")</f>
        <v/>
      </c>
      <c r="AQ138" s="37">
        <f>IF($AR138=1,IFERROR(TRIM(INDEX($A138:$Z138,MATCH(Lists!$B$8,$A$1:$Z$1,0))&amp;""),""),"")</f>
        <v/>
      </c>
      <c r="AR138" s="36">
        <f>IF(LEN($AC138)&gt;0,1,0)</f>
        <v/>
      </c>
      <c r="AS138" s="37">
        <f>IF($AR138=1,IF(IFERROR(IF(ISNUMBER(INDEX($A138:$Z138,MATCH(Lists!$B$2,$A$1:$Z$1,0))),INDEX($A138:$Z138,MATCH(Lists!$B$2,$A$1:$Z$1,0)),DATE(VALUE(LEFT(IFERROR(TRIM(INDEX($A138:$Z138,MATCH(Lists!$B$2,$A$1:$Z$1,0))&amp;""),""),4)),VALUE(MID(IFERROR(TRIM(INDEX($A138:$Z138,MATCH(Lists!$B$2,$A$1:$Z$1,0))&amp;""),""),6,2)),VALUE(MID(IFERROR(TRIM(INDEX($A138:$Z138,MATCH(Lists!$B$2,$A$1:$Z$1,0))&amp;""),""),9,2)))+TIME(VALUE(MID(IFERROR(TRIM(INDEX($A138:$Z138,MATCH(Lists!$B$2,$A$1:$Z$1,0))&amp;""),""),12,2)),VALUE(MID(IFERROR(TRIM(INDEX($A138:$Z138,MATCH(Lists!$B$2,$A$1:$Z$1,0))&amp;""),""),15,2)),VALUE(MID(IFERROR(TRIM(INDEX($A138:$Z138,MATCH(Lists!$B$2,$A$1:$Z$1,0))&amp;""),""),18,2)))),"")="",100000+ROW()/10^7,IFERROR(IF(ISNUMBER(INDEX($A138:$Z138,MATCH(Lists!$B$2,$A$1:$Z$1,0))),INDEX($A138:$Z138,MATCH(Lists!$B$2,$A$1:$Z$1,0)),DATE(VALUE(LEFT(IFERROR(TRIM(INDEX($A138:$Z138,MATCH(Lists!$B$2,$A$1:$Z$1,0))&amp;""),""),4)),VALUE(MID(IFERROR(TRIM(INDEX($A138:$Z138,MATCH(Lists!$B$2,$A$1:$Z$1,0))&amp;""),""),6,2)),VALUE(MID(IFERROR(TRIM(INDEX($A138:$Z138,MATCH(Lists!$B$2,$A$1:$Z$1,0))&amp;""),""),9,2)))+TIME(VALUE(MID(IFERROR(TRIM(INDEX($A138:$Z138,MATCH(Lists!$B$2,$A$1:$Z$1,0))&amp;""),""),12,2)),VALUE(MID(IFERROR(TRIM(INDEX($A138:$Z138,MATCH(Lists!$B$2,$A$1:$Z$1,0))&amp;""),""),15,2)),VALUE(MID(IFERROR(TRIM(INDEX($A138:$Z138,MATCH(Lists!$B$2,$A$1:$Z$1,0))&amp;""),""),18,2)))),"")-ROW()/10^7),"")</f>
        <v/>
      </c>
    </row>
    <row r="139">
      <c r="AB139" s="36">
        <f>IF($AR139=1,COUNTIF($AS$2:$AS$201,"&lt;"&amp;$AS139)+1,"")</f>
        <v/>
      </c>
      <c r="AC139" s="37">
        <f>IFERROR(TRIM(INDEX($A139:$Z139,MATCH(Lists!$B$9,$A$1:$Z$1,0))&amp;""),"")</f>
        <v/>
      </c>
      <c r="AD139" s="37">
        <f>IF($AR139=1,IFERROR(TRIM(INDEX($A139:$Z139,MATCH(Lists!$B$10,$A$1:$Z$1,0))&amp;""),""),"")</f>
        <v/>
      </c>
      <c r="AE139" s="37">
        <f>IF($AR139=1,IFERROR(TRIM(INDEX($A139:$Z139,MATCH(Lists!$B$12,$A$1:$Z$1,0))&amp;""),""),"")</f>
        <v/>
      </c>
      <c r="AF139" s="38">
        <f>IF($AR139=1,IFERROR(IF(TRIM(INDEX($A139:$Z139,MATCH(Lists!$B$11,$A$1:$Z$1,0))&amp;"")="","",VALUE(TRIM(INDEX($A139:$Z139,MATCH(Lists!$B$11,$A$1:$Z$1,0))&amp;""))),""),"")</f>
        <v/>
      </c>
      <c r="AG139" s="38">
        <f>IF(OR($AR139=0,$AF139="",'Start here'!$F$10="",'Start here'!$F$11="",'Start here'!$F$12="",'Start here'!$F$13="",'Start here'!$F$14=""),"",IF($AF139&lt;'Start here'!$F$10,'Start here'!$F$11,IF($AF139&lt;'Start here'!$F$12,'Start here'!$F$13,'Start here'!$F$14)))</f>
        <v/>
      </c>
      <c r="AH139" s="38">
        <f>IF(OR($AG139="",'Start here'!$F$9=""),"",IF($AF139&lt;=0,"",IFERROR(MAX($AG139,ROUNDUP(ROUND($AF139*'Start here'!$F$9/$AG139,6),0)*$AG139),"")))</f>
        <v/>
      </c>
      <c r="AI139" s="37">
        <f>IF($AR139=0,"",IF($AN139=Lists!$B$19,"",IF(AND($AN139=Lists!$B$18,$AQ139&lt;&gt;""),$AQ139,IF(AND($AP139=Lists!$B$17,$AL139&lt;&gt;""),$AL139,$AK139))))</f>
        <v/>
      </c>
      <c r="AJ139" s="37">
        <f>IF($AR139=0,"",IF(IF($AF139="",", no value",IF($AF139&lt;=0,", no value",""))&amp;IF('Start here'!$F$15="","",IF(LEN($AD139)&lt;'Start here'!$F$15,", short description",""))="","OK",MID(IF($AF139="",", no value",IF($AF139&lt;=0,", no value",""))&amp;IF('Start here'!$F$15="","",IF(LEN($AD139)&lt;'Start here'!$F$15,", short description","")),3,200)))</f>
        <v/>
      </c>
      <c r="AK139" s="37">
        <f>IF($AR139=1,IFERROR(TRIM(INDEX($A139:$Z139,MATCH(Lists!$B$5,$A$1:$Z$1,0))&amp;""),""),"")</f>
        <v/>
      </c>
      <c r="AL139" s="37">
        <f>IF($AR139=1,IFERROR(TRIM(INDEX($A139:$Z139,MATCH(Lists!$B$4,$A$1:$Z$1,0))&amp;""),""),"")</f>
        <v/>
      </c>
      <c r="AM139" s="37">
        <f>IF($AR139=1,IFERROR(TRIM(INDEX($A139:$Z139,MATCH(Lists!$B$6,$A$1:$Z$1,0))&amp;""),""),"")</f>
        <v/>
      </c>
      <c r="AN139" s="37">
        <f>IF($AR139=1,IFERROR(TRIM(INDEX($A139:$Z139,MATCH(Lists!$B$7,$A$1:$Z$1,0))&amp;""),""),"")</f>
        <v/>
      </c>
      <c r="AO139" s="37">
        <f>IF($AR139=1,IFERROR(TRIM(INDEX($A139:$Z139,MATCH(Lists!$B$13,$A$1:$Z$1,0))&amp;""),""),"")</f>
        <v/>
      </c>
      <c r="AP139" s="37">
        <f>IF($AR139=1,IFERROR(TRIM(INDEX($A139:$Z139,MATCH(Lists!$B$3,$A$1:$Z$1,0))&amp;""),""),"")</f>
        <v/>
      </c>
      <c r="AQ139" s="37">
        <f>IF($AR139=1,IFERROR(TRIM(INDEX($A139:$Z139,MATCH(Lists!$B$8,$A$1:$Z$1,0))&amp;""),""),"")</f>
        <v/>
      </c>
      <c r="AR139" s="36">
        <f>IF(LEN($AC139)&gt;0,1,0)</f>
        <v/>
      </c>
      <c r="AS139" s="37">
        <f>IF($AR139=1,IF(IFERROR(IF(ISNUMBER(INDEX($A139:$Z139,MATCH(Lists!$B$2,$A$1:$Z$1,0))),INDEX($A139:$Z139,MATCH(Lists!$B$2,$A$1:$Z$1,0)),DATE(VALUE(LEFT(IFERROR(TRIM(INDEX($A139:$Z139,MATCH(Lists!$B$2,$A$1:$Z$1,0))&amp;""),""),4)),VALUE(MID(IFERROR(TRIM(INDEX($A139:$Z139,MATCH(Lists!$B$2,$A$1:$Z$1,0))&amp;""),""),6,2)),VALUE(MID(IFERROR(TRIM(INDEX($A139:$Z139,MATCH(Lists!$B$2,$A$1:$Z$1,0))&amp;""),""),9,2)))+TIME(VALUE(MID(IFERROR(TRIM(INDEX($A139:$Z139,MATCH(Lists!$B$2,$A$1:$Z$1,0))&amp;""),""),12,2)),VALUE(MID(IFERROR(TRIM(INDEX($A139:$Z139,MATCH(Lists!$B$2,$A$1:$Z$1,0))&amp;""),""),15,2)),VALUE(MID(IFERROR(TRIM(INDEX($A139:$Z139,MATCH(Lists!$B$2,$A$1:$Z$1,0))&amp;""),""),18,2)))),"")="",100000+ROW()/10^7,IFERROR(IF(ISNUMBER(INDEX($A139:$Z139,MATCH(Lists!$B$2,$A$1:$Z$1,0))),INDEX($A139:$Z139,MATCH(Lists!$B$2,$A$1:$Z$1,0)),DATE(VALUE(LEFT(IFERROR(TRIM(INDEX($A139:$Z139,MATCH(Lists!$B$2,$A$1:$Z$1,0))&amp;""),""),4)),VALUE(MID(IFERROR(TRIM(INDEX($A139:$Z139,MATCH(Lists!$B$2,$A$1:$Z$1,0))&amp;""),""),6,2)),VALUE(MID(IFERROR(TRIM(INDEX($A139:$Z139,MATCH(Lists!$B$2,$A$1:$Z$1,0))&amp;""),""),9,2)))+TIME(VALUE(MID(IFERROR(TRIM(INDEX($A139:$Z139,MATCH(Lists!$B$2,$A$1:$Z$1,0))&amp;""),""),12,2)),VALUE(MID(IFERROR(TRIM(INDEX($A139:$Z139,MATCH(Lists!$B$2,$A$1:$Z$1,0))&amp;""),""),15,2)),VALUE(MID(IFERROR(TRIM(INDEX($A139:$Z139,MATCH(Lists!$B$2,$A$1:$Z$1,0))&amp;""),""),18,2)))),"")-ROW()/10^7),"")</f>
        <v/>
      </c>
    </row>
    <row r="140">
      <c r="AB140" s="36">
        <f>IF($AR140=1,COUNTIF($AS$2:$AS$201,"&lt;"&amp;$AS140)+1,"")</f>
        <v/>
      </c>
      <c r="AC140" s="37">
        <f>IFERROR(TRIM(INDEX($A140:$Z140,MATCH(Lists!$B$9,$A$1:$Z$1,0))&amp;""),"")</f>
        <v/>
      </c>
      <c r="AD140" s="37">
        <f>IF($AR140=1,IFERROR(TRIM(INDEX($A140:$Z140,MATCH(Lists!$B$10,$A$1:$Z$1,0))&amp;""),""),"")</f>
        <v/>
      </c>
      <c r="AE140" s="37">
        <f>IF($AR140=1,IFERROR(TRIM(INDEX($A140:$Z140,MATCH(Lists!$B$12,$A$1:$Z$1,0))&amp;""),""),"")</f>
        <v/>
      </c>
      <c r="AF140" s="38">
        <f>IF($AR140=1,IFERROR(IF(TRIM(INDEX($A140:$Z140,MATCH(Lists!$B$11,$A$1:$Z$1,0))&amp;"")="","",VALUE(TRIM(INDEX($A140:$Z140,MATCH(Lists!$B$11,$A$1:$Z$1,0))&amp;""))),""),"")</f>
        <v/>
      </c>
      <c r="AG140" s="38">
        <f>IF(OR($AR140=0,$AF140="",'Start here'!$F$10="",'Start here'!$F$11="",'Start here'!$F$12="",'Start here'!$F$13="",'Start here'!$F$14=""),"",IF($AF140&lt;'Start here'!$F$10,'Start here'!$F$11,IF($AF140&lt;'Start here'!$F$12,'Start here'!$F$13,'Start here'!$F$14)))</f>
        <v/>
      </c>
      <c r="AH140" s="38">
        <f>IF(OR($AG140="",'Start here'!$F$9=""),"",IF($AF140&lt;=0,"",IFERROR(MAX($AG140,ROUNDUP(ROUND($AF140*'Start here'!$F$9/$AG140,6),0)*$AG140),"")))</f>
        <v/>
      </c>
      <c r="AI140" s="37">
        <f>IF($AR140=0,"",IF($AN140=Lists!$B$19,"",IF(AND($AN140=Lists!$B$18,$AQ140&lt;&gt;""),$AQ140,IF(AND($AP140=Lists!$B$17,$AL140&lt;&gt;""),$AL140,$AK140))))</f>
        <v/>
      </c>
      <c r="AJ140" s="37">
        <f>IF($AR140=0,"",IF(IF($AF140="",", no value",IF($AF140&lt;=0,", no value",""))&amp;IF('Start here'!$F$15="","",IF(LEN($AD140)&lt;'Start here'!$F$15,", short description",""))="","OK",MID(IF($AF140="",", no value",IF($AF140&lt;=0,", no value",""))&amp;IF('Start here'!$F$15="","",IF(LEN($AD140)&lt;'Start here'!$F$15,", short description","")),3,200)))</f>
        <v/>
      </c>
      <c r="AK140" s="37">
        <f>IF($AR140=1,IFERROR(TRIM(INDEX($A140:$Z140,MATCH(Lists!$B$5,$A$1:$Z$1,0))&amp;""),""),"")</f>
        <v/>
      </c>
      <c r="AL140" s="37">
        <f>IF($AR140=1,IFERROR(TRIM(INDEX($A140:$Z140,MATCH(Lists!$B$4,$A$1:$Z$1,0))&amp;""),""),"")</f>
        <v/>
      </c>
      <c r="AM140" s="37">
        <f>IF($AR140=1,IFERROR(TRIM(INDEX($A140:$Z140,MATCH(Lists!$B$6,$A$1:$Z$1,0))&amp;""),""),"")</f>
        <v/>
      </c>
      <c r="AN140" s="37">
        <f>IF($AR140=1,IFERROR(TRIM(INDEX($A140:$Z140,MATCH(Lists!$B$7,$A$1:$Z$1,0))&amp;""),""),"")</f>
        <v/>
      </c>
      <c r="AO140" s="37">
        <f>IF($AR140=1,IFERROR(TRIM(INDEX($A140:$Z140,MATCH(Lists!$B$13,$A$1:$Z$1,0))&amp;""),""),"")</f>
        <v/>
      </c>
      <c r="AP140" s="37">
        <f>IF($AR140=1,IFERROR(TRIM(INDEX($A140:$Z140,MATCH(Lists!$B$3,$A$1:$Z$1,0))&amp;""),""),"")</f>
        <v/>
      </c>
      <c r="AQ140" s="37">
        <f>IF($AR140=1,IFERROR(TRIM(INDEX($A140:$Z140,MATCH(Lists!$B$8,$A$1:$Z$1,0))&amp;""),""),"")</f>
        <v/>
      </c>
      <c r="AR140" s="36">
        <f>IF(LEN($AC140)&gt;0,1,0)</f>
        <v/>
      </c>
      <c r="AS140" s="37">
        <f>IF($AR140=1,IF(IFERROR(IF(ISNUMBER(INDEX($A140:$Z140,MATCH(Lists!$B$2,$A$1:$Z$1,0))),INDEX($A140:$Z140,MATCH(Lists!$B$2,$A$1:$Z$1,0)),DATE(VALUE(LEFT(IFERROR(TRIM(INDEX($A140:$Z140,MATCH(Lists!$B$2,$A$1:$Z$1,0))&amp;""),""),4)),VALUE(MID(IFERROR(TRIM(INDEX($A140:$Z140,MATCH(Lists!$B$2,$A$1:$Z$1,0))&amp;""),""),6,2)),VALUE(MID(IFERROR(TRIM(INDEX($A140:$Z140,MATCH(Lists!$B$2,$A$1:$Z$1,0))&amp;""),""),9,2)))+TIME(VALUE(MID(IFERROR(TRIM(INDEX($A140:$Z140,MATCH(Lists!$B$2,$A$1:$Z$1,0))&amp;""),""),12,2)),VALUE(MID(IFERROR(TRIM(INDEX($A140:$Z140,MATCH(Lists!$B$2,$A$1:$Z$1,0))&amp;""),""),15,2)),VALUE(MID(IFERROR(TRIM(INDEX($A140:$Z140,MATCH(Lists!$B$2,$A$1:$Z$1,0))&amp;""),""),18,2)))),"")="",100000+ROW()/10^7,IFERROR(IF(ISNUMBER(INDEX($A140:$Z140,MATCH(Lists!$B$2,$A$1:$Z$1,0))),INDEX($A140:$Z140,MATCH(Lists!$B$2,$A$1:$Z$1,0)),DATE(VALUE(LEFT(IFERROR(TRIM(INDEX($A140:$Z140,MATCH(Lists!$B$2,$A$1:$Z$1,0))&amp;""),""),4)),VALUE(MID(IFERROR(TRIM(INDEX($A140:$Z140,MATCH(Lists!$B$2,$A$1:$Z$1,0))&amp;""),""),6,2)),VALUE(MID(IFERROR(TRIM(INDEX($A140:$Z140,MATCH(Lists!$B$2,$A$1:$Z$1,0))&amp;""),""),9,2)))+TIME(VALUE(MID(IFERROR(TRIM(INDEX($A140:$Z140,MATCH(Lists!$B$2,$A$1:$Z$1,0))&amp;""),""),12,2)),VALUE(MID(IFERROR(TRIM(INDEX($A140:$Z140,MATCH(Lists!$B$2,$A$1:$Z$1,0))&amp;""),""),15,2)),VALUE(MID(IFERROR(TRIM(INDEX($A140:$Z140,MATCH(Lists!$B$2,$A$1:$Z$1,0))&amp;""),""),18,2)))),"")-ROW()/10^7),"")</f>
        <v/>
      </c>
    </row>
    <row r="141">
      <c r="AB141" s="36">
        <f>IF($AR141=1,COUNTIF($AS$2:$AS$201,"&lt;"&amp;$AS141)+1,"")</f>
        <v/>
      </c>
      <c r="AC141" s="37">
        <f>IFERROR(TRIM(INDEX($A141:$Z141,MATCH(Lists!$B$9,$A$1:$Z$1,0))&amp;""),"")</f>
        <v/>
      </c>
      <c r="AD141" s="37">
        <f>IF($AR141=1,IFERROR(TRIM(INDEX($A141:$Z141,MATCH(Lists!$B$10,$A$1:$Z$1,0))&amp;""),""),"")</f>
        <v/>
      </c>
      <c r="AE141" s="37">
        <f>IF($AR141=1,IFERROR(TRIM(INDEX($A141:$Z141,MATCH(Lists!$B$12,$A$1:$Z$1,0))&amp;""),""),"")</f>
        <v/>
      </c>
      <c r="AF141" s="38">
        <f>IF($AR141=1,IFERROR(IF(TRIM(INDEX($A141:$Z141,MATCH(Lists!$B$11,$A$1:$Z$1,0))&amp;"")="","",VALUE(TRIM(INDEX($A141:$Z141,MATCH(Lists!$B$11,$A$1:$Z$1,0))&amp;""))),""),"")</f>
        <v/>
      </c>
      <c r="AG141" s="38">
        <f>IF(OR($AR141=0,$AF141="",'Start here'!$F$10="",'Start here'!$F$11="",'Start here'!$F$12="",'Start here'!$F$13="",'Start here'!$F$14=""),"",IF($AF141&lt;'Start here'!$F$10,'Start here'!$F$11,IF($AF141&lt;'Start here'!$F$12,'Start here'!$F$13,'Start here'!$F$14)))</f>
        <v/>
      </c>
      <c r="AH141" s="38">
        <f>IF(OR($AG141="",'Start here'!$F$9=""),"",IF($AF141&lt;=0,"",IFERROR(MAX($AG141,ROUNDUP(ROUND($AF141*'Start here'!$F$9/$AG141,6),0)*$AG141),"")))</f>
        <v/>
      </c>
      <c r="AI141" s="37">
        <f>IF($AR141=0,"",IF($AN141=Lists!$B$19,"",IF(AND($AN141=Lists!$B$18,$AQ141&lt;&gt;""),$AQ141,IF(AND($AP141=Lists!$B$17,$AL141&lt;&gt;""),$AL141,$AK141))))</f>
        <v/>
      </c>
      <c r="AJ141" s="37">
        <f>IF($AR141=0,"",IF(IF($AF141="",", no value",IF($AF141&lt;=0,", no value",""))&amp;IF('Start here'!$F$15="","",IF(LEN($AD141)&lt;'Start here'!$F$15,", short description",""))="","OK",MID(IF($AF141="",", no value",IF($AF141&lt;=0,", no value",""))&amp;IF('Start here'!$F$15="","",IF(LEN($AD141)&lt;'Start here'!$F$15,", short description","")),3,200)))</f>
        <v/>
      </c>
      <c r="AK141" s="37">
        <f>IF($AR141=1,IFERROR(TRIM(INDEX($A141:$Z141,MATCH(Lists!$B$5,$A$1:$Z$1,0))&amp;""),""),"")</f>
        <v/>
      </c>
      <c r="AL141" s="37">
        <f>IF($AR141=1,IFERROR(TRIM(INDEX($A141:$Z141,MATCH(Lists!$B$4,$A$1:$Z$1,0))&amp;""),""),"")</f>
        <v/>
      </c>
      <c r="AM141" s="37">
        <f>IF($AR141=1,IFERROR(TRIM(INDEX($A141:$Z141,MATCH(Lists!$B$6,$A$1:$Z$1,0))&amp;""),""),"")</f>
        <v/>
      </c>
      <c r="AN141" s="37">
        <f>IF($AR141=1,IFERROR(TRIM(INDEX($A141:$Z141,MATCH(Lists!$B$7,$A$1:$Z$1,0))&amp;""),""),"")</f>
        <v/>
      </c>
      <c r="AO141" s="37">
        <f>IF($AR141=1,IFERROR(TRIM(INDEX($A141:$Z141,MATCH(Lists!$B$13,$A$1:$Z$1,0))&amp;""),""),"")</f>
        <v/>
      </c>
      <c r="AP141" s="37">
        <f>IF($AR141=1,IFERROR(TRIM(INDEX($A141:$Z141,MATCH(Lists!$B$3,$A$1:$Z$1,0))&amp;""),""),"")</f>
        <v/>
      </c>
      <c r="AQ141" s="37">
        <f>IF($AR141=1,IFERROR(TRIM(INDEX($A141:$Z141,MATCH(Lists!$B$8,$A$1:$Z$1,0))&amp;""),""),"")</f>
        <v/>
      </c>
      <c r="AR141" s="36">
        <f>IF(LEN($AC141)&gt;0,1,0)</f>
        <v/>
      </c>
      <c r="AS141" s="37">
        <f>IF($AR141=1,IF(IFERROR(IF(ISNUMBER(INDEX($A141:$Z141,MATCH(Lists!$B$2,$A$1:$Z$1,0))),INDEX($A141:$Z141,MATCH(Lists!$B$2,$A$1:$Z$1,0)),DATE(VALUE(LEFT(IFERROR(TRIM(INDEX($A141:$Z141,MATCH(Lists!$B$2,$A$1:$Z$1,0))&amp;""),""),4)),VALUE(MID(IFERROR(TRIM(INDEX($A141:$Z141,MATCH(Lists!$B$2,$A$1:$Z$1,0))&amp;""),""),6,2)),VALUE(MID(IFERROR(TRIM(INDEX($A141:$Z141,MATCH(Lists!$B$2,$A$1:$Z$1,0))&amp;""),""),9,2)))+TIME(VALUE(MID(IFERROR(TRIM(INDEX($A141:$Z141,MATCH(Lists!$B$2,$A$1:$Z$1,0))&amp;""),""),12,2)),VALUE(MID(IFERROR(TRIM(INDEX($A141:$Z141,MATCH(Lists!$B$2,$A$1:$Z$1,0))&amp;""),""),15,2)),VALUE(MID(IFERROR(TRIM(INDEX($A141:$Z141,MATCH(Lists!$B$2,$A$1:$Z$1,0))&amp;""),""),18,2)))),"")="",100000+ROW()/10^7,IFERROR(IF(ISNUMBER(INDEX($A141:$Z141,MATCH(Lists!$B$2,$A$1:$Z$1,0))),INDEX($A141:$Z141,MATCH(Lists!$B$2,$A$1:$Z$1,0)),DATE(VALUE(LEFT(IFERROR(TRIM(INDEX($A141:$Z141,MATCH(Lists!$B$2,$A$1:$Z$1,0))&amp;""),""),4)),VALUE(MID(IFERROR(TRIM(INDEX($A141:$Z141,MATCH(Lists!$B$2,$A$1:$Z$1,0))&amp;""),""),6,2)),VALUE(MID(IFERROR(TRIM(INDEX($A141:$Z141,MATCH(Lists!$B$2,$A$1:$Z$1,0))&amp;""),""),9,2)))+TIME(VALUE(MID(IFERROR(TRIM(INDEX($A141:$Z141,MATCH(Lists!$B$2,$A$1:$Z$1,0))&amp;""),""),12,2)),VALUE(MID(IFERROR(TRIM(INDEX($A141:$Z141,MATCH(Lists!$B$2,$A$1:$Z$1,0))&amp;""),""),15,2)),VALUE(MID(IFERROR(TRIM(INDEX($A141:$Z141,MATCH(Lists!$B$2,$A$1:$Z$1,0))&amp;""),""),18,2)))),"")-ROW()/10^7),"")</f>
        <v/>
      </c>
    </row>
    <row r="142">
      <c r="AB142" s="36">
        <f>IF($AR142=1,COUNTIF($AS$2:$AS$201,"&lt;"&amp;$AS142)+1,"")</f>
        <v/>
      </c>
      <c r="AC142" s="37">
        <f>IFERROR(TRIM(INDEX($A142:$Z142,MATCH(Lists!$B$9,$A$1:$Z$1,0))&amp;""),"")</f>
        <v/>
      </c>
      <c r="AD142" s="37">
        <f>IF($AR142=1,IFERROR(TRIM(INDEX($A142:$Z142,MATCH(Lists!$B$10,$A$1:$Z$1,0))&amp;""),""),"")</f>
        <v/>
      </c>
      <c r="AE142" s="37">
        <f>IF($AR142=1,IFERROR(TRIM(INDEX($A142:$Z142,MATCH(Lists!$B$12,$A$1:$Z$1,0))&amp;""),""),"")</f>
        <v/>
      </c>
      <c r="AF142" s="38">
        <f>IF($AR142=1,IFERROR(IF(TRIM(INDEX($A142:$Z142,MATCH(Lists!$B$11,$A$1:$Z$1,0))&amp;"")="","",VALUE(TRIM(INDEX($A142:$Z142,MATCH(Lists!$B$11,$A$1:$Z$1,0))&amp;""))),""),"")</f>
        <v/>
      </c>
      <c r="AG142" s="38">
        <f>IF(OR($AR142=0,$AF142="",'Start here'!$F$10="",'Start here'!$F$11="",'Start here'!$F$12="",'Start here'!$F$13="",'Start here'!$F$14=""),"",IF($AF142&lt;'Start here'!$F$10,'Start here'!$F$11,IF($AF142&lt;'Start here'!$F$12,'Start here'!$F$13,'Start here'!$F$14)))</f>
        <v/>
      </c>
      <c r="AH142" s="38">
        <f>IF(OR($AG142="",'Start here'!$F$9=""),"",IF($AF142&lt;=0,"",IFERROR(MAX($AG142,ROUNDUP(ROUND($AF142*'Start here'!$F$9/$AG142,6),0)*$AG142),"")))</f>
        <v/>
      </c>
      <c r="AI142" s="37">
        <f>IF($AR142=0,"",IF($AN142=Lists!$B$19,"",IF(AND($AN142=Lists!$B$18,$AQ142&lt;&gt;""),$AQ142,IF(AND($AP142=Lists!$B$17,$AL142&lt;&gt;""),$AL142,$AK142))))</f>
        <v/>
      </c>
      <c r="AJ142" s="37">
        <f>IF($AR142=0,"",IF(IF($AF142="",", no value",IF($AF142&lt;=0,", no value",""))&amp;IF('Start here'!$F$15="","",IF(LEN($AD142)&lt;'Start here'!$F$15,", short description",""))="","OK",MID(IF($AF142="",", no value",IF($AF142&lt;=0,", no value",""))&amp;IF('Start here'!$F$15="","",IF(LEN($AD142)&lt;'Start here'!$F$15,", short description","")),3,200)))</f>
        <v/>
      </c>
      <c r="AK142" s="37">
        <f>IF($AR142=1,IFERROR(TRIM(INDEX($A142:$Z142,MATCH(Lists!$B$5,$A$1:$Z$1,0))&amp;""),""),"")</f>
        <v/>
      </c>
      <c r="AL142" s="37">
        <f>IF($AR142=1,IFERROR(TRIM(INDEX($A142:$Z142,MATCH(Lists!$B$4,$A$1:$Z$1,0))&amp;""),""),"")</f>
        <v/>
      </c>
      <c r="AM142" s="37">
        <f>IF($AR142=1,IFERROR(TRIM(INDEX($A142:$Z142,MATCH(Lists!$B$6,$A$1:$Z$1,0))&amp;""),""),"")</f>
        <v/>
      </c>
      <c r="AN142" s="37">
        <f>IF($AR142=1,IFERROR(TRIM(INDEX($A142:$Z142,MATCH(Lists!$B$7,$A$1:$Z$1,0))&amp;""),""),"")</f>
        <v/>
      </c>
      <c r="AO142" s="37">
        <f>IF($AR142=1,IFERROR(TRIM(INDEX($A142:$Z142,MATCH(Lists!$B$13,$A$1:$Z$1,0))&amp;""),""),"")</f>
        <v/>
      </c>
      <c r="AP142" s="37">
        <f>IF($AR142=1,IFERROR(TRIM(INDEX($A142:$Z142,MATCH(Lists!$B$3,$A$1:$Z$1,0))&amp;""),""),"")</f>
        <v/>
      </c>
      <c r="AQ142" s="37">
        <f>IF($AR142=1,IFERROR(TRIM(INDEX($A142:$Z142,MATCH(Lists!$B$8,$A$1:$Z$1,0))&amp;""),""),"")</f>
        <v/>
      </c>
      <c r="AR142" s="36">
        <f>IF(LEN($AC142)&gt;0,1,0)</f>
        <v/>
      </c>
      <c r="AS142" s="37">
        <f>IF($AR142=1,IF(IFERROR(IF(ISNUMBER(INDEX($A142:$Z142,MATCH(Lists!$B$2,$A$1:$Z$1,0))),INDEX($A142:$Z142,MATCH(Lists!$B$2,$A$1:$Z$1,0)),DATE(VALUE(LEFT(IFERROR(TRIM(INDEX($A142:$Z142,MATCH(Lists!$B$2,$A$1:$Z$1,0))&amp;""),""),4)),VALUE(MID(IFERROR(TRIM(INDEX($A142:$Z142,MATCH(Lists!$B$2,$A$1:$Z$1,0))&amp;""),""),6,2)),VALUE(MID(IFERROR(TRIM(INDEX($A142:$Z142,MATCH(Lists!$B$2,$A$1:$Z$1,0))&amp;""),""),9,2)))+TIME(VALUE(MID(IFERROR(TRIM(INDEX($A142:$Z142,MATCH(Lists!$B$2,$A$1:$Z$1,0))&amp;""),""),12,2)),VALUE(MID(IFERROR(TRIM(INDEX($A142:$Z142,MATCH(Lists!$B$2,$A$1:$Z$1,0))&amp;""),""),15,2)),VALUE(MID(IFERROR(TRIM(INDEX($A142:$Z142,MATCH(Lists!$B$2,$A$1:$Z$1,0))&amp;""),""),18,2)))),"")="",100000+ROW()/10^7,IFERROR(IF(ISNUMBER(INDEX($A142:$Z142,MATCH(Lists!$B$2,$A$1:$Z$1,0))),INDEX($A142:$Z142,MATCH(Lists!$B$2,$A$1:$Z$1,0)),DATE(VALUE(LEFT(IFERROR(TRIM(INDEX($A142:$Z142,MATCH(Lists!$B$2,$A$1:$Z$1,0))&amp;""),""),4)),VALUE(MID(IFERROR(TRIM(INDEX($A142:$Z142,MATCH(Lists!$B$2,$A$1:$Z$1,0))&amp;""),""),6,2)),VALUE(MID(IFERROR(TRIM(INDEX($A142:$Z142,MATCH(Lists!$B$2,$A$1:$Z$1,0))&amp;""),""),9,2)))+TIME(VALUE(MID(IFERROR(TRIM(INDEX($A142:$Z142,MATCH(Lists!$B$2,$A$1:$Z$1,0))&amp;""),""),12,2)),VALUE(MID(IFERROR(TRIM(INDEX($A142:$Z142,MATCH(Lists!$B$2,$A$1:$Z$1,0))&amp;""),""),15,2)),VALUE(MID(IFERROR(TRIM(INDEX($A142:$Z142,MATCH(Lists!$B$2,$A$1:$Z$1,0))&amp;""),""),18,2)))),"")-ROW()/10^7),"")</f>
        <v/>
      </c>
    </row>
    <row r="143">
      <c r="AB143" s="36">
        <f>IF($AR143=1,COUNTIF($AS$2:$AS$201,"&lt;"&amp;$AS143)+1,"")</f>
        <v/>
      </c>
      <c r="AC143" s="37">
        <f>IFERROR(TRIM(INDEX($A143:$Z143,MATCH(Lists!$B$9,$A$1:$Z$1,0))&amp;""),"")</f>
        <v/>
      </c>
      <c r="AD143" s="37">
        <f>IF($AR143=1,IFERROR(TRIM(INDEX($A143:$Z143,MATCH(Lists!$B$10,$A$1:$Z$1,0))&amp;""),""),"")</f>
        <v/>
      </c>
      <c r="AE143" s="37">
        <f>IF($AR143=1,IFERROR(TRIM(INDEX($A143:$Z143,MATCH(Lists!$B$12,$A$1:$Z$1,0))&amp;""),""),"")</f>
        <v/>
      </c>
      <c r="AF143" s="38">
        <f>IF($AR143=1,IFERROR(IF(TRIM(INDEX($A143:$Z143,MATCH(Lists!$B$11,$A$1:$Z$1,0))&amp;"")="","",VALUE(TRIM(INDEX($A143:$Z143,MATCH(Lists!$B$11,$A$1:$Z$1,0))&amp;""))),""),"")</f>
        <v/>
      </c>
      <c r="AG143" s="38">
        <f>IF(OR($AR143=0,$AF143="",'Start here'!$F$10="",'Start here'!$F$11="",'Start here'!$F$12="",'Start here'!$F$13="",'Start here'!$F$14=""),"",IF($AF143&lt;'Start here'!$F$10,'Start here'!$F$11,IF($AF143&lt;'Start here'!$F$12,'Start here'!$F$13,'Start here'!$F$14)))</f>
        <v/>
      </c>
      <c r="AH143" s="38">
        <f>IF(OR($AG143="",'Start here'!$F$9=""),"",IF($AF143&lt;=0,"",IFERROR(MAX($AG143,ROUNDUP(ROUND($AF143*'Start here'!$F$9/$AG143,6),0)*$AG143),"")))</f>
        <v/>
      </c>
      <c r="AI143" s="37">
        <f>IF($AR143=0,"",IF($AN143=Lists!$B$19,"",IF(AND($AN143=Lists!$B$18,$AQ143&lt;&gt;""),$AQ143,IF(AND($AP143=Lists!$B$17,$AL143&lt;&gt;""),$AL143,$AK143))))</f>
        <v/>
      </c>
      <c r="AJ143" s="37">
        <f>IF($AR143=0,"",IF(IF($AF143="",", no value",IF($AF143&lt;=0,", no value",""))&amp;IF('Start here'!$F$15="","",IF(LEN($AD143)&lt;'Start here'!$F$15,", short description",""))="","OK",MID(IF($AF143="",", no value",IF($AF143&lt;=0,", no value",""))&amp;IF('Start here'!$F$15="","",IF(LEN($AD143)&lt;'Start here'!$F$15,", short description","")),3,200)))</f>
        <v/>
      </c>
      <c r="AK143" s="37">
        <f>IF($AR143=1,IFERROR(TRIM(INDEX($A143:$Z143,MATCH(Lists!$B$5,$A$1:$Z$1,0))&amp;""),""),"")</f>
        <v/>
      </c>
      <c r="AL143" s="37">
        <f>IF($AR143=1,IFERROR(TRIM(INDEX($A143:$Z143,MATCH(Lists!$B$4,$A$1:$Z$1,0))&amp;""),""),"")</f>
        <v/>
      </c>
      <c r="AM143" s="37">
        <f>IF($AR143=1,IFERROR(TRIM(INDEX($A143:$Z143,MATCH(Lists!$B$6,$A$1:$Z$1,0))&amp;""),""),"")</f>
        <v/>
      </c>
      <c r="AN143" s="37">
        <f>IF($AR143=1,IFERROR(TRIM(INDEX($A143:$Z143,MATCH(Lists!$B$7,$A$1:$Z$1,0))&amp;""),""),"")</f>
        <v/>
      </c>
      <c r="AO143" s="37">
        <f>IF($AR143=1,IFERROR(TRIM(INDEX($A143:$Z143,MATCH(Lists!$B$13,$A$1:$Z$1,0))&amp;""),""),"")</f>
        <v/>
      </c>
      <c r="AP143" s="37">
        <f>IF($AR143=1,IFERROR(TRIM(INDEX($A143:$Z143,MATCH(Lists!$B$3,$A$1:$Z$1,0))&amp;""),""),"")</f>
        <v/>
      </c>
      <c r="AQ143" s="37">
        <f>IF($AR143=1,IFERROR(TRIM(INDEX($A143:$Z143,MATCH(Lists!$B$8,$A$1:$Z$1,0))&amp;""),""),"")</f>
        <v/>
      </c>
      <c r="AR143" s="36">
        <f>IF(LEN($AC143)&gt;0,1,0)</f>
        <v/>
      </c>
      <c r="AS143" s="37">
        <f>IF($AR143=1,IF(IFERROR(IF(ISNUMBER(INDEX($A143:$Z143,MATCH(Lists!$B$2,$A$1:$Z$1,0))),INDEX($A143:$Z143,MATCH(Lists!$B$2,$A$1:$Z$1,0)),DATE(VALUE(LEFT(IFERROR(TRIM(INDEX($A143:$Z143,MATCH(Lists!$B$2,$A$1:$Z$1,0))&amp;""),""),4)),VALUE(MID(IFERROR(TRIM(INDEX($A143:$Z143,MATCH(Lists!$B$2,$A$1:$Z$1,0))&amp;""),""),6,2)),VALUE(MID(IFERROR(TRIM(INDEX($A143:$Z143,MATCH(Lists!$B$2,$A$1:$Z$1,0))&amp;""),""),9,2)))+TIME(VALUE(MID(IFERROR(TRIM(INDEX($A143:$Z143,MATCH(Lists!$B$2,$A$1:$Z$1,0))&amp;""),""),12,2)),VALUE(MID(IFERROR(TRIM(INDEX($A143:$Z143,MATCH(Lists!$B$2,$A$1:$Z$1,0))&amp;""),""),15,2)),VALUE(MID(IFERROR(TRIM(INDEX($A143:$Z143,MATCH(Lists!$B$2,$A$1:$Z$1,0))&amp;""),""),18,2)))),"")="",100000+ROW()/10^7,IFERROR(IF(ISNUMBER(INDEX($A143:$Z143,MATCH(Lists!$B$2,$A$1:$Z$1,0))),INDEX($A143:$Z143,MATCH(Lists!$B$2,$A$1:$Z$1,0)),DATE(VALUE(LEFT(IFERROR(TRIM(INDEX($A143:$Z143,MATCH(Lists!$B$2,$A$1:$Z$1,0))&amp;""),""),4)),VALUE(MID(IFERROR(TRIM(INDEX($A143:$Z143,MATCH(Lists!$B$2,$A$1:$Z$1,0))&amp;""),""),6,2)),VALUE(MID(IFERROR(TRIM(INDEX($A143:$Z143,MATCH(Lists!$B$2,$A$1:$Z$1,0))&amp;""),""),9,2)))+TIME(VALUE(MID(IFERROR(TRIM(INDEX($A143:$Z143,MATCH(Lists!$B$2,$A$1:$Z$1,0))&amp;""),""),12,2)),VALUE(MID(IFERROR(TRIM(INDEX($A143:$Z143,MATCH(Lists!$B$2,$A$1:$Z$1,0))&amp;""),""),15,2)),VALUE(MID(IFERROR(TRIM(INDEX($A143:$Z143,MATCH(Lists!$B$2,$A$1:$Z$1,0))&amp;""),""),18,2)))),"")-ROW()/10^7),"")</f>
        <v/>
      </c>
    </row>
    <row r="144">
      <c r="AB144" s="36">
        <f>IF($AR144=1,COUNTIF($AS$2:$AS$201,"&lt;"&amp;$AS144)+1,"")</f>
        <v/>
      </c>
      <c r="AC144" s="37">
        <f>IFERROR(TRIM(INDEX($A144:$Z144,MATCH(Lists!$B$9,$A$1:$Z$1,0))&amp;""),"")</f>
        <v/>
      </c>
      <c r="AD144" s="37">
        <f>IF($AR144=1,IFERROR(TRIM(INDEX($A144:$Z144,MATCH(Lists!$B$10,$A$1:$Z$1,0))&amp;""),""),"")</f>
        <v/>
      </c>
      <c r="AE144" s="37">
        <f>IF($AR144=1,IFERROR(TRIM(INDEX($A144:$Z144,MATCH(Lists!$B$12,$A$1:$Z$1,0))&amp;""),""),"")</f>
        <v/>
      </c>
      <c r="AF144" s="38">
        <f>IF($AR144=1,IFERROR(IF(TRIM(INDEX($A144:$Z144,MATCH(Lists!$B$11,$A$1:$Z$1,0))&amp;"")="","",VALUE(TRIM(INDEX($A144:$Z144,MATCH(Lists!$B$11,$A$1:$Z$1,0))&amp;""))),""),"")</f>
        <v/>
      </c>
      <c r="AG144" s="38">
        <f>IF(OR($AR144=0,$AF144="",'Start here'!$F$10="",'Start here'!$F$11="",'Start here'!$F$12="",'Start here'!$F$13="",'Start here'!$F$14=""),"",IF($AF144&lt;'Start here'!$F$10,'Start here'!$F$11,IF($AF144&lt;'Start here'!$F$12,'Start here'!$F$13,'Start here'!$F$14)))</f>
        <v/>
      </c>
      <c r="AH144" s="38">
        <f>IF(OR($AG144="",'Start here'!$F$9=""),"",IF($AF144&lt;=0,"",IFERROR(MAX($AG144,ROUNDUP(ROUND($AF144*'Start here'!$F$9/$AG144,6),0)*$AG144),"")))</f>
        <v/>
      </c>
      <c r="AI144" s="37">
        <f>IF($AR144=0,"",IF($AN144=Lists!$B$19,"",IF(AND($AN144=Lists!$B$18,$AQ144&lt;&gt;""),$AQ144,IF(AND($AP144=Lists!$B$17,$AL144&lt;&gt;""),$AL144,$AK144))))</f>
        <v/>
      </c>
      <c r="AJ144" s="37">
        <f>IF($AR144=0,"",IF(IF($AF144="",", no value",IF($AF144&lt;=0,", no value",""))&amp;IF('Start here'!$F$15="","",IF(LEN($AD144)&lt;'Start here'!$F$15,", short description",""))="","OK",MID(IF($AF144="",", no value",IF($AF144&lt;=0,", no value",""))&amp;IF('Start here'!$F$15="","",IF(LEN($AD144)&lt;'Start here'!$F$15,", short description","")),3,200)))</f>
        <v/>
      </c>
      <c r="AK144" s="37">
        <f>IF($AR144=1,IFERROR(TRIM(INDEX($A144:$Z144,MATCH(Lists!$B$5,$A$1:$Z$1,0))&amp;""),""),"")</f>
        <v/>
      </c>
      <c r="AL144" s="37">
        <f>IF($AR144=1,IFERROR(TRIM(INDEX($A144:$Z144,MATCH(Lists!$B$4,$A$1:$Z$1,0))&amp;""),""),"")</f>
        <v/>
      </c>
      <c r="AM144" s="37">
        <f>IF($AR144=1,IFERROR(TRIM(INDEX($A144:$Z144,MATCH(Lists!$B$6,$A$1:$Z$1,0))&amp;""),""),"")</f>
        <v/>
      </c>
      <c r="AN144" s="37">
        <f>IF($AR144=1,IFERROR(TRIM(INDEX($A144:$Z144,MATCH(Lists!$B$7,$A$1:$Z$1,0))&amp;""),""),"")</f>
        <v/>
      </c>
      <c r="AO144" s="37">
        <f>IF($AR144=1,IFERROR(TRIM(INDEX($A144:$Z144,MATCH(Lists!$B$13,$A$1:$Z$1,0))&amp;""),""),"")</f>
        <v/>
      </c>
      <c r="AP144" s="37">
        <f>IF($AR144=1,IFERROR(TRIM(INDEX($A144:$Z144,MATCH(Lists!$B$3,$A$1:$Z$1,0))&amp;""),""),"")</f>
        <v/>
      </c>
      <c r="AQ144" s="37">
        <f>IF($AR144=1,IFERROR(TRIM(INDEX($A144:$Z144,MATCH(Lists!$B$8,$A$1:$Z$1,0))&amp;""),""),"")</f>
        <v/>
      </c>
      <c r="AR144" s="36">
        <f>IF(LEN($AC144)&gt;0,1,0)</f>
        <v/>
      </c>
      <c r="AS144" s="37">
        <f>IF($AR144=1,IF(IFERROR(IF(ISNUMBER(INDEX($A144:$Z144,MATCH(Lists!$B$2,$A$1:$Z$1,0))),INDEX($A144:$Z144,MATCH(Lists!$B$2,$A$1:$Z$1,0)),DATE(VALUE(LEFT(IFERROR(TRIM(INDEX($A144:$Z144,MATCH(Lists!$B$2,$A$1:$Z$1,0))&amp;""),""),4)),VALUE(MID(IFERROR(TRIM(INDEX($A144:$Z144,MATCH(Lists!$B$2,$A$1:$Z$1,0))&amp;""),""),6,2)),VALUE(MID(IFERROR(TRIM(INDEX($A144:$Z144,MATCH(Lists!$B$2,$A$1:$Z$1,0))&amp;""),""),9,2)))+TIME(VALUE(MID(IFERROR(TRIM(INDEX($A144:$Z144,MATCH(Lists!$B$2,$A$1:$Z$1,0))&amp;""),""),12,2)),VALUE(MID(IFERROR(TRIM(INDEX($A144:$Z144,MATCH(Lists!$B$2,$A$1:$Z$1,0))&amp;""),""),15,2)),VALUE(MID(IFERROR(TRIM(INDEX($A144:$Z144,MATCH(Lists!$B$2,$A$1:$Z$1,0))&amp;""),""),18,2)))),"")="",100000+ROW()/10^7,IFERROR(IF(ISNUMBER(INDEX($A144:$Z144,MATCH(Lists!$B$2,$A$1:$Z$1,0))),INDEX($A144:$Z144,MATCH(Lists!$B$2,$A$1:$Z$1,0)),DATE(VALUE(LEFT(IFERROR(TRIM(INDEX($A144:$Z144,MATCH(Lists!$B$2,$A$1:$Z$1,0))&amp;""),""),4)),VALUE(MID(IFERROR(TRIM(INDEX($A144:$Z144,MATCH(Lists!$B$2,$A$1:$Z$1,0))&amp;""),""),6,2)),VALUE(MID(IFERROR(TRIM(INDEX($A144:$Z144,MATCH(Lists!$B$2,$A$1:$Z$1,0))&amp;""),""),9,2)))+TIME(VALUE(MID(IFERROR(TRIM(INDEX($A144:$Z144,MATCH(Lists!$B$2,$A$1:$Z$1,0))&amp;""),""),12,2)),VALUE(MID(IFERROR(TRIM(INDEX($A144:$Z144,MATCH(Lists!$B$2,$A$1:$Z$1,0))&amp;""),""),15,2)),VALUE(MID(IFERROR(TRIM(INDEX($A144:$Z144,MATCH(Lists!$B$2,$A$1:$Z$1,0))&amp;""),""),18,2)))),"")-ROW()/10^7),"")</f>
        <v/>
      </c>
    </row>
    <row r="145">
      <c r="AB145" s="36">
        <f>IF($AR145=1,COUNTIF($AS$2:$AS$201,"&lt;"&amp;$AS145)+1,"")</f>
        <v/>
      </c>
      <c r="AC145" s="37">
        <f>IFERROR(TRIM(INDEX($A145:$Z145,MATCH(Lists!$B$9,$A$1:$Z$1,0))&amp;""),"")</f>
        <v/>
      </c>
      <c r="AD145" s="37">
        <f>IF($AR145=1,IFERROR(TRIM(INDEX($A145:$Z145,MATCH(Lists!$B$10,$A$1:$Z$1,0))&amp;""),""),"")</f>
        <v/>
      </c>
      <c r="AE145" s="37">
        <f>IF($AR145=1,IFERROR(TRIM(INDEX($A145:$Z145,MATCH(Lists!$B$12,$A$1:$Z$1,0))&amp;""),""),"")</f>
        <v/>
      </c>
      <c r="AF145" s="38">
        <f>IF($AR145=1,IFERROR(IF(TRIM(INDEX($A145:$Z145,MATCH(Lists!$B$11,$A$1:$Z$1,0))&amp;"")="","",VALUE(TRIM(INDEX($A145:$Z145,MATCH(Lists!$B$11,$A$1:$Z$1,0))&amp;""))),""),"")</f>
        <v/>
      </c>
      <c r="AG145" s="38">
        <f>IF(OR($AR145=0,$AF145="",'Start here'!$F$10="",'Start here'!$F$11="",'Start here'!$F$12="",'Start here'!$F$13="",'Start here'!$F$14=""),"",IF($AF145&lt;'Start here'!$F$10,'Start here'!$F$11,IF($AF145&lt;'Start here'!$F$12,'Start here'!$F$13,'Start here'!$F$14)))</f>
        <v/>
      </c>
      <c r="AH145" s="38">
        <f>IF(OR($AG145="",'Start here'!$F$9=""),"",IF($AF145&lt;=0,"",IFERROR(MAX($AG145,ROUNDUP(ROUND($AF145*'Start here'!$F$9/$AG145,6),0)*$AG145),"")))</f>
        <v/>
      </c>
      <c r="AI145" s="37">
        <f>IF($AR145=0,"",IF($AN145=Lists!$B$19,"",IF(AND($AN145=Lists!$B$18,$AQ145&lt;&gt;""),$AQ145,IF(AND($AP145=Lists!$B$17,$AL145&lt;&gt;""),$AL145,$AK145))))</f>
        <v/>
      </c>
      <c r="AJ145" s="37">
        <f>IF($AR145=0,"",IF(IF($AF145="",", no value",IF($AF145&lt;=0,", no value",""))&amp;IF('Start here'!$F$15="","",IF(LEN($AD145)&lt;'Start here'!$F$15,", short description",""))="","OK",MID(IF($AF145="",", no value",IF($AF145&lt;=0,", no value",""))&amp;IF('Start here'!$F$15="","",IF(LEN($AD145)&lt;'Start here'!$F$15,", short description","")),3,200)))</f>
        <v/>
      </c>
      <c r="AK145" s="37">
        <f>IF($AR145=1,IFERROR(TRIM(INDEX($A145:$Z145,MATCH(Lists!$B$5,$A$1:$Z$1,0))&amp;""),""),"")</f>
        <v/>
      </c>
      <c r="AL145" s="37">
        <f>IF($AR145=1,IFERROR(TRIM(INDEX($A145:$Z145,MATCH(Lists!$B$4,$A$1:$Z$1,0))&amp;""),""),"")</f>
        <v/>
      </c>
      <c r="AM145" s="37">
        <f>IF($AR145=1,IFERROR(TRIM(INDEX($A145:$Z145,MATCH(Lists!$B$6,$A$1:$Z$1,0))&amp;""),""),"")</f>
        <v/>
      </c>
      <c r="AN145" s="37">
        <f>IF($AR145=1,IFERROR(TRIM(INDEX($A145:$Z145,MATCH(Lists!$B$7,$A$1:$Z$1,0))&amp;""),""),"")</f>
        <v/>
      </c>
      <c r="AO145" s="37">
        <f>IF($AR145=1,IFERROR(TRIM(INDEX($A145:$Z145,MATCH(Lists!$B$13,$A$1:$Z$1,0))&amp;""),""),"")</f>
        <v/>
      </c>
      <c r="AP145" s="37">
        <f>IF($AR145=1,IFERROR(TRIM(INDEX($A145:$Z145,MATCH(Lists!$B$3,$A$1:$Z$1,0))&amp;""),""),"")</f>
        <v/>
      </c>
      <c r="AQ145" s="37">
        <f>IF($AR145=1,IFERROR(TRIM(INDEX($A145:$Z145,MATCH(Lists!$B$8,$A$1:$Z$1,0))&amp;""),""),"")</f>
        <v/>
      </c>
      <c r="AR145" s="36">
        <f>IF(LEN($AC145)&gt;0,1,0)</f>
        <v/>
      </c>
      <c r="AS145" s="37">
        <f>IF($AR145=1,IF(IFERROR(IF(ISNUMBER(INDEX($A145:$Z145,MATCH(Lists!$B$2,$A$1:$Z$1,0))),INDEX($A145:$Z145,MATCH(Lists!$B$2,$A$1:$Z$1,0)),DATE(VALUE(LEFT(IFERROR(TRIM(INDEX($A145:$Z145,MATCH(Lists!$B$2,$A$1:$Z$1,0))&amp;""),""),4)),VALUE(MID(IFERROR(TRIM(INDEX($A145:$Z145,MATCH(Lists!$B$2,$A$1:$Z$1,0))&amp;""),""),6,2)),VALUE(MID(IFERROR(TRIM(INDEX($A145:$Z145,MATCH(Lists!$B$2,$A$1:$Z$1,0))&amp;""),""),9,2)))+TIME(VALUE(MID(IFERROR(TRIM(INDEX($A145:$Z145,MATCH(Lists!$B$2,$A$1:$Z$1,0))&amp;""),""),12,2)),VALUE(MID(IFERROR(TRIM(INDEX($A145:$Z145,MATCH(Lists!$B$2,$A$1:$Z$1,0))&amp;""),""),15,2)),VALUE(MID(IFERROR(TRIM(INDEX($A145:$Z145,MATCH(Lists!$B$2,$A$1:$Z$1,0))&amp;""),""),18,2)))),"")="",100000+ROW()/10^7,IFERROR(IF(ISNUMBER(INDEX($A145:$Z145,MATCH(Lists!$B$2,$A$1:$Z$1,0))),INDEX($A145:$Z145,MATCH(Lists!$B$2,$A$1:$Z$1,0)),DATE(VALUE(LEFT(IFERROR(TRIM(INDEX($A145:$Z145,MATCH(Lists!$B$2,$A$1:$Z$1,0))&amp;""),""),4)),VALUE(MID(IFERROR(TRIM(INDEX($A145:$Z145,MATCH(Lists!$B$2,$A$1:$Z$1,0))&amp;""),""),6,2)),VALUE(MID(IFERROR(TRIM(INDEX($A145:$Z145,MATCH(Lists!$B$2,$A$1:$Z$1,0))&amp;""),""),9,2)))+TIME(VALUE(MID(IFERROR(TRIM(INDEX($A145:$Z145,MATCH(Lists!$B$2,$A$1:$Z$1,0))&amp;""),""),12,2)),VALUE(MID(IFERROR(TRIM(INDEX($A145:$Z145,MATCH(Lists!$B$2,$A$1:$Z$1,0))&amp;""),""),15,2)),VALUE(MID(IFERROR(TRIM(INDEX($A145:$Z145,MATCH(Lists!$B$2,$A$1:$Z$1,0))&amp;""),""),18,2)))),"")-ROW()/10^7),"")</f>
        <v/>
      </c>
    </row>
    <row r="146">
      <c r="AB146" s="36">
        <f>IF($AR146=1,COUNTIF($AS$2:$AS$201,"&lt;"&amp;$AS146)+1,"")</f>
        <v/>
      </c>
      <c r="AC146" s="37">
        <f>IFERROR(TRIM(INDEX($A146:$Z146,MATCH(Lists!$B$9,$A$1:$Z$1,0))&amp;""),"")</f>
        <v/>
      </c>
      <c r="AD146" s="37">
        <f>IF($AR146=1,IFERROR(TRIM(INDEX($A146:$Z146,MATCH(Lists!$B$10,$A$1:$Z$1,0))&amp;""),""),"")</f>
        <v/>
      </c>
      <c r="AE146" s="37">
        <f>IF($AR146=1,IFERROR(TRIM(INDEX($A146:$Z146,MATCH(Lists!$B$12,$A$1:$Z$1,0))&amp;""),""),"")</f>
        <v/>
      </c>
      <c r="AF146" s="38">
        <f>IF($AR146=1,IFERROR(IF(TRIM(INDEX($A146:$Z146,MATCH(Lists!$B$11,$A$1:$Z$1,0))&amp;"")="","",VALUE(TRIM(INDEX($A146:$Z146,MATCH(Lists!$B$11,$A$1:$Z$1,0))&amp;""))),""),"")</f>
        <v/>
      </c>
      <c r="AG146" s="38">
        <f>IF(OR($AR146=0,$AF146="",'Start here'!$F$10="",'Start here'!$F$11="",'Start here'!$F$12="",'Start here'!$F$13="",'Start here'!$F$14=""),"",IF($AF146&lt;'Start here'!$F$10,'Start here'!$F$11,IF($AF146&lt;'Start here'!$F$12,'Start here'!$F$13,'Start here'!$F$14)))</f>
        <v/>
      </c>
      <c r="AH146" s="38">
        <f>IF(OR($AG146="",'Start here'!$F$9=""),"",IF($AF146&lt;=0,"",IFERROR(MAX($AG146,ROUNDUP(ROUND($AF146*'Start here'!$F$9/$AG146,6),0)*$AG146),"")))</f>
        <v/>
      </c>
      <c r="AI146" s="37">
        <f>IF($AR146=0,"",IF($AN146=Lists!$B$19,"",IF(AND($AN146=Lists!$B$18,$AQ146&lt;&gt;""),$AQ146,IF(AND($AP146=Lists!$B$17,$AL146&lt;&gt;""),$AL146,$AK146))))</f>
        <v/>
      </c>
      <c r="AJ146" s="37">
        <f>IF($AR146=0,"",IF(IF($AF146="",", no value",IF($AF146&lt;=0,", no value",""))&amp;IF('Start here'!$F$15="","",IF(LEN($AD146)&lt;'Start here'!$F$15,", short description",""))="","OK",MID(IF($AF146="",", no value",IF($AF146&lt;=0,", no value",""))&amp;IF('Start here'!$F$15="","",IF(LEN($AD146)&lt;'Start here'!$F$15,", short description","")),3,200)))</f>
        <v/>
      </c>
      <c r="AK146" s="37">
        <f>IF($AR146=1,IFERROR(TRIM(INDEX($A146:$Z146,MATCH(Lists!$B$5,$A$1:$Z$1,0))&amp;""),""),"")</f>
        <v/>
      </c>
      <c r="AL146" s="37">
        <f>IF($AR146=1,IFERROR(TRIM(INDEX($A146:$Z146,MATCH(Lists!$B$4,$A$1:$Z$1,0))&amp;""),""),"")</f>
        <v/>
      </c>
      <c r="AM146" s="37">
        <f>IF($AR146=1,IFERROR(TRIM(INDEX($A146:$Z146,MATCH(Lists!$B$6,$A$1:$Z$1,0))&amp;""),""),"")</f>
        <v/>
      </c>
      <c r="AN146" s="37">
        <f>IF($AR146=1,IFERROR(TRIM(INDEX($A146:$Z146,MATCH(Lists!$B$7,$A$1:$Z$1,0))&amp;""),""),"")</f>
        <v/>
      </c>
      <c r="AO146" s="37">
        <f>IF($AR146=1,IFERROR(TRIM(INDEX($A146:$Z146,MATCH(Lists!$B$13,$A$1:$Z$1,0))&amp;""),""),"")</f>
        <v/>
      </c>
      <c r="AP146" s="37">
        <f>IF($AR146=1,IFERROR(TRIM(INDEX($A146:$Z146,MATCH(Lists!$B$3,$A$1:$Z$1,0))&amp;""),""),"")</f>
        <v/>
      </c>
      <c r="AQ146" s="37">
        <f>IF($AR146=1,IFERROR(TRIM(INDEX($A146:$Z146,MATCH(Lists!$B$8,$A$1:$Z$1,0))&amp;""),""),"")</f>
        <v/>
      </c>
      <c r="AR146" s="36">
        <f>IF(LEN($AC146)&gt;0,1,0)</f>
        <v/>
      </c>
      <c r="AS146" s="37">
        <f>IF($AR146=1,IF(IFERROR(IF(ISNUMBER(INDEX($A146:$Z146,MATCH(Lists!$B$2,$A$1:$Z$1,0))),INDEX($A146:$Z146,MATCH(Lists!$B$2,$A$1:$Z$1,0)),DATE(VALUE(LEFT(IFERROR(TRIM(INDEX($A146:$Z146,MATCH(Lists!$B$2,$A$1:$Z$1,0))&amp;""),""),4)),VALUE(MID(IFERROR(TRIM(INDEX($A146:$Z146,MATCH(Lists!$B$2,$A$1:$Z$1,0))&amp;""),""),6,2)),VALUE(MID(IFERROR(TRIM(INDEX($A146:$Z146,MATCH(Lists!$B$2,$A$1:$Z$1,0))&amp;""),""),9,2)))+TIME(VALUE(MID(IFERROR(TRIM(INDEX($A146:$Z146,MATCH(Lists!$B$2,$A$1:$Z$1,0))&amp;""),""),12,2)),VALUE(MID(IFERROR(TRIM(INDEX($A146:$Z146,MATCH(Lists!$B$2,$A$1:$Z$1,0))&amp;""),""),15,2)),VALUE(MID(IFERROR(TRIM(INDEX($A146:$Z146,MATCH(Lists!$B$2,$A$1:$Z$1,0))&amp;""),""),18,2)))),"")="",100000+ROW()/10^7,IFERROR(IF(ISNUMBER(INDEX($A146:$Z146,MATCH(Lists!$B$2,$A$1:$Z$1,0))),INDEX($A146:$Z146,MATCH(Lists!$B$2,$A$1:$Z$1,0)),DATE(VALUE(LEFT(IFERROR(TRIM(INDEX($A146:$Z146,MATCH(Lists!$B$2,$A$1:$Z$1,0))&amp;""),""),4)),VALUE(MID(IFERROR(TRIM(INDEX($A146:$Z146,MATCH(Lists!$B$2,$A$1:$Z$1,0))&amp;""),""),6,2)),VALUE(MID(IFERROR(TRIM(INDEX($A146:$Z146,MATCH(Lists!$B$2,$A$1:$Z$1,0))&amp;""),""),9,2)))+TIME(VALUE(MID(IFERROR(TRIM(INDEX($A146:$Z146,MATCH(Lists!$B$2,$A$1:$Z$1,0))&amp;""),""),12,2)),VALUE(MID(IFERROR(TRIM(INDEX($A146:$Z146,MATCH(Lists!$B$2,$A$1:$Z$1,0))&amp;""),""),15,2)),VALUE(MID(IFERROR(TRIM(INDEX($A146:$Z146,MATCH(Lists!$B$2,$A$1:$Z$1,0))&amp;""),""),18,2)))),"")-ROW()/10^7),"")</f>
        <v/>
      </c>
    </row>
    <row r="147">
      <c r="AB147" s="36">
        <f>IF($AR147=1,COUNTIF($AS$2:$AS$201,"&lt;"&amp;$AS147)+1,"")</f>
        <v/>
      </c>
      <c r="AC147" s="37">
        <f>IFERROR(TRIM(INDEX($A147:$Z147,MATCH(Lists!$B$9,$A$1:$Z$1,0))&amp;""),"")</f>
        <v/>
      </c>
      <c r="AD147" s="37">
        <f>IF($AR147=1,IFERROR(TRIM(INDEX($A147:$Z147,MATCH(Lists!$B$10,$A$1:$Z$1,0))&amp;""),""),"")</f>
        <v/>
      </c>
      <c r="AE147" s="37">
        <f>IF($AR147=1,IFERROR(TRIM(INDEX($A147:$Z147,MATCH(Lists!$B$12,$A$1:$Z$1,0))&amp;""),""),"")</f>
        <v/>
      </c>
      <c r="AF147" s="38">
        <f>IF($AR147=1,IFERROR(IF(TRIM(INDEX($A147:$Z147,MATCH(Lists!$B$11,$A$1:$Z$1,0))&amp;"")="","",VALUE(TRIM(INDEX($A147:$Z147,MATCH(Lists!$B$11,$A$1:$Z$1,0))&amp;""))),""),"")</f>
        <v/>
      </c>
      <c r="AG147" s="38">
        <f>IF(OR($AR147=0,$AF147="",'Start here'!$F$10="",'Start here'!$F$11="",'Start here'!$F$12="",'Start here'!$F$13="",'Start here'!$F$14=""),"",IF($AF147&lt;'Start here'!$F$10,'Start here'!$F$11,IF($AF147&lt;'Start here'!$F$12,'Start here'!$F$13,'Start here'!$F$14)))</f>
        <v/>
      </c>
      <c r="AH147" s="38">
        <f>IF(OR($AG147="",'Start here'!$F$9=""),"",IF($AF147&lt;=0,"",IFERROR(MAX($AG147,ROUNDUP(ROUND($AF147*'Start here'!$F$9/$AG147,6),0)*$AG147),"")))</f>
        <v/>
      </c>
      <c r="AI147" s="37">
        <f>IF($AR147=0,"",IF($AN147=Lists!$B$19,"",IF(AND($AN147=Lists!$B$18,$AQ147&lt;&gt;""),$AQ147,IF(AND($AP147=Lists!$B$17,$AL147&lt;&gt;""),$AL147,$AK147))))</f>
        <v/>
      </c>
      <c r="AJ147" s="37">
        <f>IF($AR147=0,"",IF(IF($AF147="",", no value",IF($AF147&lt;=0,", no value",""))&amp;IF('Start here'!$F$15="","",IF(LEN($AD147)&lt;'Start here'!$F$15,", short description",""))="","OK",MID(IF($AF147="",", no value",IF($AF147&lt;=0,", no value",""))&amp;IF('Start here'!$F$15="","",IF(LEN($AD147)&lt;'Start here'!$F$15,", short description","")),3,200)))</f>
        <v/>
      </c>
      <c r="AK147" s="37">
        <f>IF($AR147=1,IFERROR(TRIM(INDEX($A147:$Z147,MATCH(Lists!$B$5,$A$1:$Z$1,0))&amp;""),""),"")</f>
        <v/>
      </c>
      <c r="AL147" s="37">
        <f>IF($AR147=1,IFERROR(TRIM(INDEX($A147:$Z147,MATCH(Lists!$B$4,$A$1:$Z$1,0))&amp;""),""),"")</f>
        <v/>
      </c>
      <c r="AM147" s="37">
        <f>IF($AR147=1,IFERROR(TRIM(INDEX($A147:$Z147,MATCH(Lists!$B$6,$A$1:$Z$1,0))&amp;""),""),"")</f>
        <v/>
      </c>
      <c r="AN147" s="37">
        <f>IF($AR147=1,IFERROR(TRIM(INDEX($A147:$Z147,MATCH(Lists!$B$7,$A$1:$Z$1,0))&amp;""),""),"")</f>
        <v/>
      </c>
      <c r="AO147" s="37">
        <f>IF($AR147=1,IFERROR(TRIM(INDEX($A147:$Z147,MATCH(Lists!$B$13,$A$1:$Z$1,0))&amp;""),""),"")</f>
        <v/>
      </c>
      <c r="AP147" s="37">
        <f>IF($AR147=1,IFERROR(TRIM(INDEX($A147:$Z147,MATCH(Lists!$B$3,$A$1:$Z$1,0))&amp;""),""),"")</f>
        <v/>
      </c>
      <c r="AQ147" s="37">
        <f>IF($AR147=1,IFERROR(TRIM(INDEX($A147:$Z147,MATCH(Lists!$B$8,$A$1:$Z$1,0))&amp;""),""),"")</f>
        <v/>
      </c>
      <c r="AR147" s="36">
        <f>IF(LEN($AC147)&gt;0,1,0)</f>
        <v/>
      </c>
      <c r="AS147" s="37">
        <f>IF($AR147=1,IF(IFERROR(IF(ISNUMBER(INDEX($A147:$Z147,MATCH(Lists!$B$2,$A$1:$Z$1,0))),INDEX($A147:$Z147,MATCH(Lists!$B$2,$A$1:$Z$1,0)),DATE(VALUE(LEFT(IFERROR(TRIM(INDEX($A147:$Z147,MATCH(Lists!$B$2,$A$1:$Z$1,0))&amp;""),""),4)),VALUE(MID(IFERROR(TRIM(INDEX($A147:$Z147,MATCH(Lists!$B$2,$A$1:$Z$1,0))&amp;""),""),6,2)),VALUE(MID(IFERROR(TRIM(INDEX($A147:$Z147,MATCH(Lists!$B$2,$A$1:$Z$1,0))&amp;""),""),9,2)))+TIME(VALUE(MID(IFERROR(TRIM(INDEX($A147:$Z147,MATCH(Lists!$B$2,$A$1:$Z$1,0))&amp;""),""),12,2)),VALUE(MID(IFERROR(TRIM(INDEX($A147:$Z147,MATCH(Lists!$B$2,$A$1:$Z$1,0))&amp;""),""),15,2)),VALUE(MID(IFERROR(TRIM(INDEX($A147:$Z147,MATCH(Lists!$B$2,$A$1:$Z$1,0))&amp;""),""),18,2)))),"")="",100000+ROW()/10^7,IFERROR(IF(ISNUMBER(INDEX($A147:$Z147,MATCH(Lists!$B$2,$A$1:$Z$1,0))),INDEX($A147:$Z147,MATCH(Lists!$B$2,$A$1:$Z$1,0)),DATE(VALUE(LEFT(IFERROR(TRIM(INDEX($A147:$Z147,MATCH(Lists!$B$2,$A$1:$Z$1,0))&amp;""),""),4)),VALUE(MID(IFERROR(TRIM(INDEX($A147:$Z147,MATCH(Lists!$B$2,$A$1:$Z$1,0))&amp;""),""),6,2)),VALUE(MID(IFERROR(TRIM(INDEX($A147:$Z147,MATCH(Lists!$B$2,$A$1:$Z$1,0))&amp;""),""),9,2)))+TIME(VALUE(MID(IFERROR(TRIM(INDEX($A147:$Z147,MATCH(Lists!$B$2,$A$1:$Z$1,0))&amp;""),""),12,2)),VALUE(MID(IFERROR(TRIM(INDEX($A147:$Z147,MATCH(Lists!$B$2,$A$1:$Z$1,0))&amp;""),""),15,2)),VALUE(MID(IFERROR(TRIM(INDEX($A147:$Z147,MATCH(Lists!$B$2,$A$1:$Z$1,0))&amp;""),""),18,2)))),"")-ROW()/10^7),"")</f>
        <v/>
      </c>
    </row>
    <row r="148">
      <c r="AB148" s="36">
        <f>IF($AR148=1,COUNTIF($AS$2:$AS$201,"&lt;"&amp;$AS148)+1,"")</f>
        <v/>
      </c>
      <c r="AC148" s="37">
        <f>IFERROR(TRIM(INDEX($A148:$Z148,MATCH(Lists!$B$9,$A$1:$Z$1,0))&amp;""),"")</f>
        <v/>
      </c>
      <c r="AD148" s="37">
        <f>IF($AR148=1,IFERROR(TRIM(INDEX($A148:$Z148,MATCH(Lists!$B$10,$A$1:$Z$1,0))&amp;""),""),"")</f>
        <v/>
      </c>
      <c r="AE148" s="37">
        <f>IF($AR148=1,IFERROR(TRIM(INDEX($A148:$Z148,MATCH(Lists!$B$12,$A$1:$Z$1,0))&amp;""),""),"")</f>
        <v/>
      </c>
      <c r="AF148" s="38">
        <f>IF($AR148=1,IFERROR(IF(TRIM(INDEX($A148:$Z148,MATCH(Lists!$B$11,$A$1:$Z$1,0))&amp;"")="","",VALUE(TRIM(INDEX($A148:$Z148,MATCH(Lists!$B$11,$A$1:$Z$1,0))&amp;""))),""),"")</f>
        <v/>
      </c>
      <c r="AG148" s="38">
        <f>IF(OR($AR148=0,$AF148="",'Start here'!$F$10="",'Start here'!$F$11="",'Start here'!$F$12="",'Start here'!$F$13="",'Start here'!$F$14=""),"",IF($AF148&lt;'Start here'!$F$10,'Start here'!$F$11,IF($AF148&lt;'Start here'!$F$12,'Start here'!$F$13,'Start here'!$F$14)))</f>
        <v/>
      </c>
      <c r="AH148" s="38">
        <f>IF(OR($AG148="",'Start here'!$F$9=""),"",IF($AF148&lt;=0,"",IFERROR(MAX($AG148,ROUNDUP(ROUND($AF148*'Start here'!$F$9/$AG148,6),0)*$AG148),"")))</f>
        <v/>
      </c>
      <c r="AI148" s="37">
        <f>IF($AR148=0,"",IF($AN148=Lists!$B$19,"",IF(AND($AN148=Lists!$B$18,$AQ148&lt;&gt;""),$AQ148,IF(AND($AP148=Lists!$B$17,$AL148&lt;&gt;""),$AL148,$AK148))))</f>
        <v/>
      </c>
      <c r="AJ148" s="37">
        <f>IF($AR148=0,"",IF(IF($AF148="",", no value",IF($AF148&lt;=0,", no value",""))&amp;IF('Start here'!$F$15="","",IF(LEN($AD148)&lt;'Start here'!$F$15,", short description",""))="","OK",MID(IF($AF148="",", no value",IF($AF148&lt;=0,", no value",""))&amp;IF('Start here'!$F$15="","",IF(LEN($AD148)&lt;'Start here'!$F$15,", short description","")),3,200)))</f>
        <v/>
      </c>
      <c r="AK148" s="37">
        <f>IF($AR148=1,IFERROR(TRIM(INDEX($A148:$Z148,MATCH(Lists!$B$5,$A$1:$Z$1,0))&amp;""),""),"")</f>
        <v/>
      </c>
      <c r="AL148" s="37">
        <f>IF($AR148=1,IFERROR(TRIM(INDEX($A148:$Z148,MATCH(Lists!$B$4,$A$1:$Z$1,0))&amp;""),""),"")</f>
        <v/>
      </c>
      <c r="AM148" s="37">
        <f>IF($AR148=1,IFERROR(TRIM(INDEX($A148:$Z148,MATCH(Lists!$B$6,$A$1:$Z$1,0))&amp;""),""),"")</f>
        <v/>
      </c>
      <c r="AN148" s="37">
        <f>IF($AR148=1,IFERROR(TRIM(INDEX($A148:$Z148,MATCH(Lists!$B$7,$A$1:$Z$1,0))&amp;""),""),"")</f>
        <v/>
      </c>
      <c r="AO148" s="37">
        <f>IF($AR148=1,IFERROR(TRIM(INDEX($A148:$Z148,MATCH(Lists!$B$13,$A$1:$Z$1,0))&amp;""),""),"")</f>
        <v/>
      </c>
      <c r="AP148" s="37">
        <f>IF($AR148=1,IFERROR(TRIM(INDEX($A148:$Z148,MATCH(Lists!$B$3,$A$1:$Z$1,0))&amp;""),""),"")</f>
        <v/>
      </c>
      <c r="AQ148" s="37">
        <f>IF($AR148=1,IFERROR(TRIM(INDEX($A148:$Z148,MATCH(Lists!$B$8,$A$1:$Z$1,0))&amp;""),""),"")</f>
        <v/>
      </c>
      <c r="AR148" s="36">
        <f>IF(LEN($AC148)&gt;0,1,0)</f>
        <v/>
      </c>
      <c r="AS148" s="37">
        <f>IF($AR148=1,IF(IFERROR(IF(ISNUMBER(INDEX($A148:$Z148,MATCH(Lists!$B$2,$A$1:$Z$1,0))),INDEX($A148:$Z148,MATCH(Lists!$B$2,$A$1:$Z$1,0)),DATE(VALUE(LEFT(IFERROR(TRIM(INDEX($A148:$Z148,MATCH(Lists!$B$2,$A$1:$Z$1,0))&amp;""),""),4)),VALUE(MID(IFERROR(TRIM(INDEX($A148:$Z148,MATCH(Lists!$B$2,$A$1:$Z$1,0))&amp;""),""),6,2)),VALUE(MID(IFERROR(TRIM(INDEX($A148:$Z148,MATCH(Lists!$B$2,$A$1:$Z$1,0))&amp;""),""),9,2)))+TIME(VALUE(MID(IFERROR(TRIM(INDEX($A148:$Z148,MATCH(Lists!$B$2,$A$1:$Z$1,0))&amp;""),""),12,2)),VALUE(MID(IFERROR(TRIM(INDEX($A148:$Z148,MATCH(Lists!$B$2,$A$1:$Z$1,0))&amp;""),""),15,2)),VALUE(MID(IFERROR(TRIM(INDEX($A148:$Z148,MATCH(Lists!$B$2,$A$1:$Z$1,0))&amp;""),""),18,2)))),"")="",100000+ROW()/10^7,IFERROR(IF(ISNUMBER(INDEX($A148:$Z148,MATCH(Lists!$B$2,$A$1:$Z$1,0))),INDEX($A148:$Z148,MATCH(Lists!$B$2,$A$1:$Z$1,0)),DATE(VALUE(LEFT(IFERROR(TRIM(INDEX($A148:$Z148,MATCH(Lists!$B$2,$A$1:$Z$1,0))&amp;""),""),4)),VALUE(MID(IFERROR(TRIM(INDEX($A148:$Z148,MATCH(Lists!$B$2,$A$1:$Z$1,0))&amp;""),""),6,2)),VALUE(MID(IFERROR(TRIM(INDEX($A148:$Z148,MATCH(Lists!$B$2,$A$1:$Z$1,0))&amp;""),""),9,2)))+TIME(VALUE(MID(IFERROR(TRIM(INDEX($A148:$Z148,MATCH(Lists!$B$2,$A$1:$Z$1,0))&amp;""),""),12,2)),VALUE(MID(IFERROR(TRIM(INDEX($A148:$Z148,MATCH(Lists!$B$2,$A$1:$Z$1,0))&amp;""),""),15,2)),VALUE(MID(IFERROR(TRIM(INDEX($A148:$Z148,MATCH(Lists!$B$2,$A$1:$Z$1,0))&amp;""),""),18,2)))),"")-ROW()/10^7),"")</f>
        <v/>
      </c>
    </row>
    <row r="149">
      <c r="AB149" s="36">
        <f>IF($AR149=1,COUNTIF($AS$2:$AS$201,"&lt;"&amp;$AS149)+1,"")</f>
        <v/>
      </c>
      <c r="AC149" s="37">
        <f>IFERROR(TRIM(INDEX($A149:$Z149,MATCH(Lists!$B$9,$A$1:$Z$1,0))&amp;""),"")</f>
        <v/>
      </c>
      <c r="AD149" s="37">
        <f>IF($AR149=1,IFERROR(TRIM(INDEX($A149:$Z149,MATCH(Lists!$B$10,$A$1:$Z$1,0))&amp;""),""),"")</f>
        <v/>
      </c>
      <c r="AE149" s="37">
        <f>IF($AR149=1,IFERROR(TRIM(INDEX($A149:$Z149,MATCH(Lists!$B$12,$A$1:$Z$1,0))&amp;""),""),"")</f>
        <v/>
      </c>
      <c r="AF149" s="38">
        <f>IF($AR149=1,IFERROR(IF(TRIM(INDEX($A149:$Z149,MATCH(Lists!$B$11,$A$1:$Z$1,0))&amp;"")="","",VALUE(TRIM(INDEX($A149:$Z149,MATCH(Lists!$B$11,$A$1:$Z$1,0))&amp;""))),""),"")</f>
        <v/>
      </c>
      <c r="AG149" s="38">
        <f>IF(OR($AR149=0,$AF149="",'Start here'!$F$10="",'Start here'!$F$11="",'Start here'!$F$12="",'Start here'!$F$13="",'Start here'!$F$14=""),"",IF($AF149&lt;'Start here'!$F$10,'Start here'!$F$11,IF($AF149&lt;'Start here'!$F$12,'Start here'!$F$13,'Start here'!$F$14)))</f>
        <v/>
      </c>
      <c r="AH149" s="38">
        <f>IF(OR($AG149="",'Start here'!$F$9=""),"",IF($AF149&lt;=0,"",IFERROR(MAX($AG149,ROUNDUP(ROUND($AF149*'Start here'!$F$9/$AG149,6),0)*$AG149),"")))</f>
        <v/>
      </c>
      <c r="AI149" s="37">
        <f>IF($AR149=0,"",IF($AN149=Lists!$B$19,"",IF(AND($AN149=Lists!$B$18,$AQ149&lt;&gt;""),$AQ149,IF(AND($AP149=Lists!$B$17,$AL149&lt;&gt;""),$AL149,$AK149))))</f>
        <v/>
      </c>
      <c r="AJ149" s="37">
        <f>IF($AR149=0,"",IF(IF($AF149="",", no value",IF($AF149&lt;=0,", no value",""))&amp;IF('Start here'!$F$15="","",IF(LEN($AD149)&lt;'Start here'!$F$15,", short description",""))="","OK",MID(IF($AF149="",", no value",IF($AF149&lt;=0,", no value",""))&amp;IF('Start here'!$F$15="","",IF(LEN($AD149)&lt;'Start here'!$F$15,", short description","")),3,200)))</f>
        <v/>
      </c>
      <c r="AK149" s="37">
        <f>IF($AR149=1,IFERROR(TRIM(INDEX($A149:$Z149,MATCH(Lists!$B$5,$A$1:$Z$1,0))&amp;""),""),"")</f>
        <v/>
      </c>
      <c r="AL149" s="37">
        <f>IF($AR149=1,IFERROR(TRIM(INDEX($A149:$Z149,MATCH(Lists!$B$4,$A$1:$Z$1,0))&amp;""),""),"")</f>
        <v/>
      </c>
      <c r="AM149" s="37">
        <f>IF($AR149=1,IFERROR(TRIM(INDEX($A149:$Z149,MATCH(Lists!$B$6,$A$1:$Z$1,0))&amp;""),""),"")</f>
        <v/>
      </c>
      <c r="AN149" s="37">
        <f>IF($AR149=1,IFERROR(TRIM(INDEX($A149:$Z149,MATCH(Lists!$B$7,$A$1:$Z$1,0))&amp;""),""),"")</f>
        <v/>
      </c>
      <c r="AO149" s="37">
        <f>IF($AR149=1,IFERROR(TRIM(INDEX($A149:$Z149,MATCH(Lists!$B$13,$A$1:$Z$1,0))&amp;""),""),"")</f>
        <v/>
      </c>
      <c r="AP149" s="37">
        <f>IF($AR149=1,IFERROR(TRIM(INDEX($A149:$Z149,MATCH(Lists!$B$3,$A$1:$Z$1,0))&amp;""),""),"")</f>
        <v/>
      </c>
      <c r="AQ149" s="37">
        <f>IF($AR149=1,IFERROR(TRIM(INDEX($A149:$Z149,MATCH(Lists!$B$8,$A$1:$Z$1,0))&amp;""),""),"")</f>
        <v/>
      </c>
      <c r="AR149" s="36">
        <f>IF(LEN($AC149)&gt;0,1,0)</f>
        <v/>
      </c>
      <c r="AS149" s="37">
        <f>IF($AR149=1,IF(IFERROR(IF(ISNUMBER(INDEX($A149:$Z149,MATCH(Lists!$B$2,$A$1:$Z$1,0))),INDEX($A149:$Z149,MATCH(Lists!$B$2,$A$1:$Z$1,0)),DATE(VALUE(LEFT(IFERROR(TRIM(INDEX($A149:$Z149,MATCH(Lists!$B$2,$A$1:$Z$1,0))&amp;""),""),4)),VALUE(MID(IFERROR(TRIM(INDEX($A149:$Z149,MATCH(Lists!$B$2,$A$1:$Z$1,0))&amp;""),""),6,2)),VALUE(MID(IFERROR(TRIM(INDEX($A149:$Z149,MATCH(Lists!$B$2,$A$1:$Z$1,0))&amp;""),""),9,2)))+TIME(VALUE(MID(IFERROR(TRIM(INDEX($A149:$Z149,MATCH(Lists!$B$2,$A$1:$Z$1,0))&amp;""),""),12,2)),VALUE(MID(IFERROR(TRIM(INDEX($A149:$Z149,MATCH(Lists!$B$2,$A$1:$Z$1,0))&amp;""),""),15,2)),VALUE(MID(IFERROR(TRIM(INDEX($A149:$Z149,MATCH(Lists!$B$2,$A$1:$Z$1,0))&amp;""),""),18,2)))),"")="",100000+ROW()/10^7,IFERROR(IF(ISNUMBER(INDEX($A149:$Z149,MATCH(Lists!$B$2,$A$1:$Z$1,0))),INDEX($A149:$Z149,MATCH(Lists!$B$2,$A$1:$Z$1,0)),DATE(VALUE(LEFT(IFERROR(TRIM(INDEX($A149:$Z149,MATCH(Lists!$B$2,$A$1:$Z$1,0))&amp;""),""),4)),VALUE(MID(IFERROR(TRIM(INDEX($A149:$Z149,MATCH(Lists!$B$2,$A$1:$Z$1,0))&amp;""),""),6,2)),VALUE(MID(IFERROR(TRIM(INDEX($A149:$Z149,MATCH(Lists!$B$2,$A$1:$Z$1,0))&amp;""),""),9,2)))+TIME(VALUE(MID(IFERROR(TRIM(INDEX($A149:$Z149,MATCH(Lists!$B$2,$A$1:$Z$1,0))&amp;""),""),12,2)),VALUE(MID(IFERROR(TRIM(INDEX($A149:$Z149,MATCH(Lists!$B$2,$A$1:$Z$1,0))&amp;""),""),15,2)),VALUE(MID(IFERROR(TRIM(INDEX($A149:$Z149,MATCH(Lists!$B$2,$A$1:$Z$1,0))&amp;""),""),18,2)))),"")-ROW()/10^7),"")</f>
        <v/>
      </c>
    </row>
    <row r="150">
      <c r="AB150" s="36">
        <f>IF($AR150=1,COUNTIF($AS$2:$AS$201,"&lt;"&amp;$AS150)+1,"")</f>
        <v/>
      </c>
      <c r="AC150" s="37">
        <f>IFERROR(TRIM(INDEX($A150:$Z150,MATCH(Lists!$B$9,$A$1:$Z$1,0))&amp;""),"")</f>
        <v/>
      </c>
      <c r="AD150" s="37">
        <f>IF($AR150=1,IFERROR(TRIM(INDEX($A150:$Z150,MATCH(Lists!$B$10,$A$1:$Z$1,0))&amp;""),""),"")</f>
        <v/>
      </c>
      <c r="AE150" s="37">
        <f>IF($AR150=1,IFERROR(TRIM(INDEX($A150:$Z150,MATCH(Lists!$B$12,$A$1:$Z$1,0))&amp;""),""),"")</f>
        <v/>
      </c>
      <c r="AF150" s="38">
        <f>IF($AR150=1,IFERROR(IF(TRIM(INDEX($A150:$Z150,MATCH(Lists!$B$11,$A$1:$Z$1,0))&amp;"")="","",VALUE(TRIM(INDEX($A150:$Z150,MATCH(Lists!$B$11,$A$1:$Z$1,0))&amp;""))),""),"")</f>
        <v/>
      </c>
      <c r="AG150" s="38">
        <f>IF(OR($AR150=0,$AF150="",'Start here'!$F$10="",'Start here'!$F$11="",'Start here'!$F$12="",'Start here'!$F$13="",'Start here'!$F$14=""),"",IF($AF150&lt;'Start here'!$F$10,'Start here'!$F$11,IF($AF150&lt;'Start here'!$F$12,'Start here'!$F$13,'Start here'!$F$14)))</f>
        <v/>
      </c>
      <c r="AH150" s="38">
        <f>IF(OR($AG150="",'Start here'!$F$9=""),"",IF($AF150&lt;=0,"",IFERROR(MAX($AG150,ROUNDUP(ROUND($AF150*'Start here'!$F$9/$AG150,6),0)*$AG150),"")))</f>
        <v/>
      </c>
      <c r="AI150" s="37">
        <f>IF($AR150=0,"",IF($AN150=Lists!$B$19,"",IF(AND($AN150=Lists!$B$18,$AQ150&lt;&gt;""),$AQ150,IF(AND($AP150=Lists!$B$17,$AL150&lt;&gt;""),$AL150,$AK150))))</f>
        <v/>
      </c>
      <c r="AJ150" s="37">
        <f>IF($AR150=0,"",IF(IF($AF150="",", no value",IF($AF150&lt;=0,", no value",""))&amp;IF('Start here'!$F$15="","",IF(LEN($AD150)&lt;'Start here'!$F$15,", short description",""))="","OK",MID(IF($AF150="",", no value",IF($AF150&lt;=0,", no value",""))&amp;IF('Start here'!$F$15="","",IF(LEN($AD150)&lt;'Start here'!$F$15,", short description","")),3,200)))</f>
        <v/>
      </c>
      <c r="AK150" s="37">
        <f>IF($AR150=1,IFERROR(TRIM(INDEX($A150:$Z150,MATCH(Lists!$B$5,$A$1:$Z$1,0))&amp;""),""),"")</f>
        <v/>
      </c>
      <c r="AL150" s="37">
        <f>IF($AR150=1,IFERROR(TRIM(INDEX($A150:$Z150,MATCH(Lists!$B$4,$A$1:$Z$1,0))&amp;""),""),"")</f>
        <v/>
      </c>
      <c r="AM150" s="37">
        <f>IF($AR150=1,IFERROR(TRIM(INDEX($A150:$Z150,MATCH(Lists!$B$6,$A$1:$Z$1,0))&amp;""),""),"")</f>
        <v/>
      </c>
      <c r="AN150" s="37">
        <f>IF($AR150=1,IFERROR(TRIM(INDEX($A150:$Z150,MATCH(Lists!$B$7,$A$1:$Z$1,0))&amp;""),""),"")</f>
        <v/>
      </c>
      <c r="AO150" s="37">
        <f>IF($AR150=1,IFERROR(TRIM(INDEX($A150:$Z150,MATCH(Lists!$B$13,$A$1:$Z$1,0))&amp;""),""),"")</f>
        <v/>
      </c>
      <c r="AP150" s="37">
        <f>IF($AR150=1,IFERROR(TRIM(INDEX($A150:$Z150,MATCH(Lists!$B$3,$A$1:$Z$1,0))&amp;""),""),"")</f>
        <v/>
      </c>
      <c r="AQ150" s="37">
        <f>IF($AR150=1,IFERROR(TRIM(INDEX($A150:$Z150,MATCH(Lists!$B$8,$A$1:$Z$1,0))&amp;""),""),"")</f>
        <v/>
      </c>
      <c r="AR150" s="36">
        <f>IF(LEN($AC150)&gt;0,1,0)</f>
        <v/>
      </c>
      <c r="AS150" s="37">
        <f>IF($AR150=1,IF(IFERROR(IF(ISNUMBER(INDEX($A150:$Z150,MATCH(Lists!$B$2,$A$1:$Z$1,0))),INDEX($A150:$Z150,MATCH(Lists!$B$2,$A$1:$Z$1,0)),DATE(VALUE(LEFT(IFERROR(TRIM(INDEX($A150:$Z150,MATCH(Lists!$B$2,$A$1:$Z$1,0))&amp;""),""),4)),VALUE(MID(IFERROR(TRIM(INDEX($A150:$Z150,MATCH(Lists!$B$2,$A$1:$Z$1,0))&amp;""),""),6,2)),VALUE(MID(IFERROR(TRIM(INDEX($A150:$Z150,MATCH(Lists!$B$2,$A$1:$Z$1,0))&amp;""),""),9,2)))+TIME(VALUE(MID(IFERROR(TRIM(INDEX($A150:$Z150,MATCH(Lists!$B$2,$A$1:$Z$1,0))&amp;""),""),12,2)),VALUE(MID(IFERROR(TRIM(INDEX($A150:$Z150,MATCH(Lists!$B$2,$A$1:$Z$1,0))&amp;""),""),15,2)),VALUE(MID(IFERROR(TRIM(INDEX($A150:$Z150,MATCH(Lists!$B$2,$A$1:$Z$1,0))&amp;""),""),18,2)))),"")="",100000+ROW()/10^7,IFERROR(IF(ISNUMBER(INDEX($A150:$Z150,MATCH(Lists!$B$2,$A$1:$Z$1,0))),INDEX($A150:$Z150,MATCH(Lists!$B$2,$A$1:$Z$1,0)),DATE(VALUE(LEFT(IFERROR(TRIM(INDEX($A150:$Z150,MATCH(Lists!$B$2,$A$1:$Z$1,0))&amp;""),""),4)),VALUE(MID(IFERROR(TRIM(INDEX($A150:$Z150,MATCH(Lists!$B$2,$A$1:$Z$1,0))&amp;""),""),6,2)),VALUE(MID(IFERROR(TRIM(INDEX($A150:$Z150,MATCH(Lists!$B$2,$A$1:$Z$1,0))&amp;""),""),9,2)))+TIME(VALUE(MID(IFERROR(TRIM(INDEX($A150:$Z150,MATCH(Lists!$B$2,$A$1:$Z$1,0))&amp;""),""),12,2)),VALUE(MID(IFERROR(TRIM(INDEX($A150:$Z150,MATCH(Lists!$B$2,$A$1:$Z$1,0))&amp;""),""),15,2)),VALUE(MID(IFERROR(TRIM(INDEX($A150:$Z150,MATCH(Lists!$B$2,$A$1:$Z$1,0))&amp;""),""),18,2)))),"")-ROW()/10^7),"")</f>
        <v/>
      </c>
    </row>
    <row r="151">
      <c r="AB151" s="36">
        <f>IF($AR151=1,COUNTIF($AS$2:$AS$201,"&lt;"&amp;$AS151)+1,"")</f>
        <v/>
      </c>
      <c r="AC151" s="37">
        <f>IFERROR(TRIM(INDEX($A151:$Z151,MATCH(Lists!$B$9,$A$1:$Z$1,0))&amp;""),"")</f>
        <v/>
      </c>
      <c r="AD151" s="37">
        <f>IF($AR151=1,IFERROR(TRIM(INDEX($A151:$Z151,MATCH(Lists!$B$10,$A$1:$Z$1,0))&amp;""),""),"")</f>
        <v/>
      </c>
      <c r="AE151" s="37">
        <f>IF($AR151=1,IFERROR(TRIM(INDEX($A151:$Z151,MATCH(Lists!$B$12,$A$1:$Z$1,0))&amp;""),""),"")</f>
        <v/>
      </c>
      <c r="AF151" s="38">
        <f>IF($AR151=1,IFERROR(IF(TRIM(INDEX($A151:$Z151,MATCH(Lists!$B$11,$A$1:$Z$1,0))&amp;"")="","",VALUE(TRIM(INDEX($A151:$Z151,MATCH(Lists!$B$11,$A$1:$Z$1,0))&amp;""))),""),"")</f>
        <v/>
      </c>
      <c r="AG151" s="38">
        <f>IF(OR($AR151=0,$AF151="",'Start here'!$F$10="",'Start here'!$F$11="",'Start here'!$F$12="",'Start here'!$F$13="",'Start here'!$F$14=""),"",IF($AF151&lt;'Start here'!$F$10,'Start here'!$F$11,IF($AF151&lt;'Start here'!$F$12,'Start here'!$F$13,'Start here'!$F$14)))</f>
        <v/>
      </c>
      <c r="AH151" s="38">
        <f>IF(OR($AG151="",'Start here'!$F$9=""),"",IF($AF151&lt;=0,"",IFERROR(MAX($AG151,ROUNDUP(ROUND($AF151*'Start here'!$F$9/$AG151,6),0)*$AG151),"")))</f>
        <v/>
      </c>
      <c r="AI151" s="37">
        <f>IF($AR151=0,"",IF($AN151=Lists!$B$19,"",IF(AND($AN151=Lists!$B$18,$AQ151&lt;&gt;""),$AQ151,IF(AND($AP151=Lists!$B$17,$AL151&lt;&gt;""),$AL151,$AK151))))</f>
        <v/>
      </c>
      <c r="AJ151" s="37">
        <f>IF($AR151=0,"",IF(IF($AF151="",", no value",IF($AF151&lt;=0,", no value",""))&amp;IF('Start here'!$F$15="","",IF(LEN($AD151)&lt;'Start here'!$F$15,", short description",""))="","OK",MID(IF($AF151="",", no value",IF($AF151&lt;=0,", no value",""))&amp;IF('Start here'!$F$15="","",IF(LEN($AD151)&lt;'Start here'!$F$15,", short description","")),3,200)))</f>
        <v/>
      </c>
      <c r="AK151" s="37">
        <f>IF($AR151=1,IFERROR(TRIM(INDEX($A151:$Z151,MATCH(Lists!$B$5,$A$1:$Z$1,0))&amp;""),""),"")</f>
        <v/>
      </c>
      <c r="AL151" s="37">
        <f>IF($AR151=1,IFERROR(TRIM(INDEX($A151:$Z151,MATCH(Lists!$B$4,$A$1:$Z$1,0))&amp;""),""),"")</f>
        <v/>
      </c>
      <c r="AM151" s="37">
        <f>IF($AR151=1,IFERROR(TRIM(INDEX($A151:$Z151,MATCH(Lists!$B$6,$A$1:$Z$1,0))&amp;""),""),"")</f>
        <v/>
      </c>
      <c r="AN151" s="37">
        <f>IF($AR151=1,IFERROR(TRIM(INDEX($A151:$Z151,MATCH(Lists!$B$7,$A$1:$Z$1,0))&amp;""),""),"")</f>
        <v/>
      </c>
      <c r="AO151" s="37">
        <f>IF($AR151=1,IFERROR(TRIM(INDEX($A151:$Z151,MATCH(Lists!$B$13,$A$1:$Z$1,0))&amp;""),""),"")</f>
        <v/>
      </c>
      <c r="AP151" s="37">
        <f>IF($AR151=1,IFERROR(TRIM(INDEX($A151:$Z151,MATCH(Lists!$B$3,$A$1:$Z$1,0))&amp;""),""),"")</f>
        <v/>
      </c>
      <c r="AQ151" s="37">
        <f>IF($AR151=1,IFERROR(TRIM(INDEX($A151:$Z151,MATCH(Lists!$B$8,$A$1:$Z$1,0))&amp;""),""),"")</f>
        <v/>
      </c>
      <c r="AR151" s="36">
        <f>IF(LEN($AC151)&gt;0,1,0)</f>
        <v/>
      </c>
      <c r="AS151" s="37">
        <f>IF($AR151=1,IF(IFERROR(IF(ISNUMBER(INDEX($A151:$Z151,MATCH(Lists!$B$2,$A$1:$Z$1,0))),INDEX($A151:$Z151,MATCH(Lists!$B$2,$A$1:$Z$1,0)),DATE(VALUE(LEFT(IFERROR(TRIM(INDEX($A151:$Z151,MATCH(Lists!$B$2,$A$1:$Z$1,0))&amp;""),""),4)),VALUE(MID(IFERROR(TRIM(INDEX($A151:$Z151,MATCH(Lists!$B$2,$A$1:$Z$1,0))&amp;""),""),6,2)),VALUE(MID(IFERROR(TRIM(INDEX($A151:$Z151,MATCH(Lists!$B$2,$A$1:$Z$1,0))&amp;""),""),9,2)))+TIME(VALUE(MID(IFERROR(TRIM(INDEX($A151:$Z151,MATCH(Lists!$B$2,$A$1:$Z$1,0))&amp;""),""),12,2)),VALUE(MID(IFERROR(TRIM(INDEX($A151:$Z151,MATCH(Lists!$B$2,$A$1:$Z$1,0))&amp;""),""),15,2)),VALUE(MID(IFERROR(TRIM(INDEX($A151:$Z151,MATCH(Lists!$B$2,$A$1:$Z$1,0))&amp;""),""),18,2)))),"")="",100000+ROW()/10^7,IFERROR(IF(ISNUMBER(INDEX($A151:$Z151,MATCH(Lists!$B$2,$A$1:$Z$1,0))),INDEX($A151:$Z151,MATCH(Lists!$B$2,$A$1:$Z$1,0)),DATE(VALUE(LEFT(IFERROR(TRIM(INDEX($A151:$Z151,MATCH(Lists!$B$2,$A$1:$Z$1,0))&amp;""),""),4)),VALUE(MID(IFERROR(TRIM(INDEX($A151:$Z151,MATCH(Lists!$B$2,$A$1:$Z$1,0))&amp;""),""),6,2)),VALUE(MID(IFERROR(TRIM(INDEX($A151:$Z151,MATCH(Lists!$B$2,$A$1:$Z$1,0))&amp;""),""),9,2)))+TIME(VALUE(MID(IFERROR(TRIM(INDEX($A151:$Z151,MATCH(Lists!$B$2,$A$1:$Z$1,0))&amp;""),""),12,2)),VALUE(MID(IFERROR(TRIM(INDEX($A151:$Z151,MATCH(Lists!$B$2,$A$1:$Z$1,0))&amp;""),""),15,2)),VALUE(MID(IFERROR(TRIM(INDEX($A151:$Z151,MATCH(Lists!$B$2,$A$1:$Z$1,0))&amp;""),""),18,2)))),"")-ROW()/10^7),"")</f>
        <v/>
      </c>
    </row>
    <row r="152">
      <c r="AB152" s="36">
        <f>IF($AR152=1,COUNTIF($AS$2:$AS$201,"&lt;"&amp;$AS152)+1,"")</f>
        <v/>
      </c>
      <c r="AC152" s="37">
        <f>IFERROR(TRIM(INDEX($A152:$Z152,MATCH(Lists!$B$9,$A$1:$Z$1,0))&amp;""),"")</f>
        <v/>
      </c>
      <c r="AD152" s="37">
        <f>IF($AR152=1,IFERROR(TRIM(INDEX($A152:$Z152,MATCH(Lists!$B$10,$A$1:$Z$1,0))&amp;""),""),"")</f>
        <v/>
      </c>
      <c r="AE152" s="37">
        <f>IF($AR152=1,IFERROR(TRIM(INDEX($A152:$Z152,MATCH(Lists!$B$12,$A$1:$Z$1,0))&amp;""),""),"")</f>
        <v/>
      </c>
      <c r="AF152" s="38">
        <f>IF($AR152=1,IFERROR(IF(TRIM(INDEX($A152:$Z152,MATCH(Lists!$B$11,$A$1:$Z$1,0))&amp;"")="","",VALUE(TRIM(INDEX($A152:$Z152,MATCH(Lists!$B$11,$A$1:$Z$1,0))&amp;""))),""),"")</f>
        <v/>
      </c>
      <c r="AG152" s="38">
        <f>IF(OR($AR152=0,$AF152="",'Start here'!$F$10="",'Start here'!$F$11="",'Start here'!$F$12="",'Start here'!$F$13="",'Start here'!$F$14=""),"",IF($AF152&lt;'Start here'!$F$10,'Start here'!$F$11,IF($AF152&lt;'Start here'!$F$12,'Start here'!$F$13,'Start here'!$F$14)))</f>
        <v/>
      </c>
      <c r="AH152" s="38">
        <f>IF(OR($AG152="",'Start here'!$F$9=""),"",IF($AF152&lt;=0,"",IFERROR(MAX($AG152,ROUNDUP(ROUND($AF152*'Start here'!$F$9/$AG152,6),0)*$AG152),"")))</f>
        <v/>
      </c>
      <c r="AI152" s="37">
        <f>IF($AR152=0,"",IF($AN152=Lists!$B$19,"",IF(AND($AN152=Lists!$B$18,$AQ152&lt;&gt;""),$AQ152,IF(AND($AP152=Lists!$B$17,$AL152&lt;&gt;""),$AL152,$AK152))))</f>
        <v/>
      </c>
      <c r="AJ152" s="37">
        <f>IF($AR152=0,"",IF(IF($AF152="",", no value",IF($AF152&lt;=0,", no value",""))&amp;IF('Start here'!$F$15="","",IF(LEN($AD152)&lt;'Start here'!$F$15,", short description",""))="","OK",MID(IF($AF152="",", no value",IF($AF152&lt;=0,", no value",""))&amp;IF('Start here'!$F$15="","",IF(LEN($AD152)&lt;'Start here'!$F$15,", short description","")),3,200)))</f>
        <v/>
      </c>
      <c r="AK152" s="37">
        <f>IF($AR152=1,IFERROR(TRIM(INDEX($A152:$Z152,MATCH(Lists!$B$5,$A$1:$Z$1,0))&amp;""),""),"")</f>
        <v/>
      </c>
      <c r="AL152" s="37">
        <f>IF($AR152=1,IFERROR(TRIM(INDEX($A152:$Z152,MATCH(Lists!$B$4,$A$1:$Z$1,0))&amp;""),""),"")</f>
        <v/>
      </c>
      <c r="AM152" s="37">
        <f>IF($AR152=1,IFERROR(TRIM(INDEX($A152:$Z152,MATCH(Lists!$B$6,$A$1:$Z$1,0))&amp;""),""),"")</f>
        <v/>
      </c>
      <c r="AN152" s="37">
        <f>IF($AR152=1,IFERROR(TRIM(INDEX($A152:$Z152,MATCH(Lists!$B$7,$A$1:$Z$1,0))&amp;""),""),"")</f>
        <v/>
      </c>
      <c r="AO152" s="37">
        <f>IF($AR152=1,IFERROR(TRIM(INDEX($A152:$Z152,MATCH(Lists!$B$13,$A$1:$Z$1,0))&amp;""),""),"")</f>
        <v/>
      </c>
      <c r="AP152" s="37">
        <f>IF($AR152=1,IFERROR(TRIM(INDEX($A152:$Z152,MATCH(Lists!$B$3,$A$1:$Z$1,0))&amp;""),""),"")</f>
        <v/>
      </c>
      <c r="AQ152" s="37">
        <f>IF($AR152=1,IFERROR(TRIM(INDEX($A152:$Z152,MATCH(Lists!$B$8,$A$1:$Z$1,0))&amp;""),""),"")</f>
        <v/>
      </c>
      <c r="AR152" s="36">
        <f>IF(LEN($AC152)&gt;0,1,0)</f>
        <v/>
      </c>
      <c r="AS152" s="37">
        <f>IF($AR152=1,IF(IFERROR(IF(ISNUMBER(INDEX($A152:$Z152,MATCH(Lists!$B$2,$A$1:$Z$1,0))),INDEX($A152:$Z152,MATCH(Lists!$B$2,$A$1:$Z$1,0)),DATE(VALUE(LEFT(IFERROR(TRIM(INDEX($A152:$Z152,MATCH(Lists!$B$2,$A$1:$Z$1,0))&amp;""),""),4)),VALUE(MID(IFERROR(TRIM(INDEX($A152:$Z152,MATCH(Lists!$B$2,$A$1:$Z$1,0))&amp;""),""),6,2)),VALUE(MID(IFERROR(TRIM(INDEX($A152:$Z152,MATCH(Lists!$B$2,$A$1:$Z$1,0))&amp;""),""),9,2)))+TIME(VALUE(MID(IFERROR(TRIM(INDEX($A152:$Z152,MATCH(Lists!$B$2,$A$1:$Z$1,0))&amp;""),""),12,2)),VALUE(MID(IFERROR(TRIM(INDEX($A152:$Z152,MATCH(Lists!$B$2,$A$1:$Z$1,0))&amp;""),""),15,2)),VALUE(MID(IFERROR(TRIM(INDEX($A152:$Z152,MATCH(Lists!$B$2,$A$1:$Z$1,0))&amp;""),""),18,2)))),"")="",100000+ROW()/10^7,IFERROR(IF(ISNUMBER(INDEX($A152:$Z152,MATCH(Lists!$B$2,$A$1:$Z$1,0))),INDEX($A152:$Z152,MATCH(Lists!$B$2,$A$1:$Z$1,0)),DATE(VALUE(LEFT(IFERROR(TRIM(INDEX($A152:$Z152,MATCH(Lists!$B$2,$A$1:$Z$1,0))&amp;""),""),4)),VALUE(MID(IFERROR(TRIM(INDEX($A152:$Z152,MATCH(Lists!$B$2,$A$1:$Z$1,0))&amp;""),""),6,2)),VALUE(MID(IFERROR(TRIM(INDEX($A152:$Z152,MATCH(Lists!$B$2,$A$1:$Z$1,0))&amp;""),""),9,2)))+TIME(VALUE(MID(IFERROR(TRIM(INDEX($A152:$Z152,MATCH(Lists!$B$2,$A$1:$Z$1,0))&amp;""),""),12,2)),VALUE(MID(IFERROR(TRIM(INDEX($A152:$Z152,MATCH(Lists!$B$2,$A$1:$Z$1,0))&amp;""),""),15,2)),VALUE(MID(IFERROR(TRIM(INDEX($A152:$Z152,MATCH(Lists!$B$2,$A$1:$Z$1,0))&amp;""),""),18,2)))),"")-ROW()/10^7),"")</f>
        <v/>
      </c>
    </row>
    <row r="153">
      <c r="AB153" s="36">
        <f>IF($AR153=1,COUNTIF($AS$2:$AS$201,"&lt;"&amp;$AS153)+1,"")</f>
        <v/>
      </c>
      <c r="AC153" s="37">
        <f>IFERROR(TRIM(INDEX($A153:$Z153,MATCH(Lists!$B$9,$A$1:$Z$1,0))&amp;""),"")</f>
        <v/>
      </c>
      <c r="AD153" s="37">
        <f>IF($AR153=1,IFERROR(TRIM(INDEX($A153:$Z153,MATCH(Lists!$B$10,$A$1:$Z$1,0))&amp;""),""),"")</f>
        <v/>
      </c>
      <c r="AE153" s="37">
        <f>IF($AR153=1,IFERROR(TRIM(INDEX($A153:$Z153,MATCH(Lists!$B$12,$A$1:$Z$1,0))&amp;""),""),"")</f>
        <v/>
      </c>
      <c r="AF153" s="38">
        <f>IF($AR153=1,IFERROR(IF(TRIM(INDEX($A153:$Z153,MATCH(Lists!$B$11,$A$1:$Z$1,0))&amp;"")="","",VALUE(TRIM(INDEX($A153:$Z153,MATCH(Lists!$B$11,$A$1:$Z$1,0))&amp;""))),""),"")</f>
        <v/>
      </c>
      <c r="AG153" s="38">
        <f>IF(OR($AR153=0,$AF153="",'Start here'!$F$10="",'Start here'!$F$11="",'Start here'!$F$12="",'Start here'!$F$13="",'Start here'!$F$14=""),"",IF($AF153&lt;'Start here'!$F$10,'Start here'!$F$11,IF($AF153&lt;'Start here'!$F$12,'Start here'!$F$13,'Start here'!$F$14)))</f>
        <v/>
      </c>
      <c r="AH153" s="38">
        <f>IF(OR($AG153="",'Start here'!$F$9=""),"",IF($AF153&lt;=0,"",IFERROR(MAX($AG153,ROUNDUP(ROUND($AF153*'Start here'!$F$9/$AG153,6),0)*$AG153),"")))</f>
        <v/>
      </c>
      <c r="AI153" s="37">
        <f>IF($AR153=0,"",IF($AN153=Lists!$B$19,"",IF(AND($AN153=Lists!$B$18,$AQ153&lt;&gt;""),$AQ153,IF(AND($AP153=Lists!$B$17,$AL153&lt;&gt;""),$AL153,$AK153))))</f>
        <v/>
      </c>
      <c r="AJ153" s="37">
        <f>IF($AR153=0,"",IF(IF($AF153="",", no value",IF($AF153&lt;=0,", no value",""))&amp;IF('Start here'!$F$15="","",IF(LEN($AD153)&lt;'Start here'!$F$15,", short description",""))="","OK",MID(IF($AF153="",", no value",IF($AF153&lt;=0,", no value",""))&amp;IF('Start here'!$F$15="","",IF(LEN($AD153)&lt;'Start here'!$F$15,", short description","")),3,200)))</f>
        <v/>
      </c>
      <c r="AK153" s="37">
        <f>IF($AR153=1,IFERROR(TRIM(INDEX($A153:$Z153,MATCH(Lists!$B$5,$A$1:$Z$1,0))&amp;""),""),"")</f>
        <v/>
      </c>
      <c r="AL153" s="37">
        <f>IF($AR153=1,IFERROR(TRIM(INDEX($A153:$Z153,MATCH(Lists!$B$4,$A$1:$Z$1,0))&amp;""),""),"")</f>
        <v/>
      </c>
      <c r="AM153" s="37">
        <f>IF($AR153=1,IFERROR(TRIM(INDEX($A153:$Z153,MATCH(Lists!$B$6,$A$1:$Z$1,0))&amp;""),""),"")</f>
        <v/>
      </c>
      <c r="AN153" s="37">
        <f>IF($AR153=1,IFERROR(TRIM(INDEX($A153:$Z153,MATCH(Lists!$B$7,$A$1:$Z$1,0))&amp;""),""),"")</f>
        <v/>
      </c>
      <c r="AO153" s="37">
        <f>IF($AR153=1,IFERROR(TRIM(INDEX($A153:$Z153,MATCH(Lists!$B$13,$A$1:$Z$1,0))&amp;""),""),"")</f>
        <v/>
      </c>
      <c r="AP153" s="37">
        <f>IF($AR153=1,IFERROR(TRIM(INDEX($A153:$Z153,MATCH(Lists!$B$3,$A$1:$Z$1,0))&amp;""),""),"")</f>
        <v/>
      </c>
      <c r="AQ153" s="37">
        <f>IF($AR153=1,IFERROR(TRIM(INDEX($A153:$Z153,MATCH(Lists!$B$8,$A$1:$Z$1,0))&amp;""),""),"")</f>
        <v/>
      </c>
      <c r="AR153" s="36">
        <f>IF(LEN($AC153)&gt;0,1,0)</f>
        <v/>
      </c>
      <c r="AS153" s="37">
        <f>IF($AR153=1,IF(IFERROR(IF(ISNUMBER(INDEX($A153:$Z153,MATCH(Lists!$B$2,$A$1:$Z$1,0))),INDEX($A153:$Z153,MATCH(Lists!$B$2,$A$1:$Z$1,0)),DATE(VALUE(LEFT(IFERROR(TRIM(INDEX($A153:$Z153,MATCH(Lists!$B$2,$A$1:$Z$1,0))&amp;""),""),4)),VALUE(MID(IFERROR(TRIM(INDEX($A153:$Z153,MATCH(Lists!$B$2,$A$1:$Z$1,0))&amp;""),""),6,2)),VALUE(MID(IFERROR(TRIM(INDEX($A153:$Z153,MATCH(Lists!$B$2,$A$1:$Z$1,0))&amp;""),""),9,2)))+TIME(VALUE(MID(IFERROR(TRIM(INDEX($A153:$Z153,MATCH(Lists!$B$2,$A$1:$Z$1,0))&amp;""),""),12,2)),VALUE(MID(IFERROR(TRIM(INDEX($A153:$Z153,MATCH(Lists!$B$2,$A$1:$Z$1,0))&amp;""),""),15,2)),VALUE(MID(IFERROR(TRIM(INDEX($A153:$Z153,MATCH(Lists!$B$2,$A$1:$Z$1,0))&amp;""),""),18,2)))),"")="",100000+ROW()/10^7,IFERROR(IF(ISNUMBER(INDEX($A153:$Z153,MATCH(Lists!$B$2,$A$1:$Z$1,0))),INDEX($A153:$Z153,MATCH(Lists!$B$2,$A$1:$Z$1,0)),DATE(VALUE(LEFT(IFERROR(TRIM(INDEX($A153:$Z153,MATCH(Lists!$B$2,$A$1:$Z$1,0))&amp;""),""),4)),VALUE(MID(IFERROR(TRIM(INDEX($A153:$Z153,MATCH(Lists!$B$2,$A$1:$Z$1,0))&amp;""),""),6,2)),VALUE(MID(IFERROR(TRIM(INDEX($A153:$Z153,MATCH(Lists!$B$2,$A$1:$Z$1,0))&amp;""),""),9,2)))+TIME(VALUE(MID(IFERROR(TRIM(INDEX($A153:$Z153,MATCH(Lists!$B$2,$A$1:$Z$1,0))&amp;""),""),12,2)),VALUE(MID(IFERROR(TRIM(INDEX($A153:$Z153,MATCH(Lists!$B$2,$A$1:$Z$1,0))&amp;""),""),15,2)),VALUE(MID(IFERROR(TRIM(INDEX($A153:$Z153,MATCH(Lists!$B$2,$A$1:$Z$1,0))&amp;""),""),18,2)))),"")-ROW()/10^7),"")</f>
        <v/>
      </c>
    </row>
    <row r="154">
      <c r="AB154" s="36">
        <f>IF($AR154=1,COUNTIF($AS$2:$AS$201,"&lt;"&amp;$AS154)+1,"")</f>
        <v/>
      </c>
      <c r="AC154" s="37">
        <f>IFERROR(TRIM(INDEX($A154:$Z154,MATCH(Lists!$B$9,$A$1:$Z$1,0))&amp;""),"")</f>
        <v/>
      </c>
      <c r="AD154" s="37">
        <f>IF($AR154=1,IFERROR(TRIM(INDEX($A154:$Z154,MATCH(Lists!$B$10,$A$1:$Z$1,0))&amp;""),""),"")</f>
        <v/>
      </c>
      <c r="AE154" s="37">
        <f>IF($AR154=1,IFERROR(TRIM(INDEX($A154:$Z154,MATCH(Lists!$B$12,$A$1:$Z$1,0))&amp;""),""),"")</f>
        <v/>
      </c>
      <c r="AF154" s="38">
        <f>IF($AR154=1,IFERROR(IF(TRIM(INDEX($A154:$Z154,MATCH(Lists!$B$11,$A$1:$Z$1,0))&amp;"")="","",VALUE(TRIM(INDEX($A154:$Z154,MATCH(Lists!$B$11,$A$1:$Z$1,0))&amp;""))),""),"")</f>
        <v/>
      </c>
      <c r="AG154" s="38">
        <f>IF(OR($AR154=0,$AF154="",'Start here'!$F$10="",'Start here'!$F$11="",'Start here'!$F$12="",'Start here'!$F$13="",'Start here'!$F$14=""),"",IF($AF154&lt;'Start here'!$F$10,'Start here'!$F$11,IF($AF154&lt;'Start here'!$F$12,'Start here'!$F$13,'Start here'!$F$14)))</f>
        <v/>
      </c>
      <c r="AH154" s="38">
        <f>IF(OR($AG154="",'Start here'!$F$9=""),"",IF($AF154&lt;=0,"",IFERROR(MAX($AG154,ROUNDUP(ROUND($AF154*'Start here'!$F$9/$AG154,6),0)*$AG154),"")))</f>
        <v/>
      </c>
      <c r="AI154" s="37">
        <f>IF($AR154=0,"",IF($AN154=Lists!$B$19,"",IF(AND($AN154=Lists!$B$18,$AQ154&lt;&gt;""),$AQ154,IF(AND($AP154=Lists!$B$17,$AL154&lt;&gt;""),$AL154,$AK154))))</f>
        <v/>
      </c>
      <c r="AJ154" s="37">
        <f>IF($AR154=0,"",IF(IF($AF154="",", no value",IF($AF154&lt;=0,", no value",""))&amp;IF('Start here'!$F$15="","",IF(LEN($AD154)&lt;'Start here'!$F$15,", short description",""))="","OK",MID(IF($AF154="",", no value",IF($AF154&lt;=0,", no value",""))&amp;IF('Start here'!$F$15="","",IF(LEN($AD154)&lt;'Start here'!$F$15,", short description","")),3,200)))</f>
        <v/>
      </c>
      <c r="AK154" s="37">
        <f>IF($AR154=1,IFERROR(TRIM(INDEX($A154:$Z154,MATCH(Lists!$B$5,$A$1:$Z$1,0))&amp;""),""),"")</f>
        <v/>
      </c>
      <c r="AL154" s="37">
        <f>IF($AR154=1,IFERROR(TRIM(INDEX($A154:$Z154,MATCH(Lists!$B$4,$A$1:$Z$1,0))&amp;""),""),"")</f>
        <v/>
      </c>
      <c r="AM154" s="37">
        <f>IF($AR154=1,IFERROR(TRIM(INDEX($A154:$Z154,MATCH(Lists!$B$6,$A$1:$Z$1,0))&amp;""),""),"")</f>
        <v/>
      </c>
      <c r="AN154" s="37">
        <f>IF($AR154=1,IFERROR(TRIM(INDEX($A154:$Z154,MATCH(Lists!$B$7,$A$1:$Z$1,0))&amp;""),""),"")</f>
        <v/>
      </c>
      <c r="AO154" s="37">
        <f>IF($AR154=1,IFERROR(TRIM(INDEX($A154:$Z154,MATCH(Lists!$B$13,$A$1:$Z$1,0))&amp;""),""),"")</f>
        <v/>
      </c>
      <c r="AP154" s="37">
        <f>IF($AR154=1,IFERROR(TRIM(INDEX($A154:$Z154,MATCH(Lists!$B$3,$A$1:$Z$1,0))&amp;""),""),"")</f>
        <v/>
      </c>
      <c r="AQ154" s="37">
        <f>IF($AR154=1,IFERROR(TRIM(INDEX($A154:$Z154,MATCH(Lists!$B$8,$A$1:$Z$1,0))&amp;""),""),"")</f>
        <v/>
      </c>
      <c r="AR154" s="36">
        <f>IF(LEN($AC154)&gt;0,1,0)</f>
        <v/>
      </c>
      <c r="AS154" s="37">
        <f>IF($AR154=1,IF(IFERROR(IF(ISNUMBER(INDEX($A154:$Z154,MATCH(Lists!$B$2,$A$1:$Z$1,0))),INDEX($A154:$Z154,MATCH(Lists!$B$2,$A$1:$Z$1,0)),DATE(VALUE(LEFT(IFERROR(TRIM(INDEX($A154:$Z154,MATCH(Lists!$B$2,$A$1:$Z$1,0))&amp;""),""),4)),VALUE(MID(IFERROR(TRIM(INDEX($A154:$Z154,MATCH(Lists!$B$2,$A$1:$Z$1,0))&amp;""),""),6,2)),VALUE(MID(IFERROR(TRIM(INDEX($A154:$Z154,MATCH(Lists!$B$2,$A$1:$Z$1,0))&amp;""),""),9,2)))+TIME(VALUE(MID(IFERROR(TRIM(INDEX($A154:$Z154,MATCH(Lists!$B$2,$A$1:$Z$1,0))&amp;""),""),12,2)),VALUE(MID(IFERROR(TRIM(INDEX($A154:$Z154,MATCH(Lists!$B$2,$A$1:$Z$1,0))&amp;""),""),15,2)),VALUE(MID(IFERROR(TRIM(INDEX($A154:$Z154,MATCH(Lists!$B$2,$A$1:$Z$1,0))&amp;""),""),18,2)))),"")="",100000+ROW()/10^7,IFERROR(IF(ISNUMBER(INDEX($A154:$Z154,MATCH(Lists!$B$2,$A$1:$Z$1,0))),INDEX($A154:$Z154,MATCH(Lists!$B$2,$A$1:$Z$1,0)),DATE(VALUE(LEFT(IFERROR(TRIM(INDEX($A154:$Z154,MATCH(Lists!$B$2,$A$1:$Z$1,0))&amp;""),""),4)),VALUE(MID(IFERROR(TRIM(INDEX($A154:$Z154,MATCH(Lists!$B$2,$A$1:$Z$1,0))&amp;""),""),6,2)),VALUE(MID(IFERROR(TRIM(INDEX($A154:$Z154,MATCH(Lists!$B$2,$A$1:$Z$1,0))&amp;""),""),9,2)))+TIME(VALUE(MID(IFERROR(TRIM(INDEX($A154:$Z154,MATCH(Lists!$B$2,$A$1:$Z$1,0))&amp;""),""),12,2)),VALUE(MID(IFERROR(TRIM(INDEX($A154:$Z154,MATCH(Lists!$B$2,$A$1:$Z$1,0))&amp;""),""),15,2)),VALUE(MID(IFERROR(TRIM(INDEX($A154:$Z154,MATCH(Lists!$B$2,$A$1:$Z$1,0))&amp;""),""),18,2)))),"")-ROW()/10^7),"")</f>
        <v/>
      </c>
    </row>
    <row r="155">
      <c r="AB155" s="36">
        <f>IF($AR155=1,COUNTIF($AS$2:$AS$201,"&lt;"&amp;$AS155)+1,"")</f>
        <v/>
      </c>
      <c r="AC155" s="37">
        <f>IFERROR(TRIM(INDEX($A155:$Z155,MATCH(Lists!$B$9,$A$1:$Z$1,0))&amp;""),"")</f>
        <v/>
      </c>
      <c r="AD155" s="37">
        <f>IF($AR155=1,IFERROR(TRIM(INDEX($A155:$Z155,MATCH(Lists!$B$10,$A$1:$Z$1,0))&amp;""),""),"")</f>
        <v/>
      </c>
      <c r="AE155" s="37">
        <f>IF($AR155=1,IFERROR(TRIM(INDEX($A155:$Z155,MATCH(Lists!$B$12,$A$1:$Z$1,0))&amp;""),""),"")</f>
        <v/>
      </c>
      <c r="AF155" s="38">
        <f>IF($AR155=1,IFERROR(IF(TRIM(INDEX($A155:$Z155,MATCH(Lists!$B$11,$A$1:$Z$1,0))&amp;"")="","",VALUE(TRIM(INDEX($A155:$Z155,MATCH(Lists!$B$11,$A$1:$Z$1,0))&amp;""))),""),"")</f>
        <v/>
      </c>
      <c r="AG155" s="38">
        <f>IF(OR($AR155=0,$AF155="",'Start here'!$F$10="",'Start here'!$F$11="",'Start here'!$F$12="",'Start here'!$F$13="",'Start here'!$F$14=""),"",IF($AF155&lt;'Start here'!$F$10,'Start here'!$F$11,IF($AF155&lt;'Start here'!$F$12,'Start here'!$F$13,'Start here'!$F$14)))</f>
        <v/>
      </c>
      <c r="AH155" s="38">
        <f>IF(OR($AG155="",'Start here'!$F$9=""),"",IF($AF155&lt;=0,"",IFERROR(MAX($AG155,ROUNDUP(ROUND($AF155*'Start here'!$F$9/$AG155,6),0)*$AG155),"")))</f>
        <v/>
      </c>
      <c r="AI155" s="37">
        <f>IF($AR155=0,"",IF($AN155=Lists!$B$19,"",IF(AND($AN155=Lists!$B$18,$AQ155&lt;&gt;""),$AQ155,IF(AND($AP155=Lists!$B$17,$AL155&lt;&gt;""),$AL155,$AK155))))</f>
        <v/>
      </c>
      <c r="AJ155" s="37">
        <f>IF($AR155=0,"",IF(IF($AF155="",", no value",IF($AF155&lt;=0,", no value",""))&amp;IF('Start here'!$F$15="","",IF(LEN($AD155)&lt;'Start here'!$F$15,", short description",""))="","OK",MID(IF($AF155="",", no value",IF($AF155&lt;=0,", no value",""))&amp;IF('Start here'!$F$15="","",IF(LEN($AD155)&lt;'Start here'!$F$15,", short description","")),3,200)))</f>
        <v/>
      </c>
      <c r="AK155" s="37">
        <f>IF($AR155=1,IFERROR(TRIM(INDEX($A155:$Z155,MATCH(Lists!$B$5,$A$1:$Z$1,0))&amp;""),""),"")</f>
        <v/>
      </c>
      <c r="AL155" s="37">
        <f>IF($AR155=1,IFERROR(TRIM(INDEX($A155:$Z155,MATCH(Lists!$B$4,$A$1:$Z$1,0))&amp;""),""),"")</f>
        <v/>
      </c>
      <c r="AM155" s="37">
        <f>IF($AR155=1,IFERROR(TRIM(INDEX($A155:$Z155,MATCH(Lists!$B$6,$A$1:$Z$1,0))&amp;""),""),"")</f>
        <v/>
      </c>
      <c r="AN155" s="37">
        <f>IF($AR155=1,IFERROR(TRIM(INDEX($A155:$Z155,MATCH(Lists!$B$7,$A$1:$Z$1,0))&amp;""),""),"")</f>
        <v/>
      </c>
      <c r="AO155" s="37">
        <f>IF($AR155=1,IFERROR(TRIM(INDEX($A155:$Z155,MATCH(Lists!$B$13,$A$1:$Z$1,0))&amp;""),""),"")</f>
        <v/>
      </c>
      <c r="AP155" s="37">
        <f>IF($AR155=1,IFERROR(TRIM(INDEX($A155:$Z155,MATCH(Lists!$B$3,$A$1:$Z$1,0))&amp;""),""),"")</f>
        <v/>
      </c>
      <c r="AQ155" s="37">
        <f>IF($AR155=1,IFERROR(TRIM(INDEX($A155:$Z155,MATCH(Lists!$B$8,$A$1:$Z$1,0))&amp;""),""),"")</f>
        <v/>
      </c>
      <c r="AR155" s="36">
        <f>IF(LEN($AC155)&gt;0,1,0)</f>
        <v/>
      </c>
      <c r="AS155" s="37">
        <f>IF($AR155=1,IF(IFERROR(IF(ISNUMBER(INDEX($A155:$Z155,MATCH(Lists!$B$2,$A$1:$Z$1,0))),INDEX($A155:$Z155,MATCH(Lists!$B$2,$A$1:$Z$1,0)),DATE(VALUE(LEFT(IFERROR(TRIM(INDEX($A155:$Z155,MATCH(Lists!$B$2,$A$1:$Z$1,0))&amp;""),""),4)),VALUE(MID(IFERROR(TRIM(INDEX($A155:$Z155,MATCH(Lists!$B$2,$A$1:$Z$1,0))&amp;""),""),6,2)),VALUE(MID(IFERROR(TRIM(INDEX($A155:$Z155,MATCH(Lists!$B$2,$A$1:$Z$1,0))&amp;""),""),9,2)))+TIME(VALUE(MID(IFERROR(TRIM(INDEX($A155:$Z155,MATCH(Lists!$B$2,$A$1:$Z$1,0))&amp;""),""),12,2)),VALUE(MID(IFERROR(TRIM(INDEX($A155:$Z155,MATCH(Lists!$B$2,$A$1:$Z$1,0))&amp;""),""),15,2)),VALUE(MID(IFERROR(TRIM(INDEX($A155:$Z155,MATCH(Lists!$B$2,$A$1:$Z$1,0))&amp;""),""),18,2)))),"")="",100000+ROW()/10^7,IFERROR(IF(ISNUMBER(INDEX($A155:$Z155,MATCH(Lists!$B$2,$A$1:$Z$1,0))),INDEX($A155:$Z155,MATCH(Lists!$B$2,$A$1:$Z$1,0)),DATE(VALUE(LEFT(IFERROR(TRIM(INDEX($A155:$Z155,MATCH(Lists!$B$2,$A$1:$Z$1,0))&amp;""),""),4)),VALUE(MID(IFERROR(TRIM(INDEX($A155:$Z155,MATCH(Lists!$B$2,$A$1:$Z$1,0))&amp;""),""),6,2)),VALUE(MID(IFERROR(TRIM(INDEX($A155:$Z155,MATCH(Lists!$B$2,$A$1:$Z$1,0))&amp;""),""),9,2)))+TIME(VALUE(MID(IFERROR(TRIM(INDEX($A155:$Z155,MATCH(Lists!$B$2,$A$1:$Z$1,0))&amp;""),""),12,2)),VALUE(MID(IFERROR(TRIM(INDEX($A155:$Z155,MATCH(Lists!$B$2,$A$1:$Z$1,0))&amp;""),""),15,2)),VALUE(MID(IFERROR(TRIM(INDEX($A155:$Z155,MATCH(Lists!$B$2,$A$1:$Z$1,0))&amp;""),""),18,2)))),"")-ROW()/10^7),"")</f>
        <v/>
      </c>
    </row>
    <row r="156">
      <c r="AB156" s="36">
        <f>IF($AR156=1,COUNTIF($AS$2:$AS$201,"&lt;"&amp;$AS156)+1,"")</f>
        <v/>
      </c>
      <c r="AC156" s="37">
        <f>IFERROR(TRIM(INDEX($A156:$Z156,MATCH(Lists!$B$9,$A$1:$Z$1,0))&amp;""),"")</f>
        <v/>
      </c>
      <c r="AD156" s="37">
        <f>IF($AR156=1,IFERROR(TRIM(INDEX($A156:$Z156,MATCH(Lists!$B$10,$A$1:$Z$1,0))&amp;""),""),"")</f>
        <v/>
      </c>
      <c r="AE156" s="37">
        <f>IF($AR156=1,IFERROR(TRIM(INDEX($A156:$Z156,MATCH(Lists!$B$12,$A$1:$Z$1,0))&amp;""),""),"")</f>
        <v/>
      </c>
      <c r="AF156" s="38">
        <f>IF($AR156=1,IFERROR(IF(TRIM(INDEX($A156:$Z156,MATCH(Lists!$B$11,$A$1:$Z$1,0))&amp;"")="","",VALUE(TRIM(INDEX($A156:$Z156,MATCH(Lists!$B$11,$A$1:$Z$1,0))&amp;""))),""),"")</f>
        <v/>
      </c>
      <c r="AG156" s="38">
        <f>IF(OR($AR156=0,$AF156="",'Start here'!$F$10="",'Start here'!$F$11="",'Start here'!$F$12="",'Start here'!$F$13="",'Start here'!$F$14=""),"",IF($AF156&lt;'Start here'!$F$10,'Start here'!$F$11,IF($AF156&lt;'Start here'!$F$12,'Start here'!$F$13,'Start here'!$F$14)))</f>
        <v/>
      </c>
      <c r="AH156" s="38">
        <f>IF(OR($AG156="",'Start here'!$F$9=""),"",IF($AF156&lt;=0,"",IFERROR(MAX($AG156,ROUNDUP(ROUND($AF156*'Start here'!$F$9/$AG156,6),0)*$AG156),"")))</f>
        <v/>
      </c>
      <c r="AI156" s="37">
        <f>IF($AR156=0,"",IF($AN156=Lists!$B$19,"",IF(AND($AN156=Lists!$B$18,$AQ156&lt;&gt;""),$AQ156,IF(AND($AP156=Lists!$B$17,$AL156&lt;&gt;""),$AL156,$AK156))))</f>
        <v/>
      </c>
      <c r="AJ156" s="37">
        <f>IF($AR156=0,"",IF(IF($AF156="",", no value",IF($AF156&lt;=0,", no value",""))&amp;IF('Start here'!$F$15="","",IF(LEN($AD156)&lt;'Start here'!$F$15,", short description",""))="","OK",MID(IF($AF156="",", no value",IF($AF156&lt;=0,", no value",""))&amp;IF('Start here'!$F$15="","",IF(LEN($AD156)&lt;'Start here'!$F$15,", short description","")),3,200)))</f>
        <v/>
      </c>
      <c r="AK156" s="37">
        <f>IF($AR156=1,IFERROR(TRIM(INDEX($A156:$Z156,MATCH(Lists!$B$5,$A$1:$Z$1,0))&amp;""),""),"")</f>
        <v/>
      </c>
      <c r="AL156" s="37">
        <f>IF($AR156=1,IFERROR(TRIM(INDEX($A156:$Z156,MATCH(Lists!$B$4,$A$1:$Z$1,0))&amp;""),""),"")</f>
        <v/>
      </c>
      <c r="AM156" s="37">
        <f>IF($AR156=1,IFERROR(TRIM(INDEX($A156:$Z156,MATCH(Lists!$B$6,$A$1:$Z$1,0))&amp;""),""),"")</f>
        <v/>
      </c>
      <c r="AN156" s="37">
        <f>IF($AR156=1,IFERROR(TRIM(INDEX($A156:$Z156,MATCH(Lists!$B$7,$A$1:$Z$1,0))&amp;""),""),"")</f>
        <v/>
      </c>
      <c r="AO156" s="37">
        <f>IF($AR156=1,IFERROR(TRIM(INDEX($A156:$Z156,MATCH(Lists!$B$13,$A$1:$Z$1,0))&amp;""),""),"")</f>
        <v/>
      </c>
      <c r="AP156" s="37">
        <f>IF($AR156=1,IFERROR(TRIM(INDEX($A156:$Z156,MATCH(Lists!$B$3,$A$1:$Z$1,0))&amp;""),""),"")</f>
        <v/>
      </c>
      <c r="AQ156" s="37">
        <f>IF($AR156=1,IFERROR(TRIM(INDEX($A156:$Z156,MATCH(Lists!$B$8,$A$1:$Z$1,0))&amp;""),""),"")</f>
        <v/>
      </c>
      <c r="AR156" s="36">
        <f>IF(LEN($AC156)&gt;0,1,0)</f>
        <v/>
      </c>
      <c r="AS156" s="37">
        <f>IF($AR156=1,IF(IFERROR(IF(ISNUMBER(INDEX($A156:$Z156,MATCH(Lists!$B$2,$A$1:$Z$1,0))),INDEX($A156:$Z156,MATCH(Lists!$B$2,$A$1:$Z$1,0)),DATE(VALUE(LEFT(IFERROR(TRIM(INDEX($A156:$Z156,MATCH(Lists!$B$2,$A$1:$Z$1,0))&amp;""),""),4)),VALUE(MID(IFERROR(TRIM(INDEX($A156:$Z156,MATCH(Lists!$B$2,$A$1:$Z$1,0))&amp;""),""),6,2)),VALUE(MID(IFERROR(TRIM(INDEX($A156:$Z156,MATCH(Lists!$B$2,$A$1:$Z$1,0))&amp;""),""),9,2)))+TIME(VALUE(MID(IFERROR(TRIM(INDEX($A156:$Z156,MATCH(Lists!$B$2,$A$1:$Z$1,0))&amp;""),""),12,2)),VALUE(MID(IFERROR(TRIM(INDEX($A156:$Z156,MATCH(Lists!$B$2,$A$1:$Z$1,0))&amp;""),""),15,2)),VALUE(MID(IFERROR(TRIM(INDEX($A156:$Z156,MATCH(Lists!$B$2,$A$1:$Z$1,0))&amp;""),""),18,2)))),"")="",100000+ROW()/10^7,IFERROR(IF(ISNUMBER(INDEX($A156:$Z156,MATCH(Lists!$B$2,$A$1:$Z$1,0))),INDEX($A156:$Z156,MATCH(Lists!$B$2,$A$1:$Z$1,0)),DATE(VALUE(LEFT(IFERROR(TRIM(INDEX($A156:$Z156,MATCH(Lists!$B$2,$A$1:$Z$1,0))&amp;""),""),4)),VALUE(MID(IFERROR(TRIM(INDEX($A156:$Z156,MATCH(Lists!$B$2,$A$1:$Z$1,0))&amp;""),""),6,2)),VALUE(MID(IFERROR(TRIM(INDEX($A156:$Z156,MATCH(Lists!$B$2,$A$1:$Z$1,0))&amp;""),""),9,2)))+TIME(VALUE(MID(IFERROR(TRIM(INDEX($A156:$Z156,MATCH(Lists!$B$2,$A$1:$Z$1,0))&amp;""),""),12,2)),VALUE(MID(IFERROR(TRIM(INDEX($A156:$Z156,MATCH(Lists!$B$2,$A$1:$Z$1,0))&amp;""),""),15,2)),VALUE(MID(IFERROR(TRIM(INDEX($A156:$Z156,MATCH(Lists!$B$2,$A$1:$Z$1,0))&amp;""),""),18,2)))),"")-ROW()/10^7),"")</f>
        <v/>
      </c>
    </row>
    <row r="157">
      <c r="AB157" s="36">
        <f>IF($AR157=1,COUNTIF($AS$2:$AS$201,"&lt;"&amp;$AS157)+1,"")</f>
        <v/>
      </c>
      <c r="AC157" s="37">
        <f>IFERROR(TRIM(INDEX($A157:$Z157,MATCH(Lists!$B$9,$A$1:$Z$1,0))&amp;""),"")</f>
        <v/>
      </c>
      <c r="AD157" s="37">
        <f>IF($AR157=1,IFERROR(TRIM(INDEX($A157:$Z157,MATCH(Lists!$B$10,$A$1:$Z$1,0))&amp;""),""),"")</f>
        <v/>
      </c>
      <c r="AE157" s="37">
        <f>IF($AR157=1,IFERROR(TRIM(INDEX($A157:$Z157,MATCH(Lists!$B$12,$A$1:$Z$1,0))&amp;""),""),"")</f>
        <v/>
      </c>
      <c r="AF157" s="38">
        <f>IF($AR157=1,IFERROR(IF(TRIM(INDEX($A157:$Z157,MATCH(Lists!$B$11,$A$1:$Z$1,0))&amp;"")="","",VALUE(TRIM(INDEX($A157:$Z157,MATCH(Lists!$B$11,$A$1:$Z$1,0))&amp;""))),""),"")</f>
        <v/>
      </c>
      <c r="AG157" s="38">
        <f>IF(OR($AR157=0,$AF157="",'Start here'!$F$10="",'Start here'!$F$11="",'Start here'!$F$12="",'Start here'!$F$13="",'Start here'!$F$14=""),"",IF($AF157&lt;'Start here'!$F$10,'Start here'!$F$11,IF($AF157&lt;'Start here'!$F$12,'Start here'!$F$13,'Start here'!$F$14)))</f>
        <v/>
      </c>
      <c r="AH157" s="38">
        <f>IF(OR($AG157="",'Start here'!$F$9=""),"",IF($AF157&lt;=0,"",IFERROR(MAX($AG157,ROUNDUP(ROUND($AF157*'Start here'!$F$9/$AG157,6),0)*$AG157),"")))</f>
        <v/>
      </c>
      <c r="AI157" s="37">
        <f>IF($AR157=0,"",IF($AN157=Lists!$B$19,"",IF(AND($AN157=Lists!$B$18,$AQ157&lt;&gt;""),$AQ157,IF(AND($AP157=Lists!$B$17,$AL157&lt;&gt;""),$AL157,$AK157))))</f>
        <v/>
      </c>
      <c r="AJ157" s="37">
        <f>IF($AR157=0,"",IF(IF($AF157="",", no value",IF($AF157&lt;=0,", no value",""))&amp;IF('Start here'!$F$15="","",IF(LEN($AD157)&lt;'Start here'!$F$15,", short description",""))="","OK",MID(IF($AF157="",", no value",IF($AF157&lt;=0,", no value",""))&amp;IF('Start here'!$F$15="","",IF(LEN($AD157)&lt;'Start here'!$F$15,", short description","")),3,200)))</f>
        <v/>
      </c>
      <c r="AK157" s="37">
        <f>IF($AR157=1,IFERROR(TRIM(INDEX($A157:$Z157,MATCH(Lists!$B$5,$A$1:$Z$1,0))&amp;""),""),"")</f>
        <v/>
      </c>
      <c r="AL157" s="37">
        <f>IF($AR157=1,IFERROR(TRIM(INDEX($A157:$Z157,MATCH(Lists!$B$4,$A$1:$Z$1,0))&amp;""),""),"")</f>
        <v/>
      </c>
      <c r="AM157" s="37">
        <f>IF($AR157=1,IFERROR(TRIM(INDEX($A157:$Z157,MATCH(Lists!$B$6,$A$1:$Z$1,0))&amp;""),""),"")</f>
        <v/>
      </c>
      <c r="AN157" s="37">
        <f>IF($AR157=1,IFERROR(TRIM(INDEX($A157:$Z157,MATCH(Lists!$B$7,$A$1:$Z$1,0))&amp;""),""),"")</f>
        <v/>
      </c>
      <c r="AO157" s="37">
        <f>IF($AR157=1,IFERROR(TRIM(INDEX($A157:$Z157,MATCH(Lists!$B$13,$A$1:$Z$1,0))&amp;""),""),"")</f>
        <v/>
      </c>
      <c r="AP157" s="37">
        <f>IF($AR157=1,IFERROR(TRIM(INDEX($A157:$Z157,MATCH(Lists!$B$3,$A$1:$Z$1,0))&amp;""),""),"")</f>
        <v/>
      </c>
      <c r="AQ157" s="37">
        <f>IF($AR157=1,IFERROR(TRIM(INDEX($A157:$Z157,MATCH(Lists!$B$8,$A$1:$Z$1,0))&amp;""),""),"")</f>
        <v/>
      </c>
      <c r="AR157" s="36">
        <f>IF(LEN($AC157)&gt;0,1,0)</f>
        <v/>
      </c>
      <c r="AS157" s="37">
        <f>IF($AR157=1,IF(IFERROR(IF(ISNUMBER(INDEX($A157:$Z157,MATCH(Lists!$B$2,$A$1:$Z$1,0))),INDEX($A157:$Z157,MATCH(Lists!$B$2,$A$1:$Z$1,0)),DATE(VALUE(LEFT(IFERROR(TRIM(INDEX($A157:$Z157,MATCH(Lists!$B$2,$A$1:$Z$1,0))&amp;""),""),4)),VALUE(MID(IFERROR(TRIM(INDEX($A157:$Z157,MATCH(Lists!$B$2,$A$1:$Z$1,0))&amp;""),""),6,2)),VALUE(MID(IFERROR(TRIM(INDEX($A157:$Z157,MATCH(Lists!$B$2,$A$1:$Z$1,0))&amp;""),""),9,2)))+TIME(VALUE(MID(IFERROR(TRIM(INDEX($A157:$Z157,MATCH(Lists!$B$2,$A$1:$Z$1,0))&amp;""),""),12,2)),VALUE(MID(IFERROR(TRIM(INDEX($A157:$Z157,MATCH(Lists!$B$2,$A$1:$Z$1,0))&amp;""),""),15,2)),VALUE(MID(IFERROR(TRIM(INDEX($A157:$Z157,MATCH(Lists!$B$2,$A$1:$Z$1,0))&amp;""),""),18,2)))),"")="",100000+ROW()/10^7,IFERROR(IF(ISNUMBER(INDEX($A157:$Z157,MATCH(Lists!$B$2,$A$1:$Z$1,0))),INDEX($A157:$Z157,MATCH(Lists!$B$2,$A$1:$Z$1,0)),DATE(VALUE(LEFT(IFERROR(TRIM(INDEX($A157:$Z157,MATCH(Lists!$B$2,$A$1:$Z$1,0))&amp;""),""),4)),VALUE(MID(IFERROR(TRIM(INDEX($A157:$Z157,MATCH(Lists!$B$2,$A$1:$Z$1,0))&amp;""),""),6,2)),VALUE(MID(IFERROR(TRIM(INDEX($A157:$Z157,MATCH(Lists!$B$2,$A$1:$Z$1,0))&amp;""),""),9,2)))+TIME(VALUE(MID(IFERROR(TRIM(INDEX($A157:$Z157,MATCH(Lists!$B$2,$A$1:$Z$1,0))&amp;""),""),12,2)),VALUE(MID(IFERROR(TRIM(INDEX($A157:$Z157,MATCH(Lists!$B$2,$A$1:$Z$1,0))&amp;""),""),15,2)),VALUE(MID(IFERROR(TRIM(INDEX($A157:$Z157,MATCH(Lists!$B$2,$A$1:$Z$1,0))&amp;""),""),18,2)))),"")-ROW()/10^7),"")</f>
        <v/>
      </c>
    </row>
    <row r="158">
      <c r="AB158" s="36">
        <f>IF($AR158=1,COUNTIF($AS$2:$AS$201,"&lt;"&amp;$AS158)+1,"")</f>
        <v/>
      </c>
      <c r="AC158" s="37">
        <f>IFERROR(TRIM(INDEX($A158:$Z158,MATCH(Lists!$B$9,$A$1:$Z$1,0))&amp;""),"")</f>
        <v/>
      </c>
      <c r="AD158" s="37">
        <f>IF($AR158=1,IFERROR(TRIM(INDEX($A158:$Z158,MATCH(Lists!$B$10,$A$1:$Z$1,0))&amp;""),""),"")</f>
        <v/>
      </c>
      <c r="AE158" s="37">
        <f>IF($AR158=1,IFERROR(TRIM(INDEX($A158:$Z158,MATCH(Lists!$B$12,$A$1:$Z$1,0))&amp;""),""),"")</f>
        <v/>
      </c>
      <c r="AF158" s="38">
        <f>IF($AR158=1,IFERROR(IF(TRIM(INDEX($A158:$Z158,MATCH(Lists!$B$11,$A$1:$Z$1,0))&amp;"")="","",VALUE(TRIM(INDEX($A158:$Z158,MATCH(Lists!$B$11,$A$1:$Z$1,0))&amp;""))),""),"")</f>
        <v/>
      </c>
      <c r="AG158" s="38">
        <f>IF(OR($AR158=0,$AF158="",'Start here'!$F$10="",'Start here'!$F$11="",'Start here'!$F$12="",'Start here'!$F$13="",'Start here'!$F$14=""),"",IF($AF158&lt;'Start here'!$F$10,'Start here'!$F$11,IF($AF158&lt;'Start here'!$F$12,'Start here'!$F$13,'Start here'!$F$14)))</f>
        <v/>
      </c>
      <c r="AH158" s="38">
        <f>IF(OR($AG158="",'Start here'!$F$9=""),"",IF($AF158&lt;=0,"",IFERROR(MAX($AG158,ROUNDUP(ROUND($AF158*'Start here'!$F$9/$AG158,6),0)*$AG158),"")))</f>
        <v/>
      </c>
      <c r="AI158" s="37">
        <f>IF($AR158=0,"",IF($AN158=Lists!$B$19,"",IF(AND($AN158=Lists!$B$18,$AQ158&lt;&gt;""),$AQ158,IF(AND($AP158=Lists!$B$17,$AL158&lt;&gt;""),$AL158,$AK158))))</f>
        <v/>
      </c>
      <c r="AJ158" s="37">
        <f>IF($AR158=0,"",IF(IF($AF158="",", no value",IF($AF158&lt;=0,", no value",""))&amp;IF('Start here'!$F$15="","",IF(LEN($AD158)&lt;'Start here'!$F$15,", short description",""))="","OK",MID(IF($AF158="",", no value",IF($AF158&lt;=0,", no value",""))&amp;IF('Start here'!$F$15="","",IF(LEN($AD158)&lt;'Start here'!$F$15,", short description","")),3,200)))</f>
        <v/>
      </c>
      <c r="AK158" s="37">
        <f>IF($AR158=1,IFERROR(TRIM(INDEX($A158:$Z158,MATCH(Lists!$B$5,$A$1:$Z$1,0))&amp;""),""),"")</f>
        <v/>
      </c>
      <c r="AL158" s="37">
        <f>IF($AR158=1,IFERROR(TRIM(INDEX($A158:$Z158,MATCH(Lists!$B$4,$A$1:$Z$1,0))&amp;""),""),"")</f>
        <v/>
      </c>
      <c r="AM158" s="37">
        <f>IF($AR158=1,IFERROR(TRIM(INDEX($A158:$Z158,MATCH(Lists!$B$6,$A$1:$Z$1,0))&amp;""),""),"")</f>
        <v/>
      </c>
      <c r="AN158" s="37">
        <f>IF($AR158=1,IFERROR(TRIM(INDEX($A158:$Z158,MATCH(Lists!$B$7,$A$1:$Z$1,0))&amp;""),""),"")</f>
        <v/>
      </c>
      <c r="AO158" s="37">
        <f>IF($AR158=1,IFERROR(TRIM(INDEX($A158:$Z158,MATCH(Lists!$B$13,$A$1:$Z$1,0))&amp;""),""),"")</f>
        <v/>
      </c>
      <c r="AP158" s="37">
        <f>IF($AR158=1,IFERROR(TRIM(INDEX($A158:$Z158,MATCH(Lists!$B$3,$A$1:$Z$1,0))&amp;""),""),"")</f>
        <v/>
      </c>
      <c r="AQ158" s="37">
        <f>IF($AR158=1,IFERROR(TRIM(INDEX($A158:$Z158,MATCH(Lists!$B$8,$A$1:$Z$1,0))&amp;""),""),"")</f>
        <v/>
      </c>
      <c r="AR158" s="36">
        <f>IF(LEN($AC158)&gt;0,1,0)</f>
        <v/>
      </c>
      <c r="AS158" s="37">
        <f>IF($AR158=1,IF(IFERROR(IF(ISNUMBER(INDEX($A158:$Z158,MATCH(Lists!$B$2,$A$1:$Z$1,0))),INDEX($A158:$Z158,MATCH(Lists!$B$2,$A$1:$Z$1,0)),DATE(VALUE(LEFT(IFERROR(TRIM(INDEX($A158:$Z158,MATCH(Lists!$B$2,$A$1:$Z$1,0))&amp;""),""),4)),VALUE(MID(IFERROR(TRIM(INDEX($A158:$Z158,MATCH(Lists!$B$2,$A$1:$Z$1,0))&amp;""),""),6,2)),VALUE(MID(IFERROR(TRIM(INDEX($A158:$Z158,MATCH(Lists!$B$2,$A$1:$Z$1,0))&amp;""),""),9,2)))+TIME(VALUE(MID(IFERROR(TRIM(INDEX($A158:$Z158,MATCH(Lists!$B$2,$A$1:$Z$1,0))&amp;""),""),12,2)),VALUE(MID(IFERROR(TRIM(INDEX($A158:$Z158,MATCH(Lists!$B$2,$A$1:$Z$1,0))&amp;""),""),15,2)),VALUE(MID(IFERROR(TRIM(INDEX($A158:$Z158,MATCH(Lists!$B$2,$A$1:$Z$1,0))&amp;""),""),18,2)))),"")="",100000+ROW()/10^7,IFERROR(IF(ISNUMBER(INDEX($A158:$Z158,MATCH(Lists!$B$2,$A$1:$Z$1,0))),INDEX($A158:$Z158,MATCH(Lists!$B$2,$A$1:$Z$1,0)),DATE(VALUE(LEFT(IFERROR(TRIM(INDEX($A158:$Z158,MATCH(Lists!$B$2,$A$1:$Z$1,0))&amp;""),""),4)),VALUE(MID(IFERROR(TRIM(INDEX($A158:$Z158,MATCH(Lists!$B$2,$A$1:$Z$1,0))&amp;""),""),6,2)),VALUE(MID(IFERROR(TRIM(INDEX($A158:$Z158,MATCH(Lists!$B$2,$A$1:$Z$1,0))&amp;""),""),9,2)))+TIME(VALUE(MID(IFERROR(TRIM(INDEX($A158:$Z158,MATCH(Lists!$B$2,$A$1:$Z$1,0))&amp;""),""),12,2)),VALUE(MID(IFERROR(TRIM(INDEX($A158:$Z158,MATCH(Lists!$B$2,$A$1:$Z$1,0))&amp;""),""),15,2)),VALUE(MID(IFERROR(TRIM(INDEX($A158:$Z158,MATCH(Lists!$B$2,$A$1:$Z$1,0))&amp;""),""),18,2)))),"")-ROW()/10^7),"")</f>
        <v/>
      </c>
    </row>
    <row r="159">
      <c r="AB159" s="36">
        <f>IF($AR159=1,COUNTIF($AS$2:$AS$201,"&lt;"&amp;$AS159)+1,"")</f>
        <v/>
      </c>
      <c r="AC159" s="37">
        <f>IFERROR(TRIM(INDEX($A159:$Z159,MATCH(Lists!$B$9,$A$1:$Z$1,0))&amp;""),"")</f>
        <v/>
      </c>
      <c r="AD159" s="37">
        <f>IF($AR159=1,IFERROR(TRIM(INDEX($A159:$Z159,MATCH(Lists!$B$10,$A$1:$Z$1,0))&amp;""),""),"")</f>
        <v/>
      </c>
      <c r="AE159" s="37">
        <f>IF($AR159=1,IFERROR(TRIM(INDEX($A159:$Z159,MATCH(Lists!$B$12,$A$1:$Z$1,0))&amp;""),""),"")</f>
        <v/>
      </c>
      <c r="AF159" s="38">
        <f>IF($AR159=1,IFERROR(IF(TRIM(INDEX($A159:$Z159,MATCH(Lists!$B$11,$A$1:$Z$1,0))&amp;"")="","",VALUE(TRIM(INDEX($A159:$Z159,MATCH(Lists!$B$11,$A$1:$Z$1,0))&amp;""))),""),"")</f>
        <v/>
      </c>
      <c r="AG159" s="38">
        <f>IF(OR($AR159=0,$AF159="",'Start here'!$F$10="",'Start here'!$F$11="",'Start here'!$F$12="",'Start here'!$F$13="",'Start here'!$F$14=""),"",IF($AF159&lt;'Start here'!$F$10,'Start here'!$F$11,IF($AF159&lt;'Start here'!$F$12,'Start here'!$F$13,'Start here'!$F$14)))</f>
        <v/>
      </c>
      <c r="AH159" s="38">
        <f>IF(OR($AG159="",'Start here'!$F$9=""),"",IF($AF159&lt;=0,"",IFERROR(MAX($AG159,ROUNDUP(ROUND($AF159*'Start here'!$F$9/$AG159,6),0)*$AG159),"")))</f>
        <v/>
      </c>
      <c r="AI159" s="37">
        <f>IF($AR159=0,"",IF($AN159=Lists!$B$19,"",IF(AND($AN159=Lists!$B$18,$AQ159&lt;&gt;""),$AQ159,IF(AND($AP159=Lists!$B$17,$AL159&lt;&gt;""),$AL159,$AK159))))</f>
        <v/>
      </c>
      <c r="AJ159" s="37">
        <f>IF($AR159=0,"",IF(IF($AF159="",", no value",IF($AF159&lt;=0,", no value",""))&amp;IF('Start here'!$F$15="","",IF(LEN($AD159)&lt;'Start here'!$F$15,", short description",""))="","OK",MID(IF($AF159="",", no value",IF($AF159&lt;=0,", no value",""))&amp;IF('Start here'!$F$15="","",IF(LEN($AD159)&lt;'Start here'!$F$15,", short description","")),3,200)))</f>
        <v/>
      </c>
      <c r="AK159" s="37">
        <f>IF($AR159=1,IFERROR(TRIM(INDEX($A159:$Z159,MATCH(Lists!$B$5,$A$1:$Z$1,0))&amp;""),""),"")</f>
        <v/>
      </c>
      <c r="AL159" s="37">
        <f>IF($AR159=1,IFERROR(TRIM(INDEX($A159:$Z159,MATCH(Lists!$B$4,$A$1:$Z$1,0))&amp;""),""),"")</f>
        <v/>
      </c>
      <c r="AM159" s="37">
        <f>IF($AR159=1,IFERROR(TRIM(INDEX($A159:$Z159,MATCH(Lists!$B$6,$A$1:$Z$1,0))&amp;""),""),"")</f>
        <v/>
      </c>
      <c r="AN159" s="37">
        <f>IF($AR159=1,IFERROR(TRIM(INDEX($A159:$Z159,MATCH(Lists!$B$7,$A$1:$Z$1,0))&amp;""),""),"")</f>
        <v/>
      </c>
      <c r="AO159" s="37">
        <f>IF($AR159=1,IFERROR(TRIM(INDEX($A159:$Z159,MATCH(Lists!$B$13,$A$1:$Z$1,0))&amp;""),""),"")</f>
        <v/>
      </c>
      <c r="AP159" s="37">
        <f>IF($AR159=1,IFERROR(TRIM(INDEX($A159:$Z159,MATCH(Lists!$B$3,$A$1:$Z$1,0))&amp;""),""),"")</f>
        <v/>
      </c>
      <c r="AQ159" s="37">
        <f>IF($AR159=1,IFERROR(TRIM(INDEX($A159:$Z159,MATCH(Lists!$B$8,$A$1:$Z$1,0))&amp;""),""),"")</f>
        <v/>
      </c>
      <c r="AR159" s="36">
        <f>IF(LEN($AC159)&gt;0,1,0)</f>
        <v/>
      </c>
      <c r="AS159" s="37">
        <f>IF($AR159=1,IF(IFERROR(IF(ISNUMBER(INDEX($A159:$Z159,MATCH(Lists!$B$2,$A$1:$Z$1,0))),INDEX($A159:$Z159,MATCH(Lists!$B$2,$A$1:$Z$1,0)),DATE(VALUE(LEFT(IFERROR(TRIM(INDEX($A159:$Z159,MATCH(Lists!$B$2,$A$1:$Z$1,0))&amp;""),""),4)),VALUE(MID(IFERROR(TRIM(INDEX($A159:$Z159,MATCH(Lists!$B$2,$A$1:$Z$1,0))&amp;""),""),6,2)),VALUE(MID(IFERROR(TRIM(INDEX($A159:$Z159,MATCH(Lists!$B$2,$A$1:$Z$1,0))&amp;""),""),9,2)))+TIME(VALUE(MID(IFERROR(TRIM(INDEX($A159:$Z159,MATCH(Lists!$B$2,$A$1:$Z$1,0))&amp;""),""),12,2)),VALUE(MID(IFERROR(TRIM(INDEX($A159:$Z159,MATCH(Lists!$B$2,$A$1:$Z$1,0))&amp;""),""),15,2)),VALUE(MID(IFERROR(TRIM(INDEX($A159:$Z159,MATCH(Lists!$B$2,$A$1:$Z$1,0))&amp;""),""),18,2)))),"")="",100000+ROW()/10^7,IFERROR(IF(ISNUMBER(INDEX($A159:$Z159,MATCH(Lists!$B$2,$A$1:$Z$1,0))),INDEX($A159:$Z159,MATCH(Lists!$B$2,$A$1:$Z$1,0)),DATE(VALUE(LEFT(IFERROR(TRIM(INDEX($A159:$Z159,MATCH(Lists!$B$2,$A$1:$Z$1,0))&amp;""),""),4)),VALUE(MID(IFERROR(TRIM(INDEX($A159:$Z159,MATCH(Lists!$B$2,$A$1:$Z$1,0))&amp;""),""),6,2)),VALUE(MID(IFERROR(TRIM(INDEX($A159:$Z159,MATCH(Lists!$B$2,$A$1:$Z$1,0))&amp;""),""),9,2)))+TIME(VALUE(MID(IFERROR(TRIM(INDEX($A159:$Z159,MATCH(Lists!$B$2,$A$1:$Z$1,0))&amp;""),""),12,2)),VALUE(MID(IFERROR(TRIM(INDEX($A159:$Z159,MATCH(Lists!$B$2,$A$1:$Z$1,0))&amp;""),""),15,2)),VALUE(MID(IFERROR(TRIM(INDEX($A159:$Z159,MATCH(Lists!$B$2,$A$1:$Z$1,0))&amp;""),""),18,2)))),"")-ROW()/10^7),"")</f>
        <v/>
      </c>
    </row>
    <row r="160">
      <c r="AB160" s="36">
        <f>IF($AR160=1,COUNTIF($AS$2:$AS$201,"&lt;"&amp;$AS160)+1,"")</f>
        <v/>
      </c>
      <c r="AC160" s="37">
        <f>IFERROR(TRIM(INDEX($A160:$Z160,MATCH(Lists!$B$9,$A$1:$Z$1,0))&amp;""),"")</f>
        <v/>
      </c>
      <c r="AD160" s="37">
        <f>IF($AR160=1,IFERROR(TRIM(INDEX($A160:$Z160,MATCH(Lists!$B$10,$A$1:$Z$1,0))&amp;""),""),"")</f>
        <v/>
      </c>
      <c r="AE160" s="37">
        <f>IF($AR160=1,IFERROR(TRIM(INDEX($A160:$Z160,MATCH(Lists!$B$12,$A$1:$Z$1,0))&amp;""),""),"")</f>
        <v/>
      </c>
      <c r="AF160" s="38">
        <f>IF($AR160=1,IFERROR(IF(TRIM(INDEX($A160:$Z160,MATCH(Lists!$B$11,$A$1:$Z$1,0))&amp;"")="","",VALUE(TRIM(INDEX($A160:$Z160,MATCH(Lists!$B$11,$A$1:$Z$1,0))&amp;""))),""),"")</f>
        <v/>
      </c>
      <c r="AG160" s="38">
        <f>IF(OR($AR160=0,$AF160="",'Start here'!$F$10="",'Start here'!$F$11="",'Start here'!$F$12="",'Start here'!$F$13="",'Start here'!$F$14=""),"",IF($AF160&lt;'Start here'!$F$10,'Start here'!$F$11,IF($AF160&lt;'Start here'!$F$12,'Start here'!$F$13,'Start here'!$F$14)))</f>
        <v/>
      </c>
      <c r="AH160" s="38">
        <f>IF(OR($AG160="",'Start here'!$F$9=""),"",IF($AF160&lt;=0,"",IFERROR(MAX($AG160,ROUNDUP(ROUND($AF160*'Start here'!$F$9/$AG160,6),0)*$AG160),"")))</f>
        <v/>
      </c>
      <c r="AI160" s="37">
        <f>IF($AR160=0,"",IF($AN160=Lists!$B$19,"",IF(AND($AN160=Lists!$B$18,$AQ160&lt;&gt;""),$AQ160,IF(AND($AP160=Lists!$B$17,$AL160&lt;&gt;""),$AL160,$AK160))))</f>
        <v/>
      </c>
      <c r="AJ160" s="37">
        <f>IF($AR160=0,"",IF(IF($AF160="",", no value",IF($AF160&lt;=0,", no value",""))&amp;IF('Start here'!$F$15="","",IF(LEN($AD160)&lt;'Start here'!$F$15,", short description",""))="","OK",MID(IF($AF160="",", no value",IF($AF160&lt;=0,", no value",""))&amp;IF('Start here'!$F$15="","",IF(LEN($AD160)&lt;'Start here'!$F$15,", short description","")),3,200)))</f>
        <v/>
      </c>
      <c r="AK160" s="37">
        <f>IF($AR160=1,IFERROR(TRIM(INDEX($A160:$Z160,MATCH(Lists!$B$5,$A$1:$Z$1,0))&amp;""),""),"")</f>
        <v/>
      </c>
      <c r="AL160" s="37">
        <f>IF($AR160=1,IFERROR(TRIM(INDEX($A160:$Z160,MATCH(Lists!$B$4,$A$1:$Z$1,0))&amp;""),""),"")</f>
        <v/>
      </c>
      <c r="AM160" s="37">
        <f>IF($AR160=1,IFERROR(TRIM(INDEX($A160:$Z160,MATCH(Lists!$B$6,$A$1:$Z$1,0))&amp;""),""),"")</f>
        <v/>
      </c>
      <c r="AN160" s="37">
        <f>IF($AR160=1,IFERROR(TRIM(INDEX($A160:$Z160,MATCH(Lists!$B$7,$A$1:$Z$1,0))&amp;""),""),"")</f>
        <v/>
      </c>
      <c r="AO160" s="37">
        <f>IF($AR160=1,IFERROR(TRIM(INDEX($A160:$Z160,MATCH(Lists!$B$13,$A$1:$Z$1,0))&amp;""),""),"")</f>
        <v/>
      </c>
      <c r="AP160" s="37">
        <f>IF($AR160=1,IFERROR(TRIM(INDEX($A160:$Z160,MATCH(Lists!$B$3,$A$1:$Z$1,0))&amp;""),""),"")</f>
        <v/>
      </c>
      <c r="AQ160" s="37">
        <f>IF($AR160=1,IFERROR(TRIM(INDEX($A160:$Z160,MATCH(Lists!$B$8,$A$1:$Z$1,0))&amp;""),""),"")</f>
        <v/>
      </c>
      <c r="AR160" s="36">
        <f>IF(LEN($AC160)&gt;0,1,0)</f>
        <v/>
      </c>
      <c r="AS160" s="37">
        <f>IF($AR160=1,IF(IFERROR(IF(ISNUMBER(INDEX($A160:$Z160,MATCH(Lists!$B$2,$A$1:$Z$1,0))),INDEX($A160:$Z160,MATCH(Lists!$B$2,$A$1:$Z$1,0)),DATE(VALUE(LEFT(IFERROR(TRIM(INDEX($A160:$Z160,MATCH(Lists!$B$2,$A$1:$Z$1,0))&amp;""),""),4)),VALUE(MID(IFERROR(TRIM(INDEX($A160:$Z160,MATCH(Lists!$B$2,$A$1:$Z$1,0))&amp;""),""),6,2)),VALUE(MID(IFERROR(TRIM(INDEX($A160:$Z160,MATCH(Lists!$B$2,$A$1:$Z$1,0))&amp;""),""),9,2)))+TIME(VALUE(MID(IFERROR(TRIM(INDEX($A160:$Z160,MATCH(Lists!$B$2,$A$1:$Z$1,0))&amp;""),""),12,2)),VALUE(MID(IFERROR(TRIM(INDEX($A160:$Z160,MATCH(Lists!$B$2,$A$1:$Z$1,0))&amp;""),""),15,2)),VALUE(MID(IFERROR(TRIM(INDEX($A160:$Z160,MATCH(Lists!$B$2,$A$1:$Z$1,0))&amp;""),""),18,2)))),"")="",100000+ROW()/10^7,IFERROR(IF(ISNUMBER(INDEX($A160:$Z160,MATCH(Lists!$B$2,$A$1:$Z$1,0))),INDEX($A160:$Z160,MATCH(Lists!$B$2,$A$1:$Z$1,0)),DATE(VALUE(LEFT(IFERROR(TRIM(INDEX($A160:$Z160,MATCH(Lists!$B$2,$A$1:$Z$1,0))&amp;""),""),4)),VALUE(MID(IFERROR(TRIM(INDEX($A160:$Z160,MATCH(Lists!$B$2,$A$1:$Z$1,0))&amp;""),""),6,2)),VALUE(MID(IFERROR(TRIM(INDEX($A160:$Z160,MATCH(Lists!$B$2,$A$1:$Z$1,0))&amp;""),""),9,2)))+TIME(VALUE(MID(IFERROR(TRIM(INDEX($A160:$Z160,MATCH(Lists!$B$2,$A$1:$Z$1,0))&amp;""),""),12,2)),VALUE(MID(IFERROR(TRIM(INDEX($A160:$Z160,MATCH(Lists!$B$2,$A$1:$Z$1,0))&amp;""),""),15,2)),VALUE(MID(IFERROR(TRIM(INDEX($A160:$Z160,MATCH(Lists!$B$2,$A$1:$Z$1,0))&amp;""),""),18,2)))),"")-ROW()/10^7),"")</f>
        <v/>
      </c>
    </row>
    <row r="161">
      <c r="AB161" s="36">
        <f>IF($AR161=1,COUNTIF($AS$2:$AS$201,"&lt;"&amp;$AS161)+1,"")</f>
        <v/>
      </c>
      <c r="AC161" s="37">
        <f>IFERROR(TRIM(INDEX($A161:$Z161,MATCH(Lists!$B$9,$A$1:$Z$1,0))&amp;""),"")</f>
        <v/>
      </c>
      <c r="AD161" s="37">
        <f>IF($AR161=1,IFERROR(TRIM(INDEX($A161:$Z161,MATCH(Lists!$B$10,$A$1:$Z$1,0))&amp;""),""),"")</f>
        <v/>
      </c>
      <c r="AE161" s="37">
        <f>IF($AR161=1,IFERROR(TRIM(INDEX($A161:$Z161,MATCH(Lists!$B$12,$A$1:$Z$1,0))&amp;""),""),"")</f>
        <v/>
      </c>
      <c r="AF161" s="38">
        <f>IF($AR161=1,IFERROR(IF(TRIM(INDEX($A161:$Z161,MATCH(Lists!$B$11,$A$1:$Z$1,0))&amp;"")="","",VALUE(TRIM(INDEX($A161:$Z161,MATCH(Lists!$B$11,$A$1:$Z$1,0))&amp;""))),""),"")</f>
        <v/>
      </c>
      <c r="AG161" s="38">
        <f>IF(OR($AR161=0,$AF161="",'Start here'!$F$10="",'Start here'!$F$11="",'Start here'!$F$12="",'Start here'!$F$13="",'Start here'!$F$14=""),"",IF($AF161&lt;'Start here'!$F$10,'Start here'!$F$11,IF($AF161&lt;'Start here'!$F$12,'Start here'!$F$13,'Start here'!$F$14)))</f>
        <v/>
      </c>
      <c r="AH161" s="38">
        <f>IF(OR($AG161="",'Start here'!$F$9=""),"",IF($AF161&lt;=0,"",IFERROR(MAX($AG161,ROUNDUP(ROUND($AF161*'Start here'!$F$9/$AG161,6),0)*$AG161),"")))</f>
        <v/>
      </c>
      <c r="AI161" s="37">
        <f>IF($AR161=0,"",IF($AN161=Lists!$B$19,"",IF(AND($AN161=Lists!$B$18,$AQ161&lt;&gt;""),$AQ161,IF(AND($AP161=Lists!$B$17,$AL161&lt;&gt;""),$AL161,$AK161))))</f>
        <v/>
      </c>
      <c r="AJ161" s="37">
        <f>IF($AR161=0,"",IF(IF($AF161="",", no value",IF($AF161&lt;=0,", no value",""))&amp;IF('Start here'!$F$15="","",IF(LEN($AD161)&lt;'Start here'!$F$15,", short description",""))="","OK",MID(IF($AF161="",", no value",IF($AF161&lt;=0,", no value",""))&amp;IF('Start here'!$F$15="","",IF(LEN($AD161)&lt;'Start here'!$F$15,", short description","")),3,200)))</f>
        <v/>
      </c>
      <c r="AK161" s="37">
        <f>IF($AR161=1,IFERROR(TRIM(INDEX($A161:$Z161,MATCH(Lists!$B$5,$A$1:$Z$1,0))&amp;""),""),"")</f>
        <v/>
      </c>
      <c r="AL161" s="37">
        <f>IF($AR161=1,IFERROR(TRIM(INDEX($A161:$Z161,MATCH(Lists!$B$4,$A$1:$Z$1,0))&amp;""),""),"")</f>
        <v/>
      </c>
      <c r="AM161" s="37">
        <f>IF($AR161=1,IFERROR(TRIM(INDEX($A161:$Z161,MATCH(Lists!$B$6,$A$1:$Z$1,0))&amp;""),""),"")</f>
        <v/>
      </c>
      <c r="AN161" s="37">
        <f>IF($AR161=1,IFERROR(TRIM(INDEX($A161:$Z161,MATCH(Lists!$B$7,$A$1:$Z$1,0))&amp;""),""),"")</f>
        <v/>
      </c>
      <c r="AO161" s="37">
        <f>IF($AR161=1,IFERROR(TRIM(INDEX($A161:$Z161,MATCH(Lists!$B$13,$A$1:$Z$1,0))&amp;""),""),"")</f>
        <v/>
      </c>
      <c r="AP161" s="37">
        <f>IF($AR161=1,IFERROR(TRIM(INDEX($A161:$Z161,MATCH(Lists!$B$3,$A$1:$Z$1,0))&amp;""),""),"")</f>
        <v/>
      </c>
      <c r="AQ161" s="37">
        <f>IF($AR161=1,IFERROR(TRIM(INDEX($A161:$Z161,MATCH(Lists!$B$8,$A$1:$Z$1,0))&amp;""),""),"")</f>
        <v/>
      </c>
      <c r="AR161" s="36">
        <f>IF(LEN($AC161)&gt;0,1,0)</f>
        <v/>
      </c>
      <c r="AS161" s="37">
        <f>IF($AR161=1,IF(IFERROR(IF(ISNUMBER(INDEX($A161:$Z161,MATCH(Lists!$B$2,$A$1:$Z$1,0))),INDEX($A161:$Z161,MATCH(Lists!$B$2,$A$1:$Z$1,0)),DATE(VALUE(LEFT(IFERROR(TRIM(INDEX($A161:$Z161,MATCH(Lists!$B$2,$A$1:$Z$1,0))&amp;""),""),4)),VALUE(MID(IFERROR(TRIM(INDEX($A161:$Z161,MATCH(Lists!$B$2,$A$1:$Z$1,0))&amp;""),""),6,2)),VALUE(MID(IFERROR(TRIM(INDEX($A161:$Z161,MATCH(Lists!$B$2,$A$1:$Z$1,0))&amp;""),""),9,2)))+TIME(VALUE(MID(IFERROR(TRIM(INDEX($A161:$Z161,MATCH(Lists!$B$2,$A$1:$Z$1,0))&amp;""),""),12,2)),VALUE(MID(IFERROR(TRIM(INDEX($A161:$Z161,MATCH(Lists!$B$2,$A$1:$Z$1,0))&amp;""),""),15,2)),VALUE(MID(IFERROR(TRIM(INDEX($A161:$Z161,MATCH(Lists!$B$2,$A$1:$Z$1,0))&amp;""),""),18,2)))),"")="",100000+ROW()/10^7,IFERROR(IF(ISNUMBER(INDEX($A161:$Z161,MATCH(Lists!$B$2,$A$1:$Z$1,0))),INDEX($A161:$Z161,MATCH(Lists!$B$2,$A$1:$Z$1,0)),DATE(VALUE(LEFT(IFERROR(TRIM(INDEX($A161:$Z161,MATCH(Lists!$B$2,$A$1:$Z$1,0))&amp;""),""),4)),VALUE(MID(IFERROR(TRIM(INDEX($A161:$Z161,MATCH(Lists!$B$2,$A$1:$Z$1,0))&amp;""),""),6,2)),VALUE(MID(IFERROR(TRIM(INDEX($A161:$Z161,MATCH(Lists!$B$2,$A$1:$Z$1,0))&amp;""),""),9,2)))+TIME(VALUE(MID(IFERROR(TRIM(INDEX($A161:$Z161,MATCH(Lists!$B$2,$A$1:$Z$1,0))&amp;""),""),12,2)),VALUE(MID(IFERROR(TRIM(INDEX($A161:$Z161,MATCH(Lists!$B$2,$A$1:$Z$1,0))&amp;""),""),15,2)),VALUE(MID(IFERROR(TRIM(INDEX($A161:$Z161,MATCH(Lists!$B$2,$A$1:$Z$1,0))&amp;""),""),18,2)))),"")-ROW()/10^7),"")</f>
        <v/>
      </c>
    </row>
    <row r="162">
      <c r="AB162" s="36">
        <f>IF($AR162=1,COUNTIF($AS$2:$AS$201,"&lt;"&amp;$AS162)+1,"")</f>
        <v/>
      </c>
      <c r="AC162" s="37">
        <f>IFERROR(TRIM(INDEX($A162:$Z162,MATCH(Lists!$B$9,$A$1:$Z$1,0))&amp;""),"")</f>
        <v/>
      </c>
      <c r="AD162" s="37">
        <f>IF($AR162=1,IFERROR(TRIM(INDEX($A162:$Z162,MATCH(Lists!$B$10,$A$1:$Z$1,0))&amp;""),""),"")</f>
        <v/>
      </c>
      <c r="AE162" s="37">
        <f>IF($AR162=1,IFERROR(TRIM(INDEX($A162:$Z162,MATCH(Lists!$B$12,$A$1:$Z$1,0))&amp;""),""),"")</f>
        <v/>
      </c>
      <c r="AF162" s="38">
        <f>IF($AR162=1,IFERROR(IF(TRIM(INDEX($A162:$Z162,MATCH(Lists!$B$11,$A$1:$Z$1,0))&amp;"")="","",VALUE(TRIM(INDEX($A162:$Z162,MATCH(Lists!$B$11,$A$1:$Z$1,0))&amp;""))),""),"")</f>
        <v/>
      </c>
      <c r="AG162" s="38">
        <f>IF(OR($AR162=0,$AF162="",'Start here'!$F$10="",'Start here'!$F$11="",'Start here'!$F$12="",'Start here'!$F$13="",'Start here'!$F$14=""),"",IF($AF162&lt;'Start here'!$F$10,'Start here'!$F$11,IF($AF162&lt;'Start here'!$F$12,'Start here'!$F$13,'Start here'!$F$14)))</f>
        <v/>
      </c>
      <c r="AH162" s="38">
        <f>IF(OR($AG162="",'Start here'!$F$9=""),"",IF($AF162&lt;=0,"",IFERROR(MAX($AG162,ROUNDUP(ROUND($AF162*'Start here'!$F$9/$AG162,6),0)*$AG162),"")))</f>
        <v/>
      </c>
      <c r="AI162" s="37">
        <f>IF($AR162=0,"",IF($AN162=Lists!$B$19,"",IF(AND($AN162=Lists!$B$18,$AQ162&lt;&gt;""),$AQ162,IF(AND($AP162=Lists!$B$17,$AL162&lt;&gt;""),$AL162,$AK162))))</f>
        <v/>
      </c>
      <c r="AJ162" s="37">
        <f>IF($AR162=0,"",IF(IF($AF162="",", no value",IF($AF162&lt;=0,", no value",""))&amp;IF('Start here'!$F$15="","",IF(LEN($AD162)&lt;'Start here'!$F$15,", short description",""))="","OK",MID(IF($AF162="",", no value",IF($AF162&lt;=0,", no value",""))&amp;IF('Start here'!$F$15="","",IF(LEN($AD162)&lt;'Start here'!$F$15,", short description","")),3,200)))</f>
        <v/>
      </c>
      <c r="AK162" s="37">
        <f>IF($AR162=1,IFERROR(TRIM(INDEX($A162:$Z162,MATCH(Lists!$B$5,$A$1:$Z$1,0))&amp;""),""),"")</f>
        <v/>
      </c>
      <c r="AL162" s="37">
        <f>IF($AR162=1,IFERROR(TRIM(INDEX($A162:$Z162,MATCH(Lists!$B$4,$A$1:$Z$1,0))&amp;""),""),"")</f>
        <v/>
      </c>
      <c r="AM162" s="37">
        <f>IF($AR162=1,IFERROR(TRIM(INDEX($A162:$Z162,MATCH(Lists!$B$6,$A$1:$Z$1,0))&amp;""),""),"")</f>
        <v/>
      </c>
      <c r="AN162" s="37">
        <f>IF($AR162=1,IFERROR(TRIM(INDEX($A162:$Z162,MATCH(Lists!$B$7,$A$1:$Z$1,0))&amp;""),""),"")</f>
        <v/>
      </c>
      <c r="AO162" s="37">
        <f>IF($AR162=1,IFERROR(TRIM(INDEX($A162:$Z162,MATCH(Lists!$B$13,$A$1:$Z$1,0))&amp;""),""),"")</f>
        <v/>
      </c>
      <c r="AP162" s="37">
        <f>IF($AR162=1,IFERROR(TRIM(INDEX($A162:$Z162,MATCH(Lists!$B$3,$A$1:$Z$1,0))&amp;""),""),"")</f>
        <v/>
      </c>
      <c r="AQ162" s="37">
        <f>IF($AR162=1,IFERROR(TRIM(INDEX($A162:$Z162,MATCH(Lists!$B$8,$A$1:$Z$1,0))&amp;""),""),"")</f>
        <v/>
      </c>
      <c r="AR162" s="36">
        <f>IF(LEN($AC162)&gt;0,1,0)</f>
        <v/>
      </c>
      <c r="AS162" s="37">
        <f>IF($AR162=1,IF(IFERROR(IF(ISNUMBER(INDEX($A162:$Z162,MATCH(Lists!$B$2,$A$1:$Z$1,0))),INDEX($A162:$Z162,MATCH(Lists!$B$2,$A$1:$Z$1,0)),DATE(VALUE(LEFT(IFERROR(TRIM(INDEX($A162:$Z162,MATCH(Lists!$B$2,$A$1:$Z$1,0))&amp;""),""),4)),VALUE(MID(IFERROR(TRIM(INDEX($A162:$Z162,MATCH(Lists!$B$2,$A$1:$Z$1,0))&amp;""),""),6,2)),VALUE(MID(IFERROR(TRIM(INDEX($A162:$Z162,MATCH(Lists!$B$2,$A$1:$Z$1,0))&amp;""),""),9,2)))+TIME(VALUE(MID(IFERROR(TRIM(INDEX($A162:$Z162,MATCH(Lists!$B$2,$A$1:$Z$1,0))&amp;""),""),12,2)),VALUE(MID(IFERROR(TRIM(INDEX($A162:$Z162,MATCH(Lists!$B$2,$A$1:$Z$1,0))&amp;""),""),15,2)),VALUE(MID(IFERROR(TRIM(INDEX($A162:$Z162,MATCH(Lists!$B$2,$A$1:$Z$1,0))&amp;""),""),18,2)))),"")="",100000+ROW()/10^7,IFERROR(IF(ISNUMBER(INDEX($A162:$Z162,MATCH(Lists!$B$2,$A$1:$Z$1,0))),INDEX($A162:$Z162,MATCH(Lists!$B$2,$A$1:$Z$1,0)),DATE(VALUE(LEFT(IFERROR(TRIM(INDEX($A162:$Z162,MATCH(Lists!$B$2,$A$1:$Z$1,0))&amp;""),""),4)),VALUE(MID(IFERROR(TRIM(INDEX($A162:$Z162,MATCH(Lists!$B$2,$A$1:$Z$1,0))&amp;""),""),6,2)),VALUE(MID(IFERROR(TRIM(INDEX($A162:$Z162,MATCH(Lists!$B$2,$A$1:$Z$1,0))&amp;""),""),9,2)))+TIME(VALUE(MID(IFERROR(TRIM(INDEX($A162:$Z162,MATCH(Lists!$B$2,$A$1:$Z$1,0))&amp;""),""),12,2)),VALUE(MID(IFERROR(TRIM(INDEX($A162:$Z162,MATCH(Lists!$B$2,$A$1:$Z$1,0))&amp;""),""),15,2)),VALUE(MID(IFERROR(TRIM(INDEX($A162:$Z162,MATCH(Lists!$B$2,$A$1:$Z$1,0))&amp;""),""),18,2)))),"")-ROW()/10^7),"")</f>
        <v/>
      </c>
    </row>
    <row r="163">
      <c r="AB163" s="36">
        <f>IF($AR163=1,COUNTIF($AS$2:$AS$201,"&lt;"&amp;$AS163)+1,"")</f>
        <v/>
      </c>
      <c r="AC163" s="37">
        <f>IFERROR(TRIM(INDEX($A163:$Z163,MATCH(Lists!$B$9,$A$1:$Z$1,0))&amp;""),"")</f>
        <v/>
      </c>
      <c r="AD163" s="37">
        <f>IF($AR163=1,IFERROR(TRIM(INDEX($A163:$Z163,MATCH(Lists!$B$10,$A$1:$Z$1,0))&amp;""),""),"")</f>
        <v/>
      </c>
      <c r="AE163" s="37">
        <f>IF($AR163=1,IFERROR(TRIM(INDEX($A163:$Z163,MATCH(Lists!$B$12,$A$1:$Z$1,0))&amp;""),""),"")</f>
        <v/>
      </c>
      <c r="AF163" s="38">
        <f>IF($AR163=1,IFERROR(IF(TRIM(INDEX($A163:$Z163,MATCH(Lists!$B$11,$A$1:$Z$1,0))&amp;"")="","",VALUE(TRIM(INDEX($A163:$Z163,MATCH(Lists!$B$11,$A$1:$Z$1,0))&amp;""))),""),"")</f>
        <v/>
      </c>
      <c r="AG163" s="38">
        <f>IF(OR($AR163=0,$AF163="",'Start here'!$F$10="",'Start here'!$F$11="",'Start here'!$F$12="",'Start here'!$F$13="",'Start here'!$F$14=""),"",IF($AF163&lt;'Start here'!$F$10,'Start here'!$F$11,IF($AF163&lt;'Start here'!$F$12,'Start here'!$F$13,'Start here'!$F$14)))</f>
        <v/>
      </c>
      <c r="AH163" s="38">
        <f>IF(OR($AG163="",'Start here'!$F$9=""),"",IF($AF163&lt;=0,"",IFERROR(MAX($AG163,ROUNDUP(ROUND($AF163*'Start here'!$F$9/$AG163,6),0)*$AG163),"")))</f>
        <v/>
      </c>
      <c r="AI163" s="37">
        <f>IF($AR163=0,"",IF($AN163=Lists!$B$19,"",IF(AND($AN163=Lists!$B$18,$AQ163&lt;&gt;""),$AQ163,IF(AND($AP163=Lists!$B$17,$AL163&lt;&gt;""),$AL163,$AK163))))</f>
        <v/>
      </c>
      <c r="AJ163" s="37">
        <f>IF($AR163=0,"",IF(IF($AF163="",", no value",IF($AF163&lt;=0,", no value",""))&amp;IF('Start here'!$F$15="","",IF(LEN($AD163)&lt;'Start here'!$F$15,", short description",""))="","OK",MID(IF($AF163="",", no value",IF($AF163&lt;=0,", no value",""))&amp;IF('Start here'!$F$15="","",IF(LEN($AD163)&lt;'Start here'!$F$15,", short description","")),3,200)))</f>
        <v/>
      </c>
      <c r="AK163" s="37">
        <f>IF($AR163=1,IFERROR(TRIM(INDEX($A163:$Z163,MATCH(Lists!$B$5,$A$1:$Z$1,0))&amp;""),""),"")</f>
        <v/>
      </c>
      <c r="AL163" s="37">
        <f>IF($AR163=1,IFERROR(TRIM(INDEX($A163:$Z163,MATCH(Lists!$B$4,$A$1:$Z$1,0))&amp;""),""),"")</f>
        <v/>
      </c>
      <c r="AM163" s="37">
        <f>IF($AR163=1,IFERROR(TRIM(INDEX($A163:$Z163,MATCH(Lists!$B$6,$A$1:$Z$1,0))&amp;""),""),"")</f>
        <v/>
      </c>
      <c r="AN163" s="37">
        <f>IF($AR163=1,IFERROR(TRIM(INDEX($A163:$Z163,MATCH(Lists!$B$7,$A$1:$Z$1,0))&amp;""),""),"")</f>
        <v/>
      </c>
      <c r="AO163" s="37">
        <f>IF($AR163=1,IFERROR(TRIM(INDEX($A163:$Z163,MATCH(Lists!$B$13,$A$1:$Z$1,0))&amp;""),""),"")</f>
        <v/>
      </c>
      <c r="AP163" s="37">
        <f>IF($AR163=1,IFERROR(TRIM(INDEX($A163:$Z163,MATCH(Lists!$B$3,$A$1:$Z$1,0))&amp;""),""),"")</f>
        <v/>
      </c>
      <c r="AQ163" s="37">
        <f>IF($AR163=1,IFERROR(TRIM(INDEX($A163:$Z163,MATCH(Lists!$B$8,$A$1:$Z$1,0))&amp;""),""),"")</f>
        <v/>
      </c>
      <c r="AR163" s="36">
        <f>IF(LEN($AC163)&gt;0,1,0)</f>
        <v/>
      </c>
      <c r="AS163" s="37">
        <f>IF($AR163=1,IF(IFERROR(IF(ISNUMBER(INDEX($A163:$Z163,MATCH(Lists!$B$2,$A$1:$Z$1,0))),INDEX($A163:$Z163,MATCH(Lists!$B$2,$A$1:$Z$1,0)),DATE(VALUE(LEFT(IFERROR(TRIM(INDEX($A163:$Z163,MATCH(Lists!$B$2,$A$1:$Z$1,0))&amp;""),""),4)),VALUE(MID(IFERROR(TRIM(INDEX($A163:$Z163,MATCH(Lists!$B$2,$A$1:$Z$1,0))&amp;""),""),6,2)),VALUE(MID(IFERROR(TRIM(INDEX($A163:$Z163,MATCH(Lists!$B$2,$A$1:$Z$1,0))&amp;""),""),9,2)))+TIME(VALUE(MID(IFERROR(TRIM(INDEX($A163:$Z163,MATCH(Lists!$B$2,$A$1:$Z$1,0))&amp;""),""),12,2)),VALUE(MID(IFERROR(TRIM(INDEX($A163:$Z163,MATCH(Lists!$B$2,$A$1:$Z$1,0))&amp;""),""),15,2)),VALUE(MID(IFERROR(TRIM(INDEX($A163:$Z163,MATCH(Lists!$B$2,$A$1:$Z$1,0))&amp;""),""),18,2)))),"")="",100000+ROW()/10^7,IFERROR(IF(ISNUMBER(INDEX($A163:$Z163,MATCH(Lists!$B$2,$A$1:$Z$1,0))),INDEX($A163:$Z163,MATCH(Lists!$B$2,$A$1:$Z$1,0)),DATE(VALUE(LEFT(IFERROR(TRIM(INDEX($A163:$Z163,MATCH(Lists!$B$2,$A$1:$Z$1,0))&amp;""),""),4)),VALUE(MID(IFERROR(TRIM(INDEX($A163:$Z163,MATCH(Lists!$B$2,$A$1:$Z$1,0))&amp;""),""),6,2)),VALUE(MID(IFERROR(TRIM(INDEX($A163:$Z163,MATCH(Lists!$B$2,$A$1:$Z$1,0))&amp;""),""),9,2)))+TIME(VALUE(MID(IFERROR(TRIM(INDEX($A163:$Z163,MATCH(Lists!$B$2,$A$1:$Z$1,0))&amp;""),""),12,2)),VALUE(MID(IFERROR(TRIM(INDEX($A163:$Z163,MATCH(Lists!$B$2,$A$1:$Z$1,0))&amp;""),""),15,2)),VALUE(MID(IFERROR(TRIM(INDEX($A163:$Z163,MATCH(Lists!$B$2,$A$1:$Z$1,0))&amp;""),""),18,2)))),"")-ROW()/10^7),"")</f>
        <v/>
      </c>
    </row>
    <row r="164">
      <c r="AB164" s="36">
        <f>IF($AR164=1,COUNTIF($AS$2:$AS$201,"&lt;"&amp;$AS164)+1,"")</f>
        <v/>
      </c>
      <c r="AC164" s="37">
        <f>IFERROR(TRIM(INDEX($A164:$Z164,MATCH(Lists!$B$9,$A$1:$Z$1,0))&amp;""),"")</f>
        <v/>
      </c>
      <c r="AD164" s="37">
        <f>IF($AR164=1,IFERROR(TRIM(INDEX($A164:$Z164,MATCH(Lists!$B$10,$A$1:$Z$1,0))&amp;""),""),"")</f>
        <v/>
      </c>
      <c r="AE164" s="37">
        <f>IF($AR164=1,IFERROR(TRIM(INDEX($A164:$Z164,MATCH(Lists!$B$12,$A$1:$Z$1,0))&amp;""),""),"")</f>
        <v/>
      </c>
      <c r="AF164" s="38">
        <f>IF($AR164=1,IFERROR(IF(TRIM(INDEX($A164:$Z164,MATCH(Lists!$B$11,$A$1:$Z$1,0))&amp;"")="","",VALUE(TRIM(INDEX($A164:$Z164,MATCH(Lists!$B$11,$A$1:$Z$1,0))&amp;""))),""),"")</f>
        <v/>
      </c>
      <c r="AG164" s="38">
        <f>IF(OR($AR164=0,$AF164="",'Start here'!$F$10="",'Start here'!$F$11="",'Start here'!$F$12="",'Start here'!$F$13="",'Start here'!$F$14=""),"",IF($AF164&lt;'Start here'!$F$10,'Start here'!$F$11,IF($AF164&lt;'Start here'!$F$12,'Start here'!$F$13,'Start here'!$F$14)))</f>
        <v/>
      </c>
      <c r="AH164" s="38">
        <f>IF(OR($AG164="",'Start here'!$F$9=""),"",IF($AF164&lt;=0,"",IFERROR(MAX($AG164,ROUNDUP(ROUND($AF164*'Start here'!$F$9/$AG164,6),0)*$AG164),"")))</f>
        <v/>
      </c>
      <c r="AI164" s="37">
        <f>IF($AR164=0,"",IF($AN164=Lists!$B$19,"",IF(AND($AN164=Lists!$B$18,$AQ164&lt;&gt;""),$AQ164,IF(AND($AP164=Lists!$B$17,$AL164&lt;&gt;""),$AL164,$AK164))))</f>
        <v/>
      </c>
      <c r="AJ164" s="37">
        <f>IF($AR164=0,"",IF(IF($AF164="",", no value",IF($AF164&lt;=0,", no value",""))&amp;IF('Start here'!$F$15="","",IF(LEN($AD164)&lt;'Start here'!$F$15,", short description",""))="","OK",MID(IF($AF164="",", no value",IF($AF164&lt;=0,", no value",""))&amp;IF('Start here'!$F$15="","",IF(LEN($AD164)&lt;'Start here'!$F$15,", short description","")),3,200)))</f>
        <v/>
      </c>
      <c r="AK164" s="37">
        <f>IF($AR164=1,IFERROR(TRIM(INDEX($A164:$Z164,MATCH(Lists!$B$5,$A$1:$Z$1,0))&amp;""),""),"")</f>
        <v/>
      </c>
      <c r="AL164" s="37">
        <f>IF($AR164=1,IFERROR(TRIM(INDEX($A164:$Z164,MATCH(Lists!$B$4,$A$1:$Z$1,0))&amp;""),""),"")</f>
        <v/>
      </c>
      <c r="AM164" s="37">
        <f>IF($AR164=1,IFERROR(TRIM(INDEX($A164:$Z164,MATCH(Lists!$B$6,$A$1:$Z$1,0))&amp;""),""),"")</f>
        <v/>
      </c>
      <c r="AN164" s="37">
        <f>IF($AR164=1,IFERROR(TRIM(INDEX($A164:$Z164,MATCH(Lists!$B$7,$A$1:$Z$1,0))&amp;""),""),"")</f>
        <v/>
      </c>
      <c r="AO164" s="37">
        <f>IF($AR164=1,IFERROR(TRIM(INDEX($A164:$Z164,MATCH(Lists!$B$13,$A$1:$Z$1,0))&amp;""),""),"")</f>
        <v/>
      </c>
      <c r="AP164" s="37">
        <f>IF($AR164=1,IFERROR(TRIM(INDEX($A164:$Z164,MATCH(Lists!$B$3,$A$1:$Z$1,0))&amp;""),""),"")</f>
        <v/>
      </c>
      <c r="AQ164" s="37">
        <f>IF($AR164=1,IFERROR(TRIM(INDEX($A164:$Z164,MATCH(Lists!$B$8,$A$1:$Z$1,0))&amp;""),""),"")</f>
        <v/>
      </c>
      <c r="AR164" s="36">
        <f>IF(LEN($AC164)&gt;0,1,0)</f>
        <v/>
      </c>
      <c r="AS164" s="37">
        <f>IF($AR164=1,IF(IFERROR(IF(ISNUMBER(INDEX($A164:$Z164,MATCH(Lists!$B$2,$A$1:$Z$1,0))),INDEX($A164:$Z164,MATCH(Lists!$B$2,$A$1:$Z$1,0)),DATE(VALUE(LEFT(IFERROR(TRIM(INDEX($A164:$Z164,MATCH(Lists!$B$2,$A$1:$Z$1,0))&amp;""),""),4)),VALUE(MID(IFERROR(TRIM(INDEX($A164:$Z164,MATCH(Lists!$B$2,$A$1:$Z$1,0))&amp;""),""),6,2)),VALUE(MID(IFERROR(TRIM(INDEX($A164:$Z164,MATCH(Lists!$B$2,$A$1:$Z$1,0))&amp;""),""),9,2)))+TIME(VALUE(MID(IFERROR(TRIM(INDEX($A164:$Z164,MATCH(Lists!$B$2,$A$1:$Z$1,0))&amp;""),""),12,2)),VALUE(MID(IFERROR(TRIM(INDEX($A164:$Z164,MATCH(Lists!$B$2,$A$1:$Z$1,0))&amp;""),""),15,2)),VALUE(MID(IFERROR(TRIM(INDEX($A164:$Z164,MATCH(Lists!$B$2,$A$1:$Z$1,0))&amp;""),""),18,2)))),"")="",100000+ROW()/10^7,IFERROR(IF(ISNUMBER(INDEX($A164:$Z164,MATCH(Lists!$B$2,$A$1:$Z$1,0))),INDEX($A164:$Z164,MATCH(Lists!$B$2,$A$1:$Z$1,0)),DATE(VALUE(LEFT(IFERROR(TRIM(INDEX($A164:$Z164,MATCH(Lists!$B$2,$A$1:$Z$1,0))&amp;""),""),4)),VALUE(MID(IFERROR(TRIM(INDEX($A164:$Z164,MATCH(Lists!$B$2,$A$1:$Z$1,0))&amp;""),""),6,2)),VALUE(MID(IFERROR(TRIM(INDEX($A164:$Z164,MATCH(Lists!$B$2,$A$1:$Z$1,0))&amp;""),""),9,2)))+TIME(VALUE(MID(IFERROR(TRIM(INDEX($A164:$Z164,MATCH(Lists!$B$2,$A$1:$Z$1,0))&amp;""),""),12,2)),VALUE(MID(IFERROR(TRIM(INDEX($A164:$Z164,MATCH(Lists!$B$2,$A$1:$Z$1,0))&amp;""),""),15,2)),VALUE(MID(IFERROR(TRIM(INDEX($A164:$Z164,MATCH(Lists!$B$2,$A$1:$Z$1,0))&amp;""),""),18,2)))),"")-ROW()/10^7),"")</f>
        <v/>
      </c>
    </row>
    <row r="165">
      <c r="AB165" s="36">
        <f>IF($AR165=1,COUNTIF($AS$2:$AS$201,"&lt;"&amp;$AS165)+1,"")</f>
        <v/>
      </c>
      <c r="AC165" s="37">
        <f>IFERROR(TRIM(INDEX($A165:$Z165,MATCH(Lists!$B$9,$A$1:$Z$1,0))&amp;""),"")</f>
        <v/>
      </c>
      <c r="AD165" s="37">
        <f>IF($AR165=1,IFERROR(TRIM(INDEX($A165:$Z165,MATCH(Lists!$B$10,$A$1:$Z$1,0))&amp;""),""),"")</f>
        <v/>
      </c>
      <c r="AE165" s="37">
        <f>IF($AR165=1,IFERROR(TRIM(INDEX($A165:$Z165,MATCH(Lists!$B$12,$A$1:$Z$1,0))&amp;""),""),"")</f>
        <v/>
      </c>
      <c r="AF165" s="38">
        <f>IF($AR165=1,IFERROR(IF(TRIM(INDEX($A165:$Z165,MATCH(Lists!$B$11,$A$1:$Z$1,0))&amp;"")="","",VALUE(TRIM(INDEX($A165:$Z165,MATCH(Lists!$B$11,$A$1:$Z$1,0))&amp;""))),""),"")</f>
        <v/>
      </c>
      <c r="AG165" s="38">
        <f>IF(OR($AR165=0,$AF165="",'Start here'!$F$10="",'Start here'!$F$11="",'Start here'!$F$12="",'Start here'!$F$13="",'Start here'!$F$14=""),"",IF($AF165&lt;'Start here'!$F$10,'Start here'!$F$11,IF($AF165&lt;'Start here'!$F$12,'Start here'!$F$13,'Start here'!$F$14)))</f>
        <v/>
      </c>
      <c r="AH165" s="38">
        <f>IF(OR($AG165="",'Start here'!$F$9=""),"",IF($AF165&lt;=0,"",IFERROR(MAX($AG165,ROUNDUP(ROUND($AF165*'Start here'!$F$9/$AG165,6),0)*$AG165),"")))</f>
        <v/>
      </c>
      <c r="AI165" s="37">
        <f>IF($AR165=0,"",IF($AN165=Lists!$B$19,"",IF(AND($AN165=Lists!$B$18,$AQ165&lt;&gt;""),$AQ165,IF(AND($AP165=Lists!$B$17,$AL165&lt;&gt;""),$AL165,$AK165))))</f>
        <v/>
      </c>
      <c r="AJ165" s="37">
        <f>IF($AR165=0,"",IF(IF($AF165="",", no value",IF($AF165&lt;=0,", no value",""))&amp;IF('Start here'!$F$15="","",IF(LEN($AD165)&lt;'Start here'!$F$15,", short description",""))="","OK",MID(IF($AF165="",", no value",IF($AF165&lt;=0,", no value",""))&amp;IF('Start here'!$F$15="","",IF(LEN($AD165)&lt;'Start here'!$F$15,", short description","")),3,200)))</f>
        <v/>
      </c>
      <c r="AK165" s="37">
        <f>IF($AR165=1,IFERROR(TRIM(INDEX($A165:$Z165,MATCH(Lists!$B$5,$A$1:$Z$1,0))&amp;""),""),"")</f>
        <v/>
      </c>
      <c r="AL165" s="37">
        <f>IF($AR165=1,IFERROR(TRIM(INDEX($A165:$Z165,MATCH(Lists!$B$4,$A$1:$Z$1,0))&amp;""),""),"")</f>
        <v/>
      </c>
      <c r="AM165" s="37">
        <f>IF($AR165=1,IFERROR(TRIM(INDEX($A165:$Z165,MATCH(Lists!$B$6,$A$1:$Z$1,0))&amp;""),""),"")</f>
        <v/>
      </c>
      <c r="AN165" s="37">
        <f>IF($AR165=1,IFERROR(TRIM(INDEX($A165:$Z165,MATCH(Lists!$B$7,$A$1:$Z$1,0))&amp;""),""),"")</f>
        <v/>
      </c>
      <c r="AO165" s="37">
        <f>IF($AR165=1,IFERROR(TRIM(INDEX($A165:$Z165,MATCH(Lists!$B$13,$A$1:$Z$1,0))&amp;""),""),"")</f>
        <v/>
      </c>
      <c r="AP165" s="37">
        <f>IF($AR165=1,IFERROR(TRIM(INDEX($A165:$Z165,MATCH(Lists!$B$3,$A$1:$Z$1,0))&amp;""),""),"")</f>
        <v/>
      </c>
      <c r="AQ165" s="37">
        <f>IF($AR165=1,IFERROR(TRIM(INDEX($A165:$Z165,MATCH(Lists!$B$8,$A$1:$Z$1,0))&amp;""),""),"")</f>
        <v/>
      </c>
      <c r="AR165" s="36">
        <f>IF(LEN($AC165)&gt;0,1,0)</f>
        <v/>
      </c>
      <c r="AS165" s="37">
        <f>IF($AR165=1,IF(IFERROR(IF(ISNUMBER(INDEX($A165:$Z165,MATCH(Lists!$B$2,$A$1:$Z$1,0))),INDEX($A165:$Z165,MATCH(Lists!$B$2,$A$1:$Z$1,0)),DATE(VALUE(LEFT(IFERROR(TRIM(INDEX($A165:$Z165,MATCH(Lists!$B$2,$A$1:$Z$1,0))&amp;""),""),4)),VALUE(MID(IFERROR(TRIM(INDEX($A165:$Z165,MATCH(Lists!$B$2,$A$1:$Z$1,0))&amp;""),""),6,2)),VALUE(MID(IFERROR(TRIM(INDEX($A165:$Z165,MATCH(Lists!$B$2,$A$1:$Z$1,0))&amp;""),""),9,2)))+TIME(VALUE(MID(IFERROR(TRIM(INDEX($A165:$Z165,MATCH(Lists!$B$2,$A$1:$Z$1,0))&amp;""),""),12,2)),VALUE(MID(IFERROR(TRIM(INDEX($A165:$Z165,MATCH(Lists!$B$2,$A$1:$Z$1,0))&amp;""),""),15,2)),VALUE(MID(IFERROR(TRIM(INDEX($A165:$Z165,MATCH(Lists!$B$2,$A$1:$Z$1,0))&amp;""),""),18,2)))),"")="",100000+ROW()/10^7,IFERROR(IF(ISNUMBER(INDEX($A165:$Z165,MATCH(Lists!$B$2,$A$1:$Z$1,0))),INDEX($A165:$Z165,MATCH(Lists!$B$2,$A$1:$Z$1,0)),DATE(VALUE(LEFT(IFERROR(TRIM(INDEX($A165:$Z165,MATCH(Lists!$B$2,$A$1:$Z$1,0))&amp;""),""),4)),VALUE(MID(IFERROR(TRIM(INDEX($A165:$Z165,MATCH(Lists!$B$2,$A$1:$Z$1,0))&amp;""),""),6,2)),VALUE(MID(IFERROR(TRIM(INDEX($A165:$Z165,MATCH(Lists!$B$2,$A$1:$Z$1,0))&amp;""),""),9,2)))+TIME(VALUE(MID(IFERROR(TRIM(INDEX($A165:$Z165,MATCH(Lists!$B$2,$A$1:$Z$1,0))&amp;""),""),12,2)),VALUE(MID(IFERROR(TRIM(INDEX($A165:$Z165,MATCH(Lists!$B$2,$A$1:$Z$1,0))&amp;""),""),15,2)),VALUE(MID(IFERROR(TRIM(INDEX($A165:$Z165,MATCH(Lists!$B$2,$A$1:$Z$1,0))&amp;""),""),18,2)))),"")-ROW()/10^7),"")</f>
        <v/>
      </c>
    </row>
    <row r="166">
      <c r="AB166" s="36">
        <f>IF($AR166=1,COUNTIF($AS$2:$AS$201,"&lt;"&amp;$AS166)+1,"")</f>
        <v/>
      </c>
      <c r="AC166" s="37">
        <f>IFERROR(TRIM(INDEX($A166:$Z166,MATCH(Lists!$B$9,$A$1:$Z$1,0))&amp;""),"")</f>
        <v/>
      </c>
      <c r="AD166" s="37">
        <f>IF($AR166=1,IFERROR(TRIM(INDEX($A166:$Z166,MATCH(Lists!$B$10,$A$1:$Z$1,0))&amp;""),""),"")</f>
        <v/>
      </c>
      <c r="AE166" s="37">
        <f>IF($AR166=1,IFERROR(TRIM(INDEX($A166:$Z166,MATCH(Lists!$B$12,$A$1:$Z$1,0))&amp;""),""),"")</f>
        <v/>
      </c>
      <c r="AF166" s="38">
        <f>IF($AR166=1,IFERROR(IF(TRIM(INDEX($A166:$Z166,MATCH(Lists!$B$11,$A$1:$Z$1,0))&amp;"")="","",VALUE(TRIM(INDEX($A166:$Z166,MATCH(Lists!$B$11,$A$1:$Z$1,0))&amp;""))),""),"")</f>
        <v/>
      </c>
      <c r="AG166" s="38">
        <f>IF(OR($AR166=0,$AF166="",'Start here'!$F$10="",'Start here'!$F$11="",'Start here'!$F$12="",'Start here'!$F$13="",'Start here'!$F$14=""),"",IF($AF166&lt;'Start here'!$F$10,'Start here'!$F$11,IF($AF166&lt;'Start here'!$F$12,'Start here'!$F$13,'Start here'!$F$14)))</f>
        <v/>
      </c>
      <c r="AH166" s="38">
        <f>IF(OR($AG166="",'Start here'!$F$9=""),"",IF($AF166&lt;=0,"",IFERROR(MAX($AG166,ROUNDUP(ROUND($AF166*'Start here'!$F$9/$AG166,6),0)*$AG166),"")))</f>
        <v/>
      </c>
      <c r="AI166" s="37">
        <f>IF($AR166=0,"",IF($AN166=Lists!$B$19,"",IF(AND($AN166=Lists!$B$18,$AQ166&lt;&gt;""),$AQ166,IF(AND($AP166=Lists!$B$17,$AL166&lt;&gt;""),$AL166,$AK166))))</f>
        <v/>
      </c>
      <c r="AJ166" s="37">
        <f>IF($AR166=0,"",IF(IF($AF166="",", no value",IF($AF166&lt;=0,", no value",""))&amp;IF('Start here'!$F$15="","",IF(LEN($AD166)&lt;'Start here'!$F$15,", short description",""))="","OK",MID(IF($AF166="",", no value",IF($AF166&lt;=0,", no value",""))&amp;IF('Start here'!$F$15="","",IF(LEN($AD166)&lt;'Start here'!$F$15,", short description","")),3,200)))</f>
        <v/>
      </c>
      <c r="AK166" s="37">
        <f>IF($AR166=1,IFERROR(TRIM(INDEX($A166:$Z166,MATCH(Lists!$B$5,$A$1:$Z$1,0))&amp;""),""),"")</f>
        <v/>
      </c>
      <c r="AL166" s="37">
        <f>IF($AR166=1,IFERROR(TRIM(INDEX($A166:$Z166,MATCH(Lists!$B$4,$A$1:$Z$1,0))&amp;""),""),"")</f>
        <v/>
      </c>
      <c r="AM166" s="37">
        <f>IF($AR166=1,IFERROR(TRIM(INDEX($A166:$Z166,MATCH(Lists!$B$6,$A$1:$Z$1,0))&amp;""),""),"")</f>
        <v/>
      </c>
      <c r="AN166" s="37">
        <f>IF($AR166=1,IFERROR(TRIM(INDEX($A166:$Z166,MATCH(Lists!$B$7,$A$1:$Z$1,0))&amp;""),""),"")</f>
        <v/>
      </c>
      <c r="AO166" s="37">
        <f>IF($AR166=1,IFERROR(TRIM(INDEX($A166:$Z166,MATCH(Lists!$B$13,$A$1:$Z$1,0))&amp;""),""),"")</f>
        <v/>
      </c>
      <c r="AP166" s="37">
        <f>IF($AR166=1,IFERROR(TRIM(INDEX($A166:$Z166,MATCH(Lists!$B$3,$A$1:$Z$1,0))&amp;""),""),"")</f>
        <v/>
      </c>
      <c r="AQ166" s="37">
        <f>IF($AR166=1,IFERROR(TRIM(INDEX($A166:$Z166,MATCH(Lists!$B$8,$A$1:$Z$1,0))&amp;""),""),"")</f>
        <v/>
      </c>
      <c r="AR166" s="36">
        <f>IF(LEN($AC166)&gt;0,1,0)</f>
        <v/>
      </c>
      <c r="AS166" s="37">
        <f>IF($AR166=1,IF(IFERROR(IF(ISNUMBER(INDEX($A166:$Z166,MATCH(Lists!$B$2,$A$1:$Z$1,0))),INDEX($A166:$Z166,MATCH(Lists!$B$2,$A$1:$Z$1,0)),DATE(VALUE(LEFT(IFERROR(TRIM(INDEX($A166:$Z166,MATCH(Lists!$B$2,$A$1:$Z$1,0))&amp;""),""),4)),VALUE(MID(IFERROR(TRIM(INDEX($A166:$Z166,MATCH(Lists!$B$2,$A$1:$Z$1,0))&amp;""),""),6,2)),VALUE(MID(IFERROR(TRIM(INDEX($A166:$Z166,MATCH(Lists!$B$2,$A$1:$Z$1,0))&amp;""),""),9,2)))+TIME(VALUE(MID(IFERROR(TRIM(INDEX($A166:$Z166,MATCH(Lists!$B$2,$A$1:$Z$1,0))&amp;""),""),12,2)),VALUE(MID(IFERROR(TRIM(INDEX($A166:$Z166,MATCH(Lists!$B$2,$A$1:$Z$1,0))&amp;""),""),15,2)),VALUE(MID(IFERROR(TRIM(INDEX($A166:$Z166,MATCH(Lists!$B$2,$A$1:$Z$1,0))&amp;""),""),18,2)))),"")="",100000+ROW()/10^7,IFERROR(IF(ISNUMBER(INDEX($A166:$Z166,MATCH(Lists!$B$2,$A$1:$Z$1,0))),INDEX($A166:$Z166,MATCH(Lists!$B$2,$A$1:$Z$1,0)),DATE(VALUE(LEFT(IFERROR(TRIM(INDEX($A166:$Z166,MATCH(Lists!$B$2,$A$1:$Z$1,0))&amp;""),""),4)),VALUE(MID(IFERROR(TRIM(INDEX($A166:$Z166,MATCH(Lists!$B$2,$A$1:$Z$1,0))&amp;""),""),6,2)),VALUE(MID(IFERROR(TRIM(INDEX($A166:$Z166,MATCH(Lists!$B$2,$A$1:$Z$1,0))&amp;""),""),9,2)))+TIME(VALUE(MID(IFERROR(TRIM(INDEX($A166:$Z166,MATCH(Lists!$B$2,$A$1:$Z$1,0))&amp;""),""),12,2)),VALUE(MID(IFERROR(TRIM(INDEX($A166:$Z166,MATCH(Lists!$B$2,$A$1:$Z$1,0))&amp;""),""),15,2)),VALUE(MID(IFERROR(TRIM(INDEX($A166:$Z166,MATCH(Lists!$B$2,$A$1:$Z$1,0))&amp;""),""),18,2)))),"")-ROW()/10^7),"")</f>
        <v/>
      </c>
    </row>
    <row r="167">
      <c r="AB167" s="36">
        <f>IF($AR167=1,COUNTIF($AS$2:$AS$201,"&lt;"&amp;$AS167)+1,"")</f>
        <v/>
      </c>
      <c r="AC167" s="37">
        <f>IFERROR(TRIM(INDEX($A167:$Z167,MATCH(Lists!$B$9,$A$1:$Z$1,0))&amp;""),"")</f>
        <v/>
      </c>
      <c r="AD167" s="37">
        <f>IF($AR167=1,IFERROR(TRIM(INDEX($A167:$Z167,MATCH(Lists!$B$10,$A$1:$Z$1,0))&amp;""),""),"")</f>
        <v/>
      </c>
      <c r="AE167" s="37">
        <f>IF($AR167=1,IFERROR(TRIM(INDEX($A167:$Z167,MATCH(Lists!$B$12,$A$1:$Z$1,0))&amp;""),""),"")</f>
        <v/>
      </c>
      <c r="AF167" s="38">
        <f>IF($AR167=1,IFERROR(IF(TRIM(INDEX($A167:$Z167,MATCH(Lists!$B$11,$A$1:$Z$1,0))&amp;"")="","",VALUE(TRIM(INDEX($A167:$Z167,MATCH(Lists!$B$11,$A$1:$Z$1,0))&amp;""))),""),"")</f>
        <v/>
      </c>
      <c r="AG167" s="38">
        <f>IF(OR($AR167=0,$AF167="",'Start here'!$F$10="",'Start here'!$F$11="",'Start here'!$F$12="",'Start here'!$F$13="",'Start here'!$F$14=""),"",IF($AF167&lt;'Start here'!$F$10,'Start here'!$F$11,IF($AF167&lt;'Start here'!$F$12,'Start here'!$F$13,'Start here'!$F$14)))</f>
        <v/>
      </c>
      <c r="AH167" s="38">
        <f>IF(OR($AG167="",'Start here'!$F$9=""),"",IF($AF167&lt;=0,"",IFERROR(MAX($AG167,ROUNDUP(ROUND($AF167*'Start here'!$F$9/$AG167,6),0)*$AG167),"")))</f>
        <v/>
      </c>
      <c r="AI167" s="37">
        <f>IF($AR167=0,"",IF($AN167=Lists!$B$19,"",IF(AND($AN167=Lists!$B$18,$AQ167&lt;&gt;""),$AQ167,IF(AND($AP167=Lists!$B$17,$AL167&lt;&gt;""),$AL167,$AK167))))</f>
        <v/>
      </c>
      <c r="AJ167" s="37">
        <f>IF($AR167=0,"",IF(IF($AF167="",", no value",IF($AF167&lt;=0,", no value",""))&amp;IF('Start here'!$F$15="","",IF(LEN($AD167)&lt;'Start here'!$F$15,", short description",""))="","OK",MID(IF($AF167="",", no value",IF($AF167&lt;=0,", no value",""))&amp;IF('Start here'!$F$15="","",IF(LEN($AD167)&lt;'Start here'!$F$15,", short description","")),3,200)))</f>
        <v/>
      </c>
      <c r="AK167" s="37">
        <f>IF($AR167=1,IFERROR(TRIM(INDEX($A167:$Z167,MATCH(Lists!$B$5,$A$1:$Z$1,0))&amp;""),""),"")</f>
        <v/>
      </c>
      <c r="AL167" s="37">
        <f>IF($AR167=1,IFERROR(TRIM(INDEX($A167:$Z167,MATCH(Lists!$B$4,$A$1:$Z$1,0))&amp;""),""),"")</f>
        <v/>
      </c>
      <c r="AM167" s="37">
        <f>IF($AR167=1,IFERROR(TRIM(INDEX($A167:$Z167,MATCH(Lists!$B$6,$A$1:$Z$1,0))&amp;""),""),"")</f>
        <v/>
      </c>
      <c r="AN167" s="37">
        <f>IF($AR167=1,IFERROR(TRIM(INDEX($A167:$Z167,MATCH(Lists!$B$7,$A$1:$Z$1,0))&amp;""),""),"")</f>
        <v/>
      </c>
      <c r="AO167" s="37">
        <f>IF($AR167=1,IFERROR(TRIM(INDEX($A167:$Z167,MATCH(Lists!$B$13,$A$1:$Z$1,0))&amp;""),""),"")</f>
        <v/>
      </c>
      <c r="AP167" s="37">
        <f>IF($AR167=1,IFERROR(TRIM(INDEX($A167:$Z167,MATCH(Lists!$B$3,$A$1:$Z$1,0))&amp;""),""),"")</f>
        <v/>
      </c>
      <c r="AQ167" s="37">
        <f>IF($AR167=1,IFERROR(TRIM(INDEX($A167:$Z167,MATCH(Lists!$B$8,$A$1:$Z$1,0))&amp;""),""),"")</f>
        <v/>
      </c>
      <c r="AR167" s="36">
        <f>IF(LEN($AC167)&gt;0,1,0)</f>
        <v/>
      </c>
      <c r="AS167" s="37">
        <f>IF($AR167=1,IF(IFERROR(IF(ISNUMBER(INDEX($A167:$Z167,MATCH(Lists!$B$2,$A$1:$Z$1,0))),INDEX($A167:$Z167,MATCH(Lists!$B$2,$A$1:$Z$1,0)),DATE(VALUE(LEFT(IFERROR(TRIM(INDEX($A167:$Z167,MATCH(Lists!$B$2,$A$1:$Z$1,0))&amp;""),""),4)),VALUE(MID(IFERROR(TRIM(INDEX($A167:$Z167,MATCH(Lists!$B$2,$A$1:$Z$1,0))&amp;""),""),6,2)),VALUE(MID(IFERROR(TRIM(INDEX($A167:$Z167,MATCH(Lists!$B$2,$A$1:$Z$1,0))&amp;""),""),9,2)))+TIME(VALUE(MID(IFERROR(TRIM(INDEX($A167:$Z167,MATCH(Lists!$B$2,$A$1:$Z$1,0))&amp;""),""),12,2)),VALUE(MID(IFERROR(TRIM(INDEX($A167:$Z167,MATCH(Lists!$B$2,$A$1:$Z$1,0))&amp;""),""),15,2)),VALUE(MID(IFERROR(TRIM(INDEX($A167:$Z167,MATCH(Lists!$B$2,$A$1:$Z$1,0))&amp;""),""),18,2)))),"")="",100000+ROW()/10^7,IFERROR(IF(ISNUMBER(INDEX($A167:$Z167,MATCH(Lists!$B$2,$A$1:$Z$1,0))),INDEX($A167:$Z167,MATCH(Lists!$B$2,$A$1:$Z$1,0)),DATE(VALUE(LEFT(IFERROR(TRIM(INDEX($A167:$Z167,MATCH(Lists!$B$2,$A$1:$Z$1,0))&amp;""),""),4)),VALUE(MID(IFERROR(TRIM(INDEX($A167:$Z167,MATCH(Lists!$B$2,$A$1:$Z$1,0))&amp;""),""),6,2)),VALUE(MID(IFERROR(TRIM(INDEX($A167:$Z167,MATCH(Lists!$B$2,$A$1:$Z$1,0))&amp;""),""),9,2)))+TIME(VALUE(MID(IFERROR(TRIM(INDEX($A167:$Z167,MATCH(Lists!$B$2,$A$1:$Z$1,0))&amp;""),""),12,2)),VALUE(MID(IFERROR(TRIM(INDEX($A167:$Z167,MATCH(Lists!$B$2,$A$1:$Z$1,0))&amp;""),""),15,2)),VALUE(MID(IFERROR(TRIM(INDEX($A167:$Z167,MATCH(Lists!$B$2,$A$1:$Z$1,0))&amp;""),""),18,2)))),"")-ROW()/10^7),"")</f>
        <v/>
      </c>
    </row>
    <row r="168">
      <c r="AB168" s="36">
        <f>IF($AR168=1,COUNTIF($AS$2:$AS$201,"&lt;"&amp;$AS168)+1,"")</f>
        <v/>
      </c>
      <c r="AC168" s="37">
        <f>IFERROR(TRIM(INDEX($A168:$Z168,MATCH(Lists!$B$9,$A$1:$Z$1,0))&amp;""),"")</f>
        <v/>
      </c>
      <c r="AD168" s="37">
        <f>IF($AR168=1,IFERROR(TRIM(INDEX($A168:$Z168,MATCH(Lists!$B$10,$A$1:$Z$1,0))&amp;""),""),"")</f>
        <v/>
      </c>
      <c r="AE168" s="37">
        <f>IF($AR168=1,IFERROR(TRIM(INDEX($A168:$Z168,MATCH(Lists!$B$12,$A$1:$Z$1,0))&amp;""),""),"")</f>
        <v/>
      </c>
      <c r="AF168" s="38">
        <f>IF($AR168=1,IFERROR(IF(TRIM(INDEX($A168:$Z168,MATCH(Lists!$B$11,$A$1:$Z$1,0))&amp;"")="","",VALUE(TRIM(INDEX($A168:$Z168,MATCH(Lists!$B$11,$A$1:$Z$1,0))&amp;""))),""),"")</f>
        <v/>
      </c>
      <c r="AG168" s="38">
        <f>IF(OR($AR168=0,$AF168="",'Start here'!$F$10="",'Start here'!$F$11="",'Start here'!$F$12="",'Start here'!$F$13="",'Start here'!$F$14=""),"",IF($AF168&lt;'Start here'!$F$10,'Start here'!$F$11,IF($AF168&lt;'Start here'!$F$12,'Start here'!$F$13,'Start here'!$F$14)))</f>
        <v/>
      </c>
      <c r="AH168" s="38">
        <f>IF(OR($AG168="",'Start here'!$F$9=""),"",IF($AF168&lt;=0,"",IFERROR(MAX($AG168,ROUNDUP(ROUND($AF168*'Start here'!$F$9/$AG168,6),0)*$AG168),"")))</f>
        <v/>
      </c>
      <c r="AI168" s="37">
        <f>IF($AR168=0,"",IF($AN168=Lists!$B$19,"",IF(AND($AN168=Lists!$B$18,$AQ168&lt;&gt;""),$AQ168,IF(AND($AP168=Lists!$B$17,$AL168&lt;&gt;""),$AL168,$AK168))))</f>
        <v/>
      </c>
      <c r="AJ168" s="37">
        <f>IF($AR168=0,"",IF(IF($AF168="",", no value",IF($AF168&lt;=0,", no value",""))&amp;IF('Start here'!$F$15="","",IF(LEN($AD168)&lt;'Start here'!$F$15,", short description",""))="","OK",MID(IF($AF168="",", no value",IF($AF168&lt;=0,", no value",""))&amp;IF('Start here'!$F$15="","",IF(LEN($AD168)&lt;'Start here'!$F$15,", short description","")),3,200)))</f>
        <v/>
      </c>
      <c r="AK168" s="37">
        <f>IF($AR168=1,IFERROR(TRIM(INDEX($A168:$Z168,MATCH(Lists!$B$5,$A$1:$Z$1,0))&amp;""),""),"")</f>
        <v/>
      </c>
      <c r="AL168" s="37">
        <f>IF($AR168=1,IFERROR(TRIM(INDEX($A168:$Z168,MATCH(Lists!$B$4,$A$1:$Z$1,0))&amp;""),""),"")</f>
        <v/>
      </c>
      <c r="AM168" s="37">
        <f>IF($AR168=1,IFERROR(TRIM(INDEX($A168:$Z168,MATCH(Lists!$B$6,$A$1:$Z$1,0))&amp;""),""),"")</f>
        <v/>
      </c>
      <c r="AN168" s="37">
        <f>IF($AR168=1,IFERROR(TRIM(INDEX($A168:$Z168,MATCH(Lists!$B$7,$A$1:$Z$1,0))&amp;""),""),"")</f>
        <v/>
      </c>
      <c r="AO168" s="37">
        <f>IF($AR168=1,IFERROR(TRIM(INDEX($A168:$Z168,MATCH(Lists!$B$13,$A$1:$Z$1,0))&amp;""),""),"")</f>
        <v/>
      </c>
      <c r="AP168" s="37">
        <f>IF($AR168=1,IFERROR(TRIM(INDEX($A168:$Z168,MATCH(Lists!$B$3,$A$1:$Z$1,0))&amp;""),""),"")</f>
        <v/>
      </c>
      <c r="AQ168" s="37">
        <f>IF($AR168=1,IFERROR(TRIM(INDEX($A168:$Z168,MATCH(Lists!$B$8,$A$1:$Z$1,0))&amp;""),""),"")</f>
        <v/>
      </c>
      <c r="AR168" s="36">
        <f>IF(LEN($AC168)&gt;0,1,0)</f>
        <v/>
      </c>
      <c r="AS168" s="37">
        <f>IF($AR168=1,IF(IFERROR(IF(ISNUMBER(INDEX($A168:$Z168,MATCH(Lists!$B$2,$A$1:$Z$1,0))),INDEX($A168:$Z168,MATCH(Lists!$B$2,$A$1:$Z$1,0)),DATE(VALUE(LEFT(IFERROR(TRIM(INDEX($A168:$Z168,MATCH(Lists!$B$2,$A$1:$Z$1,0))&amp;""),""),4)),VALUE(MID(IFERROR(TRIM(INDEX($A168:$Z168,MATCH(Lists!$B$2,$A$1:$Z$1,0))&amp;""),""),6,2)),VALUE(MID(IFERROR(TRIM(INDEX($A168:$Z168,MATCH(Lists!$B$2,$A$1:$Z$1,0))&amp;""),""),9,2)))+TIME(VALUE(MID(IFERROR(TRIM(INDEX($A168:$Z168,MATCH(Lists!$B$2,$A$1:$Z$1,0))&amp;""),""),12,2)),VALUE(MID(IFERROR(TRIM(INDEX($A168:$Z168,MATCH(Lists!$B$2,$A$1:$Z$1,0))&amp;""),""),15,2)),VALUE(MID(IFERROR(TRIM(INDEX($A168:$Z168,MATCH(Lists!$B$2,$A$1:$Z$1,0))&amp;""),""),18,2)))),"")="",100000+ROW()/10^7,IFERROR(IF(ISNUMBER(INDEX($A168:$Z168,MATCH(Lists!$B$2,$A$1:$Z$1,0))),INDEX($A168:$Z168,MATCH(Lists!$B$2,$A$1:$Z$1,0)),DATE(VALUE(LEFT(IFERROR(TRIM(INDEX($A168:$Z168,MATCH(Lists!$B$2,$A$1:$Z$1,0))&amp;""),""),4)),VALUE(MID(IFERROR(TRIM(INDEX($A168:$Z168,MATCH(Lists!$B$2,$A$1:$Z$1,0))&amp;""),""),6,2)),VALUE(MID(IFERROR(TRIM(INDEX($A168:$Z168,MATCH(Lists!$B$2,$A$1:$Z$1,0))&amp;""),""),9,2)))+TIME(VALUE(MID(IFERROR(TRIM(INDEX($A168:$Z168,MATCH(Lists!$B$2,$A$1:$Z$1,0))&amp;""),""),12,2)),VALUE(MID(IFERROR(TRIM(INDEX($A168:$Z168,MATCH(Lists!$B$2,$A$1:$Z$1,0))&amp;""),""),15,2)),VALUE(MID(IFERROR(TRIM(INDEX($A168:$Z168,MATCH(Lists!$B$2,$A$1:$Z$1,0))&amp;""),""),18,2)))),"")-ROW()/10^7),"")</f>
        <v/>
      </c>
    </row>
    <row r="169">
      <c r="AB169" s="36">
        <f>IF($AR169=1,COUNTIF($AS$2:$AS$201,"&lt;"&amp;$AS169)+1,"")</f>
        <v/>
      </c>
      <c r="AC169" s="37">
        <f>IFERROR(TRIM(INDEX($A169:$Z169,MATCH(Lists!$B$9,$A$1:$Z$1,0))&amp;""),"")</f>
        <v/>
      </c>
      <c r="AD169" s="37">
        <f>IF($AR169=1,IFERROR(TRIM(INDEX($A169:$Z169,MATCH(Lists!$B$10,$A$1:$Z$1,0))&amp;""),""),"")</f>
        <v/>
      </c>
      <c r="AE169" s="37">
        <f>IF($AR169=1,IFERROR(TRIM(INDEX($A169:$Z169,MATCH(Lists!$B$12,$A$1:$Z$1,0))&amp;""),""),"")</f>
        <v/>
      </c>
      <c r="AF169" s="38">
        <f>IF($AR169=1,IFERROR(IF(TRIM(INDEX($A169:$Z169,MATCH(Lists!$B$11,$A$1:$Z$1,0))&amp;"")="","",VALUE(TRIM(INDEX($A169:$Z169,MATCH(Lists!$B$11,$A$1:$Z$1,0))&amp;""))),""),"")</f>
        <v/>
      </c>
      <c r="AG169" s="38">
        <f>IF(OR($AR169=0,$AF169="",'Start here'!$F$10="",'Start here'!$F$11="",'Start here'!$F$12="",'Start here'!$F$13="",'Start here'!$F$14=""),"",IF($AF169&lt;'Start here'!$F$10,'Start here'!$F$11,IF($AF169&lt;'Start here'!$F$12,'Start here'!$F$13,'Start here'!$F$14)))</f>
        <v/>
      </c>
      <c r="AH169" s="38">
        <f>IF(OR($AG169="",'Start here'!$F$9=""),"",IF($AF169&lt;=0,"",IFERROR(MAX($AG169,ROUNDUP(ROUND($AF169*'Start here'!$F$9/$AG169,6),0)*$AG169),"")))</f>
        <v/>
      </c>
      <c r="AI169" s="37">
        <f>IF($AR169=0,"",IF($AN169=Lists!$B$19,"",IF(AND($AN169=Lists!$B$18,$AQ169&lt;&gt;""),$AQ169,IF(AND($AP169=Lists!$B$17,$AL169&lt;&gt;""),$AL169,$AK169))))</f>
        <v/>
      </c>
      <c r="AJ169" s="37">
        <f>IF($AR169=0,"",IF(IF($AF169="",", no value",IF($AF169&lt;=0,", no value",""))&amp;IF('Start here'!$F$15="","",IF(LEN($AD169)&lt;'Start here'!$F$15,", short description",""))="","OK",MID(IF($AF169="",", no value",IF($AF169&lt;=0,", no value",""))&amp;IF('Start here'!$F$15="","",IF(LEN($AD169)&lt;'Start here'!$F$15,", short description","")),3,200)))</f>
        <v/>
      </c>
      <c r="AK169" s="37">
        <f>IF($AR169=1,IFERROR(TRIM(INDEX($A169:$Z169,MATCH(Lists!$B$5,$A$1:$Z$1,0))&amp;""),""),"")</f>
        <v/>
      </c>
      <c r="AL169" s="37">
        <f>IF($AR169=1,IFERROR(TRIM(INDEX($A169:$Z169,MATCH(Lists!$B$4,$A$1:$Z$1,0))&amp;""),""),"")</f>
        <v/>
      </c>
      <c r="AM169" s="37">
        <f>IF($AR169=1,IFERROR(TRIM(INDEX($A169:$Z169,MATCH(Lists!$B$6,$A$1:$Z$1,0))&amp;""),""),"")</f>
        <v/>
      </c>
      <c r="AN169" s="37">
        <f>IF($AR169=1,IFERROR(TRIM(INDEX($A169:$Z169,MATCH(Lists!$B$7,$A$1:$Z$1,0))&amp;""),""),"")</f>
        <v/>
      </c>
      <c r="AO169" s="37">
        <f>IF($AR169=1,IFERROR(TRIM(INDEX($A169:$Z169,MATCH(Lists!$B$13,$A$1:$Z$1,0))&amp;""),""),"")</f>
        <v/>
      </c>
      <c r="AP169" s="37">
        <f>IF($AR169=1,IFERROR(TRIM(INDEX($A169:$Z169,MATCH(Lists!$B$3,$A$1:$Z$1,0))&amp;""),""),"")</f>
        <v/>
      </c>
      <c r="AQ169" s="37">
        <f>IF($AR169=1,IFERROR(TRIM(INDEX($A169:$Z169,MATCH(Lists!$B$8,$A$1:$Z$1,0))&amp;""),""),"")</f>
        <v/>
      </c>
      <c r="AR169" s="36">
        <f>IF(LEN($AC169)&gt;0,1,0)</f>
        <v/>
      </c>
      <c r="AS169" s="37">
        <f>IF($AR169=1,IF(IFERROR(IF(ISNUMBER(INDEX($A169:$Z169,MATCH(Lists!$B$2,$A$1:$Z$1,0))),INDEX($A169:$Z169,MATCH(Lists!$B$2,$A$1:$Z$1,0)),DATE(VALUE(LEFT(IFERROR(TRIM(INDEX($A169:$Z169,MATCH(Lists!$B$2,$A$1:$Z$1,0))&amp;""),""),4)),VALUE(MID(IFERROR(TRIM(INDEX($A169:$Z169,MATCH(Lists!$B$2,$A$1:$Z$1,0))&amp;""),""),6,2)),VALUE(MID(IFERROR(TRIM(INDEX($A169:$Z169,MATCH(Lists!$B$2,$A$1:$Z$1,0))&amp;""),""),9,2)))+TIME(VALUE(MID(IFERROR(TRIM(INDEX($A169:$Z169,MATCH(Lists!$B$2,$A$1:$Z$1,0))&amp;""),""),12,2)),VALUE(MID(IFERROR(TRIM(INDEX($A169:$Z169,MATCH(Lists!$B$2,$A$1:$Z$1,0))&amp;""),""),15,2)),VALUE(MID(IFERROR(TRIM(INDEX($A169:$Z169,MATCH(Lists!$B$2,$A$1:$Z$1,0))&amp;""),""),18,2)))),"")="",100000+ROW()/10^7,IFERROR(IF(ISNUMBER(INDEX($A169:$Z169,MATCH(Lists!$B$2,$A$1:$Z$1,0))),INDEX($A169:$Z169,MATCH(Lists!$B$2,$A$1:$Z$1,0)),DATE(VALUE(LEFT(IFERROR(TRIM(INDEX($A169:$Z169,MATCH(Lists!$B$2,$A$1:$Z$1,0))&amp;""),""),4)),VALUE(MID(IFERROR(TRIM(INDEX($A169:$Z169,MATCH(Lists!$B$2,$A$1:$Z$1,0))&amp;""),""),6,2)),VALUE(MID(IFERROR(TRIM(INDEX($A169:$Z169,MATCH(Lists!$B$2,$A$1:$Z$1,0))&amp;""),""),9,2)))+TIME(VALUE(MID(IFERROR(TRIM(INDEX($A169:$Z169,MATCH(Lists!$B$2,$A$1:$Z$1,0))&amp;""),""),12,2)),VALUE(MID(IFERROR(TRIM(INDEX($A169:$Z169,MATCH(Lists!$B$2,$A$1:$Z$1,0))&amp;""),""),15,2)),VALUE(MID(IFERROR(TRIM(INDEX($A169:$Z169,MATCH(Lists!$B$2,$A$1:$Z$1,0))&amp;""),""),18,2)))),"")-ROW()/10^7),"")</f>
        <v/>
      </c>
    </row>
    <row r="170">
      <c r="AB170" s="36">
        <f>IF($AR170=1,COUNTIF($AS$2:$AS$201,"&lt;"&amp;$AS170)+1,"")</f>
        <v/>
      </c>
      <c r="AC170" s="37">
        <f>IFERROR(TRIM(INDEX($A170:$Z170,MATCH(Lists!$B$9,$A$1:$Z$1,0))&amp;""),"")</f>
        <v/>
      </c>
      <c r="AD170" s="37">
        <f>IF($AR170=1,IFERROR(TRIM(INDEX($A170:$Z170,MATCH(Lists!$B$10,$A$1:$Z$1,0))&amp;""),""),"")</f>
        <v/>
      </c>
      <c r="AE170" s="37">
        <f>IF($AR170=1,IFERROR(TRIM(INDEX($A170:$Z170,MATCH(Lists!$B$12,$A$1:$Z$1,0))&amp;""),""),"")</f>
        <v/>
      </c>
      <c r="AF170" s="38">
        <f>IF($AR170=1,IFERROR(IF(TRIM(INDEX($A170:$Z170,MATCH(Lists!$B$11,$A$1:$Z$1,0))&amp;"")="","",VALUE(TRIM(INDEX($A170:$Z170,MATCH(Lists!$B$11,$A$1:$Z$1,0))&amp;""))),""),"")</f>
        <v/>
      </c>
      <c r="AG170" s="38">
        <f>IF(OR($AR170=0,$AF170="",'Start here'!$F$10="",'Start here'!$F$11="",'Start here'!$F$12="",'Start here'!$F$13="",'Start here'!$F$14=""),"",IF($AF170&lt;'Start here'!$F$10,'Start here'!$F$11,IF($AF170&lt;'Start here'!$F$12,'Start here'!$F$13,'Start here'!$F$14)))</f>
        <v/>
      </c>
      <c r="AH170" s="38">
        <f>IF(OR($AG170="",'Start here'!$F$9=""),"",IF($AF170&lt;=0,"",IFERROR(MAX($AG170,ROUNDUP(ROUND($AF170*'Start here'!$F$9/$AG170,6),0)*$AG170),"")))</f>
        <v/>
      </c>
      <c r="AI170" s="37">
        <f>IF($AR170=0,"",IF($AN170=Lists!$B$19,"",IF(AND($AN170=Lists!$B$18,$AQ170&lt;&gt;""),$AQ170,IF(AND($AP170=Lists!$B$17,$AL170&lt;&gt;""),$AL170,$AK170))))</f>
        <v/>
      </c>
      <c r="AJ170" s="37">
        <f>IF($AR170=0,"",IF(IF($AF170="",", no value",IF($AF170&lt;=0,", no value",""))&amp;IF('Start here'!$F$15="","",IF(LEN($AD170)&lt;'Start here'!$F$15,", short description",""))="","OK",MID(IF($AF170="",", no value",IF($AF170&lt;=0,", no value",""))&amp;IF('Start here'!$F$15="","",IF(LEN($AD170)&lt;'Start here'!$F$15,", short description","")),3,200)))</f>
        <v/>
      </c>
      <c r="AK170" s="37">
        <f>IF($AR170=1,IFERROR(TRIM(INDEX($A170:$Z170,MATCH(Lists!$B$5,$A$1:$Z$1,0))&amp;""),""),"")</f>
        <v/>
      </c>
      <c r="AL170" s="37">
        <f>IF($AR170=1,IFERROR(TRIM(INDEX($A170:$Z170,MATCH(Lists!$B$4,$A$1:$Z$1,0))&amp;""),""),"")</f>
        <v/>
      </c>
      <c r="AM170" s="37">
        <f>IF($AR170=1,IFERROR(TRIM(INDEX($A170:$Z170,MATCH(Lists!$B$6,$A$1:$Z$1,0))&amp;""),""),"")</f>
        <v/>
      </c>
      <c r="AN170" s="37">
        <f>IF($AR170=1,IFERROR(TRIM(INDEX($A170:$Z170,MATCH(Lists!$B$7,$A$1:$Z$1,0))&amp;""),""),"")</f>
        <v/>
      </c>
      <c r="AO170" s="37">
        <f>IF($AR170=1,IFERROR(TRIM(INDEX($A170:$Z170,MATCH(Lists!$B$13,$A$1:$Z$1,0))&amp;""),""),"")</f>
        <v/>
      </c>
      <c r="AP170" s="37">
        <f>IF($AR170=1,IFERROR(TRIM(INDEX($A170:$Z170,MATCH(Lists!$B$3,$A$1:$Z$1,0))&amp;""),""),"")</f>
        <v/>
      </c>
      <c r="AQ170" s="37">
        <f>IF($AR170=1,IFERROR(TRIM(INDEX($A170:$Z170,MATCH(Lists!$B$8,$A$1:$Z$1,0))&amp;""),""),"")</f>
        <v/>
      </c>
      <c r="AR170" s="36">
        <f>IF(LEN($AC170)&gt;0,1,0)</f>
        <v/>
      </c>
      <c r="AS170" s="37">
        <f>IF($AR170=1,IF(IFERROR(IF(ISNUMBER(INDEX($A170:$Z170,MATCH(Lists!$B$2,$A$1:$Z$1,0))),INDEX($A170:$Z170,MATCH(Lists!$B$2,$A$1:$Z$1,0)),DATE(VALUE(LEFT(IFERROR(TRIM(INDEX($A170:$Z170,MATCH(Lists!$B$2,$A$1:$Z$1,0))&amp;""),""),4)),VALUE(MID(IFERROR(TRIM(INDEX($A170:$Z170,MATCH(Lists!$B$2,$A$1:$Z$1,0))&amp;""),""),6,2)),VALUE(MID(IFERROR(TRIM(INDEX($A170:$Z170,MATCH(Lists!$B$2,$A$1:$Z$1,0))&amp;""),""),9,2)))+TIME(VALUE(MID(IFERROR(TRIM(INDEX($A170:$Z170,MATCH(Lists!$B$2,$A$1:$Z$1,0))&amp;""),""),12,2)),VALUE(MID(IFERROR(TRIM(INDEX($A170:$Z170,MATCH(Lists!$B$2,$A$1:$Z$1,0))&amp;""),""),15,2)),VALUE(MID(IFERROR(TRIM(INDEX($A170:$Z170,MATCH(Lists!$B$2,$A$1:$Z$1,0))&amp;""),""),18,2)))),"")="",100000+ROW()/10^7,IFERROR(IF(ISNUMBER(INDEX($A170:$Z170,MATCH(Lists!$B$2,$A$1:$Z$1,0))),INDEX($A170:$Z170,MATCH(Lists!$B$2,$A$1:$Z$1,0)),DATE(VALUE(LEFT(IFERROR(TRIM(INDEX($A170:$Z170,MATCH(Lists!$B$2,$A$1:$Z$1,0))&amp;""),""),4)),VALUE(MID(IFERROR(TRIM(INDEX($A170:$Z170,MATCH(Lists!$B$2,$A$1:$Z$1,0))&amp;""),""),6,2)),VALUE(MID(IFERROR(TRIM(INDEX($A170:$Z170,MATCH(Lists!$B$2,$A$1:$Z$1,0))&amp;""),""),9,2)))+TIME(VALUE(MID(IFERROR(TRIM(INDEX($A170:$Z170,MATCH(Lists!$B$2,$A$1:$Z$1,0))&amp;""),""),12,2)),VALUE(MID(IFERROR(TRIM(INDEX($A170:$Z170,MATCH(Lists!$B$2,$A$1:$Z$1,0))&amp;""),""),15,2)),VALUE(MID(IFERROR(TRIM(INDEX($A170:$Z170,MATCH(Lists!$B$2,$A$1:$Z$1,0))&amp;""),""),18,2)))),"")-ROW()/10^7),"")</f>
        <v/>
      </c>
    </row>
    <row r="171">
      <c r="AB171" s="36">
        <f>IF($AR171=1,COUNTIF($AS$2:$AS$201,"&lt;"&amp;$AS171)+1,"")</f>
        <v/>
      </c>
      <c r="AC171" s="37">
        <f>IFERROR(TRIM(INDEX($A171:$Z171,MATCH(Lists!$B$9,$A$1:$Z$1,0))&amp;""),"")</f>
        <v/>
      </c>
      <c r="AD171" s="37">
        <f>IF($AR171=1,IFERROR(TRIM(INDEX($A171:$Z171,MATCH(Lists!$B$10,$A$1:$Z$1,0))&amp;""),""),"")</f>
        <v/>
      </c>
      <c r="AE171" s="37">
        <f>IF($AR171=1,IFERROR(TRIM(INDEX($A171:$Z171,MATCH(Lists!$B$12,$A$1:$Z$1,0))&amp;""),""),"")</f>
        <v/>
      </c>
      <c r="AF171" s="38">
        <f>IF($AR171=1,IFERROR(IF(TRIM(INDEX($A171:$Z171,MATCH(Lists!$B$11,$A$1:$Z$1,0))&amp;"")="","",VALUE(TRIM(INDEX($A171:$Z171,MATCH(Lists!$B$11,$A$1:$Z$1,0))&amp;""))),""),"")</f>
        <v/>
      </c>
      <c r="AG171" s="38">
        <f>IF(OR($AR171=0,$AF171="",'Start here'!$F$10="",'Start here'!$F$11="",'Start here'!$F$12="",'Start here'!$F$13="",'Start here'!$F$14=""),"",IF($AF171&lt;'Start here'!$F$10,'Start here'!$F$11,IF($AF171&lt;'Start here'!$F$12,'Start here'!$F$13,'Start here'!$F$14)))</f>
        <v/>
      </c>
      <c r="AH171" s="38">
        <f>IF(OR($AG171="",'Start here'!$F$9=""),"",IF($AF171&lt;=0,"",IFERROR(MAX($AG171,ROUNDUP(ROUND($AF171*'Start here'!$F$9/$AG171,6),0)*$AG171),"")))</f>
        <v/>
      </c>
      <c r="AI171" s="37">
        <f>IF($AR171=0,"",IF($AN171=Lists!$B$19,"",IF(AND($AN171=Lists!$B$18,$AQ171&lt;&gt;""),$AQ171,IF(AND($AP171=Lists!$B$17,$AL171&lt;&gt;""),$AL171,$AK171))))</f>
        <v/>
      </c>
      <c r="AJ171" s="37">
        <f>IF($AR171=0,"",IF(IF($AF171="",", no value",IF($AF171&lt;=0,", no value",""))&amp;IF('Start here'!$F$15="","",IF(LEN($AD171)&lt;'Start here'!$F$15,", short description",""))="","OK",MID(IF($AF171="",", no value",IF($AF171&lt;=0,", no value",""))&amp;IF('Start here'!$F$15="","",IF(LEN($AD171)&lt;'Start here'!$F$15,", short description","")),3,200)))</f>
        <v/>
      </c>
      <c r="AK171" s="37">
        <f>IF($AR171=1,IFERROR(TRIM(INDEX($A171:$Z171,MATCH(Lists!$B$5,$A$1:$Z$1,0))&amp;""),""),"")</f>
        <v/>
      </c>
      <c r="AL171" s="37">
        <f>IF($AR171=1,IFERROR(TRIM(INDEX($A171:$Z171,MATCH(Lists!$B$4,$A$1:$Z$1,0))&amp;""),""),"")</f>
        <v/>
      </c>
      <c r="AM171" s="37">
        <f>IF($AR171=1,IFERROR(TRIM(INDEX($A171:$Z171,MATCH(Lists!$B$6,$A$1:$Z$1,0))&amp;""),""),"")</f>
        <v/>
      </c>
      <c r="AN171" s="37">
        <f>IF($AR171=1,IFERROR(TRIM(INDEX($A171:$Z171,MATCH(Lists!$B$7,$A$1:$Z$1,0))&amp;""),""),"")</f>
        <v/>
      </c>
      <c r="AO171" s="37">
        <f>IF($AR171=1,IFERROR(TRIM(INDEX($A171:$Z171,MATCH(Lists!$B$13,$A$1:$Z$1,0))&amp;""),""),"")</f>
        <v/>
      </c>
      <c r="AP171" s="37">
        <f>IF($AR171=1,IFERROR(TRIM(INDEX($A171:$Z171,MATCH(Lists!$B$3,$A$1:$Z$1,0))&amp;""),""),"")</f>
        <v/>
      </c>
      <c r="AQ171" s="37">
        <f>IF($AR171=1,IFERROR(TRIM(INDEX($A171:$Z171,MATCH(Lists!$B$8,$A$1:$Z$1,0))&amp;""),""),"")</f>
        <v/>
      </c>
      <c r="AR171" s="36">
        <f>IF(LEN($AC171)&gt;0,1,0)</f>
        <v/>
      </c>
      <c r="AS171" s="37">
        <f>IF($AR171=1,IF(IFERROR(IF(ISNUMBER(INDEX($A171:$Z171,MATCH(Lists!$B$2,$A$1:$Z$1,0))),INDEX($A171:$Z171,MATCH(Lists!$B$2,$A$1:$Z$1,0)),DATE(VALUE(LEFT(IFERROR(TRIM(INDEX($A171:$Z171,MATCH(Lists!$B$2,$A$1:$Z$1,0))&amp;""),""),4)),VALUE(MID(IFERROR(TRIM(INDEX($A171:$Z171,MATCH(Lists!$B$2,$A$1:$Z$1,0))&amp;""),""),6,2)),VALUE(MID(IFERROR(TRIM(INDEX($A171:$Z171,MATCH(Lists!$B$2,$A$1:$Z$1,0))&amp;""),""),9,2)))+TIME(VALUE(MID(IFERROR(TRIM(INDEX($A171:$Z171,MATCH(Lists!$B$2,$A$1:$Z$1,0))&amp;""),""),12,2)),VALUE(MID(IFERROR(TRIM(INDEX($A171:$Z171,MATCH(Lists!$B$2,$A$1:$Z$1,0))&amp;""),""),15,2)),VALUE(MID(IFERROR(TRIM(INDEX($A171:$Z171,MATCH(Lists!$B$2,$A$1:$Z$1,0))&amp;""),""),18,2)))),"")="",100000+ROW()/10^7,IFERROR(IF(ISNUMBER(INDEX($A171:$Z171,MATCH(Lists!$B$2,$A$1:$Z$1,0))),INDEX($A171:$Z171,MATCH(Lists!$B$2,$A$1:$Z$1,0)),DATE(VALUE(LEFT(IFERROR(TRIM(INDEX($A171:$Z171,MATCH(Lists!$B$2,$A$1:$Z$1,0))&amp;""),""),4)),VALUE(MID(IFERROR(TRIM(INDEX($A171:$Z171,MATCH(Lists!$B$2,$A$1:$Z$1,0))&amp;""),""),6,2)),VALUE(MID(IFERROR(TRIM(INDEX($A171:$Z171,MATCH(Lists!$B$2,$A$1:$Z$1,0))&amp;""),""),9,2)))+TIME(VALUE(MID(IFERROR(TRIM(INDEX($A171:$Z171,MATCH(Lists!$B$2,$A$1:$Z$1,0))&amp;""),""),12,2)),VALUE(MID(IFERROR(TRIM(INDEX($A171:$Z171,MATCH(Lists!$B$2,$A$1:$Z$1,0))&amp;""),""),15,2)),VALUE(MID(IFERROR(TRIM(INDEX($A171:$Z171,MATCH(Lists!$B$2,$A$1:$Z$1,0))&amp;""),""),18,2)))),"")-ROW()/10^7),"")</f>
        <v/>
      </c>
    </row>
    <row r="172">
      <c r="AB172" s="36">
        <f>IF($AR172=1,COUNTIF($AS$2:$AS$201,"&lt;"&amp;$AS172)+1,"")</f>
        <v/>
      </c>
      <c r="AC172" s="37">
        <f>IFERROR(TRIM(INDEX($A172:$Z172,MATCH(Lists!$B$9,$A$1:$Z$1,0))&amp;""),"")</f>
        <v/>
      </c>
      <c r="AD172" s="37">
        <f>IF($AR172=1,IFERROR(TRIM(INDEX($A172:$Z172,MATCH(Lists!$B$10,$A$1:$Z$1,0))&amp;""),""),"")</f>
        <v/>
      </c>
      <c r="AE172" s="37">
        <f>IF($AR172=1,IFERROR(TRIM(INDEX($A172:$Z172,MATCH(Lists!$B$12,$A$1:$Z$1,0))&amp;""),""),"")</f>
        <v/>
      </c>
      <c r="AF172" s="38">
        <f>IF($AR172=1,IFERROR(IF(TRIM(INDEX($A172:$Z172,MATCH(Lists!$B$11,$A$1:$Z$1,0))&amp;"")="","",VALUE(TRIM(INDEX($A172:$Z172,MATCH(Lists!$B$11,$A$1:$Z$1,0))&amp;""))),""),"")</f>
        <v/>
      </c>
      <c r="AG172" s="38">
        <f>IF(OR($AR172=0,$AF172="",'Start here'!$F$10="",'Start here'!$F$11="",'Start here'!$F$12="",'Start here'!$F$13="",'Start here'!$F$14=""),"",IF($AF172&lt;'Start here'!$F$10,'Start here'!$F$11,IF($AF172&lt;'Start here'!$F$12,'Start here'!$F$13,'Start here'!$F$14)))</f>
        <v/>
      </c>
      <c r="AH172" s="38">
        <f>IF(OR($AG172="",'Start here'!$F$9=""),"",IF($AF172&lt;=0,"",IFERROR(MAX($AG172,ROUNDUP(ROUND($AF172*'Start here'!$F$9/$AG172,6),0)*$AG172),"")))</f>
        <v/>
      </c>
      <c r="AI172" s="37">
        <f>IF($AR172=0,"",IF($AN172=Lists!$B$19,"",IF(AND($AN172=Lists!$B$18,$AQ172&lt;&gt;""),$AQ172,IF(AND($AP172=Lists!$B$17,$AL172&lt;&gt;""),$AL172,$AK172))))</f>
        <v/>
      </c>
      <c r="AJ172" s="37">
        <f>IF($AR172=0,"",IF(IF($AF172="",", no value",IF($AF172&lt;=0,", no value",""))&amp;IF('Start here'!$F$15="","",IF(LEN($AD172)&lt;'Start here'!$F$15,", short description",""))="","OK",MID(IF($AF172="",", no value",IF($AF172&lt;=0,", no value",""))&amp;IF('Start here'!$F$15="","",IF(LEN($AD172)&lt;'Start here'!$F$15,", short description","")),3,200)))</f>
        <v/>
      </c>
      <c r="AK172" s="37">
        <f>IF($AR172=1,IFERROR(TRIM(INDEX($A172:$Z172,MATCH(Lists!$B$5,$A$1:$Z$1,0))&amp;""),""),"")</f>
        <v/>
      </c>
      <c r="AL172" s="37">
        <f>IF($AR172=1,IFERROR(TRIM(INDEX($A172:$Z172,MATCH(Lists!$B$4,$A$1:$Z$1,0))&amp;""),""),"")</f>
        <v/>
      </c>
      <c r="AM172" s="37">
        <f>IF($AR172=1,IFERROR(TRIM(INDEX($A172:$Z172,MATCH(Lists!$B$6,$A$1:$Z$1,0))&amp;""),""),"")</f>
        <v/>
      </c>
      <c r="AN172" s="37">
        <f>IF($AR172=1,IFERROR(TRIM(INDEX($A172:$Z172,MATCH(Lists!$B$7,$A$1:$Z$1,0))&amp;""),""),"")</f>
        <v/>
      </c>
      <c r="AO172" s="37">
        <f>IF($AR172=1,IFERROR(TRIM(INDEX($A172:$Z172,MATCH(Lists!$B$13,$A$1:$Z$1,0))&amp;""),""),"")</f>
        <v/>
      </c>
      <c r="AP172" s="37">
        <f>IF($AR172=1,IFERROR(TRIM(INDEX($A172:$Z172,MATCH(Lists!$B$3,$A$1:$Z$1,0))&amp;""),""),"")</f>
        <v/>
      </c>
      <c r="AQ172" s="37">
        <f>IF($AR172=1,IFERROR(TRIM(INDEX($A172:$Z172,MATCH(Lists!$B$8,$A$1:$Z$1,0))&amp;""),""),"")</f>
        <v/>
      </c>
      <c r="AR172" s="36">
        <f>IF(LEN($AC172)&gt;0,1,0)</f>
        <v/>
      </c>
      <c r="AS172" s="37">
        <f>IF($AR172=1,IF(IFERROR(IF(ISNUMBER(INDEX($A172:$Z172,MATCH(Lists!$B$2,$A$1:$Z$1,0))),INDEX($A172:$Z172,MATCH(Lists!$B$2,$A$1:$Z$1,0)),DATE(VALUE(LEFT(IFERROR(TRIM(INDEX($A172:$Z172,MATCH(Lists!$B$2,$A$1:$Z$1,0))&amp;""),""),4)),VALUE(MID(IFERROR(TRIM(INDEX($A172:$Z172,MATCH(Lists!$B$2,$A$1:$Z$1,0))&amp;""),""),6,2)),VALUE(MID(IFERROR(TRIM(INDEX($A172:$Z172,MATCH(Lists!$B$2,$A$1:$Z$1,0))&amp;""),""),9,2)))+TIME(VALUE(MID(IFERROR(TRIM(INDEX($A172:$Z172,MATCH(Lists!$B$2,$A$1:$Z$1,0))&amp;""),""),12,2)),VALUE(MID(IFERROR(TRIM(INDEX($A172:$Z172,MATCH(Lists!$B$2,$A$1:$Z$1,0))&amp;""),""),15,2)),VALUE(MID(IFERROR(TRIM(INDEX($A172:$Z172,MATCH(Lists!$B$2,$A$1:$Z$1,0))&amp;""),""),18,2)))),"")="",100000+ROW()/10^7,IFERROR(IF(ISNUMBER(INDEX($A172:$Z172,MATCH(Lists!$B$2,$A$1:$Z$1,0))),INDEX($A172:$Z172,MATCH(Lists!$B$2,$A$1:$Z$1,0)),DATE(VALUE(LEFT(IFERROR(TRIM(INDEX($A172:$Z172,MATCH(Lists!$B$2,$A$1:$Z$1,0))&amp;""),""),4)),VALUE(MID(IFERROR(TRIM(INDEX($A172:$Z172,MATCH(Lists!$B$2,$A$1:$Z$1,0))&amp;""),""),6,2)),VALUE(MID(IFERROR(TRIM(INDEX($A172:$Z172,MATCH(Lists!$B$2,$A$1:$Z$1,0))&amp;""),""),9,2)))+TIME(VALUE(MID(IFERROR(TRIM(INDEX($A172:$Z172,MATCH(Lists!$B$2,$A$1:$Z$1,0))&amp;""),""),12,2)),VALUE(MID(IFERROR(TRIM(INDEX($A172:$Z172,MATCH(Lists!$B$2,$A$1:$Z$1,0))&amp;""),""),15,2)),VALUE(MID(IFERROR(TRIM(INDEX($A172:$Z172,MATCH(Lists!$B$2,$A$1:$Z$1,0))&amp;""),""),18,2)))),"")-ROW()/10^7),"")</f>
        <v/>
      </c>
    </row>
    <row r="173">
      <c r="AB173" s="36">
        <f>IF($AR173=1,COUNTIF($AS$2:$AS$201,"&lt;"&amp;$AS173)+1,"")</f>
        <v/>
      </c>
      <c r="AC173" s="37">
        <f>IFERROR(TRIM(INDEX($A173:$Z173,MATCH(Lists!$B$9,$A$1:$Z$1,0))&amp;""),"")</f>
        <v/>
      </c>
      <c r="AD173" s="37">
        <f>IF($AR173=1,IFERROR(TRIM(INDEX($A173:$Z173,MATCH(Lists!$B$10,$A$1:$Z$1,0))&amp;""),""),"")</f>
        <v/>
      </c>
      <c r="AE173" s="37">
        <f>IF($AR173=1,IFERROR(TRIM(INDEX($A173:$Z173,MATCH(Lists!$B$12,$A$1:$Z$1,0))&amp;""),""),"")</f>
        <v/>
      </c>
      <c r="AF173" s="38">
        <f>IF($AR173=1,IFERROR(IF(TRIM(INDEX($A173:$Z173,MATCH(Lists!$B$11,$A$1:$Z$1,0))&amp;"")="","",VALUE(TRIM(INDEX($A173:$Z173,MATCH(Lists!$B$11,$A$1:$Z$1,0))&amp;""))),""),"")</f>
        <v/>
      </c>
      <c r="AG173" s="38">
        <f>IF(OR($AR173=0,$AF173="",'Start here'!$F$10="",'Start here'!$F$11="",'Start here'!$F$12="",'Start here'!$F$13="",'Start here'!$F$14=""),"",IF($AF173&lt;'Start here'!$F$10,'Start here'!$F$11,IF($AF173&lt;'Start here'!$F$12,'Start here'!$F$13,'Start here'!$F$14)))</f>
        <v/>
      </c>
      <c r="AH173" s="38">
        <f>IF(OR($AG173="",'Start here'!$F$9=""),"",IF($AF173&lt;=0,"",IFERROR(MAX($AG173,ROUNDUP(ROUND($AF173*'Start here'!$F$9/$AG173,6),0)*$AG173),"")))</f>
        <v/>
      </c>
      <c r="AI173" s="37">
        <f>IF($AR173=0,"",IF($AN173=Lists!$B$19,"",IF(AND($AN173=Lists!$B$18,$AQ173&lt;&gt;""),$AQ173,IF(AND($AP173=Lists!$B$17,$AL173&lt;&gt;""),$AL173,$AK173))))</f>
        <v/>
      </c>
      <c r="AJ173" s="37">
        <f>IF($AR173=0,"",IF(IF($AF173="",", no value",IF($AF173&lt;=0,", no value",""))&amp;IF('Start here'!$F$15="","",IF(LEN($AD173)&lt;'Start here'!$F$15,", short description",""))="","OK",MID(IF($AF173="",", no value",IF($AF173&lt;=0,", no value",""))&amp;IF('Start here'!$F$15="","",IF(LEN($AD173)&lt;'Start here'!$F$15,", short description","")),3,200)))</f>
        <v/>
      </c>
      <c r="AK173" s="37">
        <f>IF($AR173=1,IFERROR(TRIM(INDEX($A173:$Z173,MATCH(Lists!$B$5,$A$1:$Z$1,0))&amp;""),""),"")</f>
        <v/>
      </c>
      <c r="AL173" s="37">
        <f>IF($AR173=1,IFERROR(TRIM(INDEX($A173:$Z173,MATCH(Lists!$B$4,$A$1:$Z$1,0))&amp;""),""),"")</f>
        <v/>
      </c>
      <c r="AM173" s="37">
        <f>IF($AR173=1,IFERROR(TRIM(INDEX($A173:$Z173,MATCH(Lists!$B$6,$A$1:$Z$1,0))&amp;""),""),"")</f>
        <v/>
      </c>
      <c r="AN173" s="37">
        <f>IF($AR173=1,IFERROR(TRIM(INDEX($A173:$Z173,MATCH(Lists!$B$7,$A$1:$Z$1,0))&amp;""),""),"")</f>
        <v/>
      </c>
      <c r="AO173" s="37">
        <f>IF($AR173=1,IFERROR(TRIM(INDEX($A173:$Z173,MATCH(Lists!$B$13,$A$1:$Z$1,0))&amp;""),""),"")</f>
        <v/>
      </c>
      <c r="AP173" s="37">
        <f>IF($AR173=1,IFERROR(TRIM(INDEX($A173:$Z173,MATCH(Lists!$B$3,$A$1:$Z$1,0))&amp;""),""),"")</f>
        <v/>
      </c>
      <c r="AQ173" s="37">
        <f>IF($AR173=1,IFERROR(TRIM(INDEX($A173:$Z173,MATCH(Lists!$B$8,$A$1:$Z$1,0))&amp;""),""),"")</f>
        <v/>
      </c>
      <c r="AR173" s="36">
        <f>IF(LEN($AC173)&gt;0,1,0)</f>
        <v/>
      </c>
      <c r="AS173" s="37">
        <f>IF($AR173=1,IF(IFERROR(IF(ISNUMBER(INDEX($A173:$Z173,MATCH(Lists!$B$2,$A$1:$Z$1,0))),INDEX($A173:$Z173,MATCH(Lists!$B$2,$A$1:$Z$1,0)),DATE(VALUE(LEFT(IFERROR(TRIM(INDEX($A173:$Z173,MATCH(Lists!$B$2,$A$1:$Z$1,0))&amp;""),""),4)),VALUE(MID(IFERROR(TRIM(INDEX($A173:$Z173,MATCH(Lists!$B$2,$A$1:$Z$1,0))&amp;""),""),6,2)),VALUE(MID(IFERROR(TRIM(INDEX($A173:$Z173,MATCH(Lists!$B$2,$A$1:$Z$1,0))&amp;""),""),9,2)))+TIME(VALUE(MID(IFERROR(TRIM(INDEX($A173:$Z173,MATCH(Lists!$B$2,$A$1:$Z$1,0))&amp;""),""),12,2)),VALUE(MID(IFERROR(TRIM(INDEX($A173:$Z173,MATCH(Lists!$B$2,$A$1:$Z$1,0))&amp;""),""),15,2)),VALUE(MID(IFERROR(TRIM(INDEX($A173:$Z173,MATCH(Lists!$B$2,$A$1:$Z$1,0))&amp;""),""),18,2)))),"")="",100000+ROW()/10^7,IFERROR(IF(ISNUMBER(INDEX($A173:$Z173,MATCH(Lists!$B$2,$A$1:$Z$1,0))),INDEX($A173:$Z173,MATCH(Lists!$B$2,$A$1:$Z$1,0)),DATE(VALUE(LEFT(IFERROR(TRIM(INDEX($A173:$Z173,MATCH(Lists!$B$2,$A$1:$Z$1,0))&amp;""),""),4)),VALUE(MID(IFERROR(TRIM(INDEX($A173:$Z173,MATCH(Lists!$B$2,$A$1:$Z$1,0))&amp;""),""),6,2)),VALUE(MID(IFERROR(TRIM(INDEX($A173:$Z173,MATCH(Lists!$B$2,$A$1:$Z$1,0))&amp;""),""),9,2)))+TIME(VALUE(MID(IFERROR(TRIM(INDEX($A173:$Z173,MATCH(Lists!$B$2,$A$1:$Z$1,0))&amp;""),""),12,2)),VALUE(MID(IFERROR(TRIM(INDEX($A173:$Z173,MATCH(Lists!$B$2,$A$1:$Z$1,0))&amp;""),""),15,2)),VALUE(MID(IFERROR(TRIM(INDEX($A173:$Z173,MATCH(Lists!$B$2,$A$1:$Z$1,0))&amp;""),""),18,2)))),"")-ROW()/10^7),"")</f>
        <v/>
      </c>
    </row>
    <row r="174">
      <c r="AB174" s="36">
        <f>IF($AR174=1,COUNTIF($AS$2:$AS$201,"&lt;"&amp;$AS174)+1,"")</f>
        <v/>
      </c>
      <c r="AC174" s="37">
        <f>IFERROR(TRIM(INDEX($A174:$Z174,MATCH(Lists!$B$9,$A$1:$Z$1,0))&amp;""),"")</f>
        <v/>
      </c>
      <c r="AD174" s="37">
        <f>IF($AR174=1,IFERROR(TRIM(INDEX($A174:$Z174,MATCH(Lists!$B$10,$A$1:$Z$1,0))&amp;""),""),"")</f>
        <v/>
      </c>
      <c r="AE174" s="37">
        <f>IF($AR174=1,IFERROR(TRIM(INDEX($A174:$Z174,MATCH(Lists!$B$12,$A$1:$Z$1,0))&amp;""),""),"")</f>
        <v/>
      </c>
      <c r="AF174" s="38">
        <f>IF($AR174=1,IFERROR(IF(TRIM(INDEX($A174:$Z174,MATCH(Lists!$B$11,$A$1:$Z$1,0))&amp;"")="","",VALUE(TRIM(INDEX($A174:$Z174,MATCH(Lists!$B$11,$A$1:$Z$1,0))&amp;""))),""),"")</f>
        <v/>
      </c>
      <c r="AG174" s="38">
        <f>IF(OR($AR174=0,$AF174="",'Start here'!$F$10="",'Start here'!$F$11="",'Start here'!$F$12="",'Start here'!$F$13="",'Start here'!$F$14=""),"",IF($AF174&lt;'Start here'!$F$10,'Start here'!$F$11,IF($AF174&lt;'Start here'!$F$12,'Start here'!$F$13,'Start here'!$F$14)))</f>
        <v/>
      </c>
      <c r="AH174" s="38">
        <f>IF(OR($AG174="",'Start here'!$F$9=""),"",IF($AF174&lt;=0,"",IFERROR(MAX($AG174,ROUNDUP(ROUND($AF174*'Start here'!$F$9/$AG174,6),0)*$AG174),"")))</f>
        <v/>
      </c>
      <c r="AI174" s="37">
        <f>IF($AR174=0,"",IF($AN174=Lists!$B$19,"",IF(AND($AN174=Lists!$B$18,$AQ174&lt;&gt;""),$AQ174,IF(AND($AP174=Lists!$B$17,$AL174&lt;&gt;""),$AL174,$AK174))))</f>
        <v/>
      </c>
      <c r="AJ174" s="37">
        <f>IF($AR174=0,"",IF(IF($AF174="",", no value",IF($AF174&lt;=0,", no value",""))&amp;IF('Start here'!$F$15="","",IF(LEN($AD174)&lt;'Start here'!$F$15,", short description",""))="","OK",MID(IF($AF174="",", no value",IF($AF174&lt;=0,", no value",""))&amp;IF('Start here'!$F$15="","",IF(LEN($AD174)&lt;'Start here'!$F$15,", short description","")),3,200)))</f>
        <v/>
      </c>
      <c r="AK174" s="37">
        <f>IF($AR174=1,IFERROR(TRIM(INDEX($A174:$Z174,MATCH(Lists!$B$5,$A$1:$Z$1,0))&amp;""),""),"")</f>
        <v/>
      </c>
      <c r="AL174" s="37">
        <f>IF($AR174=1,IFERROR(TRIM(INDEX($A174:$Z174,MATCH(Lists!$B$4,$A$1:$Z$1,0))&amp;""),""),"")</f>
        <v/>
      </c>
      <c r="AM174" s="37">
        <f>IF($AR174=1,IFERROR(TRIM(INDEX($A174:$Z174,MATCH(Lists!$B$6,$A$1:$Z$1,0))&amp;""),""),"")</f>
        <v/>
      </c>
      <c r="AN174" s="37">
        <f>IF($AR174=1,IFERROR(TRIM(INDEX($A174:$Z174,MATCH(Lists!$B$7,$A$1:$Z$1,0))&amp;""),""),"")</f>
        <v/>
      </c>
      <c r="AO174" s="37">
        <f>IF($AR174=1,IFERROR(TRIM(INDEX($A174:$Z174,MATCH(Lists!$B$13,$A$1:$Z$1,0))&amp;""),""),"")</f>
        <v/>
      </c>
      <c r="AP174" s="37">
        <f>IF($AR174=1,IFERROR(TRIM(INDEX($A174:$Z174,MATCH(Lists!$B$3,$A$1:$Z$1,0))&amp;""),""),"")</f>
        <v/>
      </c>
      <c r="AQ174" s="37">
        <f>IF($AR174=1,IFERROR(TRIM(INDEX($A174:$Z174,MATCH(Lists!$B$8,$A$1:$Z$1,0))&amp;""),""),"")</f>
        <v/>
      </c>
      <c r="AR174" s="36">
        <f>IF(LEN($AC174)&gt;0,1,0)</f>
        <v/>
      </c>
      <c r="AS174" s="37">
        <f>IF($AR174=1,IF(IFERROR(IF(ISNUMBER(INDEX($A174:$Z174,MATCH(Lists!$B$2,$A$1:$Z$1,0))),INDEX($A174:$Z174,MATCH(Lists!$B$2,$A$1:$Z$1,0)),DATE(VALUE(LEFT(IFERROR(TRIM(INDEX($A174:$Z174,MATCH(Lists!$B$2,$A$1:$Z$1,0))&amp;""),""),4)),VALUE(MID(IFERROR(TRIM(INDEX($A174:$Z174,MATCH(Lists!$B$2,$A$1:$Z$1,0))&amp;""),""),6,2)),VALUE(MID(IFERROR(TRIM(INDEX($A174:$Z174,MATCH(Lists!$B$2,$A$1:$Z$1,0))&amp;""),""),9,2)))+TIME(VALUE(MID(IFERROR(TRIM(INDEX($A174:$Z174,MATCH(Lists!$B$2,$A$1:$Z$1,0))&amp;""),""),12,2)),VALUE(MID(IFERROR(TRIM(INDEX($A174:$Z174,MATCH(Lists!$B$2,$A$1:$Z$1,0))&amp;""),""),15,2)),VALUE(MID(IFERROR(TRIM(INDEX($A174:$Z174,MATCH(Lists!$B$2,$A$1:$Z$1,0))&amp;""),""),18,2)))),"")="",100000+ROW()/10^7,IFERROR(IF(ISNUMBER(INDEX($A174:$Z174,MATCH(Lists!$B$2,$A$1:$Z$1,0))),INDEX($A174:$Z174,MATCH(Lists!$B$2,$A$1:$Z$1,0)),DATE(VALUE(LEFT(IFERROR(TRIM(INDEX($A174:$Z174,MATCH(Lists!$B$2,$A$1:$Z$1,0))&amp;""),""),4)),VALUE(MID(IFERROR(TRIM(INDEX($A174:$Z174,MATCH(Lists!$B$2,$A$1:$Z$1,0))&amp;""),""),6,2)),VALUE(MID(IFERROR(TRIM(INDEX($A174:$Z174,MATCH(Lists!$B$2,$A$1:$Z$1,0))&amp;""),""),9,2)))+TIME(VALUE(MID(IFERROR(TRIM(INDEX($A174:$Z174,MATCH(Lists!$B$2,$A$1:$Z$1,0))&amp;""),""),12,2)),VALUE(MID(IFERROR(TRIM(INDEX($A174:$Z174,MATCH(Lists!$B$2,$A$1:$Z$1,0))&amp;""),""),15,2)),VALUE(MID(IFERROR(TRIM(INDEX($A174:$Z174,MATCH(Lists!$B$2,$A$1:$Z$1,0))&amp;""),""),18,2)))),"")-ROW()/10^7),"")</f>
        <v/>
      </c>
    </row>
    <row r="175">
      <c r="AB175" s="36">
        <f>IF($AR175=1,COUNTIF($AS$2:$AS$201,"&lt;"&amp;$AS175)+1,"")</f>
        <v/>
      </c>
      <c r="AC175" s="37">
        <f>IFERROR(TRIM(INDEX($A175:$Z175,MATCH(Lists!$B$9,$A$1:$Z$1,0))&amp;""),"")</f>
        <v/>
      </c>
      <c r="AD175" s="37">
        <f>IF($AR175=1,IFERROR(TRIM(INDEX($A175:$Z175,MATCH(Lists!$B$10,$A$1:$Z$1,0))&amp;""),""),"")</f>
        <v/>
      </c>
      <c r="AE175" s="37">
        <f>IF($AR175=1,IFERROR(TRIM(INDEX($A175:$Z175,MATCH(Lists!$B$12,$A$1:$Z$1,0))&amp;""),""),"")</f>
        <v/>
      </c>
      <c r="AF175" s="38">
        <f>IF($AR175=1,IFERROR(IF(TRIM(INDEX($A175:$Z175,MATCH(Lists!$B$11,$A$1:$Z$1,0))&amp;"")="","",VALUE(TRIM(INDEX($A175:$Z175,MATCH(Lists!$B$11,$A$1:$Z$1,0))&amp;""))),""),"")</f>
        <v/>
      </c>
      <c r="AG175" s="38">
        <f>IF(OR($AR175=0,$AF175="",'Start here'!$F$10="",'Start here'!$F$11="",'Start here'!$F$12="",'Start here'!$F$13="",'Start here'!$F$14=""),"",IF($AF175&lt;'Start here'!$F$10,'Start here'!$F$11,IF($AF175&lt;'Start here'!$F$12,'Start here'!$F$13,'Start here'!$F$14)))</f>
        <v/>
      </c>
      <c r="AH175" s="38">
        <f>IF(OR($AG175="",'Start here'!$F$9=""),"",IF($AF175&lt;=0,"",IFERROR(MAX($AG175,ROUNDUP(ROUND($AF175*'Start here'!$F$9/$AG175,6),0)*$AG175),"")))</f>
        <v/>
      </c>
      <c r="AI175" s="37">
        <f>IF($AR175=0,"",IF($AN175=Lists!$B$19,"",IF(AND($AN175=Lists!$B$18,$AQ175&lt;&gt;""),$AQ175,IF(AND($AP175=Lists!$B$17,$AL175&lt;&gt;""),$AL175,$AK175))))</f>
        <v/>
      </c>
      <c r="AJ175" s="37">
        <f>IF($AR175=0,"",IF(IF($AF175="",", no value",IF($AF175&lt;=0,", no value",""))&amp;IF('Start here'!$F$15="","",IF(LEN($AD175)&lt;'Start here'!$F$15,", short description",""))="","OK",MID(IF($AF175="",", no value",IF($AF175&lt;=0,", no value",""))&amp;IF('Start here'!$F$15="","",IF(LEN($AD175)&lt;'Start here'!$F$15,", short description","")),3,200)))</f>
        <v/>
      </c>
      <c r="AK175" s="37">
        <f>IF($AR175=1,IFERROR(TRIM(INDEX($A175:$Z175,MATCH(Lists!$B$5,$A$1:$Z$1,0))&amp;""),""),"")</f>
        <v/>
      </c>
      <c r="AL175" s="37">
        <f>IF($AR175=1,IFERROR(TRIM(INDEX($A175:$Z175,MATCH(Lists!$B$4,$A$1:$Z$1,0))&amp;""),""),"")</f>
        <v/>
      </c>
      <c r="AM175" s="37">
        <f>IF($AR175=1,IFERROR(TRIM(INDEX($A175:$Z175,MATCH(Lists!$B$6,$A$1:$Z$1,0))&amp;""),""),"")</f>
        <v/>
      </c>
      <c r="AN175" s="37">
        <f>IF($AR175=1,IFERROR(TRIM(INDEX($A175:$Z175,MATCH(Lists!$B$7,$A$1:$Z$1,0))&amp;""),""),"")</f>
        <v/>
      </c>
      <c r="AO175" s="37">
        <f>IF($AR175=1,IFERROR(TRIM(INDEX($A175:$Z175,MATCH(Lists!$B$13,$A$1:$Z$1,0))&amp;""),""),"")</f>
        <v/>
      </c>
      <c r="AP175" s="37">
        <f>IF($AR175=1,IFERROR(TRIM(INDEX($A175:$Z175,MATCH(Lists!$B$3,$A$1:$Z$1,0))&amp;""),""),"")</f>
        <v/>
      </c>
      <c r="AQ175" s="37">
        <f>IF($AR175=1,IFERROR(TRIM(INDEX($A175:$Z175,MATCH(Lists!$B$8,$A$1:$Z$1,0))&amp;""),""),"")</f>
        <v/>
      </c>
      <c r="AR175" s="36">
        <f>IF(LEN($AC175)&gt;0,1,0)</f>
        <v/>
      </c>
      <c r="AS175" s="37">
        <f>IF($AR175=1,IF(IFERROR(IF(ISNUMBER(INDEX($A175:$Z175,MATCH(Lists!$B$2,$A$1:$Z$1,0))),INDEX($A175:$Z175,MATCH(Lists!$B$2,$A$1:$Z$1,0)),DATE(VALUE(LEFT(IFERROR(TRIM(INDEX($A175:$Z175,MATCH(Lists!$B$2,$A$1:$Z$1,0))&amp;""),""),4)),VALUE(MID(IFERROR(TRIM(INDEX($A175:$Z175,MATCH(Lists!$B$2,$A$1:$Z$1,0))&amp;""),""),6,2)),VALUE(MID(IFERROR(TRIM(INDEX($A175:$Z175,MATCH(Lists!$B$2,$A$1:$Z$1,0))&amp;""),""),9,2)))+TIME(VALUE(MID(IFERROR(TRIM(INDEX($A175:$Z175,MATCH(Lists!$B$2,$A$1:$Z$1,0))&amp;""),""),12,2)),VALUE(MID(IFERROR(TRIM(INDEX($A175:$Z175,MATCH(Lists!$B$2,$A$1:$Z$1,0))&amp;""),""),15,2)),VALUE(MID(IFERROR(TRIM(INDEX($A175:$Z175,MATCH(Lists!$B$2,$A$1:$Z$1,0))&amp;""),""),18,2)))),"")="",100000+ROW()/10^7,IFERROR(IF(ISNUMBER(INDEX($A175:$Z175,MATCH(Lists!$B$2,$A$1:$Z$1,0))),INDEX($A175:$Z175,MATCH(Lists!$B$2,$A$1:$Z$1,0)),DATE(VALUE(LEFT(IFERROR(TRIM(INDEX($A175:$Z175,MATCH(Lists!$B$2,$A$1:$Z$1,0))&amp;""),""),4)),VALUE(MID(IFERROR(TRIM(INDEX($A175:$Z175,MATCH(Lists!$B$2,$A$1:$Z$1,0))&amp;""),""),6,2)),VALUE(MID(IFERROR(TRIM(INDEX($A175:$Z175,MATCH(Lists!$B$2,$A$1:$Z$1,0))&amp;""),""),9,2)))+TIME(VALUE(MID(IFERROR(TRIM(INDEX($A175:$Z175,MATCH(Lists!$B$2,$A$1:$Z$1,0))&amp;""),""),12,2)),VALUE(MID(IFERROR(TRIM(INDEX($A175:$Z175,MATCH(Lists!$B$2,$A$1:$Z$1,0))&amp;""),""),15,2)),VALUE(MID(IFERROR(TRIM(INDEX($A175:$Z175,MATCH(Lists!$B$2,$A$1:$Z$1,0))&amp;""),""),18,2)))),"")-ROW()/10^7),"")</f>
        <v/>
      </c>
    </row>
    <row r="176">
      <c r="AB176" s="36">
        <f>IF($AR176=1,COUNTIF($AS$2:$AS$201,"&lt;"&amp;$AS176)+1,"")</f>
        <v/>
      </c>
      <c r="AC176" s="37">
        <f>IFERROR(TRIM(INDEX($A176:$Z176,MATCH(Lists!$B$9,$A$1:$Z$1,0))&amp;""),"")</f>
        <v/>
      </c>
      <c r="AD176" s="37">
        <f>IF($AR176=1,IFERROR(TRIM(INDEX($A176:$Z176,MATCH(Lists!$B$10,$A$1:$Z$1,0))&amp;""),""),"")</f>
        <v/>
      </c>
      <c r="AE176" s="37">
        <f>IF($AR176=1,IFERROR(TRIM(INDEX($A176:$Z176,MATCH(Lists!$B$12,$A$1:$Z$1,0))&amp;""),""),"")</f>
        <v/>
      </c>
      <c r="AF176" s="38">
        <f>IF($AR176=1,IFERROR(IF(TRIM(INDEX($A176:$Z176,MATCH(Lists!$B$11,$A$1:$Z$1,0))&amp;"")="","",VALUE(TRIM(INDEX($A176:$Z176,MATCH(Lists!$B$11,$A$1:$Z$1,0))&amp;""))),""),"")</f>
        <v/>
      </c>
      <c r="AG176" s="38">
        <f>IF(OR($AR176=0,$AF176="",'Start here'!$F$10="",'Start here'!$F$11="",'Start here'!$F$12="",'Start here'!$F$13="",'Start here'!$F$14=""),"",IF($AF176&lt;'Start here'!$F$10,'Start here'!$F$11,IF($AF176&lt;'Start here'!$F$12,'Start here'!$F$13,'Start here'!$F$14)))</f>
        <v/>
      </c>
      <c r="AH176" s="38">
        <f>IF(OR($AG176="",'Start here'!$F$9=""),"",IF($AF176&lt;=0,"",IFERROR(MAX($AG176,ROUNDUP(ROUND($AF176*'Start here'!$F$9/$AG176,6),0)*$AG176),"")))</f>
        <v/>
      </c>
      <c r="AI176" s="37">
        <f>IF($AR176=0,"",IF($AN176=Lists!$B$19,"",IF(AND($AN176=Lists!$B$18,$AQ176&lt;&gt;""),$AQ176,IF(AND($AP176=Lists!$B$17,$AL176&lt;&gt;""),$AL176,$AK176))))</f>
        <v/>
      </c>
      <c r="AJ176" s="37">
        <f>IF($AR176=0,"",IF(IF($AF176="",", no value",IF($AF176&lt;=0,", no value",""))&amp;IF('Start here'!$F$15="","",IF(LEN($AD176)&lt;'Start here'!$F$15,", short description",""))="","OK",MID(IF($AF176="",", no value",IF($AF176&lt;=0,", no value",""))&amp;IF('Start here'!$F$15="","",IF(LEN($AD176)&lt;'Start here'!$F$15,", short description","")),3,200)))</f>
        <v/>
      </c>
      <c r="AK176" s="37">
        <f>IF($AR176=1,IFERROR(TRIM(INDEX($A176:$Z176,MATCH(Lists!$B$5,$A$1:$Z$1,0))&amp;""),""),"")</f>
        <v/>
      </c>
      <c r="AL176" s="37">
        <f>IF($AR176=1,IFERROR(TRIM(INDEX($A176:$Z176,MATCH(Lists!$B$4,$A$1:$Z$1,0))&amp;""),""),"")</f>
        <v/>
      </c>
      <c r="AM176" s="37">
        <f>IF($AR176=1,IFERROR(TRIM(INDEX($A176:$Z176,MATCH(Lists!$B$6,$A$1:$Z$1,0))&amp;""),""),"")</f>
        <v/>
      </c>
      <c r="AN176" s="37">
        <f>IF($AR176=1,IFERROR(TRIM(INDEX($A176:$Z176,MATCH(Lists!$B$7,$A$1:$Z$1,0))&amp;""),""),"")</f>
        <v/>
      </c>
      <c r="AO176" s="37">
        <f>IF($AR176=1,IFERROR(TRIM(INDEX($A176:$Z176,MATCH(Lists!$B$13,$A$1:$Z$1,0))&amp;""),""),"")</f>
        <v/>
      </c>
      <c r="AP176" s="37">
        <f>IF($AR176=1,IFERROR(TRIM(INDEX($A176:$Z176,MATCH(Lists!$B$3,$A$1:$Z$1,0))&amp;""),""),"")</f>
        <v/>
      </c>
      <c r="AQ176" s="37">
        <f>IF($AR176=1,IFERROR(TRIM(INDEX($A176:$Z176,MATCH(Lists!$B$8,$A$1:$Z$1,0))&amp;""),""),"")</f>
        <v/>
      </c>
      <c r="AR176" s="36">
        <f>IF(LEN($AC176)&gt;0,1,0)</f>
        <v/>
      </c>
      <c r="AS176" s="37">
        <f>IF($AR176=1,IF(IFERROR(IF(ISNUMBER(INDEX($A176:$Z176,MATCH(Lists!$B$2,$A$1:$Z$1,0))),INDEX($A176:$Z176,MATCH(Lists!$B$2,$A$1:$Z$1,0)),DATE(VALUE(LEFT(IFERROR(TRIM(INDEX($A176:$Z176,MATCH(Lists!$B$2,$A$1:$Z$1,0))&amp;""),""),4)),VALUE(MID(IFERROR(TRIM(INDEX($A176:$Z176,MATCH(Lists!$B$2,$A$1:$Z$1,0))&amp;""),""),6,2)),VALUE(MID(IFERROR(TRIM(INDEX($A176:$Z176,MATCH(Lists!$B$2,$A$1:$Z$1,0))&amp;""),""),9,2)))+TIME(VALUE(MID(IFERROR(TRIM(INDEX($A176:$Z176,MATCH(Lists!$B$2,$A$1:$Z$1,0))&amp;""),""),12,2)),VALUE(MID(IFERROR(TRIM(INDEX($A176:$Z176,MATCH(Lists!$B$2,$A$1:$Z$1,0))&amp;""),""),15,2)),VALUE(MID(IFERROR(TRIM(INDEX($A176:$Z176,MATCH(Lists!$B$2,$A$1:$Z$1,0))&amp;""),""),18,2)))),"")="",100000+ROW()/10^7,IFERROR(IF(ISNUMBER(INDEX($A176:$Z176,MATCH(Lists!$B$2,$A$1:$Z$1,0))),INDEX($A176:$Z176,MATCH(Lists!$B$2,$A$1:$Z$1,0)),DATE(VALUE(LEFT(IFERROR(TRIM(INDEX($A176:$Z176,MATCH(Lists!$B$2,$A$1:$Z$1,0))&amp;""),""),4)),VALUE(MID(IFERROR(TRIM(INDEX($A176:$Z176,MATCH(Lists!$B$2,$A$1:$Z$1,0))&amp;""),""),6,2)),VALUE(MID(IFERROR(TRIM(INDEX($A176:$Z176,MATCH(Lists!$B$2,$A$1:$Z$1,0))&amp;""),""),9,2)))+TIME(VALUE(MID(IFERROR(TRIM(INDEX($A176:$Z176,MATCH(Lists!$B$2,$A$1:$Z$1,0))&amp;""),""),12,2)),VALUE(MID(IFERROR(TRIM(INDEX($A176:$Z176,MATCH(Lists!$B$2,$A$1:$Z$1,0))&amp;""),""),15,2)),VALUE(MID(IFERROR(TRIM(INDEX($A176:$Z176,MATCH(Lists!$B$2,$A$1:$Z$1,0))&amp;""),""),18,2)))),"")-ROW()/10^7),"")</f>
        <v/>
      </c>
    </row>
    <row r="177">
      <c r="AB177" s="36">
        <f>IF($AR177=1,COUNTIF($AS$2:$AS$201,"&lt;"&amp;$AS177)+1,"")</f>
        <v/>
      </c>
      <c r="AC177" s="37">
        <f>IFERROR(TRIM(INDEX($A177:$Z177,MATCH(Lists!$B$9,$A$1:$Z$1,0))&amp;""),"")</f>
        <v/>
      </c>
      <c r="AD177" s="37">
        <f>IF($AR177=1,IFERROR(TRIM(INDEX($A177:$Z177,MATCH(Lists!$B$10,$A$1:$Z$1,0))&amp;""),""),"")</f>
        <v/>
      </c>
      <c r="AE177" s="37">
        <f>IF($AR177=1,IFERROR(TRIM(INDEX($A177:$Z177,MATCH(Lists!$B$12,$A$1:$Z$1,0))&amp;""),""),"")</f>
        <v/>
      </c>
      <c r="AF177" s="38">
        <f>IF($AR177=1,IFERROR(IF(TRIM(INDEX($A177:$Z177,MATCH(Lists!$B$11,$A$1:$Z$1,0))&amp;"")="","",VALUE(TRIM(INDEX($A177:$Z177,MATCH(Lists!$B$11,$A$1:$Z$1,0))&amp;""))),""),"")</f>
        <v/>
      </c>
      <c r="AG177" s="38">
        <f>IF(OR($AR177=0,$AF177="",'Start here'!$F$10="",'Start here'!$F$11="",'Start here'!$F$12="",'Start here'!$F$13="",'Start here'!$F$14=""),"",IF($AF177&lt;'Start here'!$F$10,'Start here'!$F$11,IF($AF177&lt;'Start here'!$F$12,'Start here'!$F$13,'Start here'!$F$14)))</f>
        <v/>
      </c>
      <c r="AH177" s="38">
        <f>IF(OR($AG177="",'Start here'!$F$9=""),"",IF($AF177&lt;=0,"",IFERROR(MAX($AG177,ROUNDUP(ROUND($AF177*'Start here'!$F$9/$AG177,6),0)*$AG177),"")))</f>
        <v/>
      </c>
      <c r="AI177" s="37">
        <f>IF($AR177=0,"",IF($AN177=Lists!$B$19,"",IF(AND($AN177=Lists!$B$18,$AQ177&lt;&gt;""),$AQ177,IF(AND($AP177=Lists!$B$17,$AL177&lt;&gt;""),$AL177,$AK177))))</f>
        <v/>
      </c>
      <c r="AJ177" s="37">
        <f>IF($AR177=0,"",IF(IF($AF177="",", no value",IF($AF177&lt;=0,", no value",""))&amp;IF('Start here'!$F$15="","",IF(LEN($AD177)&lt;'Start here'!$F$15,", short description",""))="","OK",MID(IF($AF177="",", no value",IF($AF177&lt;=0,", no value",""))&amp;IF('Start here'!$F$15="","",IF(LEN($AD177)&lt;'Start here'!$F$15,", short description","")),3,200)))</f>
        <v/>
      </c>
      <c r="AK177" s="37">
        <f>IF($AR177=1,IFERROR(TRIM(INDEX($A177:$Z177,MATCH(Lists!$B$5,$A$1:$Z$1,0))&amp;""),""),"")</f>
        <v/>
      </c>
      <c r="AL177" s="37">
        <f>IF($AR177=1,IFERROR(TRIM(INDEX($A177:$Z177,MATCH(Lists!$B$4,$A$1:$Z$1,0))&amp;""),""),"")</f>
        <v/>
      </c>
      <c r="AM177" s="37">
        <f>IF($AR177=1,IFERROR(TRIM(INDEX($A177:$Z177,MATCH(Lists!$B$6,$A$1:$Z$1,0))&amp;""),""),"")</f>
        <v/>
      </c>
      <c r="AN177" s="37">
        <f>IF($AR177=1,IFERROR(TRIM(INDEX($A177:$Z177,MATCH(Lists!$B$7,$A$1:$Z$1,0))&amp;""),""),"")</f>
        <v/>
      </c>
      <c r="AO177" s="37">
        <f>IF($AR177=1,IFERROR(TRIM(INDEX($A177:$Z177,MATCH(Lists!$B$13,$A$1:$Z$1,0))&amp;""),""),"")</f>
        <v/>
      </c>
      <c r="AP177" s="37">
        <f>IF($AR177=1,IFERROR(TRIM(INDEX($A177:$Z177,MATCH(Lists!$B$3,$A$1:$Z$1,0))&amp;""),""),"")</f>
        <v/>
      </c>
      <c r="AQ177" s="37">
        <f>IF($AR177=1,IFERROR(TRIM(INDEX($A177:$Z177,MATCH(Lists!$B$8,$A$1:$Z$1,0))&amp;""),""),"")</f>
        <v/>
      </c>
      <c r="AR177" s="36">
        <f>IF(LEN($AC177)&gt;0,1,0)</f>
        <v/>
      </c>
      <c r="AS177" s="37">
        <f>IF($AR177=1,IF(IFERROR(IF(ISNUMBER(INDEX($A177:$Z177,MATCH(Lists!$B$2,$A$1:$Z$1,0))),INDEX($A177:$Z177,MATCH(Lists!$B$2,$A$1:$Z$1,0)),DATE(VALUE(LEFT(IFERROR(TRIM(INDEX($A177:$Z177,MATCH(Lists!$B$2,$A$1:$Z$1,0))&amp;""),""),4)),VALUE(MID(IFERROR(TRIM(INDEX($A177:$Z177,MATCH(Lists!$B$2,$A$1:$Z$1,0))&amp;""),""),6,2)),VALUE(MID(IFERROR(TRIM(INDEX($A177:$Z177,MATCH(Lists!$B$2,$A$1:$Z$1,0))&amp;""),""),9,2)))+TIME(VALUE(MID(IFERROR(TRIM(INDEX($A177:$Z177,MATCH(Lists!$B$2,$A$1:$Z$1,0))&amp;""),""),12,2)),VALUE(MID(IFERROR(TRIM(INDEX($A177:$Z177,MATCH(Lists!$B$2,$A$1:$Z$1,0))&amp;""),""),15,2)),VALUE(MID(IFERROR(TRIM(INDEX($A177:$Z177,MATCH(Lists!$B$2,$A$1:$Z$1,0))&amp;""),""),18,2)))),"")="",100000+ROW()/10^7,IFERROR(IF(ISNUMBER(INDEX($A177:$Z177,MATCH(Lists!$B$2,$A$1:$Z$1,0))),INDEX($A177:$Z177,MATCH(Lists!$B$2,$A$1:$Z$1,0)),DATE(VALUE(LEFT(IFERROR(TRIM(INDEX($A177:$Z177,MATCH(Lists!$B$2,$A$1:$Z$1,0))&amp;""),""),4)),VALUE(MID(IFERROR(TRIM(INDEX($A177:$Z177,MATCH(Lists!$B$2,$A$1:$Z$1,0))&amp;""),""),6,2)),VALUE(MID(IFERROR(TRIM(INDEX($A177:$Z177,MATCH(Lists!$B$2,$A$1:$Z$1,0))&amp;""),""),9,2)))+TIME(VALUE(MID(IFERROR(TRIM(INDEX($A177:$Z177,MATCH(Lists!$B$2,$A$1:$Z$1,0))&amp;""),""),12,2)),VALUE(MID(IFERROR(TRIM(INDEX($A177:$Z177,MATCH(Lists!$B$2,$A$1:$Z$1,0))&amp;""),""),15,2)),VALUE(MID(IFERROR(TRIM(INDEX($A177:$Z177,MATCH(Lists!$B$2,$A$1:$Z$1,0))&amp;""),""),18,2)))),"")-ROW()/10^7),"")</f>
        <v/>
      </c>
    </row>
    <row r="178">
      <c r="AB178" s="36">
        <f>IF($AR178=1,COUNTIF($AS$2:$AS$201,"&lt;"&amp;$AS178)+1,"")</f>
        <v/>
      </c>
      <c r="AC178" s="37">
        <f>IFERROR(TRIM(INDEX($A178:$Z178,MATCH(Lists!$B$9,$A$1:$Z$1,0))&amp;""),"")</f>
        <v/>
      </c>
      <c r="AD178" s="37">
        <f>IF($AR178=1,IFERROR(TRIM(INDEX($A178:$Z178,MATCH(Lists!$B$10,$A$1:$Z$1,0))&amp;""),""),"")</f>
        <v/>
      </c>
      <c r="AE178" s="37">
        <f>IF($AR178=1,IFERROR(TRIM(INDEX($A178:$Z178,MATCH(Lists!$B$12,$A$1:$Z$1,0))&amp;""),""),"")</f>
        <v/>
      </c>
      <c r="AF178" s="38">
        <f>IF($AR178=1,IFERROR(IF(TRIM(INDEX($A178:$Z178,MATCH(Lists!$B$11,$A$1:$Z$1,0))&amp;"")="","",VALUE(TRIM(INDEX($A178:$Z178,MATCH(Lists!$B$11,$A$1:$Z$1,0))&amp;""))),""),"")</f>
        <v/>
      </c>
      <c r="AG178" s="38">
        <f>IF(OR($AR178=0,$AF178="",'Start here'!$F$10="",'Start here'!$F$11="",'Start here'!$F$12="",'Start here'!$F$13="",'Start here'!$F$14=""),"",IF($AF178&lt;'Start here'!$F$10,'Start here'!$F$11,IF($AF178&lt;'Start here'!$F$12,'Start here'!$F$13,'Start here'!$F$14)))</f>
        <v/>
      </c>
      <c r="AH178" s="38">
        <f>IF(OR($AG178="",'Start here'!$F$9=""),"",IF($AF178&lt;=0,"",IFERROR(MAX($AG178,ROUNDUP(ROUND($AF178*'Start here'!$F$9/$AG178,6),0)*$AG178),"")))</f>
        <v/>
      </c>
      <c r="AI178" s="37">
        <f>IF($AR178=0,"",IF($AN178=Lists!$B$19,"",IF(AND($AN178=Lists!$B$18,$AQ178&lt;&gt;""),$AQ178,IF(AND($AP178=Lists!$B$17,$AL178&lt;&gt;""),$AL178,$AK178))))</f>
        <v/>
      </c>
      <c r="AJ178" s="37">
        <f>IF($AR178=0,"",IF(IF($AF178="",", no value",IF($AF178&lt;=0,", no value",""))&amp;IF('Start here'!$F$15="","",IF(LEN($AD178)&lt;'Start here'!$F$15,", short description",""))="","OK",MID(IF($AF178="",", no value",IF($AF178&lt;=0,", no value",""))&amp;IF('Start here'!$F$15="","",IF(LEN($AD178)&lt;'Start here'!$F$15,", short description","")),3,200)))</f>
        <v/>
      </c>
      <c r="AK178" s="37">
        <f>IF($AR178=1,IFERROR(TRIM(INDEX($A178:$Z178,MATCH(Lists!$B$5,$A$1:$Z$1,0))&amp;""),""),"")</f>
        <v/>
      </c>
      <c r="AL178" s="37">
        <f>IF($AR178=1,IFERROR(TRIM(INDEX($A178:$Z178,MATCH(Lists!$B$4,$A$1:$Z$1,0))&amp;""),""),"")</f>
        <v/>
      </c>
      <c r="AM178" s="37">
        <f>IF($AR178=1,IFERROR(TRIM(INDEX($A178:$Z178,MATCH(Lists!$B$6,$A$1:$Z$1,0))&amp;""),""),"")</f>
        <v/>
      </c>
      <c r="AN178" s="37">
        <f>IF($AR178=1,IFERROR(TRIM(INDEX($A178:$Z178,MATCH(Lists!$B$7,$A$1:$Z$1,0))&amp;""),""),"")</f>
        <v/>
      </c>
      <c r="AO178" s="37">
        <f>IF($AR178=1,IFERROR(TRIM(INDEX($A178:$Z178,MATCH(Lists!$B$13,$A$1:$Z$1,0))&amp;""),""),"")</f>
        <v/>
      </c>
      <c r="AP178" s="37">
        <f>IF($AR178=1,IFERROR(TRIM(INDEX($A178:$Z178,MATCH(Lists!$B$3,$A$1:$Z$1,0))&amp;""),""),"")</f>
        <v/>
      </c>
      <c r="AQ178" s="37">
        <f>IF($AR178=1,IFERROR(TRIM(INDEX($A178:$Z178,MATCH(Lists!$B$8,$A$1:$Z$1,0))&amp;""),""),"")</f>
        <v/>
      </c>
      <c r="AR178" s="36">
        <f>IF(LEN($AC178)&gt;0,1,0)</f>
        <v/>
      </c>
      <c r="AS178" s="37">
        <f>IF($AR178=1,IF(IFERROR(IF(ISNUMBER(INDEX($A178:$Z178,MATCH(Lists!$B$2,$A$1:$Z$1,0))),INDEX($A178:$Z178,MATCH(Lists!$B$2,$A$1:$Z$1,0)),DATE(VALUE(LEFT(IFERROR(TRIM(INDEX($A178:$Z178,MATCH(Lists!$B$2,$A$1:$Z$1,0))&amp;""),""),4)),VALUE(MID(IFERROR(TRIM(INDEX($A178:$Z178,MATCH(Lists!$B$2,$A$1:$Z$1,0))&amp;""),""),6,2)),VALUE(MID(IFERROR(TRIM(INDEX($A178:$Z178,MATCH(Lists!$B$2,$A$1:$Z$1,0))&amp;""),""),9,2)))+TIME(VALUE(MID(IFERROR(TRIM(INDEX($A178:$Z178,MATCH(Lists!$B$2,$A$1:$Z$1,0))&amp;""),""),12,2)),VALUE(MID(IFERROR(TRIM(INDEX($A178:$Z178,MATCH(Lists!$B$2,$A$1:$Z$1,0))&amp;""),""),15,2)),VALUE(MID(IFERROR(TRIM(INDEX($A178:$Z178,MATCH(Lists!$B$2,$A$1:$Z$1,0))&amp;""),""),18,2)))),"")="",100000+ROW()/10^7,IFERROR(IF(ISNUMBER(INDEX($A178:$Z178,MATCH(Lists!$B$2,$A$1:$Z$1,0))),INDEX($A178:$Z178,MATCH(Lists!$B$2,$A$1:$Z$1,0)),DATE(VALUE(LEFT(IFERROR(TRIM(INDEX($A178:$Z178,MATCH(Lists!$B$2,$A$1:$Z$1,0))&amp;""),""),4)),VALUE(MID(IFERROR(TRIM(INDEX($A178:$Z178,MATCH(Lists!$B$2,$A$1:$Z$1,0))&amp;""),""),6,2)),VALUE(MID(IFERROR(TRIM(INDEX($A178:$Z178,MATCH(Lists!$B$2,$A$1:$Z$1,0))&amp;""),""),9,2)))+TIME(VALUE(MID(IFERROR(TRIM(INDEX($A178:$Z178,MATCH(Lists!$B$2,$A$1:$Z$1,0))&amp;""),""),12,2)),VALUE(MID(IFERROR(TRIM(INDEX($A178:$Z178,MATCH(Lists!$B$2,$A$1:$Z$1,0))&amp;""),""),15,2)),VALUE(MID(IFERROR(TRIM(INDEX($A178:$Z178,MATCH(Lists!$B$2,$A$1:$Z$1,0))&amp;""),""),18,2)))),"")-ROW()/10^7),"")</f>
        <v/>
      </c>
    </row>
    <row r="179">
      <c r="AB179" s="36">
        <f>IF($AR179=1,COUNTIF($AS$2:$AS$201,"&lt;"&amp;$AS179)+1,"")</f>
        <v/>
      </c>
      <c r="AC179" s="37">
        <f>IFERROR(TRIM(INDEX($A179:$Z179,MATCH(Lists!$B$9,$A$1:$Z$1,0))&amp;""),"")</f>
        <v/>
      </c>
      <c r="AD179" s="37">
        <f>IF($AR179=1,IFERROR(TRIM(INDEX($A179:$Z179,MATCH(Lists!$B$10,$A$1:$Z$1,0))&amp;""),""),"")</f>
        <v/>
      </c>
      <c r="AE179" s="37">
        <f>IF($AR179=1,IFERROR(TRIM(INDEX($A179:$Z179,MATCH(Lists!$B$12,$A$1:$Z$1,0))&amp;""),""),"")</f>
        <v/>
      </c>
      <c r="AF179" s="38">
        <f>IF($AR179=1,IFERROR(IF(TRIM(INDEX($A179:$Z179,MATCH(Lists!$B$11,$A$1:$Z$1,0))&amp;"")="","",VALUE(TRIM(INDEX($A179:$Z179,MATCH(Lists!$B$11,$A$1:$Z$1,0))&amp;""))),""),"")</f>
        <v/>
      </c>
      <c r="AG179" s="38">
        <f>IF(OR($AR179=0,$AF179="",'Start here'!$F$10="",'Start here'!$F$11="",'Start here'!$F$12="",'Start here'!$F$13="",'Start here'!$F$14=""),"",IF($AF179&lt;'Start here'!$F$10,'Start here'!$F$11,IF($AF179&lt;'Start here'!$F$12,'Start here'!$F$13,'Start here'!$F$14)))</f>
        <v/>
      </c>
      <c r="AH179" s="38">
        <f>IF(OR($AG179="",'Start here'!$F$9=""),"",IF($AF179&lt;=0,"",IFERROR(MAX($AG179,ROUNDUP(ROUND($AF179*'Start here'!$F$9/$AG179,6),0)*$AG179),"")))</f>
        <v/>
      </c>
      <c r="AI179" s="37">
        <f>IF($AR179=0,"",IF($AN179=Lists!$B$19,"",IF(AND($AN179=Lists!$B$18,$AQ179&lt;&gt;""),$AQ179,IF(AND($AP179=Lists!$B$17,$AL179&lt;&gt;""),$AL179,$AK179))))</f>
        <v/>
      </c>
      <c r="AJ179" s="37">
        <f>IF($AR179=0,"",IF(IF($AF179="",", no value",IF($AF179&lt;=0,", no value",""))&amp;IF('Start here'!$F$15="","",IF(LEN($AD179)&lt;'Start here'!$F$15,", short description",""))="","OK",MID(IF($AF179="",", no value",IF($AF179&lt;=0,", no value",""))&amp;IF('Start here'!$F$15="","",IF(LEN($AD179)&lt;'Start here'!$F$15,", short description","")),3,200)))</f>
        <v/>
      </c>
      <c r="AK179" s="37">
        <f>IF($AR179=1,IFERROR(TRIM(INDEX($A179:$Z179,MATCH(Lists!$B$5,$A$1:$Z$1,0))&amp;""),""),"")</f>
        <v/>
      </c>
      <c r="AL179" s="37">
        <f>IF($AR179=1,IFERROR(TRIM(INDEX($A179:$Z179,MATCH(Lists!$B$4,$A$1:$Z$1,0))&amp;""),""),"")</f>
        <v/>
      </c>
      <c r="AM179" s="37">
        <f>IF($AR179=1,IFERROR(TRIM(INDEX($A179:$Z179,MATCH(Lists!$B$6,$A$1:$Z$1,0))&amp;""),""),"")</f>
        <v/>
      </c>
      <c r="AN179" s="37">
        <f>IF($AR179=1,IFERROR(TRIM(INDEX($A179:$Z179,MATCH(Lists!$B$7,$A$1:$Z$1,0))&amp;""),""),"")</f>
        <v/>
      </c>
      <c r="AO179" s="37">
        <f>IF($AR179=1,IFERROR(TRIM(INDEX($A179:$Z179,MATCH(Lists!$B$13,$A$1:$Z$1,0))&amp;""),""),"")</f>
        <v/>
      </c>
      <c r="AP179" s="37">
        <f>IF($AR179=1,IFERROR(TRIM(INDEX($A179:$Z179,MATCH(Lists!$B$3,$A$1:$Z$1,0))&amp;""),""),"")</f>
        <v/>
      </c>
      <c r="AQ179" s="37">
        <f>IF($AR179=1,IFERROR(TRIM(INDEX($A179:$Z179,MATCH(Lists!$B$8,$A$1:$Z$1,0))&amp;""),""),"")</f>
        <v/>
      </c>
      <c r="AR179" s="36">
        <f>IF(LEN($AC179)&gt;0,1,0)</f>
        <v/>
      </c>
      <c r="AS179" s="37">
        <f>IF($AR179=1,IF(IFERROR(IF(ISNUMBER(INDEX($A179:$Z179,MATCH(Lists!$B$2,$A$1:$Z$1,0))),INDEX($A179:$Z179,MATCH(Lists!$B$2,$A$1:$Z$1,0)),DATE(VALUE(LEFT(IFERROR(TRIM(INDEX($A179:$Z179,MATCH(Lists!$B$2,$A$1:$Z$1,0))&amp;""),""),4)),VALUE(MID(IFERROR(TRIM(INDEX($A179:$Z179,MATCH(Lists!$B$2,$A$1:$Z$1,0))&amp;""),""),6,2)),VALUE(MID(IFERROR(TRIM(INDEX($A179:$Z179,MATCH(Lists!$B$2,$A$1:$Z$1,0))&amp;""),""),9,2)))+TIME(VALUE(MID(IFERROR(TRIM(INDEX($A179:$Z179,MATCH(Lists!$B$2,$A$1:$Z$1,0))&amp;""),""),12,2)),VALUE(MID(IFERROR(TRIM(INDEX($A179:$Z179,MATCH(Lists!$B$2,$A$1:$Z$1,0))&amp;""),""),15,2)),VALUE(MID(IFERROR(TRIM(INDEX($A179:$Z179,MATCH(Lists!$B$2,$A$1:$Z$1,0))&amp;""),""),18,2)))),"")="",100000+ROW()/10^7,IFERROR(IF(ISNUMBER(INDEX($A179:$Z179,MATCH(Lists!$B$2,$A$1:$Z$1,0))),INDEX($A179:$Z179,MATCH(Lists!$B$2,$A$1:$Z$1,0)),DATE(VALUE(LEFT(IFERROR(TRIM(INDEX($A179:$Z179,MATCH(Lists!$B$2,$A$1:$Z$1,0))&amp;""),""),4)),VALUE(MID(IFERROR(TRIM(INDEX($A179:$Z179,MATCH(Lists!$B$2,$A$1:$Z$1,0))&amp;""),""),6,2)),VALUE(MID(IFERROR(TRIM(INDEX($A179:$Z179,MATCH(Lists!$B$2,$A$1:$Z$1,0))&amp;""),""),9,2)))+TIME(VALUE(MID(IFERROR(TRIM(INDEX($A179:$Z179,MATCH(Lists!$B$2,$A$1:$Z$1,0))&amp;""),""),12,2)),VALUE(MID(IFERROR(TRIM(INDEX($A179:$Z179,MATCH(Lists!$B$2,$A$1:$Z$1,0))&amp;""),""),15,2)),VALUE(MID(IFERROR(TRIM(INDEX($A179:$Z179,MATCH(Lists!$B$2,$A$1:$Z$1,0))&amp;""),""),18,2)))),"")-ROW()/10^7),"")</f>
        <v/>
      </c>
    </row>
    <row r="180">
      <c r="AB180" s="36">
        <f>IF($AR180=1,COUNTIF($AS$2:$AS$201,"&lt;"&amp;$AS180)+1,"")</f>
        <v/>
      </c>
      <c r="AC180" s="37">
        <f>IFERROR(TRIM(INDEX($A180:$Z180,MATCH(Lists!$B$9,$A$1:$Z$1,0))&amp;""),"")</f>
        <v/>
      </c>
      <c r="AD180" s="37">
        <f>IF($AR180=1,IFERROR(TRIM(INDEX($A180:$Z180,MATCH(Lists!$B$10,$A$1:$Z$1,0))&amp;""),""),"")</f>
        <v/>
      </c>
      <c r="AE180" s="37">
        <f>IF($AR180=1,IFERROR(TRIM(INDEX($A180:$Z180,MATCH(Lists!$B$12,$A$1:$Z$1,0))&amp;""),""),"")</f>
        <v/>
      </c>
      <c r="AF180" s="38">
        <f>IF($AR180=1,IFERROR(IF(TRIM(INDEX($A180:$Z180,MATCH(Lists!$B$11,$A$1:$Z$1,0))&amp;"")="","",VALUE(TRIM(INDEX($A180:$Z180,MATCH(Lists!$B$11,$A$1:$Z$1,0))&amp;""))),""),"")</f>
        <v/>
      </c>
      <c r="AG180" s="38">
        <f>IF(OR($AR180=0,$AF180="",'Start here'!$F$10="",'Start here'!$F$11="",'Start here'!$F$12="",'Start here'!$F$13="",'Start here'!$F$14=""),"",IF($AF180&lt;'Start here'!$F$10,'Start here'!$F$11,IF($AF180&lt;'Start here'!$F$12,'Start here'!$F$13,'Start here'!$F$14)))</f>
        <v/>
      </c>
      <c r="AH180" s="38">
        <f>IF(OR($AG180="",'Start here'!$F$9=""),"",IF($AF180&lt;=0,"",IFERROR(MAX($AG180,ROUNDUP(ROUND($AF180*'Start here'!$F$9/$AG180,6),0)*$AG180),"")))</f>
        <v/>
      </c>
      <c r="AI180" s="37">
        <f>IF($AR180=0,"",IF($AN180=Lists!$B$19,"",IF(AND($AN180=Lists!$B$18,$AQ180&lt;&gt;""),$AQ180,IF(AND($AP180=Lists!$B$17,$AL180&lt;&gt;""),$AL180,$AK180))))</f>
        <v/>
      </c>
      <c r="AJ180" s="37">
        <f>IF($AR180=0,"",IF(IF($AF180="",", no value",IF($AF180&lt;=0,", no value",""))&amp;IF('Start here'!$F$15="","",IF(LEN($AD180)&lt;'Start here'!$F$15,", short description",""))="","OK",MID(IF($AF180="",", no value",IF($AF180&lt;=0,", no value",""))&amp;IF('Start here'!$F$15="","",IF(LEN($AD180)&lt;'Start here'!$F$15,", short description","")),3,200)))</f>
        <v/>
      </c>
      <c r="AK180" s="37">
        <f>IF($AR180=1,IFERROR(TRIM(INDEX($A180:$Z180,MATCH(Lists!$B$5,$A$1:$Z$1,0))&amp;""),""),"")</f>
        <v/>
      </c>
      <c r="AL180" s="37">
        <f>IF($AR180=1,IFERROR(TRIM(INDEX($A180:$Z180,MATCH(Lists!$B$4,$A$1:$Z$1,0))&amp;""),""),"")</f>
        <v/>
      </c>
      <c r="AM180" s="37">
        <f>IF($AR180=1,IFERROR(TRIM(INDEX($A180:$Z180,MATCH(Lists!$B$6,$A$1:$Z$1,0))&amp;""),""),"")</f>
        <v/>
      </c>
      <c r="AN180" s="37">
        <f>IF($AR180=1,IFERROR(TRIM(INDEX($A180:$Z180,MATCH(Lists!$B$7,$A$1:$Z$1,0))&amp;""),""),"")</f>
        <v/>
      </c>
      <c r="AO180" s="37">
        <f>IF($AR180=1,IFERROR(TRIM(INDEX($A180:$Z180,MATCH(Lists!$B$13,$A$1:$Z$1,0))&amp;""),""),"")</f>
        <v/>
      </c>
      <c r="AP180" s="37">
        <f>IF($AR180=1,IFERROR(TRIM(INDEX($A180:$Z180,MATCH(Lists!$B$3,$A$1:$Z$1,0))&amp;""),""),"")</f>
        <v/>
      </c>
      <c r="AQ180" s="37">
        <f>IF($AR180=1,IFERROR(TRIM(INDEX($A180:$Z180,MATCH(Lists!$B$8,$A$1:$Z$1,0))&amp;""),""),"")</f>
        <v/>
      </c>
      <c r="AR180" s="36">
        <f>IF(LEN($AC180)&gt;0,1,0)</f>
        <v/>
      </c>
      <c r="AS180" s="37">
        <f>IF($AR180=1,IF(IFERROR(IF(ISNUMBER(INDEX($A180:$Z180,MATCH(Lists!$B$2,$A$1:$Z$1,0))),INDEX($A180:$Z180,MATCH(Lists!$B$2,$A$1:$Z$1,0)),DATE(VALUE(LEFT(IFERROR(TRIM(INDEX($A180:$Z180,MATCH(Lists!$B$2,$A$1:$Z$1,0))&amp;""),""),4)),VALUE(MID(IFERROR(TRIM(INDEX($A180:$Z180,MATCH(Lists!$B$2,$A$1:$Z$1,0))&amp;""),""),6,2)),VALUE(MID(IFERROR(TRIM(INDEX($A180:$Z180,MATCH(Lists!$B$2,$A$1:$Z$1,0))&amp;""),""),9,2)))+TIME(VALUE(MID(IFERROR(TRIM(INDEX($A180:$Z180,MATCH(Lists!$B$2,$A$1:$Z$1,0))&amp;""),""),12,2)),VALUE(MID(IFERROR(TRIM(INDEX($A180:$Z180,MATCH(Lists!$B$2,$A$1:$Z$1,0))&amp;""),""),15,2)),VALUE(MID(IFERROR(TRIM(INDEX($A180:$Z180,MATCH(Lists!$B$2,$A$1:$Z$1,0))&amp;""),""),18,2)))),"")="",100000+ROW()/10^7,IFERROR(IF(ISNUMBER(INDEX($A180:$Z180,MATCH(Lists!$B$2,$A$1:$Z$1,0))),INDEX($A180:$Z180,MATCH(Lists!$B$2,$A$1:$Z$1,0)),DATE(VALUE(LEFT(IFERROR(TRIM(INDEX($A180:$Z180,MATCH(Lists!$B$2,$A$1:$Z$1,0))&amp;""),""),4)),VALUE(MID(IFERROR(TRIM(INDEX($A180:$Z180,MATCH(Lists!$B$2,$A$1:$Z$1,0))&amp;""),""),6,2)),VALUE(MID(IFERROR(TRIM(INDEX($A180:$Z180,MATCH(Lists!$B$2,$A$1:$Z$1,0))&amp;""),""),9,2)))+TIME(VALUE(MID(IFERROR(TRIM(INDEX($A180:$Z180,MATCH(Lists!$B$2,$A$1:$Z$1,0))&amp;""),""),12,2)),VALUE(MID(IFERROR(TRIM(INDEX($A180:$Z180,MATCH(Lists!$B$2,$A$1:$Z$1,0))&amp;""),""),15,2)),VALUE(MID(IFERROR(TRIM(INDEX($A180:$Z180,MATCH(Lists!$B$2,$A$1:$Z$1,0))&amp;""),""),18,2)))),"")-ROW()/10^7),"")</f>
        <v/>
      </c>
    </row>
    <row r="181">
      <c r="AB181" s="36">
        <f>IF($AR181=1,COUNTIF($AS$2:$AS$201,"&lt;"&amp;$AS181)+1,"")</f>
        <v/>
      </c>
      <c r="AC181" s="37">
        <f>IFERROR(TRIM(INDEX($A181:$Z181,MATCH(Lists!$B$9,$A$1:$Z$1,0))&amp;""),"")</f>
        <v/>
      </c>
      <c r="AD181" s="37">
        <f>IF($AR181=1,IFERROR(TRIM(INDEX($A181:$Z181,MATCH(Lists!$B$10,$A$1:$Z$1,0))&amp;""),""),"")</f>
        <v/>
      </c>
      <c r="AE181" s="37">
        <f>IF($AR181=1,IFERROR(TRIM(INDEX($A181:$Z181,MATCH(Lists!$B$12,$A$1:$Z$1,0))&amp;""),""),"")</f>
        <v/>
      </c>
      <c r="AF181" s="38">
        <f>IF($AR181=1,IFERROR(IF(TRIM(INDEX($A181:$Z181,MATCH(Lists!$B$11,$A$1:$Z$1,0))&amp;"")="","",VALUE(TRIM(INDEX($A181:$Z181,MATCH(Lists!$B$11,$A$1:$Z$1,0))&amp;""))),""),"")</f>
        <v/>
      </c>
      <c r="AG181" s="38">
        <f>IF(OR($AR181=0,$AF181="",'Start here'!$F$10="",'Start here'!$F$11="",'Start here'!$F$12="",'Start here'!$F$13="",'Start here'!$F$14=""),"",IF($AF181&lt;'Start here'!$F$10,'Start here'!$F$11,IF($AF181&lt;'Start here'!$F$12,'Start here'!$F$13,'Start here'!$F$14)))</f>
        <v/>
      </c>
      <c r="AH181" s="38">
        <f>IF(OR($AG181="",'Start here'!$F$9=""),"",IF($AF181&lt;=0,"",IFERROR(MAX($AG181,ROUNDUP(ROUND($AF181*'Start here'!$F$9/$AG181,6),0)*$AG181),"")))</f>
        <v/>
      </c>
      <c r="AI181" s="37">
        <f>IF($AR181=0,"",IF($AN181=Lists!$B$19,"",IF(AND($AN181=Lists!$B$18,$AQ181&lt;&gt;""),$AQ181,IF(AND($AP181=Lists!$B$17,$AL181&lt;&gt;""),$AL181,$AK181))))</f>
        <v/>
      </c>
      <c r="AJ181" s="37">
        <f>IF($AR181=0,"",IF(IF($AF181="",", no value",IF($AF181&lt;=0,", no value",""))&amp;IF('Start here'!$F$15="","",IF(LEN($AD181)&lt;'Start here'!$F$15,", short description",""))="","OK",MID(IF($AF181="",", no value",IF($AF181&lt;=0,", no value",""))&amp;IF('Start here'!$F$15="","",IF(LEN($AD181)&lt;'Start here'!$F$15,", short description","")),3,200)))</f>
        <v/>
      </c>
      <c r="AK181" s="37">
        <f>IF($AR181=1,IFERROR(TRIM(INDEX($A181:$Z181,MATCH(Lists!$B$5,$A$1:$Z$1,0))&amp;""),""),"")</f>
        <v/>
      </c>
      <c r="AL181" s="37">
        <f>IF($AR181=1,IFERROR(TRIM(INDEX($A181:$Z181,MATCH(Lists!$B$4,$A$1:$Z$1,0))&amp;""),""),"")</f>
        <v/>
      </c>
      <c r="AM181" s="37">
        <f>IF($AR181=1,IFERROR(TRIM(INDEX($A181:$Z181,MATCH(Lists!$B$6,$A$1:$Z$1,0))&amp;""),""),"")</f>
        <v/>
      </c>
      <c r="AN181" s="37">
        <f>IF($AR181=1,IFERROR(TRIM(INDEX($A181:$Z181,MATCH(Lists!$B$7,$A$1:$Z$1,0))&amp;""),""),"")</f>
        <v/>
      </c>
      <c r="AO181" s="37">
        <f>IF($AR181=1,IFERROR(TRIM(INDEX($A181:$Z181,MATCH(Lists!$B$13,$A$1:$Z$1,0))&amp;""),""),"")</f>
        <v/>
      </c>
      <c r="AP181" s="37">
        <f>IF($AR181=1,IFERROR(TRIM(INDEX($A181:$Z181,MATCH(Lists!$B$3,$A$1:$Z$1,0))&amp;""),""),"")</f>
        <v/>
      </c>
      <c r="AQ181" s="37">
        <f>IF($AR181=1,IFERROR(TRIM(INDEX($A181:$Z181,MATCH(Lists!$B$8,$A$1:$Z$1,0))&amp;""),""),"")</f>
        <v/>
      </c>
      <c r="AR181" s="36">
        <f>IF(LEN($AC181)&gt;0,1,0)</f>
        <v/>
      </c>
      <c r="AS181" s="37">
        <f>IF($AR181=1,IF(IFERROR(IF(ISNUMBER(INDEX($A181:$Z181,MATCH(Lists!$B$2,$A$1:$Z$1,0))),INDEX($A181:$Z181,MATCH(Lists!$B$2,$A$1:$Z$1,0)),DATE(VALUE(LEFT(IFERROR(TRIM(INDEX($A181:$Z181,MATCH(Lists!$B$2,$A$1:$Z$1,0))&amp;""),""),4)),VALUE(MID(IFERROR(TRIM(INDEX($A181:$Z181,MATCH(Lists!$B$2,$A$1:$Z$1,0))&amp;""),""),6,2)),VALUE(MID(IFERROR(TRIM(INDEX($A181:$Z181,MATCH(Lists!$B$2,$A$1:$Z$1,0))&amp;""),""),9,2)))+TIME(VALUE(MID(IFERROR(TRIM(INDEX($A181:$Z181,MATCH(Lists!$B$2,$A$1:$Z$1,0))&amp;""),""),12,2)),VALUE(MID(IFERROR(TRIM(INDEX($A181:$Z181,MATCH(Lists!$B$2,$A$1:$Z$1,0))&amp;""),""),15,2)),VALUE(MID(IFERROR(TRIM(INDEX($A181:$Z181,MATCH(Lists!$B$2,$A$1:$Z$1,0))&amp;""),""),18,2)))),"")="",100000+ROW()/10^7,IFERROR(IF(ISNUMBER(INDEX($A181:$Z181,MATCH(Lists!$B$2,$A$1:$Z$1,0))),INDEX($A181:$Z181,MATCH(Lists!$B$2,$A$1:$Z$1,0)),DATE(VALUE(LEFT(IFERROR(TRIM(INDEX($A181:$Z181,MATCH(Lists!$B$2,$A$1:$Z$1,0))&amp;""),""),4)),VALUE(MID(IFERROR(TRIM(INDEX($A181:$Z181,MATCH(Lists!$B$2,$A$1:$Z$1,0))&amp;""),""),6,2)),VALUE(MID(IFERROR(TRIM(INDEX($A181:$Z181,MATCH(Lists!$B$2,$A$1:$Z$1,0))&amp;""),""),9,2)))+TIME(VALUE(MID(IFERROR(TRIM(INDEX($A181:$Z181,MATCH(Lists!$B$2,$A$1:$Z$1,0))&amp;""),""),12,2)),VALUE(MID(IFERROR(TRIM(INDEX($A181:$Z181,MATCH(Lists!$B$2,$A$1:$Z$1,0))&amp;""),""),15,2)),VALUE(MID(IFERROR(TRIM(INDEX($A181:$Z181,MATCH(Lists!$B$2,$A$1:$Z$1,0))&amp;""),""),18,2)))),"")-ROW()/10^7),"")</f>
        <v/>
      </c>
    </row>
    <row r="182">
      <c r="AB182" s="36">
        <f>IF($AR182=1,COUNTIF($AS$2:$AS$201,"&lt;"&amp;$AS182)+1,"")</f>
        <v/>
      </c>
      <c r="AC182" s="37">
        <f>IFERROR(TRIM(INDEX($A182:$Z182,MATCH(Lists!$B$9,$A$1:$Z$1,0))&amp;""),"")</f>
        <v/>
      </c>
      <c r="AD182" s="37">
        <f>IF($AR182=1,IFERROR(TRIM(INDEX($A182:$Z182,MATCH(Lists!$B$10,$A$1:$Z$1,0))&amp;""),""),"")</f>
        <v/>
      </c>
      <c r="AE182" s="37">
        <f>IF($AR182=1,IFERROR(TRIM(INDEX($A182:$Z182,MATCH(Lists!$B$12,$A$1:$Z$1,0))&amp;""),""),"")</f>
        <v/>
      </c>
      <c r="AF182" s="38">
        <f>IF($AR182=1,IFERROR(IF(TRIM(INDEX($A182:$Z182,MATCH(Lists!$B$11,$A$1:$Z$1,0))&amp;"")="","",VALUE(TRIM(INDEX($A182:$Z182,MATCH(Lists!$B$11,$A$1:$Z$1,0))&amp;""))),""),"")</f>
        <v/>
      </c>
      <c r="AG182" s="38">
        <f>IF(OR($AR182=0,$AF182="",'Start here'!$F$10="",'Start here'!$F$11="",'Start here'!$F$12="",'Start here'!$F$13="",'Start here'!$F$14=""),"",IF($AF182&lt;'Start here'!$F$10,'Start here'!$F$11,IF($AF182&lt;'Start here'!$F$12,'Start here'!$F$13,'Start here'!$F$14)))</f>
        <v/>
      </c>
      <c r="AH182" s="38">
        <f>IF(OR($AG182="",'Start here'!$F$9=""),"",IF($AF182&lt;=0,"",IFERROR(MAX($AG182,ROUNDUP(ROUND($AF182*'Start here'!$F$9/$AG182,6),0)*$AG182),"")))</f>
        <v/>
      </c>
      <c r="AI182" s="37">
        <f>IF($AR182=0,"",IF($AN182=Lists!$B$19,"",IF(AND($AN182=Lists!$B$18,$AQ182&lt;&gt;""),$AQ182,IF(AND($AP182=Lists!$B$17,$AL182&lt;&gt;""),$AL182,$AK182))))</f>
        <v/>
      </c>
      <c r="AJ182" s="37">
        <f>IF($AR182=0,"",IF(IF($AF182="",", no value",IF($AF182&lt;=0,", no value",""))&amp;IF('Start here'!$F$15="","",IF(LEN($AD182)&lt;'Start here'!$F$15,", short description",""))="","OK",MID(IF($AF182="",", no value",IF($AF182&lt;=0,", no value",""))&amp;IF('Start here'!$F$15="","",IF(LEN($AD182)&lt;'Start here'!$F$15,", short description","")),3,200)))</f>
        <v/>
      </c>
      <c r="AK182" s="37">
        <f>IF($AR182=1,IFERROR(TRIM(INDEX($A182:$Z182,MATCH(Lists!$B$5,$A$1:$Z$1,0))&amp;""),""),"")</f>
        <v/>
      </c>
      <c r="AL182" s="37">
        <f>IF($AR182=1,IFERROR(TRIM(INDEX($A182:$Z182,MATCH(Lists!$B$4,$A$1:$Z$1,0))&amp;""),""),"")</f>
        <v/>
      </c>
      <c r="AM182" s="37">
        <f>IF($AR182=1,IFERROR(TRIM(INDEX($A182:$Z182,MATCH(Lists!$B$6,$A$1:$Z$1,0))&amp;""),""),"")</f>
        <v/>
      </c>
      <c r="AN182" s="37">
        <f>IF($AR182=1,IFERROR(TRIM(INDEX($A182:$Z182,MATCH(Lists!$B$7,$A$1:$Z$1,0))&amp;""),""),"")</f>
        <v/>
      </c>
      <c r="AO182" s="37">
        <f>IF($AR182=1,IFERROR(TRIM(INDEX($A182:$Z182,MATCH(Lists!$B$13,$A$1:$Z$1,0))&amp;""),""),"")</f>
        <v/>
      </c>
      <c r="AP182" s="37">
        <f>IF($AR182=1,IFERROR(TRIM(INDEX($A182:$Z182,MATCH(Lists!$B$3,$A$1:$Z$1,0))&amp;""),""),"")</f>
        <v/>
      </c>
      <c r="AQ182" s="37">
        <f>IF($AR182=1,IFERROR(TRIM(INDEX($A182:$Z182,MATCH(Lists!$B$8,$A$1:$Z$1,0))&amp;""),""),"")</f>
        <v/>
      </c>
      <c r="AR182" s="36">
        <f>IF(LEN($AC182)&gt;0,1,0)</f>
        <v/>
      </c>
      <c r="AS182" s="37">
        <f>IF($AR182=1,IF(IFERROR(IF(ISNUMBER(INDEX($A182:$Z182,MATCH(Lists!$B$2,$A$1:$Z$1,0))),INDEX($A182:$Z182,MATCH(Lists!$B$2,$A$1:$Z$1,0)),DATE(VALUE(LEFT(IFERROR(TRIM(INDEX($A182:$Z182,MATCH(Lists!$B$2,$A$1:$Z$1,0))&amp;""),""),4)),VALUE(MID(IFERROR(TRIM(INDEX($A182:$Z182,MATCH(Lists!$B$2,$A$1:$Z$1,0))&amp;""),""),6,2)),VALUE(MID(IFERROR(TRIM(INDEX($A182:$Z182,MATCH(Lists!$B$2,$A$1:$Z$1,0))&amp;""),""),9,2)))+TIME(VALUE(MID(IFERROR(TRIM(INDEX($A182:$Z182,MATCH(Lists!$B$2,$A$1:$Z$1,0))&amp;""),""),12,2)),VALUE(MID(IFERROR(TRIM(INDEX($A182:$Z182,MATCH(Lists!$B$2,$A$1:$Z$1,0))&amp;""),""),15,2)),VALUE(MID(IFERROR(TRIM(INDEX($A182:$Z182,MATCH(Lists!$B$2,$A$1:$Z$1,0))&amp;""),""),18,2)))),"")="",100000+ROW()/10^7,IFERROR(IF(ISNUMBER(INDEX($A182:$Z182,MATCH(Lists!$B$2,$A$1:$Z$1,0))),INDEX($A182:$Z182,MATCH(Lists!$B$2,$A$1:$Z$1,0)),DATE(VALUE(LEFT(IFERROR(TRIM(INDEX($A182:$Z182,MATCH(Lists!$B$2,$A$1:$Z$1,0))&amp;""),""),4)),VALUE(MID(IFERROR(TRIM(INDEX($A182:$Z182,MATCH(Lists!$B$2,$A$1:$Z$1,0))&amp;""),""),6,2)),VALUE(MID(IFERROR(TRIM(INDEX($A182:$Z182,MATCH(Lists!$B$2,$A$1:$Z$1,0))&amp;""),""),9,2)))+TIME(VALUE(MID(IFERROR(TRIM(INDEX($A182:$Z182,MATCH(Lists!$B$2,$A$1:$Z$1,0))&amp;""),""),12,2)),VALUE(MID(IFERROR(TRIM(INDEX($A182:$Z182,MATCH(Lists!$B$2,$A$1:$Z$1,0))&amp;""),""),15,2)),VALUE(MID(IFERROR(TRIM(INDEX($A182:$Z182,MATCH(Lists!$B$2,$A$1:$Z$1,0))&amp;""),""),18,2)))),"")-ROW()/10^7),"")</f>
        <v/>
      </c>
    </row>
    <row r="183">
      <c r="AB183" s="36">
        <f>IF($AR183=1,COUNTIF($AS$2:$AS$201,"&lt;"&amp;$AS183)+1,"")</f>
        <v/>
      </c>
      <c r="AC183" s="37">
        <f>IFERROR(TRIM(INDEX($A183:$Z183,MATCH(Lists!$B$9,$A$1:$Z$1,0))&amp;""),"")</f>
        <v/>
      </c>
      <c r="AD183" s="37">
        <f>IF($AR183=1,IFERROR(TRIM(INDEX($A183:$Z183,MATCH(Lists!$B$10,$A$1:$Z$1,0))&amp;""),""),"")</f>
        <v/>
      </c>
      <c r="AE183" s="37">
        <f>IF($AR183=1,IFERROR(TRIM(INDEX($A183:$Z183,MATCH(Lists!$B$12,$A$1:$Z$1,0))&amp;""),""),"")</f>
        <v/>
      </c>
      <c r="AF183" s="38">
        <f>IF($AR183=1,IFERROR(IF(TRIM(INDEX($A183:$Z183,MATCH(Lists!$B$11,$A$1:$Z$1,0))&amp;"")="","",VALUE(TRIM(INDEX($A183:$Z183,MATCH(Lists!$B$11,$A$1:$Z$1,0))&amp;""))),""),"")</f>
        <v/>
      </c>
      <c r="AG183" s="38">
        <f>IF(OR($AR183=0,$AF183="",'Start here'!$F$10="",'Start here'!$F$11="",'Start here'!$F$12="",'Start here'!$F$13="",'Start here'!$F$14=""),"",IF($AF183&lt;'Start here'!$F$10,'Start here'!$F$11,IF($AF183&lt;'Start here'!$F$12,'Start here'!$F$13,'Start here'!$F$14)))</f>
        <v/>
      </c>
      <c r="AH183" s="38">
        <f>IF(OR($AG183="",'Start here'!$F$9=""),"",IF($AF183&lt;=0,"",IFERROR(MAX($AG183,ROUNDUP(ROUND($AF183*'Start here'!$F$9/$AG183,6),0)*$AG183),"")))</f>
        <v/>
      </c>
      <c r="AI183" s="37">
        <f>IF($AR183=0,"",IF($AN183=Lists!$B$19,"",IF(AND($AN183=Lists!$B$18,$AQ183&lt;&gt;""),$AQ183,IF(AND($AP183=Lists!$B$17,$AL183&lt;&gt;""),$AL183,$AK183))))</f>
        <v/>
      </c>
      <c r="AJ183" s="37">
        <f>IF($AR183=0,"",IF(IF($AF183="",", no value",IF($AF183&lt;=0,", no value",""))&amp;IF('Start here'!$F$15="","",IF(LEN($AD183)&lt;'Start here'!$F$15,", short description",""))="","OK",MID(IF($AF183="",", no value",IF($AF183&lt;=0,", no value",""))&amp;IF('Start here'!$F$15="","",IF(LEN($AD183)&lt;'Start here'!$F$15,", short description","")),3,200)))</f>
        <v/>
      </c>
      <c r="AK183" s="37">
        <f>IF($AR183=1,IFERROR(TRIM(INDEX($A183:$Z183,MATCH(Lists!$B$5,$A$1:$Z$1,0))&amp;""),""),"")</f>
        <v/>
      </c>
      <c r="AL183" s="37">
        <f>IF($AR183=1,IFERROR(TRIM(INDEX($A183:$Z183,MATCH(Lists!$B$4,$A$1:$Z$1,0))&amp;""),""),"")</f>
        <v/>
      </c>
      <c r="AM183" s="37">
        <f>IF($AR183=1,IFERROR(TRIM(INDEX($A183:$Z183,MATCH(Lists!$B$6,$A$1:$Z$1,0))&amp;""),""),"")</f>
        <v/>
      </c>
      <c r="AN183" s="37">
        <f>IF($AR183=1,IFERROR(TRIM(INDEX($A183:$Z183,MATCH(Lists!$B$7,$A$1:$Z$1,0))&amp;""),""),"")</f>
        <v/>
      </c>
      <c r="AO183" s="37">
        <f>IF($AR183=1,IFERROR(TRIM(INDEX($A183:$Z183,MATCH(Lists!$B$13,$A$1:$Z$1,0))&amp;""),""),"")</f>
        <v/>
      </c>
      <c r="AP183" s="37">
        <f>IF($AR183=1,IFERROR(TRIM(INDEX($A183:$Z183,MATCH(Lists!$B$3,$A$1:$Z$1,0))&amp;""),""),"")</f>
        <v/>
      </c>
      <c r="AQ183" s="37">
        <f>IF($AR183=1,IFERROR(TRIM(INDEX($A183:$Z183,MATCH(Lists!$B$8,$A$1:$Z$1,0))&amp;""),""),"")</f>
        <v/>
      </c>
      <c r="AR183" s="36">
        <f>IF(LEN($AC183)&gt;0,1,0)</f>
        <v/>
      </c>
      <c r="AS183" s="37">
        <f>IF($AR183=1,IF(IFERROR(IF(ISNUMBER(INDEX($A183:$Z183,MATCH(Lists!$B$2,$A$1:$Z$1,0))),INDEX($A183:$Z183,MATCH(Lists!$B$2,$A$1:$Z$1,0)),DATE(VALUE(LEFT(IFERROR(TRIM(INDEX($A183:$Z183,MATCH(Lists!$B$2,$A$1:$Z$1,0))&amp;""),""),4)),VALUE(MID(IFERROR(TRIM(INDEX($A183:$Z183,MATCH(Lists!$B$2,$A$1:$Z$1,0))&amp;""),""),6,2)),VALUE(MID(IFERROR(TRIM(INDEX($A183:$Z183,MATCH(Lists!$B$2,$A$1:$Z$1,0))&amp;""),""),9,2)))+TIME(VALUE(MID(IFERROR(TRIM(INDEX($A183:$Z183,MATCH(Lists!$B$2,$A$1:$Z$1,0))&amp;""),""),12,2)),VALUE(MID(IFERROR(TRIM(INDEX($A183:$Z183,MATCH(Lists!$B$2,$A$1:$Z$1,0))&amp;""),""),15,2)),VALUE(MID(IFERROR(TRIM(INDEX($A183:$Z183,MATCH(Lists!$B$2,$A$1:$Z$1,0))&amp;""),""),18,2)))),"")="",100000+ROW()/10^7,IFERROR(IF(ISNUMBER(INDEX($A183:$Z183,MATCH(Lists!$B$2,$A$1:$Z$1,0))),INDEX($A183:$Z183,MATCH(Lists!$B$2,$A$1:$Z$1,0)),DATE(VALUE(LEFT(IFERROR(TRIM(INDEX($A183:$Z183,MATCH(Lists!$B$2,$A$1:$Z$1,0))&amp;""),""),4)),VALUE(MID(IFERROR(TRIM(INDEX($A183:$Z183,MATCH(Lists!$B$2,$A$1:$Z$1,0))&amp;""),""),6,2)),VALUE(MID(IFERROR(TRIM(INDEX($A183:$Z183,MATCH(Lists!$B$2,$A$1:$Z$1,0))&amp;""),""),9,2)))+TIME(VALUE(MID(IFERROR(TRIM(INDEX($A183:$Z183,MATCH(Lists!$B$2,$A$1:$Z$1,0))&amp;""),""),12,2)),VALUE(MID(IFERROR(TRIM(INDEX($A183:$Z183,MATCH(Lists!$B$2,$A$1:$Z$1,0))&amp;""),""),15,2)),VALUE(MID(IFERROR(TRIM(INDEX($A183:$Z183,MATCH(Lists!$B$2,$A$1:$Z$1,0))&amp;""),""),18,2)))),"")-ROW()/10^7),"")</f>
        <v/>
      </c>
    </row>
    <row r="184">
      <c r="AB184" s="36">
        <f>IF($AR184=1,COUNTIF($AS$2:$AS$201,"&lt;"&amp;$AS184)+1,"")</f>
        <v/>
      </c>
      <c r="AC184" s="37">
        <f>IFERROR(TRIM(INDEX($A184:$Z184,MATCH(Lists!$B$9,$A$1:$Z$1,0))&amp;""),"")</f>
        <v/>
      </c>
      <c r="AD184" s="37">
        <f>IF($AR184=1,IFERROR(TRIM(INDEX($A184:$Z184,MATCH(Lists!$B$10,$A$1:$Z$1,0))&amp;""),""),"")</f>
        <v/>
      </c>
      <c r="AE184" s="37">
        <f>IF($AR184=1,IFERROR(TRIM(INDEX($A184:$Z184,MATCH(Lists!$B$12,$A$1:$Z$1,0))&amp;""),""),"")</f>
        <v/>
      </c>
      <c r="AF184" s="38">
        <f>IF($AR184=1,IFERROR(IF(TRIM(INDEX($A184:$Z184,MATCH(Lists!$B$11,$A$1:$Z$1,0))&amp;"")="","",VALUE(TRIM(INDEX($A184:$Z184,MATCH(Lists!$B$11,$A$1:$Z$1,0))&amp;""))),""),"")</f>
        <v/>
      </c>
      <c r="AG184" s="38">
        <f>IF(OR($AR184=0,$AF184="",'Start here'!$F$10="",'Start here'!$F$11="",'Start here'!$F$12="",'Start here'!$F$13="",'Start here'!$F$14=""),"",IF($AF184&lt;'Start here'!$F$10,'Start here'!$F$11,IF($AF184&lt;'Start here'!$F$12,'Start here'!$F$13,'Start here'!$F$14)))</f>
        <v/>
      </c>
      <c r="AH184" s="38">
        <f>IF(OR($AG184="",'Start here'!$F$9=""),"",IF($AF184&lt;=0,"",IFERROR(MAX($AG184,ROUNDUP(ROUND($AF184*'Start here'!$F$9/$AG184,6),0)*$AG184),"")))</f>
        <v/>
      </c>
      <c r="AI184" s="37">
        <f>IF($AR184=0,"",IF($AN184=Lists!$B$19,"",IF(AND($AN184=Lists!$B$18,$AQ184&lt;&gt;""),$AQ184,IF(AND($AP184=Lists!$B$17,$AL184&lt;&gt;""),$AL184,$AK184))))</f>
        <v/>
      </c>
      <c r="AJ184" s="37">
        <f>IF($AR184=0,"",IF(IF($AF184="",", no value",IF($AF184&lt;=0,", no value",""))&amp;IF('Start here'!$F$15="","",IF(LEN($AD184)&lt;'Start here'!$F$15,", short description",""))="","OK",MID(IF($AF184="",", no value",IF($AF184&lt;=0,", no value",""))&amp;IF('Start here'!$F$15="","",IF(LEN($AD184)&lt;'Start here'!$F$15,", short description","")),3,200)))</f>
        <v/>
      </c>
      <c r="AK184" s="37">
        <f>IF($AR184=1,IFERROR(TRIM(INDEX($A184:$Z184,MATCH(Lists!$B$5,$A$1:$Z$1,0))&amp;""),""),"")</f>
        <v/>
      </c>
      <c r="AL184" s="37">
        <f>IF($AR184=1,IFERROR(TRIM(INDEX($A184:$Z184,MATCH(Lists!$B$4,$A$1:$Z$1,0))&amp;""),""),"")</f>
        <v/>
      </c>
      <c r="AM184" s="37">
        <f>IF($AR184=1,IFERROR(TRIM(INDEX($A184:$Z184,MATCH(Lists!$B$6,$A$1:$Z$1,0))&amp;""),""),"")</f>
        <v/>
      </c>
      <c r="AN184" s="37">
        <f>IF($AR184=1,IFERROR(TRIM(INDEX($A184:$Z184,MATCH(Lists!$B$7,$A$1:$Z$1,0))&amp;""),""),"")</f>
        <v/>
      </c>
      <c r="AO184" s="37">
        <f>IF($AR184=1,IFERROR(TRIM(INDEX($A184:$Z184,MATCH(Lists!$B$13,$A$1:$Z$1,0))&amp;""),""),"")</f>
        <v/>
      </c>
      <c r="AP184" s="37">
        <f>IF($AR184=1,IFERROR(TRIM(INDEX($A184:$Z184,MATCH(Lists!$B$3,$A$1:$Z$1,0))&amp;""),""),"")</f>
        <v/>
      </c>
      <c r="AQ184" s="37">
        <f>IF($AR184=1,IFERROR(TRIM(INDEX($A184:$Z184,MATCH(Lists!$B$8,$A$1:$Z$1,0))&amp;""),""),"")</f>
        <v/>
      </c>
      <c r="AR184" s="36">
        <f>IF(LEN($AC184)&gt;0,1,0)</f>
        <v/>
      </c>
      <c r="AS184" s="37">
        <f>IF($AR184=1,IF(IFERROR(IF(ISNUMBER(INDEX($A184:$Z184,MATCH(Lists!$B$2,$A$1:$Z$1,0))),INDEX($A184:$Z184,MATCH(Lists!$B$2,$A$1:$Z$1,0)),DATE(VALUE(LEFT(IFERROR(TRIM(INDEX($A184:$Z184,MATCH(Lists!$B$2,$A$1:$Z$1,0))&amp;""),""),4)),VALUE(MID(IFERROR(TRIM(INDEX($A184:$Z184,MATCH(Lists!$B$2,$A$1:$Z$1,0))&amp;""),""),6,2)),VALUE(MID(IFERROR(TRIM(INDEX($A184:$Z184,MATCH(Lists!$B$2,$A$1:$Z$1,0))&amp;""),""),9,2)))+TIME(VALUE(MID(IFERROR(TRIM(INDEX($A184:$Z184,MATCH(Lists!$B$2,$A$1:$Z$1,0))&amp;""),""),12,2)),VALUE(MID(IFERROR(TRIM(INDEX($A184:$Z184,MATCH(Lists!$B$2,$A$1:$Z$1,0))&amp;""),""),15,2)),VALUE(MID(IFERROR(TRIM(INDEX($A184:$Z184,MATCH(Lists!$B$2,$A$1:$Z$1,0))&amp;""),""),18,2)))),"")="",100000+ROW()/10^7,IFERROR(IF(ISNUMBER(INDEX($A184:$Z184,MATCH(Lists!$B$2,$A$1:$Z$1,0))),INDEX($A184:$Z184,MATCH(Lists!$B$2,$A$1:$Z$1,0)),DATE(VALUE(LEFT(IFERROR(TRIM(INDEX($A184:$Z184,MATCH(Lists!$B$2,$A$1:$Z$1,0))&amp;""),""),4)),VALUE(MID(IFERROR(TRIM(INDEX($A184:$Z184,MATCH(Lists!$B$2,$A$1:$Z$1,0))&amp;""),""),6,2)),VALUE(MID(IFERROR(TRIM(INDEX($A184:$Z184,MATCH(Lists!$B$2,$A$1:$Z$1,0))&amp;""),""),9,2)))+TIME(VALUE(MID(IFERROR(TRIM(INDEX($A184:$Z184,MATCH(Lists!$B$2,$A$1:$Z$1,0))&amp;""),""),12,2)),VALUE(MID(IFERROR(TRIM(INDEX($A184:$Z184,MATCH(Lists!$B$2,$A$1:$Z$1,0))&amp;""),""),15,2)),VALUE(MID(IFERROR(TRIM(INDEX($A184:$Z184,MATCH(Lists!$B$2,$A$1:$Z$1,0))&amp;""),""),18,2)))),"")-ROW()/10^7),"")</f>
        <v/>
      </c>
    </row>
    <row r="185">
      <c r="AB185" s="36">
        <f>IF($AR185=1,COUNTIF($AS$2:$AS$201,"&lt;"&amp;$AS185)+1,"")</f>
        <v/>
      </c>
      <c r="AC185" s="37">
        <f>IFERROR(TRIM(INDEX($A185:$Z185,MATCH(Lists!$B$9,$A$1:$Z$1,0))&amp;""),"")</f>
        <v/>
      </c>
      <c r="AD185" s="37">
        <f>IF($AR185=1,IFERROR(TRIM(INDEX($A185:$Z185,MATCH(Lists!$B$10,$A$1:$Z$1,0))&amp;""),""),"")</f>
        <v/>
      </c>
      <c r="AE185" s="37">
        <f>IF($AR185=1,IFERROR(TRIM(INDEX($A185:$Z185,MATCH(Lists!$B$12,$A$1:$Z$1,0))&amp;""),""),"")</f>
        <v/>
      </c>
      <c r="AF185" s="38">
        <f>IF($AR185=1,IFERROR(IF(TRIM(INDEX($A185:$Z185,MATCH(Lists!$B$11,$A$1:$Z$1,0))&amp;"")="","",VALUE(TRIM(INDEX($A185:$Z185,MATCH(Lists!$B$11,$A$1:$Z$1,0))&amp;""))),""),"")</f>
        <v/>
      </c>
      <c r="AG185" s="38">
        <f>IF(OR($AR185=0,$AF185="",'Start here'!$F$10="",'Start here'!$F$11="",'Start here'!$F$12="",'Start here'!$F$13="",'Start here'!$F$14=""),"",IF($AF185&lt;'Start here'!$F$10,'Start here'!$F$11,IF($AF185&lt;'Start here'!$F$12,'Start here'!$F$13,'Start here'!$F$14)))</f>
        <v/>
      </c>
      <c r="AH185" s="38">
        <f>IF(OR($AG185="",'Start here'!$F$9=""),"",IF($AF185&lt;=0,"",IFERROR(MAX($AG185,ROUNDUP(ROUND($AF185*'Start here'!$F$9/$AG185,6),0)*$AG185),"")))</f>
        <v/>
      </c>
      <c r="AI185" s="37">
        <f>IF($AR185=0,"",IF($AN185=Lists!$B$19,"",IF(AND($AN185=Lists!$B$18,$AQ185&lt;&gt;""),$AQ185,IF(AND($AP185=Lists!$B$17,$AL185&lt;&gt;""),$AL185,$AK185))))</f>
        <v/>
      </c>
      <c r="AJ185" s="37">
        <f>IF($AR185=0,"",IF(IF($AF185="",", no value",IF($AF185&lt;=0,", no value",""))&amp;IF('Start here'!$F$15="","",IF(LEN($AD185)&lt;'Start here'!$F$15,", short description",""))="","OK",MID(IF($AF185="",", no value",IF($AF185&lt;=0,", no value",""))&amp;IF('Start here'!$F$15="","",IF(LEN($AD185)&lt;'Start here'!$F$15,", short description","")),3,200)))</f>
        <v/>
      </c>
      <c r="AK185" s="37">
        <f>IF($AR185=1,IFERROR(TRIM(INDEX($A185:$Z185,MATCH(Lists!$B$5,$A$1:$Z$1,0))&amp;""),""),"")</f>
        <v/>
      </c>
      <c r="AL185" s="37">
        <f>IF($AR185=1,IFERROR(TRIM(INDEX($A185:$Z185,MATCH(Lists!$B$4,$A$1:$Z$1,0))&amp;""),""),"")</f>
        <v/>
      </c>
      <c r="AM185" s="37">
        <f>IF($AR185=1,IFERROR(TRIM(INDEX($A185:$Z185,MATCH(Lists!$B$6,$A$1:$Z$1,0))&amp;""),""),"")</f>
        <v/>
      </c>
      <c r="AN185" s="37">
        <f>IF($AR185=1,IFERROR(TRIM(INDEX($A185:$Z185,MATCH(Lists!$B$7,$A$1:$Z$1,0))&amp;""),""),"")</f>
        <v/>
      </c>
      <c r="AO185" s="37">
        <f>IF($AR185=1,IFERROR(TRIM(INDEX($A185:$Z185,MATCH(Lists!$B$13,$A$1:$Z$1,0))&amp;""),""),"")</f>
        <v/>
      </c>
      <c r="AP185" s="37">
        <f>IF($AR185=1,IFERROR(TRIM(INDEX($A185:$Z185,MATCH(Lists!$B$3,$A$1:$Z$1,0))&amp;""),""),"")</f>
        <v/>
      </c>
      <c r="AQ185" s="37">
        <f>IF($AR185=1,IFERROR(TRIM(INDEX($A185:$Z185,MATCH(Lists!$B$8,$A$1:$Z$1,0))&amp;""),""),"")</f>
        <v/>
      </c>
      <c r="AR185" s="36">
        <f>IF(LEN($AC185)&gt;0,1,0)</f>
        <v/>
      </c>
      <c r="AS185" s="37">
        <f>IF($AR185=1,IF(IFERROR(IF(ISNUMBER(INDEX($A185:$Z185,MATCH(Lists!$B$2,$A$1:$Z$1,0))),INDEX($A185:$Z185,MATCH(Lists!$B$2,$A$1:$Z$1,0)),DATE(VALUE(LEFT(IFERROR(TRIM(INDEX($A185:$Z185,MATCH(Lists!$B$2,$A$1:$Z$1,0))&amp;""),""),4)),VALUE(MID(IFERROR(TRIM(INDEX($A185:$Z185,MATCH(Lists!$B$2,$A$1:$Z$1,0))&amp;""),""),6,2)),VALUE(MID(IFERROR(TRIM(INDEX($A185:$Z185,MATCH(Lists!$B$2,$A$1:$Z$1,0))&amp;""),""),9,2)))+TIME(VALUE(MID(IFERROR(TRIM(INDEX($A185:$Z185,MATCH(Lists!$B$2,$A$1:$Z$1,0))&amp;""),""),12,2)),VALUE(MID(IFERROR(TRIM(INDEX($A185:$Z185,MATCH(Lists!$B$2,$A$1:$Z$1,0))&amp;""),""),15,2)),VALUE(MID(IFERROR(TRIM(INDEX($A185:$Z185,MATCH(Lists!$B$2,$A$1:$Z$1,0))&amp;""),""),18,2)))),"")="",100000+ROW()/10^7,IFERROR(IF(ISNUMBER(INDEX($A185:$Z185,MATCH(Lists!$B$2,$A$1:$Z$1,0))),INDEX($A185:$Z185,MATCH(Lists!$B$2,$A$1:$Z$1,0)),DATE(VALUE(LEFT(IFERROR(TRIM(INDEX($A185:$Z185,MATCH(Lists!$B$2,$A$1:$Z$1,0))&amp;""),""),4)),VALUE(MID(IFERROR(TRIM(INDEX($A185:$Z185,MATCH(Lists!$B$2,$A$1:$Z$1,0))&amp;""),""),6,2)),VALUE(MID(IFERROR(TRIM(INDEX($A185:$Z185,MATCH(Lists!$B$2,$A$1:$Z$1,0))&amp;""),""),9,2)))+TIME(VALUE(MID(IFERROR(TRIM(INDEX($A185:$Z185,MATCH(Lists!$B$2,$A$1:$Z$1,0))&amp;""),""),12,2)),VALUE(MID(IFERROR(TRIM(INDEX($A185:$Z185,MATCH(Lists!$B$2,$A$1:$Z$1,0))&amp;""),""),15,2)),VALUE(MID(IFERROR(TRIM(INDEX($A185:$Z185,MATCH(Lists!$B$2,$A$1:$Z$1,0))&amp;""),""),18,2)))),"")-ROW()/10^7),"")</f>
        <v/>
      </c>
    </row>
    <row r="186">
      <c r="AB186" s="36">
        <f>IF($AR186=1,COUNTIF($AS$2:$AS$201,"&lt;"&amp;$AS186)+1,"")</f>
        <v/>
      </c>
      <c r="AC186" s="37">
        <f>IFERROR(TRIM(INDEX($A186:$Z186,MATCH(Lists!$B$9,$A$1:$Z$1,0))&amp;""),"")</f>
        <v/>
      </c>
      <c r="AD186" s="37">
        <f>IF($AR186=1,IFERROR(TRIM(INDEX($A186:$Z186,MATCH(Lists!$B$10,$A$1:$Z$1,0))&amp;""),""),"")</f>
        <v/>
      </c>
      <c r="AE186" s="37">
        <f>IF($AR186=1,IFERROR(TRIM(INDEX($A186:$Z186,MATCH(Lists!$B$12,$A$1:$Z$1,0))&amp;""),""),"")</f>
        <v/>
      </c>
      <c r="AF186" s="38">
        <f>IF($AR186=1,IFERROR(IF(TRIM(INDEX($A186:$Z186,MATCH(Lists!$B$11,$A$1:$Z$1,0))&amp;"")="","",VALUE(TRIM(INDEX($A186:$Z186,MATCH(Lists!$B$11,$A$1:$Z$1,0))&amp;""))),""),"")</f>
        <v/>
      </c>
      <c r="AG186" s="38">
        <f>IF(OR($AR186=0,$AF186="",'Start here'!$F$10="",'Start here'!$F$11="",'Start here'!$F$12="",'Start here'!$F$13="",'Start here'!$F$14=""),"",IF($AF186&lt;'Start here'!$F$10,'Start here'!$F$11,IF($AF186&lt;'Start here'!$F$12,'Start here'!$F$13,'Start here'!$F$14)))</f>
        <v/>
      </c>
      <c r="AH186" s="38">
        <f>IF(OR($AG186="",'Start here'!$F$9=""),"",IF($AF186&lt;=0,"",IFERROR(MAX($AG186,ROUNDUP(ROUND($AF186*'Start here'!$F$9/$AG186,6),0)*$AG186),"")))</f>
        <v/>
      </c>
      <c r="AI186" s="37">
        <f>IF($AR186=0,"",IF($AN186=Lists!$B$19,"",IF(AND($AN186=Lists!$B$18,$AQ186&lt;&gt;""),$AQ186,IF(AND($AP186=Lists!$B$17,$AL186&lt;&gt;""),$AL186,$AK186))))</f>
        <v/>
      </c>
      <c r="AJ186" s="37">
        <f>IF($AR186=0,"",IF(IF($AF186="",", no value",IF($AF186&lt;=0,", no value",""))&amp;IF('Start here'!$F$15="","",IF(LEN($AD186)&lt;'Start here'!$F$15,", short description",""))="","OK",MID(IF($AF186="",", no value",IF($AF186&lt;=0,", no value",""))&amp;IF('Start here'!$F$15="","",IF(LEN($AD186)&lt;'Start here'!$F$15,", short description","")),3,200)))</f>
        <v/>
      </c>
      <c r="AK186" s="37">
        <f>IF($AR186=1,IFERROR(TRIM(INDEX($A186:$Z186,MATCH(Lists!$B$5,$A$1:$Z$1,0))&amp;""),""),"")</f>
        <v/>
      </c>
      <c r="AL186" s="37">
        <f>IF($AR186=1,IFERROR(TRIM(INDEX($A186:$Z186,MATCH(Lists!$B$4,$A$1:$Z$1,0))&amp;""),""),"")</f>
        <v/>
      </c>
      <c r="AM186" s="37">
        <f>IF($AR186=1,IFERROR(TRIM(INDEX($A186:$Z186,MATCH(Lists!$B$6,$A$1:$Z$1,0))&amp;""),""),"")</f>
        <v/>
      </c>
      <c r="AN186" s="37">
        <f>IF($AR186=1,IFERROR(TRIM(INDEX($A186:$Z186,MATCH(Lists!$B$7,$A$1:$Z$1,0))&amp;""),""),"")</f>
        <v/>
      </c>
      <c r="AO186" s="37">
        <f>IF($AR186=1,IFERROR(TRIM(INDEX($A186:$Z186,MATCH(Lists!$B$13,$A$1:$Z$1,0))&amp;""),""),"")</f>
        <v/>
      </c>
      <c r="AP186" s="37">
        <f>IF($AR186=1,IFERROR(TRIM(INDEX($A186:$Z186,MATCH(Lists!$B$3,$A$1:$Z$1,0))&amp;""),""),"")</f>
        <v/>
      </c>
      <c r="AQ186" s="37">
        <f>IF($AR186=1,IFERROR(TRIM(INDEX($A186:$Z186,MATCH(Lists!$B$8,$A$1:$Z$1,0))&amp;""),""),"")</f>
        <v/>
      </c>
      <c r="AR186" s="36">
        <f>IF(LEN($AC186)&gt;0,1,0)</f>
        <v/>
      </c>
      <c r="AS186" s="37">
        <f>IF($AR186=1,IF(IFERROR(IF(ISNUMBER(INDEX($A186:$Z186,MATCH(Lists!$B$2,$A$1:$Z$1,0))),INDEX($A186:$Z186,MATCH(Lists!$B$2,$A$1:$Z$1,0)),DATE(VALUE(LEFT(IFERROR(TRIM(INDEX($A186:$Z186,MATCH(Lists!$B$2,$A$1:$Z$1,0))&amp;""),""),4)),VALUE(MID(IFERROR(TRIM(INDEX($A186:$Z186,MATCH(Lists!$B$2,$A$1:$Z$1,0))&amp;""),""),6,2)),VALUE(MID(IFERROR(TRIM(INDEX($A186:$Z186,MATCH(Lists!$B$2,$A$1:$Z$1,0))&amp;""),""),9,2)))+TIME(VALUE(MID(IFERROR(TRIM(INDEX($A186:$Z186,MATCH(Lists!$B$2,$A$1:$Z$1,0))&amp;""),""),12,2)),VALUE(MID(IFERROR(TRIM(INDEX($A186:$Z186,MATCH(Lists!$B$2,$A$1:$Z$1,0))&amp;""),""),15,2)),VALUE(MID(IFERROR(TRIM(INDEX($A186:$Z186,MATCH(Lists!$B$2,$A$1:$Z$1,0))&amp;""),""),18,2)))),"")="",100000+ROW()/10^7,IFERROR(IF(ISNUMBER(INDEX($A186:$Z186,MATCH(Lists!$B$2,$A$1:$Z$1,0))),INDEX($A186:$Z186,MATCH(Lists!$B$2,$A$1:$Z$1,0)),DATE(VALUE(LEFT(IFERROR(TRIM(INDEX($A186:$Z186,MATCH(Lists!$B$2,$A$1:$Z$1,0))&amp;""),""),4)),VALUE(MID(IFERROR(TRIM(INDEX($A186:$Z186,MATCH(Lists!$B$2,$A$1:$Z$1,0))&amp;""),""),6,2)),VALUE(MID(IFERROR(TRIM(INDEX($A186:$Z186,MATCH(Lists!$B$2,$A$1:$Z$1,0))&amp;""),""),9,2)))+TIME(VALUE(MID(IFERROR(TRIM(INDEX($A186:$Z186,MATCH(Lists!$B$2,$A$1:$Z$1,0))&amp;""),""),12,2)),VALUE(MID(IFERROR(TRIM(INDEX($A186:$Z186,MATCH(Lists!$B$2,$A$1:$Z$1,0))&amp;""),""),15,2)),VALUE(MID(IFERROR(TRIM(INDEX($A186:$Z186,MATCH(Lists!$B$2,$A$1:$Z$1,0))&amp;""),""),18,2)))),"")-ROW()/10^7),"")</f>
        <v/>
      </c>
    </row>
    <row r="187">
      <c r="AB187" s="36">
        <f>IF($AR187=1,COUNTIF($AS$2:$AS$201,"&lt;"&amp;$AS187)+1,"")</f>
        <v/>
      </c>
      <c r="AC187" s="37">
        <f>IFERROR(TRIM(INDEX($A187:$Z187,MATCH(Lists!$B$9,$A$1:$Z$1,0))&amp;""),"")</f>
        <v/>
      </c>
      <c r="AD187" s="37">
        <f>IF($AR187=1,IFERROR(TRIM(INDEX($A187:$Z187,MATCH(Lists!$B$10,$A$1:$Z$1,0))&amp;""),""),"")</f>
        <v/>
      </c>
      <c r="AE187" s="37">
        <f>IF($AR187=1,IFERROR(TRIM(INDEX($A187:$Z187,MATCH(Lists!$B$12,$A$1:$Z$1,0))&amp;""),""),"")</f>
        <v/>
      </c>
      <c r="AF187" s="38">
        <f>IF($AR187=1,IFERROR(IF(TRIM(INDEX($A187:$Z187,MATCH(Lists!$B$11,$A$1:$Z$1,0))&amp;"")="","",VALUE(TRIM(INDEX($A187:$Z187,MATCH(Lists!$B$11,$A$1:$Z$1,0))&amp;""))),""),"")</f>
        <v/>
      </c>
      <c r="AG187" s="38">
        <f>IF(OR($AR187=0,$AF187="",'Start here'!$F$10="",'Start here'!$F$11="",'Start here'!$F$12="",'Start here'!$F$13="",'Start here'!$F$14=""),"",IF($AF187&lt;'Start here'!$F$10,'Start here'!$F$11,IF($AF187&lt;'Start here'!$F$12,'Start here'!$F$13,'Start here'!$F$14)))</f>
        <v/>
      </c>
      <c r="AH187" s="38">
        <f>IF(OR($AG187="",'Start here'!$F$9=""),"",IF($AF187&lt;=0,"",IFERROR(MAX($AG187,ROUNDUP(ROUND($AF187*'Start here'!$F$9/$AG187,6),0)*$AG187),"")))</f>
        <v/>
      </c>
      <c r="AI187" s="37">
        <f>IF($AR187=0,"",IF($AN187=Lists!$B$19,"",IF(AND($AN187=Lists!$B$18,$AQ187&lt;&gt;""),$AQ187,IF(AND($AP187=Lists!$B$17,$AL187&lt;&gt;""),$AL187,$AK187))))</f>
        <v/>
      </c>
      <c r="AJ187" s="37">
        <f>IF($AR187=0,"",IF(IF($AF187="",", no value",IF($AF187&lt;=0,", no value",""))&amp;IF('Start here'!$F$15="","",IF(LEN($AD187)&lt;'Start here'!$F$15,", short description",""))="","OK",MID(IF($AF187="",", no value",IF($AF187&lt;=0,", no value",""))&amp;IF('Start here'!$F$15="","",IF(LEN($AD187)&lt;'Start here'!$F$15,", short description","")),3,200)))</f>
        <v/>
      </c>
      <c r="AK187" s="37">
        <f>IF($AR187=1,IFERROR(TRIM(INDEX($A187:$Z187,MATCH(Lists!$B$5,$A$1:$Z$1,0))&amp;""),""),"")</f>
        <v/>
      </c>
      <c r="AL187" s="37">
        <f>IF($AR187=1,IFERROR(TRIM(INDEX($A187:$Z187,MATCH(Lists!$B$4,$A$1:$Z$1,0))&amp;""),""),"")</f>
        <v/>
      </c>
      <c r="AM187" s="37">
        <f>IF($AR187=1,IFERROR(TRIM(INDEX($A187:$Z187,MATCH(Lists!$B$6,$A$1:$Z$1,0))&amp;""),""),"")</f>
        <v/>
      </c>
      <c r="AN187" s="37">
        <f>IF($AR187=1,IFERROR(TRIM(INDEX($A187:$Z187,MATCH(Lists!$B$7,$A$1:$Z$1,0))&amp;""),""),"")</f>
        <v/>
      </c>
      <c r="AO187" s="37">
        <f>IF($AR187=1,IFERROR(TRIM(INDEX($A187:$Z187,MATCH(Lists!$B$13,$A$1:$Z$1,0))&amp;""),""),"")</f>
        <v/>
      </c>
      <c r="AP187" s="37">
        <f>IF($AR187=1,IFERROR(TRIM(INDEX($A187:$Z187,MATCH(Lists!$B$3,$A$1:$Z$1,0))&amp;""),""),"")</f>
        <v/>
      </c>
      <c r="AQ187" s="37">
        <f>IF($AR187=1,IFERROR(TRIM(INDEX($A187:$Z187,MATCH(Lists!$B$8,$A$1:$Z$1,0))&amp;""),""),"")</f>
        <v/>
      </c>
      <c r="AR187" s="36">
        <f>IF(LEN($AC187)&gt;0,1,0)</f>
        <v/>
      </c>
      <c r="AS187" s="37">
        <f>IF($AR187=1,IF(IFERROR(IF(ISNUMBER(INDEX($A187:$Z187,MATCH(Lists!$B$2,$A$1:$Z$1,0))),INDEX($A187:$Z187,MATCH(Lists!$B$2,$A$1:$Z$1,0)),DATE(VALUE(LEFT(IFERROR(TRIM(INDEX($A187:$Z187,MATCH(Lists!$B$2,$A$1:$Z$1,0))&amp;""),""),4)),VALUE(MID(IFERROR(TRIM(INDEX($A187:$Z187,MATCH(Lists!$B$2,$A$1:$Z$1,0))&amp;""),""),6,2)),VALUE(MID(IFERROR(TRIM(INDEX($A187:$Z187,MATCH(Lists!$B$2,$A$1:$Z$1,0))&amp;""),""),9,2)))+TIME(VALUE(MID(IFERROR(TRIM(INDEX($A187:$Z187,MATCH(Lists!$B$2,$A$1:$Z$1,0))&amp;""),""),12,2)),VALUE(MID(IFERROR(TRIM(INDEX($A187:$Z187,MATCH(Lists!$B$2,$A$1:$Z$1,0))&amp;""),""),15,2)),VALUE(MID(IFERROR(TRIM(INDEX($A187:$Z187,MATCH(Lists!$B$2,$A$1:$Z$1,0))&amp;""),""),18,2)))),"")="",100000+ROW()/10^7,IFERROR(IF(ISNUMBER(INDEX($A187:$Z187,MATCH(Lists!$B$2,$A$1:$Z$1,0))),INDEX($A187:$Z187,MATCH(Lists!$B$2,$A$1:$Z$1,0)),DATE(VALUE(LEFT(IFERROR(TRIM(INDEX($A187:$Z187,MATCH(Lists!$B$2,$A$1:$Z$1,0))&amp;""),""),4)),VALUE(MID(IFERROR(TRIM(INDEX($A187:$Z187,MATCH(Lists!$B$2,$A$1:$Z$1,0))&amp;""),""),6,2)),VALUE(MID(IFERROR(TRIM(INDEX($A187:$Z187,MATCH(Lists!$B$2,$A$1:$Z$1,0))&amp;""),""),9,2)))+TIME(VALUE(MID(IFERROR(TRIM(INDEX($A187:$Z187,MATCH(Lists!$B$2,$A$1:$Z$1,0))&amp;""),""),12,2)),VALUE(MID(IFERROR(TRIM(INDEX($A187:$Z187,MATCH(Lists!$B$2,$A$1:$Z$1,0))&amp;""),""),15,2)),VALUE(MID(IFERROR(TRIM(INDEX($A187:$Z187,MATCH(Lists!$B$2,$A$1:$Z$1,0))&amp;""),""),18,2)))),"")-ROW()/10^7),"")</f>
        <v/>
      </c>
    </row>
    <row r="188">
      <c r="AB188" s="36">
        <f>IF($AR188=1,COUNTIF($AS$2:$AS$201,"&lt;"&amp;$AS188)+1,"")</f>
        <v/>
      </c>
      <c r="AC188" s="37">
        <f>IFERROR(TRIM(INDEX($A188:$Z188,MATCH(Lists!$B$9,$A$1:$Z$1,0))&amp;""),"")</f>
        <v/>
      </c>
      <c r="AD188" s="37">
        <f>IF($AR188=1,IFERROR(TRIM(INDEX($A188:$Z188,MATCH(Lists!$B$10,$A$1:$Z$1,0))&amp;""),""),"")</f>
        <v/>
      </c>
      <c r="AE188" s="37">
        <f>IF($AR188=1,IFERROR(TRIM(INDEX($A188:$Z188,MATCH(Lists!$B$12,$A$1:$Z$1,0))&amp;""),""),"")</f>
        <v/>
      </c>
      <c r="AF188" s="38">
        <f>IF($AR188=1,IFERROR(IF(TRIM(INDEX($A188:$Z188,MATCH(Lists!$B$11,$A$1:$Z$1,0))&amp;"")="","",VALUE(TRIM(INDEX($A188:$Z188,MATCH(Lists!$B$11,$A$1:$Z$1,0))&amp;""))),""),"")</f>
        <v/>
      </c>
      <c r="AG188" s="38">
        <f>IF(OR($AR188=0,$AF188="",'Start here'!$F$10="",'Start here'!$F$11="",'Start here'!$F$12="",'Start here'!$F$13="",'Start here'!$F$14=""),"",IF($AF188&lt;'Start here'!$F$10,'Start here'!$F$11,IF($AF188&lt;'Start here'!$F$12,'Start here'!$F$13,'Start here'!$F$14)))</f>
        <v/>
      </c>
      <c r="AH188" s="38">
        <f>IF(OR($AG188="",'Start here'!$F$9=""),"",IF($AF188&lt;=0,"",IFERROR(MAX($AG188,ROUNDUP(ROUND($AF188*'Start here'!$F$9/$AG188,6),0)*$AG188),"")))</f>
        <v/>
      </c>
      <c r="AI188" s="37">
        <f>IF($AR188=0,"",IF($AN188=Lists!$B$19,"",IF(AND($AN188=Lists!$B$18,$AQ188&lt;&gt;""),$AQ188,IF(AND($AP188=Lists!$B$17,$AL188&lt;&gt;""),$AL188,$AK188))))</f>
        <v/>
      </c>
      <c r="AJ188" s="37">
        <f>IF($AR188=0,"",IF(IF($AF188="",", no value",IF($AF188&lt;=0,", no value",""))&amp;IF('Start here'!$F$15="","",IF(LEN($AD188)&lt;'Start here'!$F$15,", short description",""))="","OK",MID(IF($AF188="",", no value",IF($AF188&lt;=0,", no value",""))&amp;IF('Start here'!$F$15="","",IF(LEN($AD188)&lt;'Start here'!$F$15,", short description","")),3,200)))</f>
        <v/>
      </c>
      <c r="AK188" s="37">
        <f>IF($AR188=1,IFERROR(TRIM(INDEX($A188:$Z188,MATCH(Lists!$B$5,$A$1:$Z$1,0))&amp;""),""),"")</f>
        <v/>
      </c>
      <c r="AL188" s="37">
        <f>IF($AR188=1,IFERROR(TRIM(INDEX($A188:$Z188,MATCH(Lists!$B$4,$A$1:$Z$1,0))&amp;""),""),"")</f>
        <v/>
      </c>
      <c r="AM188" s="37">
        <f>IF($AR188=1,IFERROR(TRIM(INDEX($A188:$Z188,MATCH(Lists!$B$6,$A$1:$Z$1,0))&amp;""),""),"")</f>
        <v/>
      </c>
      <c r="AN188" s="37">
        <f>IF($AR188=1,IFERROR(TRIM(INDEX($A188:$Z188,MATCH(Lists!$B$7,$A$1:$Z$1,0))&amp;""),""),"")</f>
        <v/>
      </c>
      <c r="AO188" s="37">
        <f>IF($AR188=1,IFERROR(TRIM(INDEX($A188:$Z188,MATCH(Lists!$B$13,$A$1:$Z$1,0))&amp;""),""),"")</f>
        <v/>
      </c>
      <c r="AP188" s="37">
        <f>IF($AR188=1,IFERROR(TRIM(INDEX($A188:$Z188,MATCH(Lists!$B$3,$A$1:$Z$1,0))&amp;""),""),"")</f>
        <v/>
      </c>
      <c r="AQ188" s="37">
        <f>IF($AR188=1,IFERROR(TRIM(INDEX($A188:$Z188,MATCH(Lists!$B$8,$A$1:$Z$1,0))&amp;""),""),"")</f>
        <v/>
      </c>
      <c r="AR188" s="36">
        <f>IF(LEN($AC188)&gt;0,1,0)</f>
        <v/>
      </c>
      <c r="AS188" s="37">
        <f>IF($AR188=1,IF(IFERROR(IF(ISNUMBER(INDEX($A188:$Z188,MATCH(Lists!$B$2,$A$1:$Z$1,0))),INDEX($A188:$Z188,MATCH(Lists!$B$2,$A$1:$Z$1,0)),DATE(VALUE(LEFT(IFERROR(TRIM(INDEX($A188:$Z188,MATCH(Lists!$B$2,$A$1:$Z$1,0))&amp;""),""),4)),VALUE(MID(IFERROR(TRIM(INDEX($A188:$Z188,MATCH(Lists!$B$2,$A$1:$Z$1,0))&amp;""),""),6,2)),VALUE(MID(IFERROR(TRIM(INDEX($A188:$Z188,MATCH(Lists!$B$2,$A$1:$Z$1,0))&amp;""),""),9,2)))+TIME(VALUE(MID(IFERROR(TRIM(INDEX($A188:$Z188,MATCH(Lists!$B$2,$A$1:$Z$1,0))&amp;""),""),12,2)),VALUE(MID(IFERROR(TRIM(INDEX($A188:$Z188,MATCH(Lists!$B$2,$A$1:$Z$1,0))&amp;""),""),15,2)),VALUE(MID(IFERROR(TRIM(INDEX($A188:$Z188,MATCH(Lists!$B$2,$A$1:$Z$1,0))&amp;""),""),18,2)))),"")="",100000+ROW()/10^7,IFERROR(IF(ISNUMBER(INDEX($A188:$Z188,MATCH(Lists!$B$2,$A$1:$Z$1,0))),INDEX($A188:$Z188,MATCH(Lists!$B$2,$A$1:$Z$1,0)),DATE(VALUE(LEFT(IFERROR(TRIM(INDEX($A188:$Z188,MATCH(Lists!$B$2,$A$1:$Z$1,0))&amp;""),""),4)),VALUE(MID(IFERROR(TRIM(INDEX($A188:$Z188,MATCH(Lists!$B$2,$A$1:$Z$1,0))&amp;""),""),6,2)),VALUE(MID(IFERROR(TRIM(INDEX($A188:$Z188,MATCH(Lists!$B$2,$A$1:$Z$1,0))&amp;""),""),9,2)))+TIME(VALUE(MID(IFERROR(TRIM(INDEX($A188:$Z188,MATCH(Lists!$B$2,$A$1:$Z$1,0))&amp;""),""),12,2)),VALUE(MID(IFERROR(TRIM(INDEX($A188:$Z188,MATCH(Lists!$B$2,$A$1:$Z$1,0))&amp;""),""),15,2)),VALUE(MID(IFERROR(TRIM(INDEX($A188:$Z188,MATCH(Lists!$B$2,$A$1:$Z$1,0))&amp;""),""),18,2)))),"")-ROW()/10^7),"")</f>
        <v/>
      </c>
    </row>
    <row r="189">
      <c r="AB189" s="36">
        <f>IF($AR189=1,COUNTIF($AS$2:$AS$201,"&lt;"&amp;$AS189)+1,"")</f>
        <v/>
      </c>
      <c r="AC189" s="37">
        <f>IFERROR(TRIM(INDEX($A189:$Z189,MATCH(Lists!$B$9,$A$1:$Z$1,0))&amp;""),"")</f>
        <v/>
      </c>
      <c r="AD189" s="37">
        <f>IF($AR189=1,IFERROR(TRIM(INDEX($A189:$Z189,MATCH(Lists!$B$10,$A$1:$Z$1,0))&amp;""),""),"")</f>
        <v/>
      </c>
      <c r="AE189" s="37">
        <f>IF($AR189=1,IFERROR(TRIM(INDEX($A189:$Z189,MATCH(Lists!$B$12,$A$1:$Z$1,0))&amp;""),""),"")</f>
        <v/>
      </c>
      <c r="AF189" s="38">
        <f>IF($AR189=1,IFERROR(IF(TRIM(INDEX($A189:$Z189,MATCH(Lists!$B$11,$A$1:$Z$1,0))&amp;"")="","",VALUE(TRIM(INDEX($A189:$Z189,MATCH(Lists!$B$11,$A$1:$Z$1,0))&amp;""))),""),"")</f>
        <v/>
      </c>
      <c r="AG189" s="38">
        <f>IF(OR($AR189=0,$AF189="",'Start here'!$F$10="",'Start here'!$F$11="",'Start here'!$F$12="",'Start here'!$F$13="",'Start here'!$F$14=""),"",IF($AF189&lt;'Start here'!$F$10,'Start here'!$F$11,IF($AF189&lt;'Start here'!$F$12,'Start here'!$F$13,'Start here'!$F$14)))</f>
        <v/>
      </c>
      <c r="AH189" s="38">
        <f>IF(OR($AG189="",'Start here'!$F$9=""),"",IF($AF189&lt;=0,"",IFERROR(MAX($AG189,ROUNDUP(ROUND($AF189*'Start here'!$F$9/$AG189,6),0)*$AG189),"")))</f>
        <v/>
      </c>
      <c r="AI189" s="37">
        <f>IF($AR189=0,"",IF($AN189=Lists!$B$19,"",IF(AND($AN189=Lists!$B$18,$AQ189&lt;&gt;""),$AQ189,IF(AND($AP189=Lists!$B$17,$AL189&lt;&gt;""),$AL189,$AK189))))</f>
        <v/>
      </c>
      <c r="AJ189" s="37">
        <f>IF($AR189=0,"",IF(IF($AF189="",", no value",IF($AF189&lt;=0,", no value",""))&amp;IF('Start here'!$F$15="","",IF(LEN($AD189)&lt;'Start here'!$F$15,", short description",""))="","OK",MID(IF($AF189="",", no value",IF($AF189&lt;=0,", no value",""))&amp;IF('Start here'!$F$15="","",IF(LEN($AD189)&lt;'Start here'!$F$15,", short description","")),3,200)))</f>
        <v/>
      </c>
      <c r="AK189" s="37">
        <f>IF($AR189=1,IFERROR(TRIM(INDEX($A189:$Z189,MATCH(Lists!$B$5,$A$1:$Z$1,0))&amp;""),""),"")</f>
        <v/>
      </c>
      <c r="AL189" s="37">
        <f>IF($AR189=1,IFERROR(TRIM(INDEX($A189:$Z189,MATCH(Lists!$B$4,$A$1:$Z$1,0))&amp;""),""),"")</f>
        <v/>
      </c>
      <c r="AM189" s="37">
        <f>IF($AR189=1,IFERROR(TRIM(INDEX($A189:$Z189,MATCH(Lists!$B$6,$A$1:$Z$1,0))&amp;""),""),"")</f>
        <v/>
      </c>
      <c r="AN189" s="37">
        <f>IF($AR189=1,IFERROR(TRIM(INDEX($A189:$Z189,MATCH(Lists!$B$7,$A$1:$Z$1,0))&amp;""),""),"")</f>
        <v/>
      </c>
      <c r="AO189" s="37">
        <f>IF($AR189=1,IFERROR(TRIM(INDEX($A189:$Z189,MATCH(Lists!$B$13,$A$1:$Z$1,0))&amp;""),""),"")</f>
        <v/>
      </c>
      <c r="AP189" s="37">
        <f>IF($AR189=1,IFERROR(TRIM(INDEX($A189:$Z189,MATCH(Lists!$B$3,$A$1:$Z$1,0))&amp;""),""),"")</f>
        <v/>
      </c>
      <c r="AQ189" s="37">
        <f>IF($AR189=1,IFERROR(TRIM(INDEX($A189:$Z189,MATCH(Lists!$B$8,$A$1:$Z$1,0))&amp;""),""),"")</f>
        <v/>
      </c>
      <c r="AR189" s="36">
        <f>IF(LEN($AC189)&gt;0,1,0)</f>
        <v/>
      </c>
      <c r="AS189" s="37">
        <f>IF($AR189=1,IF(IFERROR(IF(ISNUMBER(INDEX($A189:$Z189,MATCH(Lists!$B$2,$A$1:$Z$1,0))),INDEX($A189:$Z189,MATCH(Lists!$B$2,$A$1:$Z$1,0)),DATE(VALUE(LEFT(IFERROR(TRIM(INDEX($A189:$Z189,MATCH(Lists!$B$2,$A$1:$Z$1,0))&amp;""),""),4)),VALUE(MID(IFERROR(TRIM(INDEX($A189:$Z189,MATCH(Lists!$B$2,$A$1:$Z$1,0))&amp;""),""),6,2)),VALUE(MID(IFERROR(TRIM(INDEX($A189:$Z189,MATCH(Lists!$B$2,$A$1:$Z$1,0))&amp;""),""),9,2)))+TIME(VALUE(MID(IFERROR(TRIM(INDEX($A189:$Z189,MATCH(Lists!$B$2,$A$1:$Z$1,0))&amp;""),""),12,2)),VALUE(MID(IFERROR(TRIM(INDEX($A189:$Z189,MATCH(Lists!$B$2,$A$1:$Z$1,0))&amp;""),""),15,2)),VALUE(MID(IFERROR(TRIM(INDEX($A189:$Z189,MATCH(Lists!$B$2,$A$1:$Z$1,0))&amp;""),""),18,2)))),"")="",100000+ROW()/10^7,IFERROR(IF(ISNUMBER(INDEX($A189:$Z189,MATCH(Lists!$B$2,$A$1:$Z$1,0))),INDEX($A189:$Z189,MATCH(Lists!$B$2,$A$1:$Z$1,0)),DATE(VALUE(LEFT(IFERROR(TRIM(INDEX($A189:$Z189,MATCH(Lists!$B$2,$A$1:$Z$1,0))&amp;""),""),4)),VALUE(MID(IFERROR(TRIM(INDEX($A189:$Z189,MATCH(Lists!$B$2,$A$1:$Z$1,0))&amp;""),""),6,2)),VALUE(MID(IFERROR(TRIM(INDEX($A189:$Z189,MATCH(Lists!$B$2,$A$1:$Z$1,0))&amp;""),""),9,2)))+TIME(VALUE(MID(IFERROR(TRIM(INDEX($A189:$Z189,MATCH(Lists!$B$2,$A$1:$Z$1,0))&amp;""),""),12,2)),VALUE(MID(IFERROR(TRIM(INDEX($A189:$Z189,MATCH(Lists!$B$2,$A$1:$Z$1,0))&amp;""),""),15,2)),VALUE(MID(IFERROR(TRIM(INDEX($A189:$Z189,MATCH(Lists!$B$2,$A$1:$Z$1,0))&amp;""),""),18,2)))),"")-ROW()/10^7),"")</f>
        <v/>
      </c>
    </row>
    <row r="190">
      <c r="AB190" s="36">
        <f>IF($AR190=1,COUNTIF($AS$2:$AS$201,"&lt;"&amp;$AS190)+1,"")</f>
        <v/>
      </c>
      <c r="AC190" s="37">
        <f>IFERROR(TRIM(INDEX($A190:$Z190,MATCH(Lists!$B$9,$A$1:$Z$1,0))&amp;""),"")</f>
        <v/>
      </c>
      <c r="AD190" s="37">
        <f>IF($AR190=1,IFERROR(TRIM(INDEX($A190:$Z190,MATCH(Lists!$B$10,$A$1:$Z$1,0))&amp;""),""),"")</f>
        <v/>
      </c>
      <c r="AE190" s="37">
        <f>IF($AR190=1,IFERROR(TRIM(INDEX($A190:$Z190,MATCH(Lists!$B$12,$A$1:$Z$1,0))&amp;""),""),"")</f>
        <v/>
      </c>
      <c r="AF190" s="38">
        <f>IF($AR190=1,IFERROR(IF(TRIM(INDEX($A190:$Z190,MATCH(Lists!$B$11,$A$1:$Z$1,0))&amp;"")="","",VALUE(TRIM(INDEX($A190:$Z190,MATCH(Lists!$B$11,$A$1:$Z$1,0))&amp;""))),""),"")</f>
        <v/>
      </c>
      <c r="AG190" s="38">
        <f>IF(OR($AR190=0,$AF190="",'Start here'!$F$10="",'Start here'!$F$11="",'Start here'!$F$12="",'Start here'!$F$13="",'Start here'!$F$14=""),"",IF($AF190&lt;'Start here'!$F$10,'Start here'!$F$11,IF($AF190&lt;'Start here'!$F$12,'Start here'!$F$13,'Start here'!$F$14)))</f>
        <v/>
      </c>
      <c r="AH190" s="38">
        <f>IF(OR($AG190="",'Start here'!$F$9=""),"",IF($AF190&lt;=0,"",IFERROR(MAX($AG190,ROUNDUP(ROUND($AF190*'Start here'!$F$9/$AG190,6),0)*$AG190),"")))</f>
        <v/>
      </c>
      <c r="AI190" s="37">
        <f>IF($AR190=0,"",IF($AN190=Lists!$B$19,"",IF(AND($AN190=Lists!$B$18,$AQ190&lt;&gt;""),$AQ190,IF(AND($AP190=Lists!$B$17,$AL190&lt;&gt;""),$AL190,$AK190))))</f>
        <v/>
      </c>
      <c r="AJ190" s="37">
        <f>IF($AR190=0,"",IF(IF($AF190="",", no value",IF($AF190&lt;=0,", no value",""))&amp;IF('Start here'!$F$15="","",IF(LEN($AD190)&lt;'Start here'!$F$15,", short description",""))="","OK",MID(IF($AF190="",", no value",IF($AF190&lt;=0,", no value",""))&amp;IF('Start here'!$F$15="","",IF(LEN($AD190)&lt;'Start here'!$F$15,", short description","")),3,200)))</f>
        <v/>
      </c>
      <c r="AK190" s="37">
        <f>IF($AR190=1,IFERROR(TRIM(INDEX($A190:$Z190,MATCH(Lists!$B$5,$A$1:$Z$1,0))&amp;""),""),"")</f>
        <v/>
      </c>
      <c r="AL190" s="37">
        <f>IF($AR190=1,IFERROR(TRIM(INDEX($A190:$Z190,MATCH(Lists!$B$4,$A$1:$Z$1,0))&amp;""),""),"")</f>
        <v/>
      </c>
      <c r="AM190" s="37">
        <f>IF($AR190=1,IFERROR(TRIM(INDEX($A190:$Z190,MATCH(Lists!$B$6,$A$1:$Z$1,0))&amp;""),""),"")</f>
        <v/>
      </c>
      <c r="AN190" s="37">
        <f>IF($AR190=1,IFERROR(TRIM(INDEX($A190:$Z190,MATCH(Lists!$B$7,$A$1:$Z$1,0))&amp;""),""),"")</f>
        <v/>
      </c>
      <c r="AO190" s="37">
        <f>IF($AR190=1,IFERROR(TRIM(INDEX($A190:$Z190,MATCH(Lists!$B$13,$A$1:$Z$1,0))&amp;""),""),"")</f>
        <v/>
      </c>
      <c r="AP190" s="37">
        <f>IF($AR190=1,IFERROR(TRIM(INDEX($A190:$Z190,MATCH(Lists!$B$3,$A$1:$Z$1,0))&amp;""),""),"")</f>
        <v/>
      </c>
      <c r="AQ190" s="37">
        <f>IF($AR190=1,IFERROR(TRIM(INDEX($A190:$Z190,MATCH(Lists!$B$8,$A$1:$Z$1,0))&amp;""),""),"")</f>
        <v/>
      </c>
      <c r="AR190" s="36">
        <f>IF(LEN($AC190)&gt;0,1,0)</f>
        <v/>
      </c>
      <c r="AS190" s="37">
        <f>IF($AR190=1,IF(IFERROR(IF(ISNUMBER(INDEX($A190:$Z190,MATCH(Lists!$B$2,$A$1:$Z$1,0))),INDEX($A190:$Z190,MATCH(Lists!$B$2,$A$1:$Z$1,0)),DATE(VALUE(LEFT(IFERROR(TRIM(INDEX($A190:$Z190,MATCH(Lists!$B$2,$A$1:$Z$1,0))&amp;""),""),4)),VALUE(MID(IFERROR(TRIM(INDEX($A190:$Z190,MATCH(Lists!$B$2,$A$1:$Z$1,0))&amp;""),""),6,2)),VALUE(MID(IFERROR(TRIM(INDEX($A190:$Z190,MATCH(Lists!$B$2,$A$1:$Z$1,0))&amp;""),""),9,2)))+TIME(VALUE(MID(IFERROR(TRIM(INDEX($A190:$Z190,MATCH(Lists!$B$2,$A$1:$Z$1,0))&amp;""),""),12,2)),VALUE(MID(IFERROR(TRIM(INDEX($A190:$Z190,MATCH(Lists!$B$2,$A$1:$Z$1,0))&amp;""),""),15,2)),VALUE(MID(IFERROR(TRIM(INDEX($A190:$Z190,MATCH(Lists!$B$2,$A$1:$Z$1,0))&amp;""),""),18,2)))),"")="",100000+ROW()/10^7,IFERROR(IF(ISNUMBER(INDEX($A190:$Z190,MATCH(Lists!$B$2,$A$1:$Z$1,0))),INDEX($A190:$Z190,MATCH(Lists!$B$2,$A$1:$Z$1,0)),DATE(VALUE(LEFT(IFERROR(TRIM(INDEX($A190:$Z190,MATCH(Lists!$B$2,$A$1:$Z$1,0))&amp;""),""),4)),VALUE(MID(IFERROR(TRIM(INDEX($A190:$Z190,MATCH(Lists!$B$2,$A$1:$Z$1,0))&amp;""),""),6,2)),VALUE(MID(IFERROR(TRIM(INDEX($A190:$Z190,MATCH(Lists!$B$2,$A$1:$Z$1,0))&amp;""),""),9,2)))+TIME(VALUE(MID(IFERROR(TRIM(INDEX($A190:$Z190,MATCH(Lists!$B$2,$A$1:$Z$1,0))&amp;""),""),12,2)),VALUE(MID(IFERROR(TRIM(INDEX($A190:$Z190,MATCH(Lists!$B$2,$A$1:$Z$1,0))&amp;""),""),15,2)),VALUE(MID(IFERROR(TRIM(INDEX($A190:$Z190,MATCH(Lists!$B$2,$A$1:$Z$1,0))&amp;""),""),18,2)))),"")-ROW()/10^7),"")</f>
        <v/>
      </c>
    </row>
    <row r="191">
      <c r="AB191" s="36">
        <f>IF($AR191=1,COUNTIF($AS$2:$AS$201,"&lt;"&amp;$AS191)+1,"")</f>
        <v/>
      </c>
      <c r="AC191" s="37">
        <f>IFERROR(TRIM(INDEX($A191:$Z191,MATCH(Lists!$B$9,$A$1:$Z$1,0))&amp;""),"")</f>
        <v/>
      </c>
      <c r="AD191" s="37">
        <f>IF($AR191=1,IFERROR(TRIM(INDEX($A191:$Z191,MATCH(Lists!$B$10,$A$1:$Z$1,0))&amp;""),""),"")</f>
        <v/>
      </c>
      <c r="AE191" s="37">
        <f>IF($AR191=1,IFERROR(TRIM(INDEX($A191:$Z191,MATCH(Lists!$B$12,$A$1:$Z$1,0))&amp;""),""),"")</f>
        <v/>
      </c>
      <c r="AF191" s="38">
        <f>IF($AR191=1,IFERROR(IF(TRIM(INDEX($A191:$Z191,MATCH(Lists!$B$11,$A$1:$Z$1,0))&amp;"")="","",VALUE(TRIM(INDEX($A191:$Z191,MATCH(Lists!$B$11,$A$1:$Z$1,0))&amp;""))),""),"")</f>
        <v/>
      </c>
      <c r="AG191" s="38">
        <f>IF(OR($AR191=0,$AF191="",'Start here'!$F$10="",'Start here'!$F$11="",'Start here'!$F$12="",'Start here'!$F$13="",'Start here'!$F$14=""),"",IF($AF191&lt;'Start here'!$F$10,'Start here'!$F$11,IF($AF191&lt;'Start here'!$F$12,'Start here'!$F$13,'Start here'!$F$14)))</f>
        <v/>
      </c>
      <c r="AH191" s="38">
        <f>IF(OR($AG191="",'Start here'!$F$9=""),"",IF($AF191&lt;=0,"",IFERROR(MAX($AG191,ROUNDUP(ROUND($AF191*'Start here'!$F$9/$AG191,6),0)*$AG191),"")))</f>
        <v/>
      </c>
      <c r="AI191" s="37">
        <f>IF($AR191=0,"",IF($AN191=Lists!$B$19,"",IF(AND($AN191=Lists!$B$18,$AQ191&lt;&gt;""),$AQ191,IF(AND($AP191=Lists!$B$17,$AL191&lt;&gt;""),$AL191,$AK191))))</f>
        <v/>
      </c>
      <c r="AJ191" s="37">
        <f>IF($AR191=0,"",IF(IF($AF191="",", no value",IF($AF191&lt;=0,", no value",""))&amp;IF('Start here'!$F$15="","",IF(LEN($AD191)&lt;'Start here'!$F$15,", short description",""))="","OK",MID(IF($AF191="",", no value",IF($AF191&lt;=0,", no value",""))&amp;IF('Start here'!$F$15="","",IF(LEN($AD191)&lt;'Start here'!$F$15,", short description","")),3,200)))</f>
        <v/>
      </c>
      <c r="AK191" s="37">
        <f>IF($AR191=1,IFERROR(TRIM(INDEX($A191:$Z191,MATCH(Lists!$B$5,$A$1:$Z$1,0))&amp;""),""),"")</f>
        <v/>
      </c>
      <c r="AL191" s="37">
        <f>IF($AR191=1,IFERROR(TRIM(INDEX($A191:$Z191,MATCH(Lists!$B$4,$A$1:$Z$1,0))&amp;""),""),"")</f>
        <v/>
      </c>
      <c r="AM191" s="37">
        <f>IF($AR191=1,IFERROR(TRIM(INDEX($A191:$Z191,MATCH(Lists!$B$6,$A$1:$Z$1,0))&amp;""),""),"")</f>
        <v/>
      </c>
      <c r="AN191" s="37">
        <f>IF($AR191=1,IFERROR(TRIM(INDEX($A191:$Z191,MATCH(Lists!$B$7,$A$1:$Z$1,0))&amp;""),""),"")</f>
        <v/>
      </c>
      <c r="AO191" s="37">
        <f>IF($AR191=1,IFERROR(TRIM(INDEX($A191:$Z191,MATCH(Lists!$B$13,$A$1:$Z$1,0))&amp;""),""),"")</f>
        <v/>
      </c>
      <c r="AP191" s="37">
        <f>IF($AR191=1,IFERROR(TRIM(INDEX($A191:$Z191,MATCH(Lists!$B$3,$A$1:$Z$1,0))&amp;""),""),"")</f>
        <v/>
      </c>
      <c r="AQ191" s="37">
        <f>IF($AR191=1,IFERROR(TRIM(INDEX($A191:$Z191,MATCH(Lists!$B$8,$A$1:$Z$1,0))&amp;""),""),"")</f>
        <v/>
      </c>
      <c r="AR191" s="36">
        <f>IF(LEN($AC191)&gt;0,1,0)</f>
        <v/>
      </c>
      <c r="AS191" s="37">
        <f>IF($AR191=1,IF(IFERROR(IF(ISNUMBER(INDEX($A191:$Z191,MATCH(Lists!$B$2,$A$1:$Z$1,0))),INDEX($A191:$Z191,MATCH(Lists!$B$2,$A$1:$Z$1,0)),DATE(VALUE(LEFT(IFERROR(TRIM(INDEX($A191:$Z191,MATCH(Lists!$B$2,$A$1:$Z$1,0))&amp;""),""),4)),VALUE(MID(IFERROR(TRIM(INDEX($A191:$Z191,MATCH(Lists!$B$2,$A$1:$Z$1,0))&amp;""),""),6,2)),VALUE(MID(IFERROR(TRIM(INDEX($A191:$Z191,MATCH(Lists!$B$2,$A$1:$Z$1,0))&amp;""),""),9,2)))+TIME(VALUE(MID(IFERROR(TRIM(INDEX($A191:$Z191,MATCH(Lists!$B$2,$A$1:$Z$1,0))&amp;""),""),12,2)),VALUE(MID(IFERROR(TRIM(INDEX($A191:$Z191,MATCH(Lists!$B$2,$A$1:$Z$1,0))&amp;""),""),15,2)),VALUE(MID(IFERROR(TRIM(INDEX($A191:$Z191,MATCH(Lists!$B$2,$A$1:$Z$1,0))&amp;""),""),18,2)))),"")="",100000+ROW()/10^7,IFERROR(IF(ISNUMBER(INDEX($A191:$Z191,MATCH(Lists!$B$2,$A$1:$Z$1,0))),INDEX($A191:$Z191,MATCH(Lists!$B$2,$A$1:$Z$1,0)),DATE(VALUE(LEFT(IFERROR(TRIM(INDEX($A191:$Z191,MATCH(Lists!$B$2,$A$1:$Z$1,0))&amp;""),""),4)),VALUE(MID(IFERROR(TRIM(INDEX($A191:$Z191,MATCH(Lists!$B$2,$A$1:$Z$1,0))&amp;""),""),6,2)),VALUE(MID(IFERROR(TRIM(INDEX($A191:$Z191,MATCH(Lists!$B$2,$A$1:$Z$1,0))&amp;""),""),9,2)))+TIME(VALUE(MID(IFERROR(TRIM(INDEX($A191:$Z191,MATCH(Lists!$B$2,$A$1:$Z$1,0))&amp;""),""),12,2)),VALUE(MID(IFERROR(TRIM(INDEX($A191:$Z191,MATCH(Lists!$B$2,$A$1:$Z$1,0))&amp;""),""),15,2)),VALUE(MID(IFERROR(TRIM(INDEX($A191:$Z191,MATCH(Lists!$B$2,$A$1:$Z$1,0))&amp;""),""),18,2)))),"")-ROW()/10^7),"")</f>
        <v/>
      </c>
    </row>
    <row r="192">
      <c r="AB192" s="36">
        <f>IF($AR192=1,COUNTIF($AS$2:$AS$201,"&lt;"&amp;$AS192)+1,"")</f>
        <v/>
      </c>
      <c r="AC192" s="37">
        <f>IFERROR(TRIM(INDEX($A192:$Z192,MATCH(Lists!$B$9,$A$1:$Z$1,0))&amp;""),"")</f>
        <v/>
      </c>
      <c r="AD192" s="37">
        <f>IF($AR192=1,IFERROR(TRIM(INDEX($A192:$Z192,MATCH(Lists!$B$10,$A$1:$Z$1,0))&amp;""),""),"")</f>
        <v/>
      </c>
      <c r="AE192" s="37">
        <f>IF($AR192=1,IFERROR(TRIM(INDEX($A192:$Z192,MATCH(Lists!$B$12,$A$1:$Z$1,0))&amp;""),""),"")</f>
        <v/>
      </c>
      <c r="AF192" s="38">
        <f>IF($AR192=1,IFERROR(IF(TRIM(INDEX($A192:$Z192,MATCH(Lists!$B$11,$A$1:$Z$1,0))&amp;"")="","",VALUE(TRIM(INDEX($A192:$Z192,MATCH(Lists!$B$11,$A$1:$Z$1,0))&amp;""))),""),"")</f>
        <v/>
      </c>
      <c r="AG192" s="38">
        <f>IF(OR($AR192=0,$AF192="",'Start here'!$F$10="",'Start here'!$F$11="",'Start here'!$F$12="",'Start here'!$F$13="",'Start here'!$F$14=""),"",IF($AF192&lt;'Start here'!$F$10,'Start here'!$F$11,IF($AF192&lt;'Start here'!$F$12,'Start here'!$F$13,'Start here'!$F$14)))</f>
        <v/>
      </c>
      <c r="AH192" s="38">
        <f>IF(OR($AG192="",'Start here'!$F$9=""),"",IF($AF192&lt;=0,"",IFERROR(MAX($AG192,ROUNDUP(ROUND($AF192*'Start here'!$F$9/$AG192,6),0)*$AG192),"")))</f>
        <v/>
      </c>
      <c r="AI192" s="37">
        <f>IF($AR192=0,"",IF($AN192=Lists!$B$19,"",IF(AND($AN192=Lists!$B$18,$AQ192&lt;&gt;""),$AQ192,IF(AND($AP192=Lists!$B$17,$AL192&lt;&gt;""),$AL192,$AK192))))</f>
        <v/>
      </c>
      <c r="AJ192" s="37">
        <f>IF($AR192=0,"",IF(IF($AF192="",", no value",IF($AF192&lt;=0,", no value",""))&amp;IF('Start here'!$F$15="","",IF(LEN($AD192)&lt;'Start here'!$F$15,", short description",""))="","OK",MID(IF($AF192="",", no value",IF($AF192&lt;=0,", no value",""))&amp;IF('Start here'!$F$15="","",IF(LEN($AD192)&lt;'Start here'!$F$15,", short description","")),3,200)))</f>
        <v/>
      </c>
      <c r="AK192" s="37">
        <f>IF($AR192=1,IFERROR(TRIM(INDEX($A192:$Z192,MATCH(Lists!$B$5,$A$1:$Z$1,0))&amp;""),""),"")</f>
        <v/>
      </c>
      <c r="AL192" s="37">
        <f>IF($AR192=1,IFERROR(TRIM(INDEX($A192:$Z192,MATCH(Lists!$B$4,$A$1:$Z$1,0))&amp;""),""),"")</f>
        <v/>
      </c>
      <c r="AM192" s="37">
        <f>IF($AR192=1,IFERROR(TRIM(INDEX($A192:$Z192,MATCH(Lists!$B$6,$A$1:$Z$1,0))&amp;""),""),"")</f>
        <v/>
      </c>
      <c r="AN192" s="37">
        <f>IF($AR192=1,IFERROR(TRIM(INDEX($A192:$Z192,MATCH(Lists!$B$7,$A$1:$Z$1,0))&amp;""),""),"")</f>
        <v/>
      </c>
      <c r="AO192" s="37">
        <f>IF($AR192=1,IFERROR(TRIM(INDEX($A192:$Z192,MATCH(Lists!$B$13,$A$1:$Z$1,0))&amp;""),""),"")</f>
        <v/>
      </c>
      <c r="AP192" s="37">
        <f>IF($AR192=1,IFERROR(TRIM(INDEX($A192:$Z192,MATCH(Lists!$B$3,$A$1:$Z$1,0))&amp;""),""),"")</f>
        <v/>
      </c>
      <c r="AQ192" s="37">
        <f>IF($AR192=1,IFERROR(TRIM(INDEX($A192:$Z192,MATCH(Lists!$B$8,$A$1:$Z$1,0))&amp;""),""),"")</f>
        <v/>
      </c>
      <c r="AR192" s="36">
        <f>IF(LEN($AC192)&gt;0,1,0)</f>
        <v/>
      </c>
      <c r="AS192" s="37">
        <f>IF($AR192=1,IF(IFERROR(IF(ISNUMBER(INDEX($A192:$Z192,MATCH(Lists!$B$2,$A$1:$Z$1,0))),INDEX($A192:$Z192,MATCH(Lists!$B$2,$A$1:$Z$1,0)),DATE(VALUE(LEFT(IFERROR(TRIM(INDEX($A192:$Z192,MATCH(Lists!$B$2,$A$1:$Z$1,0))&amp;""),""),4)),VALUE(MID(IFERROR(TRIM(INDEX($A192:$Z192,MATCH(Lists!$B$2,$A$1:$Z$1,0))&amp;""),""),6,2)),VALUE(MID(IFERROR(TRIM(INDEX($A192:$Z192,MATCH(Lists!$B$2,$A$1:$Z$1,0))&amp;""),""),9,2)))+TIME(VALUE(MID(IFERROR(TRIM(INDEX($A192:$Z192,MATCH(Lists!$B$2,$A$1:$Z$1,0))&amp;""),""),12,2)),VALUE(MID(IFERROR(TRIM(INDEX($A192:$Z192,MATCH(Lists!$B$2,$A$1:$Z$1,0))&amp;""),""),15,2)),VALUE(MID(IFERROR(TRIM(INDEX($A192:$Z192,MATCH(Lists!$B$2,$A$1:$Z$1,0))&amp;""),""),18,2)))),"")="",100000+ROW()/10^7,IFERROR(IF(ISNUMBER(INDEX($A192:$Z192,MATCH(Lists!$B$2,$A$1:$Z$1,0))),INDEX($A192:$Z192,MATCH(Lists!$B$2,$A$1:$Z$1,0)),DATE(VALUE(LEFT(IFERROR(TRIM(INDEX($A192:$Z192,MATCH(Lists!$B$2,$A$1:$Z$1,0))&amp;""),""),4)),VALUE(MID(IFERROR(TRIM(INDEX($A192:$Z192,MATCH(Lists!$B$2,$A$1:$Z$1,0))&amp;""),""),6,2)),VALUE(MID(IFERROR(TRIM(INDEX($A192:$Z192,MATCH(Lists!$B$2,$A$1:$Z$1,0))&amp;""),""),9,2)))+TIME(VALUE(MID(IFERROR(TRIM(INDEX($A192:$Z192,MATCH(Lists!$B$2,$A$1:$Z$1,0))&amp;""),""),12,2)),VALUE(MID(IFERROR(TRIM(INDEX($A192:$Z192,MATCH(Lists!$B$2,$A$1:$Z$1,0))&amp;""),""),15,2)),VALUE(MID(IFERROR(TRIM(INDEX($A192:$Z192,MATCH(Lists!$B$2,$A$1:$Z$1,0))&amp;""),""),18,2)))),"")-ROW()/10^7),"")</f>
        <v/>
      </c>
    </row>
    <row r="193">
      <c r="AB193" s="36">
        <f>IF($AR193=1,COUNTIF($AS$2:$AS$201,"&lt;"&amp;$AS193)+1,"")</f>
        <v/>
      </c>
      <c r="AC193" s="37">
        <f>IFERROR(TRIM(INDEX($A193:$Z193,MATCH(Lists!$B$9,$A$1:$Z$1,0))&amp;""),"")</f>
        <v/>
      </c>
      <c r="AD193" s="37">
        <f>IF($AR193=1,IFERROR(TRIM(INDEX($A193:$Z193,MATCH(Lists!$B$10,$A$1:$Z$1,0))&amp;""),""),"")</f>
        <v/>
      </c>
      <c r="AE193" s="37">
        <f>IF($AR193=1,IFERROR(TRIM(INDEX($A193:$Z193,MATCH(Lists!$B$12,$A$1:$Z$1,0))&amp;""),""),"")</f>
        <v/>
      </c>
      <c r="AF193" s="38">
        <f>IF($AR193=1,IFERROR(IF(TRIM(INDEX($A193:$Z193,MATCH(Lists!$B$11,$A$1:$Z$1,0))&amp;"")="","",VALUE(TRIM(INDEX($A193:$Z193,MATCH(Lists!$B$11,$A$1:$Z$1,0))&amp;""))),""),"")</f>
        <v/>
      </c>
      <c r="AG193" s="38">
        <f>IF(OR($AR193=0,$AF193="",'Start here'!$F$10="",'Start here'!$F$11="",'Start here'!$F$12="",'Start here'!$F$13="",'Start here'!$F$14=""),"",IF($AF193&lt;'Start here'!$F$10,'Start here'!$F$11,IF($AF193&lt;'Start here'!$F$12,'Start here'!$F$13,'Start here'!$F$14)))</f>
        <v/>
      </c>
      <c r="AH193" s="38">
        <f>IF(OR($AG193="",'Start here'!$F$9=""),"",IF($AF193&lt;=0,"",IFERROR(MAX($AG193,ROUNDUP(ROUND($AF193*'Start here'!$F$9/$AG193,6),0)*$AG193),"")))</f>
        <v/>
      </c>
      <c r="AI193" s="37">
        <f>IF($AR193=0,"",IF($AN193=Lists!$B$19,"",IF(AND($AN193=Lists!$B$18,$AQ193&lt;&gt;""),$AQ193,IF(AND($AP193=Lists!$B$17,$AL193&lt;&gt;""),$AL193,$AK193))))</f>
        <v/>
      </c>
      <c r="AJ193" s="37">
        <f>IF($AR193=0,"",IF(IF($AF193="",", no value",IF($AF193&lt;=0,", no value",""))&amp;IF('Start here'!$F$15="","",IF(LEN($AD193)&lt;'Start here'!$F$15,", short description",""))="","OK",MID(IF($AF193="",", no value",IF($AF193&lt;=0,", no value",""))&amp;IF('Start here'!$F$15="","",IF(LEN($AD193)&lt;'Start here'!$F$15,", short description","")),3,200)))</f>
        <v/>
      </c>
      <c r="AK193" s="37">
        <f>IF($AR193=1,IFERROR(TRIM(INDEX($A193:$Z193,MATCH(Lists!$B$5,$A$1:$Z$1,0))&amp;""),""),"")</f>
        <v/>
      </c>
      <c r="AL193" s="37">
        <f>IF($AR193=1,IFERROR(TRIM(INDEX($A193:$Z193,MATCH(Lists!$B$4,$A$1:$Z$1,0))&amp;""),""),"")</f>
        <v/>
      </c>
      <c r="AM193" s="37">
        <f>IF($AR193=1,IFERROR(TRIM(INDEX($A193:$Z193,MATCH(Lists!$B$6,$A$1:$Z$1,0))&amp;""),""),"")</f>
        <v/>
      </c>
      <c r="AN193" s="37">
        <f>IF($AR193=1,IFERROR(TRIM(INDEX($A193:$Z193,MATCH(Lists!$B$7,$A$1:$Z$1,0))&amp;""),""),"")</f>
        <v/>
      </c>
      <c r="AO193" s="37">
        <f>IF($AR193=1,IFERROR(TRIM(INDEX($A193:$Z193,MATCH(Lists!$B$13,$A$1:$Z$1,0))&amp;""),""),"")</f>
        <v/>
      </c>
      <c r="AP193" s="37">
        <f>IF($AR193=1,IFERROR(TRIM(INDEX($A193:$Z193,MATCH(Lists!$B$3,$A$1:$Z$1,0))&amp;""),""),"")</f>
        <v/>
      </c>
      <c r="AQ193" s="37">
        <f>IF($AR193=1,IFERROR(TRIM(INDEX($A193:$Z193,MATCH(Lists!$B$8,$A$1:$Z$1,0))&amp;""),""),"")</f>
        <v/>
      </c>
      <c r="AR193" s="36">
        <f>IF(LEN($AC193)&gt;0,1,0)</f>
        <v/>
      </c>
      <c r="AS193" s="37">
        <f>IF($AR193=1,IF(IFERROR(IF(ISNUMBER(INDEX($A193:$Z193,MATCH(Lists!$B$2,$A$1:$Z$1,0))),INDEX($A193:$Z193,MATCH(Lists!$B$2,$A$1:$Z$1,0)),DATE(VALUE(LEFT(IFERROR(TRIM(INDEX($A193:$Z193,MATCH(Lists!$B$2,$A$1:$Z$1,0))&amp;""),""),4)),VALUE(MID(IFERROR(TRIM(INDEX($A193:$Z193,MATCH(Lists!$B$2,$A$1:$Z$1,0))&amp;""),""),6,2)),VALUE(MID(IFERROR(TRIM(INDEX($A193:$Z193,MATCH(Lists!$B$2,$A$1:$Z$1,0))&amp;""),""),9,2)))+TIME(VALUE(MID(IFERROR(TRIM(INDEX($A193:$Z193,MATCH(Lists!$B$2,$A$1:$Z$1,0))&amp;""),""),12,2)),VALUE(MID(IFERROR(TRIM(INDEX($A193:$Z193,MATCH(Lists!$B$2,$A$1:$Z$1,0))&amp;""),""),15,2)),VALUE(MID(IFERROR(TRIM(INDEX($A193:$Z193,MATCH(Lists!$B$2,$A$1:$Z$1,0))&amp;""),""),18,2)))),"")="",100000+ROW()/10^7,IFERROR(IF(ISNUMBER(INDEX($A193:$Z193,MATCH(Lists!$B$2,$A$1:$Z$1,0))),INDEX($A193:$Z193,MATCH(Lists!$B$2,$A$1:$Z$1,0)),DATE(VALUE(LEFT(IFERROR(TRIM(INDEX($A193:$Z193,MATCH(Lists!$B$2,$A$1:$Z$1,0))&amp;""),""),4)),VALUE(MID(IFERROR(TRIM(INDEX($A193:$Z193,MATCH(Lists!$B$2,$A$1:$Z$1,0))&amp;""),""),6,2)),VALUE(MID(IFERROR(TRIM(INDEX($A193:$Z193,MATCH(Lists!$B$2,$A$1:$Z$1,0))&amp;""),""),9,2)))+TIME(VALUE(MID(IFERROR(TRIM(INDEX($A193:$Z193,MATCH(Lists!$B$2,$A$1:$Z$1,0))&amp;""),""),12,2)),VALUE(MID(IFERROR(TRIM(INDEX($A193:$Z193,MATCH(Lists!$B$2,$A$1:$Z$1,0))&amp;""),""),15,2)),VALUE(MID(IFERROR(TRIM(INDEX($A193:$Z193,MATCH(Lists!$B$2,$A$1:$Z$1,0))&amp;""),""),18,2)))),"")-ROW()/10^7),"")</f>
        <v/>
      </c>
    </row>
    <row r="194">
      <c r="AB194" s="36">
        <f>IF($AR194=1,COUNTIF($AS$2:$AS$201,"&lt;"&amp;$AS194)+1,"")</f>
        <v/>
      </c>
      <c r="AC194" s="37">
        <f>IFERROR(TRIM(INDEX($A194:$Z194,MATCH(Lists!$B$9,$A$1:$Z$1,0))&amp;""),"")</f>
        <v/>
      </c>
      <c r="AD194" s="37">
        <f>IF($AR194=1,IFERROR(TRIM(INDEX($A194:$Z194,MATCH(Lists!$B$10,$A$1:$Z$1,0))&amp;""),""),"")</f>
        <v/>
      </c>
      <c r="AE194" s="37">
        <f>IF($AR194=1,IFERROR(TRIM(INDEX($A194:$Z194,MATCH(Lists!$B$12,$A$1:$Z$1,0))&amp;""),""),"")</f>
        <v/>
      </c>
      <c r="AF194" s="38">
        <f>IF($AR194=1,IFERROR(IF(TRIM(INDEX($A194:$Z194,MATCH(Lists!$B$11,$A$1:$Z$1,0))&amp;"")="","",VALUE(TRIM(INDEX($A194:$Z194,MATCH(Lists!$B$11,$A$1:$Z$1,0))&amp;""))),""),"")</f>
        <v/>
      </c>
      <c r="AG194" s="38">
        <f>IF(OR($AR194=0,$AF194="",'Start here'!$F$10="",'Start here'!$F$11="",'Start here'!$F$12="",'Start here'!$F$13="",'Start here'!$F$14=""),"",IF($AF194&lt;'Start here'!$F$10,'Start here'!$F$11,IF($AF194&lt;'Start here'!$F$12,'Start here'!$F$13,'Start here'!$F$14)))</f>
        <v/>
      </c>
      <c r="AH194" s="38">
        <f>IF(OR($AG194="",'Start here'!$F$9=""),"",IF($AF194&lt;=0,"",IFERROR(MAX($AG194,ROUNDUP(ROUND($AF194*'Start here'!$F$9/$AG194,6),0)*$AG194),"")))</f>
        <v/>
      </c>
      <c r="AI194" s="37">
        <f>IF($AR194=0,"",IF($AN194=Lists!$B$19,"",IF(AND($AN194=Lists!$B$18,$AQ194&lt;&gt;""),$AQ194,IF(AND($AP194=Lists!$B$17,$AL194&lt;&gt;""),$AL194,$AK194))))</f>
        <v/>
      </c>
      <c r="AJ194" s="37">
        <f>IF($AR194=0,"",IF(IF($AF194="",", no value",IF($AF194&lt;=0,", no value",""))&amp;IF('Start here'!$F$15="","",IF(LEN($AD194)&lt;'Start here'!$F$15,", short description",""))="","OK",MID(IF($AF194="",", no value",IF($AF194&lt;=0,", no value",""))&amp;IF('Start here'!$F$15="","",IF(LEN($AD194)&lt;'Start here'!$F$15,", short description","")),3,200)))</f>
        <v/>
      </c>
      <c r="AK194" s="37">
        <f>IF($AR194=1,IFERROR(TRIM(INDEX($A194:$Z194,MATCH(Lists!$B$5,$A$1:$Z$1,0))&amp;""),""),"")</f>
        <v/>
      </c>
      <c r="AL194" s="37">
        <f>IF($AR194=1,IFERROR(TRIM(INDEX($A194:$Z194,MATCH(Lists!$B$4,$A$1:$Z$1,0))&amp;""),""),"")</f>
        <v/>
      </c>
      <c r="AM194" s="37">
        <f>IF($AR194=1,IFERROR(TRIM(INDEX($A194:$Z194,MATCH(Lists!$B$6,$A$1:$Z$1,0))&amp;""),""),"")</f>
        <v/>
      </c>
      <c r="AN194" s="37">
        <f>IF($AR194=1,IFERROR(TRIM(INDEX($A194:$Z194,MATCH(Lists!$B$7,$A$1:$Z$1,0))&amp;""),""),"")</f>
        <v/>
      </c>
      <c r="AO194" s="37">
        <f>IF($AR194=1,IFERROR(TRIM(INDEX($A194:$Z194,MATCH(Lists!$B$13,$A$1:$Z$1,0))&amp;""),""),"")</f>
        <v/>
      </c>
      <c r="AP194" s="37">
        <f>IF($AR194=1,IFERROR(TRIM(INDEX($A194:$Z194,MATCH(Lists!$B$3,$A$1:$Z$1,0))&amp;""),""),"")</f>
        <v/>
      </c>
      <c r="AQ194" s="37">
        <f>IF($AR194=1,IFERROR(TRIM(INDEX($A194:$Z194,MATCH(Lists!$B$8,$A$1:$Z$1,0))&amp;""),""),"")</f>
        <v/>
      </c>
      <c r="AR194" s="36">
        <f>IF(LEN($AC194)&gt;0,1,0)</f>
        <v/>
      </c>
      <c r="AS194" s="37">
        <f>IF($AR194=1,IF(IFERROR(IF(ISNUMBER(INDEX($A194:$Z194,MATCH(Lists!$B$2,$A$1:$Z$1,0))),INDEX($A194:$Z194,MATCH(Lists!$B$2,$A$1:$Z$1,0)),DATE(VALUE(LEFT(IFERROR(TRIM(INDEX($A194:$Z194,MATCH(Lists!$B$2,$A$1:$Z$1,0))&amp;""),""),4)),VALUE(MID(IFERROR(TRIM(INDEX($A194:$Z194,MATCH(Lists!$B$2,$A$1:$Z$1,0))&amp;""),""),6,2)),VALUE(MID(IFERROR(TRIM(INDEX($A194:$Z194,MATCH(Lists!$B$2,$A$1:$Z$1,0))&amp;""),""),9,2)))+TIME(VALUE(MID(IFERROR(TRIM(INDEX($A194:$Z194,MATCH(Lists!$B$2,$A$1:$Z$1,0))&amp;""),""),12,2)),VALUE(MID(IFERROR(TRIM(INDEX($A194:$Z194,MATCH(Lists!$B$2,$A$1:$Z$1,0))&amp;""),""),15,2)),VALUE(MID(IFERROR(TRIM(INDEX($A194:$Z194,MATCH(Lists!$B$2,$A$1:$Z$1,0))&amp;""),""),18,2)))),"")="",100000+ROW()/10^7,IFERROR(IF(ISNUMBER(INDEX($A194:$Z194,MATCH(Lists!$B$2,$A$1:$Z$1,0))),INDEX($A194:$Z194,MATCH(Lists!$B$2,$A$1:$Z$1,0)),DATE(VALUE(LEFT(IFERROR(TRIM(INDEX($A194:$Z194,MATCH(Lists!$B$2,$A$1:$Z$1,0))&amp;""),""),4)),VALUE(MID(IFERROR(TRIM(INDEX($A194:$Z194,MATCH(Lists!$B$2,$A$1:$Z$1,0))&amp;""),""),6,2)),VALUE(MID(IFERROR(TRIM(INDEX($A194:$Z194,MATCH(Lists!$B$2,$A$1:$Z$1,0))&amp;""),""),9,2)))+TIME(VALUE(MID(IFERROR(TRIM(INDEX($A194:$Z194,MATCH(Lists!$B$2,$A$1:$Z$1,0))&amp;""),""),12,2)),VALUE(MID(IFERROR(TRIM(INDEX($A194:$Z194,MATCH(Lists!$B$2,$A$1:$Z$1,0))&amp;""),""),15,2)),VALUE(MID(IFERROR(TRIM(INDEX($A194:$Z194,MATCH(Lists!$B$2,$A$1:$Z$1,0))&amp;""),""),18,2)))),"")-ROW()/10^7),"")</f>
        <v/>
      </c>
    </row>
    <row r="195">
      <c r="AB195" s="36">
        <f>IF($AR195=1,COUNTIF($AS$2:$AS$201,"&lt;"&amp;$AS195)+1,"")</f>
        <v/>
      </c>
      <c r="AC195" s="37">
        <f>IFERROR(TRIM(INDEX($A195:$Z195,MATCH(Lists!$B$9,$A$1:$Z$1,0))&amp;""),"")</f>
        <v/>
      </c>
      <c r="AD195" s="37">
        <f>IF($AR195=1,IFERROR(TRIM(INDEX($A195:$Z195,MATCH(Lists!$B$10,$A$1:$Z$1,0))&amp;""),""),"")</f>
        <v/>
      </c>
      <c r="AE195" s="37">
        <f>IF($AR195=1,IFERROR(TRIM(INDEX($A195:$Z195,MATCH(Lists!$B$12,$A$1:$Z$1,0))&amp;""),""),"")</f>
        <v/>
      </c>
      <c r="AF195" s="38">
        <f>IF($AR195=1,IFERROR(IF(TRIM(INDEX($A195:$Z195,MATCH(Lists!$B$11,$A$1:$Z$1,0))&amp;"")="","",VALUE(TRIM(INDEX($A195:$Z195,MATCH(Lists!$B$11,$A$1:$Z$1,0))&amp;""))),""),"")</f>
        <v/>
      </c>
      <c r="AG195" s="38">
        <f>IF(OR($AR195=0,$AF195="",'Start here'!$F$10="",'Start here'!$F$11="",'Start here'!$F$12="",'Start here'!$F$13="",'Start here'!$F$14=""),"",IF($AF195&lt;'Start here'!$F$10,'Start here'!$F$11,IF($AF195&lt;'Start here'!$F$12,'Start here'!$F$13,'Start here'!$F$14)))</f>
        <v/>
      </c>
      <c r="AH195" s="38">
        <f>IF(OR($AG195="",'Start here'!$F$9=""),"",IF($AF195&lt;=0,"",IFERROR(MAX($AG195,ROUNDUP(ROUND($AF195*'Start here'!$F$9/$AG195,6),0)*$AG195),"")))</f>
        <v/>
      </c>
      <c r="AI195" s="37">
        <f>IF($AR195=0,"",IF($AN195=Lists!$B$19,"",IF(AND($AN195=Lists!$B$18,$AQ195&lt;&gt;""),$AQ195,IF(AND($AP195=Lists!$B$17,$AL195&lt;&gt;""),$AL195,$AK195))))</f>
        <v/>
      </c>
      <c r="AJ195" s="37">
        <f>IF($AR195=0,"",IF(IF($AF195="",", no value",IF($AF195&lt;=0,", no value",""))&amp;IF('Start here'!$F$15="","",IF(LEN($AD195)&lt;'Start here'!$F$15,", short description",""))="","OK",MID(IF($AF195="",", no value",IF($AF195&lt;=0,", no value",""))&amp;IF('Start here'!$F$15="","",IF(LEN($AD195)&lt;'Start here'!$F$15,", short description","")),3,200)))</f>
        <v/>
      </c>
      <c r="AK195" s="37">
        <f>IF($AR195=1,IFERROR(TRIM(INDEX($A195:$Z195,MATCH(Lists!$B$5,$A$1:$Z$1,0))&amp;""),""),"")</f>
        <v/>
      </c>
      <c r="AL195" s="37">
        <f>IF($AR195=1,IFERROR(TRIM(INDEX($A195:$Z195,MATCH(Lists!$B$4,$A$1:$Z$1,0))&amp;""),""),"")</f>
        <v/>
      </c>
      <c r="AM195" s="37">
        <f>IF($AR195=1,IFERROR(TRIM(INDEX($A195:$Z195,MATCH(Lists!$B$6,$A$1:$Z$1,0))&amp;""),""),"")</f>
        <v/>
      </c>
      <c r="AN195" s="37">
        <f>IF($AR195=1,IFERROR(TRIM(INDEX($A195:$Z195,MATCH(Lists!$B$7,$A$1:$Z$1,0))&amp;""),""),"")</f>
        <v/>
      </c>
      <c r="AO195" s="37">
        <f>IF($AR195=1,IFERROR(TRIM(INDEX($A195:$Z195,MATCH(Lists!$B$13,$A$1:$Z$1,0))&amp;""),""),"")</f>
        <v/>
      </c>
      <c r="AP195" s="37">
        <f>IF($AR195=1,IFERROR(TRIM(INDEX($A195:$Z195,MATCH(Lists!$B$3,$A$1:$Z$1,0))&amp;""),""),"")</f>
        <v/>
      </c>
      <c r="AQ195" s="37">
        <f>IF($AR195=1,IFERROR(TRIM(INDEX($A195:$Z195,MATCH(Lists!$B$8,$A$1:$Z$1,0))&amp;""),""),"")</f>
        <v/>
      </c>
      <c r="AR195" s="36">
        <f>IF(LEN($AC195)&gt;0,1,0)</f>
        <v/>
      </c>
      <c r="AS195" s="37">
        <f>IF($AR195=1,IF(IFERROR(IF(ISNUMBER(INDEX($A195:$Z195,MATCH(Lists!$B$2,$A$1:$Z$1,0))),INDEX($A195:$Z195,MATCH(Lists!$B$2,$A$1:$Z$1,0)),DATE(VALUE(LEFT(IFERROR(TRIM(INDEX($A195:$Z195,MATCH(Lists!$B$2,$A$1:$Z$1,0))&amp;""),""),4)),VALUE(MID(IFERROR(TRIM(INDEX($A195:$Z195,MATCH(Lists!$B$2,$A$1:$Z$1,0))&amp;""),""),6,2)),VALUE(MID(IFERROR(TRIM(INDEX($A195:$Z195,MATCH(Lists!$B$2,$A$1:$Z$1,0))&amp;""),""),9,2)))+TIME(VALUE(MID(IFERROR(TRIM(INDEX($A195:$Z195,MATCH(Lists!$B$2,$A$1:$Z$1,0))&amp;""),""),12,2)),VALUE(MID(IFERROR(TRIM(INDEX($A195:$Z195,MATCH(Lists!$B$2,$A$1:$Z$1,0))&amp;""),""),15,2)),VALUE(MID(IFERROR(TRIM(INDEX($A195:$Z195,MATCH(Lists!$B$2,$A$1:$Z$1,0))&amp;""),""),18,2)))),"")="",100000+ROW()/10^7,IFERROR(IF(ISNUMBER(INDEX($A195:$Z195,MATCH(Lists!$B$2,$A$1:$Z$1,0))),INDEX($A195:$Z195,MATCH(Lists!$B$2,$A$1:$Z$1,0)),DATE(VALUE(LEFT(IFERROR(TRIM(INDEX($A195:$Z195,MATCH(Lists!$B$2,$A$1:$Z$1,0))&amp;""),""),4)),VALUE(MID(IFERROR(TRIM(INDEX($A195:$Z195,MATCH(Lists!$B$2,$A$1:$Z$1,0))&amp;""),""),6,2)),VALUE(MID(IFERROR(TRIM(INDEX($A195:$Z195,MATCH(Lists!$B$2,$A$1:$Z$1,0))&amp;""),""),9,2)))+TIME(VALUE(MID(IFERROR(TRIM(INDEX($A195:$Z195,MATCH(Lists!$B$2,$A$1:$Z$1,0))&amp;""),""),12,2)),VALUE(MID(IFERROR(TRIM(INDEX($A195:$Z195,MATCH(Lists!$B$2,$A$1:$Z$1,0))&amp;""),""),15,2)),VALUE(MID(IFERROR(TRIM(INDEX($A195:$Z195,MATCH(Lists!$B$2,$A$1:$Z$1,0))&amp;""),""),18,2)))),"")-ROW()/10^7),"")</f>
        <v/>
      </c>
    </row>
    <row r="196">
      <c r="AB196" s="36">
        <f>IF($AR196=1,COUNTIF($AS$2:$AS$201,"&lt;"&amp;$AS196)+1,"")</f>
        <v/>
      </c>
      <c r="AC196" s="37">
        <f>IFERROR(TRIM(INDEX($A196:$Z196,MATCH(Lists!$B$9,$A$1:$Z$1,0))&amp;""),"")</f>
        <v/>
      </c>
      <c r="AD196" s="37">
        <f>IF($AR196=1,IFERROR(TRIM(INDEX($A196:$Z196,MATCH(Lists!$B$10,$A$1:$Z$1,0))&amp;""),""),"")</f>
        <v/>
      </c>
      <c r="AE196" s="37">
        <f>IF($AR196=1,IFERROR(TRIM(INDEX($A196:$Z196,MATCH(Lists!$B$12,$A$1:$Z$1,0))&amp;""),""),"")</f>
        <v/>
      </c>
      <c r="AF196" s="38">
        <f>IF($AR196=1,IFERROR(IF(TRIM(INDEX($A196:$Z196,MATCH(Lists!$B$11,$A$1:$Z$1,0))&amp;"")="","",VALUE(TRIM(INDEX($A196:$Z196,MATCH(Lists!$B$11,$A$1:$Z$1,0))&amp;""))),""),"")</f>
        <v/>
      </c>
      <c r="AG196" s="38">
        <f>IF(OR($AR196=0,$AF196="",'Start here'!$F$10="",'Start here'!$F$11="",'Start here'!$F$12="",'Start here'!$F$13="",'Start here'!$F$14=""),"",IF($AF196&lt;'Start here'!$F$10,'Start here'!$F$11,IF($AF196&lt;'Start here'!$F$12,'Start here'!$F$13,'Start here'!$F$14)))</f>
        <v/>
      </c>
      <c r="AH196" s="38">
        <f>IF(OR($AG196="",'Start here'!$F$9=""),"",IF($AF196&lt;=0,"",IFERROR(MAX($AG196,ROUNDUP(ROUND($AF196*'Start here'!$F$9/$AG196,6),0)*$AG196),"")))</f>
        <v/>
      </c>
      <c r="AI196" s="37">
        <f>IF($AR196=0,"",IF($AN196=Lists!$B$19,"",IF(AND($AN196=Lists!$B$18,$AQ196&lt;&gt;""),$AQ196,IF(AND($AP196=Lists!$B$17,$AL196&lt;&gt;""),$AL196,$AK196))))</f>
        <v/>
      </c>
      <c r="AJ196" s="37">
        <f>IF($AR196=0,"",IF(IF($AF196="",", no value",IF($AF196&lt;=0,", no value",""))&amp;IF('Start here'!$F$15="","",IF(LEN($AD196)&lt;'Start here'!$F$15,", short description",""))="","OK",MID(IF($AF196="",", no value",IF($AF196&lt;=0,", no value",""))&amp;IF('Start here'!$F$15="","",IF(LEN($AD196)&lt;'Start here'!$F$15,", short description","")),3,200)))</f>
        <v/>
      </c>
      <c r="AK196" s="37">
        <f>IF($AR196=1,IFERROR(TRIM(INDEX($A196:$Z196,MATCH(Lists!$B$5,$A$1:$Z$1,0))&amp;""),""),"")</f>
        <v/>
      </c>
      <c r="AL196" s="37">
        <f>IF($AR196=1,IFERROR(TRIM(INDEX($A196:$Z196,MATCH(Lists!$B$4,$A$1:$Z$1,0))&amp;""),""),"")</f>
        <v/>
      </c>
      <c r="AM196" s="37">
        <f>IF($AR196=1,IFERROR(TRIM(INDEX($A196:$Z196,MATCH(Lists!$B$6,$A$1:$Z$1,0))&amp;""),""),"")</f>
        <v/>
      </c>
      <c r="AN196" s="37">
        <f>IF($AR196=1,IFERROR(TRIM(INDEX($A196:$Z196,MATCH(Lists!$B$7,$A$1:$Z$1,0))&amp;""),""),"")</f>
        <v/>
      </c>
      <c r="AO196" s="37">
        <f>IF($AR196=1,IFERROR(TRIM(INDEX($A196:$Z196,MATCH(Lists!$B$13,$A$1:$Z$1,0))&amp;""),""),"")</f>
        <v/>
      </c>
      <c r="AP196" s="37">
        <f>IF($AR196=1,IFERROR(TRIM(INDEX($A196:$Z196,MATCH(Lists!$B$3,$A$1:$Z$1,0))&amp;""),""),"")</f>
        <v/>
      </c>
      <c r="AQ196" s="37">
        <f>IF($AR196=1,IFERROR(TRIM(INDEX($A196:$Z196,MATCH(Lists!$B$8,$A$1:$Z$1,0))&amp;""),""),"")</f>
        <v/>
      </c>
      <c r="AR196" s="36">
        <f>IF(LEN($AC196)&gt;0,1,0)</f>
        <v/>
      </c>
      <c r="AS196" s="37">
        <f>IF($AR196=1,IF(IFERROR(IF(ISNUMBER(INDEX($A196:$Z196,MATCH(Lists!$B$2,$A$1:$Z$1,0))),INDEX($A196:$Z196,MATCH(Lists!$B$2,$A$1:$Z$1,0)),DATE(VALUE(LEFT(IFERROR(TRIM(INDEX($A196:$Z196,MATCH(Lists!$B$2,$A$1:$Z$1,0))&amp;""),""),4)),VALUE(MID(IFERROR(TRIM(INDEX($A196:$Z196,MATCH(Lists!$B$2,$A$1:$Z$1,0))&amp;""),""),6,2)),VALUE(MID(IFERROR(TRIM(INDEX($A196:$Z196,MATCH(Lists!$B$2,$A$1:$Z$1,0))&amp;""),""),9,2)))+TIME(VALUE(MID(IFERROR(TRIM(INDEX($A196:$Z196,MATCH(Lists!$B$2,$A$1:$Z$1,0))&amp;""),""),12,2)),VALUE(MID(IFERROR(TRIM(INDEX($A196:$Z196,MATCH(Lists!$B$2,$A$1:$Z$1,0))&amp;""),""),15,2)),VALUE(MID(IFERROR(TRIM(INDEX($A196:$Z196,MATCH(Lists!$B$2,$A$1:$Z$1,0))&amp;""),""),18,2)))),"")="",100000+ROW()/10^7,IFERROR(IF(ISNUMBER(INDEX($A196:$Z196,MATCH(Lists!$B$2,$A$1:$Z$1,0))),INDEX($A196:$Z196,MATCH(Lists!$B$2,$A$1:$Z$1,0)),DATE(VALUE(LEFT(IFERROR(TRIM(INDEX($A196:$Z196,MATCH(Lists!$B$2,$A$1:$Z$1,0))&amp;""),""),4)),VALUE(MID(IFERROR(TRIM(INDEX($A196:$Z196,MATCH(Lists!$B$2,$A$1:$Z$1,0))&amp;""),""),6,2)),VALUE(MID(IFERROR(TRIM(INDEX($A196:$Z196,MATCH(Lists!$B$2,$A$1:$Z$1,0))&amp;""),""),9,2)))+TIME(VALUE(MID(IFERROR(TRIM(INDEX($A196:$Z196,MATCH(Lists!$B$2,$A$1:$Z$1,0))&amp;""),""),12,2)),VALUE(MID(IFERROR(TRIM(INDEX($A196:$Z196,MATCH(Lists!$B$2,$A$1:$Z$1,0))&amp;""),""),15,2)),VALUE(MID(IFERROR(TRIM(INDEX($A196:$Z196,MATCH(Lists!$B$2,$A$1:$Z$1,0))&amp;""),""),18,2)))),"")-ROW()/10^7),"")</f>
        <v/>
      </c>
    </row>
    <row r="197">
      <c r="AB197" s="36">
        <f>IF($AR197=1,COUNTIF($AS$2:$AS$201,"&lt;"&amp;$AS197)+1,"")</f>
        <v/>
      </c>
      <c r="AC197" s="37">
        <f>IFERROR(TRIM(INDEX($A197:$Z197,MATCH(Lists!$B$9,$A$1:$Z$1,0))&amp;""),"")</f>
        <v/>
      </c>
      <c r="AD197" s="37">
        <f>IF($AR197=1,IFERROR(TRIM(INDEX($A197:$Z197,MATCH(Lists!$B$10,$A$1:$Z$1,0))&amp;""),""),"")</f>
        <v/>
      </c>
      <c r="AE197" s="37">
        <f>IF($AR197=1,IFERROR(TRIM(INDEX($A197:$Z197,MATCH(Lists!$B$12,$A$1:$Z$1,0))&amp;""),""),"")</f>
        <v/>
      </c>
      <c r="AF197" s="38">
        <f>IF($AR197=1,IFERROR(IF(TRIM(INDEX($A197:$Z197,MATCH(Lists!$B$11,$A$1:$Z$1,0))&amp;"")="","",VALUE(TRIM(INDEX($A197:$Z197,MATCH(Lists!$B$11,$A$1:$Z$1,0))&amp;""))),""),"")</f>
        <v/>
      </c>
      <c r="AG197" s="38">
        <f>IF(OR($AR197=0,$AF197="",'Start here'!$F$10="",'Start here'!$F$11="",'Start here'!$F$12="",'Start here'!$F$13="",'Start here'!$F$14=""),"",IF($AF197&lt;'Start here'!$F$10,'Start here'!$F$11,IF($AF197&lt;'Start here'!$F$12,'Start here'!$F$13,'Start here'!$F$14)))</f>
        <v/>
      </c>
      <c r="AH197" s="38">
        <f>IF(OR($AG197="",'Start here'!$F$9=""),"",IF($AF197&lt;=0,"",IFERROR(MAX($AG197,ROUNDUP(ROUND($AF197*'Start here'!$F$9/$AG197,6),0)*$AG197),"")))</f>
        <v/>
      </c>
      <c r="AI197" s="37">
        <f>IF($AR197=0,"",IF($AN197=Lists!$B$19,"",IF(AND($AN197=Lists!$B$18,$AQ197&lt;&gt;""),$AQ197,IF(AND($AP197=Lists!$B$17,$AL197&lt;&gt;""),$AL197,$AK197))))</f>
        <v/>
      </c>
      <c r="AJ197" s="37">
        <f>IF($AR197=0,"",IF(IF($AF197="",", no value",IF($AF197&lt;=0,", no value",""))&amp;IF('Start here'!$F$15="","",IF(LEN($AD197)&lt;'Start here'!$F$15,", short description",""))="","OK",MID(IF($AF197="",", no value",IF($AF197&lt;=0,", no value",""))&amp;IF('Start here'!$F$15="","",IF(LEN($AD197)&lt;'Start here'!$F$15,", short description","")),3,200)))</f>
        <v/>
      </c>
      <c r="AK197" s="37">
        <f>IF($AR197=1,IFERROR(TRIM(INDEX($A197:$Z197,MATCH(Lists!$B$5,$A$1:$Z$1,0))&amp;""),""),"")</f>
        <v/>
      </c>
      <c r="AL197" s="37">
        <f>IF($AR197=1,IFERROR(TRIM(INDEX($A197:$Z197,MATCH(Lists!$B$4,$A$1:$Z$1,0))&amp;""),""),"")</f>
        <v/>
      </c>
      <c r="AM197" s="37">
        <f>IF($AR197=1,IFERROR(TRIM(INDEX($A197:$Z197,MATCH(Lists!$B$6,$A$1:$Z$1,0))&amp;""),""),"")</f>
        <v/>
      </c>
      <c r="AN197" s="37">
        <f>IF($AR197=1,IFERROR(TRIM(INDEX($A197:$Z197,MATCH(Lists!$B$7,$A$1:$Z$1,0))&amp;""),""),"")</f>
        <v/>
      </c>
      <c r="AO197" s="37">
        <f>IF($AR197=1,IFERROR(TRIM(INDEX($A197:$Z197,MATCH(Lists!$B$13,$A$1:$Z$1,0))&amp;""),""),"")</f>
        <v/>
      </c>
      <c r="AP197" s="37">
        <f>IF($AR197=1,IFERROR(TRIM(INDEX($A197:$Z197,MATCH(Lists!$B$3,$A$1:$Z$1,0))&amp;""),""),"")</f>
        <v/>
      </c>
      <c r="AQ197" s="37">
        <f>IF($AR197=1,IFERROR(TRIM(INDEX($A197:$Z197,MATCH(Lists!$B$8,$A$1:$Z$1,0))&amp;""),""),"")</f>
        <v/>
      </c>
      <c r="AR197" s="36">
        <f>IF(LEN($AC197)&gt;0,1,0)</f>
        <v/>
      </c>
      <c r="AS197" s="37">
        <f>IF($AR197=1,IF(IFERROR(IF(ISNUMBER(INDEX($A197:$Z197,MATCH(Lists!$B$2,$A$1:$Z$1,0))),INDEX($A197:$Z197,MATCH(Lists!$B$2,$A$1:$Z$1,0)),DATE(VALUE(LEFT(IFERROR(TRIM(INDEX($A197:$Z197,MATCH(Lists!$B$2,$A$1:$Z$1,0))&amp;""),""),4)),VALUE(MID(IFERROR(TRIM(INDEX($A197:$Z197,MATCH(Lists!$B$2,$A$1:$Z$1,0))&amp;""),""),6,2)),VALUE(MID(IFERROR(TRIM(INDEX($A197:$Z197,MATCH(Lists!$B$2,$A$1:$Z$1,0))&amp;""),""),9,2)))+TIME(VALUE(MID(IFERROR(TRIM(INDEX($A197:$Z197,MATCH(Lists!$B$2,$A$1:$Z$1,0))&amp;""),""),12,2)),VALUE(MID(IFERROR(TRIM(INDEX($A197:$Z197,MATCH(Lists!$B$2,$A$1:$Z$1,0))&amp;""),""),15,2)),VALUE(MID(IFERROR(TRIM(INDEX($A197:$Z197,MATCH(Lists!$B$2,$A$1:$Z$1,0))&amp;""),""),18,2)))),"")="",100000+ROW()/10^7,IFERROR(IF(ISNUMBER(INDEX($A197:$Z197,MATCH(Lists!$B$2,$A$1:$Z$1,0))),INDEX($A197:$Z197,MATCH(Lists!$B$2,$A$1:$Z$1,0)),DATE(VALUE(LEFT(IFERROR(TRIM(INDEX($A197:$Z197,MATCH(Lists!$B$2,$A$1:$Z$1,0))&amp;""),""),4)),VALUE(MID(IFERROR(TRIM(INDEX($A197:$Z197,MATCH(Lists!$B$2,$A$1:$Z$1,0))&amp;""),""),6,2)),VALUE(MID(IFERROR(TRIM(INDEX($A197:$Z197,MATCH(Lists!$B$2,$A$1:$Z$1,0))&amp;""),""),9,2)))+TIME(VALUE(MID(IFERROR(TRIM(INDEX($A197:$Z197,MATCH(Lists!$B$2,$A$1:$Z$1,0))&amp;""),""),12,2)),VALUE(MID(IFERROR(TRIM(INDEX($A197:$Z197,MATCH(Lists!$B$2,$A$1:$Z$1,0))&amp;""),""),15,2)),VALUE(MID(IFERROR(TRIM(INDEX($A197:$Z197,MATCH(Lists!$B$2,$A$1:$Z$1,0))&amp;""),""),18,2)))),"")-ROW()/10^7),"")</f>
        <v/>
      </c>
    </row>
    <row r="198">
      <c r="AB198" s="36">
        <f>IF($AR198=1,COUNTIF($AS$2:$AS$201,"&lt;"&amp;$AS198)+1,"")</f>
        <v/>
      </c>
      <c r="AC198" s="37">
        <f>IFERROR(TRIM(INDEX($A198:$Z198,MATCH(Lists!$B$9,$A$1:$Z$1,0))&amp;""),"")</f>
        <v/>
      </c>
      <c r="AD198" s="37">
        <f>IF($AR198=1,IFERROR(TRIM(INDEX($A198:$Z198,MATCH(Lists!$B$10,$A$1:$Z$1,0))&amp;""),""),"")</f>
        <v/>
      </c>
      <c r="AE198" s="37">
        <f>IF($AR198=1,IFERROR(TRIM(INDEX($A198:$Z198,MATCH(Lists!$B$12,$A$1:$Z$1,0))&amp;""),""),"")</f>
        <v/>
      </c>
      <c r="AF198" s="38">
        <f>IF($AR198=1,IFERROR(IF(TRIM(INDEX($A198:$Z198,MATCH(Lists!$B$11,$A$1:$Z$1,0))&amp;"")="","",VALUE(TRIM(INDEX($A198:$Z198,MATCH(Lists!$B$11,$A$1:$Z$1,0))&amp;""))),""),"")</f>
        <v/>
      </c>
      <c r="AG198" s="38">
        <f>IF(OR($AR198=0,$AF198="",'Start here'!$F$10="",'Start here'!$F$11="",'Start here'!$F$12="",'Start here'!$F$13="",'Start here'!$F$14=""),"",IF($AF198&lt;'Start here'!$F$10,'Start here'!$F$11,IF($AF198&lt;'Start here'!$F$12,'Start here'!$F$13,'Start here'!$F$14)))</f>
        <v/>
      </c>
      <c r="AH198" s="38">
        <f>IF(OR($AG198="",'Start here'!$F$9=""),"",IF($AF198&lt;=0,"",IFERROR(MAX($AG198,ROUNDUP(ROUND($AF198*'Start here'!$F$9/$AG198,6),0)*$AG198),"")))</f>
        <v/>
      </c>
      <c r="AI198" s="37">
        <f>IF($AR198=0,"",IF($AN198=Lists!$B$19,"",IF(AND($AN198=Lists!$B$18,$AQ198&lt;&gt;""),$AQ198,IF(AND($AP198=Lists!$B$17,$AL198&lt;&gt;""),$AL198,$AK198))))</f>
        <v/>
      </c>
      <c r="AJ198" s="37">
        <f>IF($AR198=0,"",IF(IF($AF198="",", no value",IF($AF198&lt;=0,", no value",""))&amp;IF('Start here'!$F$15="","",IF(LEN($AD198)&lt;'Start here'!$F$15,", short description",""))="","OK",MID(IF($AF198="",", no value",IF($AF198&lt;=0,", no value",""))&amp;IF('Start here'!$F$15="","",IF(LEN($AD198)&lt;'Start here'!$F$15,", short description","")),3,200)))</f>
        <v/>
      </c>
      <c r="AK198" s="37">
        <f>IF($AR198=1,IFERROR(TRIM(INDEX($A198:$Z198,MATCH(Lists!$B$5,$A$1:$Z$1,0))&amp;""),""),"")</f>
        <v/>
      </c>
      <c r="AL198" s="37">
        <f>IF($AR198=1,IFERROR(TRIM(INDEX($A198:$Z198,MATCH(Lists!$B$4,$A$1:$Z$1,0))&amp;""),""),"")</f>
        <v/>
      </c>
      <c r="AM198" s="37">
        <f>IF($AR198=1,IFERROR(TRIM(INDEX($A198:$Z198,MATCH(Lists!$B$6,$A$1:$Z$1,0))&amp;""),""),"")</f>
        <v/>
      </c>
      <c r="AN198" s="37">
        <f>IF($AR198=1,IFERROR(TRIM(INDEX($A198:$Z198,MATCH(Lists!$B$7,$A$1:$Z$1,0))&amp;""),""),"")</f>
        <v/>
      </c>
      <c r="AO198" s="37">
        <f>IF($AR198=1,IFERROR(TRIM(INDEX($A198:$Z198,MATCH(Lists!$B$13,$A$1:$Z$1,0))&amp;""),""),"")</f>
        <v/>
      </c>
      <c r="AP198" s="37">
        <f>IF($AR198=1,IFERROR(TRIM(INDEX($A198:$Z198,MATCH(Lists!$B$3,$A$1:$Z$1,0))&amp;""),""),"")</f>
        <v/>
      </c>
      <c r="AQ198" s="37">
        <f>IF($AR198=1,IFERROR(TRIM(INDEX($A198:$Z198,MATCH(Lists!$B$8,$A$1:$Z$1,0))&amp;""),""),"")</f>
        <v/>
      </c>
      <c r="AR198" s="36">
        <f>IF(LEN($AC198)&gt;0,1,0)</f>
        <v/>
      </c>
      <c r="AS198" s="37">
        <f>IF($AR198=1,IF(IFERROR(IF(ISNUMBER(INDEX($A198:$Z198,MATCH(Lists!$B$2,$A$1:$Z$1,0))),INDEX($A198:$Z198,MATCH(Lists!$B$2,$A$1:$Z$1,0)),DATE(VALUE(LEFT(IFERROR(TRIM(INDEX($A198:$Z198,MATCH(Lists!$B$2,$A$1:$Z$1,0))&amp;""),""),4)),VALUE(MID(IFERROR(TRIM(INDEX($A198:$Z198,MATCH(Lists!$B$2,$A$1:$Z$1,0))&amp;""),""),6,2)),VALUE(MID(IFERROR(TRIM(INDEX($A198:$Z198,MATCH(Lists!$B$2,$A$1:$Z$1,0))&amp;""),""),9,2)))+TIME(VALUE(MID(IFERROR(TRIM(INDEX($A198:$Z198,MATCH(Lists!$B$2,$A$1:$Z$1,0))&amp;""),""),12,2)),VALUE(MID(IFERROR(TRIM(INDEX($A198:$Z198,MATCH(Lists!$B$2,$A$1:$Z$1,0))&amp;""),""),15,2)),VALUE(MID(IFERROR(TRIM(INDEX($A198:$Z198,MATCH(Lists!$B$2,$A$1:$Z$1,0))&amp;""),""),18,2)))),"")="",100000+ROW()/10^7,IFERROR(IF(ISNUMBER(INDEX($A198:$Z198,MATCH(Lists!$B$2,$A$1:$Z$1,0))),INDEX($A198:$Z198,MATCH(Lists!$B$2,$A$1:$Z$1,0)),DATE(VALUE(LEFT(IFERROR(TRIM(INDEX($A198:$Z198,MATCH(Lists!$B$2,$A$1:$Z$1,0))&amp;""),""),4)),VALUE(MID(IFERROR(TRIM(INDEX($A198:$Z198,MATCH(Lists!$B$2,$A$1:$Z$1,0))&amp;""),""),6,2)),VALUE(MID(IFERROR(TRIM(INDEX($A198:$Z198,MATCH(Lists!$B$2,$A$1:$Z$1,0))&amp;""),""),9,2)))+TIME(VALUE(MID(IFERROR(TRIM(INDEX($A198:$Z198,MATCH(Lists!$B$2,$A$1:$Z$1,0))&amp;""),""),12,2)),VALUE(MID(IFERROR(TRIM(INDEX($A198:$Z198,MATCH(Lists!$B$2,$A$1:$Z$1,0))&amp;""),""),15,2)),VALUE(MID(IFERROR(TRIM(INDEX($A198:$Z198,MATCH(Lists!$B$2,$A$1:$Z$1,0))&amp;""),""),18,2)))),"")-ROW()/10^7),"")</f>
        <v/>
      </c>
    </row>
    <row r="199">
      <c r="AB199" s="36">
        <f>IF($AR199=1,COUNTIF($AS$2:$AS$201,"&lt;"&amp;$AS199)+1,"")</f>
        <v/>
      </c>
      <c r="AC199" s="37">
        <f>IFERROR(TRIM(INDEX($A199:$Z199,MATCH(Lists!$B$9,$A$1:$Z$1,0))&amp;""),"")</f>
        <v/>
      </c>
      <c r="AD199" s="37">
        <f>IF($AR199=1,IFERROR(TRIM(INDEX($A199:$Z199,MATCH(Lists!$B$10,$A$1:$Z$1,0))&amp;""),""),"")</f>
        <v/>
      </c>
      <c r="AE199" s="37">
        <f>IF($AR199=1,IFERROR(TRIM(INDEX($A199:$Z199,MATCH(Lists!$B$12,$A$1:$Z$1,0))&amp;""),""),"")</f>
        <v/>
      </c>
      <c r="AF199" s="38">
        <f>IF($AR199=1,IFERROR(IF(TRIM(INDEX($A199:$Z199,MATCH(Lists!$B$11,$A$1:$Z$1,0))&amp;"")="","",VALUE(TRIM(INDEX($A199:$Z199,MATCH(Lists!$B$11,$A$1:$Z$1,0))&amp;""))),""),"")</f>
        <v/>
      </c>
      <c r="AG199" s="38">
        <f>IF(OR($AR199=0,$AF199="",'Start here'!$F$10="",'Start here'!$F$11="",'Start here'!$F$12="",'Start here'!$F$13="",'Start here'!$F$14=""),"",IF($AF199&lt;'Start here'!$F$10,'Start here'!$F$11,IF($AF199&lt;'Start here'!$F$12,'Start here'!$F$13,'Start here'!$F$14)))</f>
        <v/>
      </c>
      <c r="AH199" s="38">
        <f>IF(OR($AG199="",'Start here'!$F$9=""),"",IF($AF199&lt;=0,"",IFERROR(MAX($AG199,ROUNDUP(ROUND($AF199*'Start here'!$F$9/$AG199,6),0)*$AG199),"")))</f>
        <v/>
      </c>
      <c r="AI199" s="37">
        <f>IF($AR199=0,"",IF($AN199=Lists!$B$19,"",IF(AND($AN199=Lists!$B$18,$AQ199&lt;&gt;""),$AQ199,IF(AND($AP199=Lists!$B$17,$AL199&lt;&gt;""),$AL199,$AK199))))</f>
        <v/>
      </c>
      <c r="AJ199" s="37">
        <f>IF($AR199=0,"",IF(IF($AF199="",", no value",IF($AF199&lt;=0,", no value",""))&amp;IF('Start here'!$F$15="","",IF(LEN($AD199)&lt;'Start here'!$F$15,", short description",""))="","OK",MID(IF($AF199="",", no value",IF($AF199&lt;=0,", no value",""))&amp;IF('Start here'!$F$15="","",IF(LEN($AD199)&lt;'Start here'!$F$15,", short description","")),3,200)))</f>
        <v/>
      </c>
      <c r="AK199" s="37">
        <f>IF($AR199=1,IFERROR(TRIM(INDEX($A199:$Z199,MATCH(Lists!$B$5,$A$1:$Z$1,0))&amp;""),""),"")</f>
        <v/>
      </c>
      <c r="AL199" s="37">
        <f>IF($AR199=1,IFERROR(TRIM(INDEX($A199:$Z199,MATCH(Lists!$B$4,$A$1:$Z$1,0))&amp;""),""),"")</f>
        <v/>
      </c>
      <c r="AM199" s="37">
        <f>IF($AR199=1,IFERROR(TRIM(INDEX($A199:$Z199,MATCH(Lists!$B$6,$A$1:$Z$1,0))&amp;""),""),"")</f>
        <v/>
      </c>
      <c r="AN199" s="37">
        <f>IF($AR199=1,IFERROR(TRIM(INDEX($A199:$Z199,MATCH(Lists!$B$7,$A$1:$Z$1,0))&amp;""),""),"")</f>
        <v/>
      </c>
      <c r="AO199" s="37">
        <f>IF($AR199=1,IFERROR(TRIM(INDEX($A199:$Z199,MATCH(Lists!$B$13,$A$1:$Z$1,0))&amp;""),""),"")</f>
        <v/>
      </c>
      <c r="AP199" s="37">
        <f>IF($AR199=1,IFERROR(TRIM(INDEX($A199:$Z199,MATCH(Lists!$B$3,$A$1:$Z$1,0))&amp;""),""),"")</f>
        <v/>
      </c>
      <c r="AQ199" s="37">
        <f>IF($AR199=1,IFERROR(TRIM(INDEX($A199:$Z199,MATCH(Lists!$B$8,$A$1:$Z$1,0))&amp;""),""),"")</f>
        <v/>
      </c>
      <c r="AR199" s="36">
        <f>IF(LEN($AC199)&gt;0,1,0)</f>
        <v/>
      </c>
      <c r="AS199" s="37">
        <f>IF($AR199=1,IF(IFERROR(IF(ISNUMBER(INDEX($A199:$Z199,MATCH(Lists!$B$2,$A$1:$Z$1,0))),INDEX($A199:$Z199,MATCH(Lists!$B$2,$A$1:$Z$1,0)),DATE(VALUE(LEFT(IFERROR(TRIM(INDEX($A199:$Z199,MATCH(Lists!$B$2,$A$1:$Z$1,0))&amp;""),""),4)),VALUE(MID(IFERROR(TRIM(INDEX($A199:$Z199,MATCH(Lists!$B$2,$A$1:$Z$1,0))&amp;""),""),6,2)),VALUE(MID(IFERROR(TRIM(INDEX($A199:$Z199,MATCH(Lists!$B$2,$A$1:$Z$1,0))&amp;""),""),9,2)))+TIME(VALUE(MID(IFERROR(TRIM(INDEX($A199:$Z199,MATCH(Lists!$B$2,$A$1:$Z$1,0))&amp;""),""),12,2)),VALUE(MID(IFERROR(TRIM(INDEX($A199:$Z199,MATCH(Lists!$B$2,$A$1:$Z$1,0))&amp;""),""),15,2)),VALUE(MID(IFERROR(TRIM(INDEX($A199:$Z199,MATCH(Lists!$B$2,$A$1:$Z$1,0))&amp;""),""),18,2)))),"")="",100000+ROW()/10^7,IFERROR(IF(ISNUMBER(INDEX($A199:$Z199,MATCH(Lists!$B$2,$A$1:$Z$1,0))),INDEX($A199:$Z199,MATCH(Lists!$B$2,$A$1:$Z$1,0)),DATE(VALUE(LEFT(IFERROR(TRIM(INDEX($A199:$Z199,MATCH(Lists!$B$2,$A$1:$Z$1,0))&amp;""),""),4)),VALUE(MID(IFERROR(TRIM(INDEX($A199:$Z199,MATCH(Lists!$B$2,$A$1:$Z$1,0))&amp;""),""),6,2)),VALUE(MID(IFERROR(TRIM(INDEX($A199:$Z199,MATCH(Lists!$B$2,$A$1:$Z$1,0))&amp;""),""),9,2)))+TIME(VALUE(MID(IFERROR(TRIM(INDEX($A199:$Z199,MATCH(Lists!$B$2,$A$1:$Z$1,0))&amp;""),""),12,2)),VALUE(MID(IFERROR(TRIM(INDEX($A199:$Z199,MATCH(Lists!$B$2,$A$1:$Z$1,0))&amp;""),""),15,2)),VALUE(MID(IFERROR(TRIM(INDEX($A199:$Z199,MATCH(Lists!$B$2,$A$1:$Z$1,0))&amp;""),""),18,2)))),"")-ROW()/10^7),"")</f>
        <v/>
      </c>
    </row>
    <row r="200">
      <c r="AB200" s="36">
        <f>IF($AR200=1,COUNTIF($AS$2:$AS$201,"&lt;"&amp;$AS200)+1,"")</f>
        <v/>
      </c>
      <c r="AC200" s="37">
        <f>IFERROR(TRIM(INDEX($A200:$Z200,MATCH(Lists!$B$9,$A$1:$Z$1,0))&amp;""),"")</f>
        <v/>
      </c>
      <c r="AD200" s="37">
        <f>IF($AR200=1,IFERROR(TRIM(INDEX($A200:$Z200,MATCH(Lists!$B$10,$A$1:$Z$1,0))&amp;""),""),"")</f>
        <v/>
      </c>
      <c r="AE200" s="37">
        <f>IF($AR200=1,IFERROR(TRIM(INDEX($A200:$Z200,MATCH(Lists!$B$12,$A$1:$Z$1,0))&amp;""),""),"")</f>
        <v/>
      </c>
      <c r="AF200" s="38">
        <f>IF($AR200=1,IFERROR(IF(TRIM(INDEX($A200:$Z200,MATCH(Lists!$B$11,$A$1:$Z$1,0))&amp;"")="","",VALUE(TRIM(INDEX($A200:$Z200,MATCH(Lists!$B$11,$A$1:$Z$1,0))&amp;""))),""),"")</f>
        <v/>
      </c>
      <c r="AG200" s="38">
        <f>IF(OR($AR200=0,$AF200="",'Start here'!$F$10="",'Start here'!$F$11="",'Start here'!$F$12="",'Start here'!$F$13="",'Start here'!$F$14=""),"",IF($AF200&lt;'Start here'!$F$10,'Start here'!$F$11,IF($AF200&lt;'Start here'!$F$12,'Start here'!$F$13,'Start here'!$F$14)))</f>
        <v/>
      </c>
      <c r="AH200" s="38">
        <f>IF(OR($AG200="",'Start here'!$F$9=""),"",IF($AF200&lt;=0,"",IFERROR(MAX($AG200,ROUNDUP(ROUND($AF200*'Start here'!$F$9/$AG200,6),0)*$AG200),"")))</f>
        <v/>
      </c>
      <c r="AI200" s="37">
        <f>IF($AR200=0,"",IF($AN200=Lists!$B$19,"",IF(AND($AN200=Lists!$B$18,$AQ200&lt;&gt;""),$AQ200,IF(AND($AP200=Lists!$B$17,$AL200&lt;&gt;""),$AL200,$AK200))))</f>
        <v/>
      </c>
      <c r="AJ200" s="37">
        <f>IF($AR200=0,"",IF(IF($AF200="",", no value",IF($AF200&lt;=0,", no value",""))&amp;IF('Start here'!$F$15="","",IF(LEN($AD200)&lt;'Start here'!$F$15,", short description",""))="","OK",MID(IF($AF200="",", no value",IF($AF200&lt;=0,", no value",""))&amp;IF('Start here'!$F$15="","",IF(LEN($AD200)&lt;'Start here'!$F$15,", short description","")),3,200)))</f>
        <v/>
      </c>
      <c r="AK200" s="37">
        <f>IF($AR200=1,IFERROR(TRIM(INDEX($A200:$Z200,MATCH(Lists!$B$5,$A$1:$Z$1,0))&amp;""),""),"")</f>
        <v/>
      </c>
      <c r="AL200" s="37">
        <f>IF($AR200=1,IFERROR(TRIM(INDEX($A200:$Z200,MATCH(Lists!$B$4,$A$1:$Z$1,0))&amp;""),""),"")</f>
        <v/>
      </c>
      <c r="AM200" s="37">
        <f>IF($AR200=1,IFERROR(TRIM(INDEX($A200:$Z200,MATCH(Lists!$B$6,$A$1:$Z$1,0))&amp;""),""),"")</f>
        <v/>
      </c>
      <c r="AN200" s="37">
        <f>IF($AR200=1,IFERROR(TRIM(INDEX($A200:$Z200,MATCH(Lists!$B$7,$A$1:$Z$1,0))&amp;""),""),"")</f>
        <v/>
      </c>
      <c r="AO200" s="37">
        <f>IF($AR200=1,IFERROR(TRIM(INDEX($A200:$Z200,MATCH(Lists!$B$13,$A$1:$Z$1,0))&amp;""),""),"")</f>
        <v/>
      </c>
      <c r="AP200" s="37">
        <f>IF($AR200=1,IFERROR(TRIM(INDEX($A200:$Z200,MATCH(Lists!$B$3,$A$1:$Z$1,0))&amp;""),""),"")</f>
        <v/>
      </c>
      <c r="AQ200" s="37">
        <f>IF($AR200=1,IFERROR(TRIM(INDEX($A200:$Z200,MATCH(Lists!$B$8,$A$1:$Z$1,0))&amp;""),""),"")</f>
        <v/>
      </c>
      <c r="AR200" s="36">
        <f>IF(LEN($AC200)&gt;0,1,0)</f>
        <v/>
      </c>
      <c r="AS200" s="37">
        <f>IF($AR200=1,IF(IFERROR(IF(ISNUMBER(INDEX($A200:$Z200,MATCH(Lists!$B$2,$A$1:$Z$1,0))),INDEX($A200:$Z200,MATCH(Lists!$B$2,$A$1:$Z$1,0)),DATE(VALUE(LEFT(IFERROR(TRIM(INDEX($A200:$Z200,MATCH(Lists!$B$2,$A$1:$Z$1,0))&amp;""),""),4)),VALUE(MID(IFERROR(TRIM(INDEX($A200:$Z200,MATCH(Lists!$B$2,$A$1:$Z$1,0))&amp;""),""),6,2)),VALUE(MID(IFERROR(TRIM(INDEX($A200:$Z200,MATCH(Lists!$B$2,$A$1:$Z$1,0))&amp;""),""),9,2)))+TIME(VALUE(MID(IFERROR(TRIM(INDEX($A200:$Z200,MATCH(Lists!$B$2,$A$1:$Z$1,0))&amp;""),""),12,2)),VALUE(MID(IFERROR(TRIM(INDEX($A200:$Z200,MATCH(Lists!$B$2,$A$1:$Z$1,0))&amp;""),""),15,2)),VALUE(MID(IFERROR(TRIM(INDEX($A200:$Z200,MATCH(Lists!$B$2,$A$1:$Z$1,0))&amp;""),""),18,2)))),"")="",100000+ROW()/10^7,IFERROR(IF(ISNUMBER(INDEX($A200:$Z200,MATCH(Lists!$B$2,$A$1:$Z$1,0))),INDEX($A200:$Z200,MATCH(Lists!$B$2,$A$1:$Z$1,0)),DATE(VALUE(LEFT(IFERROR(TRIM(INDEX($A200:$Z200,MATCH(Lists!$B$2,$A$1:$Z$1,0))&amp;""),""),4)),VALUE(MID(IFERROR(TRIM(INDEX($A200:$Z200,MATCH(Lists!$B$2,$A$1:$Z$1,0))&amp;""),""),6,2)),VALUE(MID(IFERROR(TRIM(INDEX($A200:$Z200,MATCH(Lists!$B$2,$A$1:$Z$1,0))&amp;""),""),9,2)))+TIME(VALUE(MID(IFERROR(TRIM(INDEX($A200:$Z200,MATCH(Lists!$B$2,$A$1:$Z$1,0))&amp;""),""),12,2)),VALUE(MID(IFERROR(TRIM(INDEX($A200:$Z200,MATCH(Lists!$B$2,$A$1:$Z$1,0))&amp;""),""),15,2)),VALUE(MID(IFERROR(TRIM(INDEX($A200:$Z200,MATCH(Lists!$B$2,$A$1:$Z$1,0))&amp;""),""),18,2)))),"")-ROW()/10^7),"")</f>
        <v/>
      </c>
    </row>
    <row r="201">
      <c r="AB201" s="36">
        <f>IF($AR201=1,COUNTIF($AS$2:$AS$201,"&lt;"&amp;$AS201)+1,"")</f>
        <v/>
      </c>
      <c r="AC201" s="37">
        <f>IFERROR(TRIM(INDEX($A201:$Z201,MATCH(Lists!$B$9,$A$1:$Z$1,0))&amp;""),"")</f>
        <v/>
      </c>
      <c r="AD201" s="37">
        <f>IF($AR201=1,IFERROR(TRIM(INDEX($A201:$Z201,MATCH(Lists!$B$10,$A$1:$Z$1,0))&amp;""),""),"")</f>
        <v/>
      </c>
      <c r="AE201" s="37">
        <f>IF($AR201=1,IFERROR(TRIM(INDEX($A201:$Z201,MATCH(Lists!$B$12,$A$1:$Z$1,0))&amp;""),""),"")</f>
        <v/>
      </c>
      <c r="AF201" s="38">
        <f>IF($AR201=1,IFERROR(IF(TRIM(INDEX($A201:$Z201,MATCH(Lists!$B$11,$A$1:$Z$1,0))&amp;"")="","",VALUE(TRIM(INDEX($A201:$Z201,MATCH(Lists!$B$11,$A$1:$Z$1,0))&amp;""))),""),"")</f>
        <v/>
      </c>
      <c r="AG201" s="38">
        <f>IF(OR($AR201=0,$AF201="",'Start here'!$F$10="",'Start here'!$F$11="",'Start here'!$F$12="",'Start here'!$F$13="",'Start here'!$F$14=""),"",IF($AF201&lt;'Start here'!$F$10,'Start here'!$F$11,IF($AF201&lt;'Start here'!$F$12,'Start here'!$F$13,'Start here'!$F$14)))</f>
        <v/>
      </c>
      <c r="AH201" s="38">
        <f>IF(OR($AG201="",'Start here'!$F$9=""),"",IF($AF201&lt;=0,"",IFERROR(MAX($AG201,ROUNDUP(ROUND($AF201*'Start here'!$F$9/$AG201,6),0)*$AG201),"")))</f>
        <v/>
      </c>
      <c r="AI201" s="37">
        <f>IF($AR201=0,"",IF($AN201=Lists!$B$19,"",IF(AND($AN201=Lists!$B$18,$AQ201&lt;&gt;""),$AQ201,IF(AND($AP201=Lists!$B$17,$AL201&lt;&gt;""),$AL201,$AK201))))</f>
        <v/>
      </c>
      <c r="AJ201" s="37">
        <f>IF($AR201=0,"",IF(IF($AF201="",", no value",IF($AF201&lt;=0,", no value",""))&amp;IF('Start here'!$F$15="","",IF(LEN($AD201)&lt;'Start here'!$F$15,", short description",""))="","OK",MID(IF($AF201="",", no value",IF($AF201&lt;=0,", no value",""))&amp;IF('Start here'!$F$15="","",IF(LEN($AD201)&lt;'Start here'!$F$15,", short description","")),3,200)))</f>
        <v/>
      </c>
      <c r="AK201" s="37">
        <f>IF($AR201=1,IFERROR(TRIM(INDEX($A201:$Z201,MATCH(Lists!$B$5,$A$1:$Z$1,0))&amp;""),""),"")</f>
        <v/>
      </c>
      <c r="AL201" s="37">
        <f>IF($AR201=1,IFERROR(TRIM(INDEX($A201:$Z201,MATCH(Lists!$B$4,$A$1:$Z$1,0))&amp;""),""),"")</f>
        <v/>
      </c>
      <c r="AM201" s="37">
        <f>IF($AR201=1,IFERROR(TRIM(INDEX($A201:$Z201,MATCH(Lists!$B$6,$A$1:$Z$1,0))&amp;""),""),"")</f>
        <v/>
      </c>
      <c r="AN201" s="37">
        <f>IF($AR201=1,IFERROR(TRIM(INDEX($A201:$Z201,MATCH(Lists!$B$7,$A$1:$Z$1,0))&amp;""),""),"")</f>
        <v/>
      </c>
      <c r="AO201" s="37">
        <f>IF($AR201=1,IFERROR(TRIM(INDEX($A201:$Z201,MATCH(Lists!$B$13,$A$1:$Z$1,0))&amp;""),""),"")</f>
        <v/>
      </c>
      <c r="AP201" s="37">
        <f>IF($AR201=1,IFERROR(TRIM(INDEX($A201:$Z201,MATCH(Lists!$B$3,$A$1:$Z$1,0))&amp;""),""),"")</f>
        <v/>
      </c>
      <c r="AQ201" s="37">
        <f>IF($AR201=1,IFERROR(TRIM(INDEX($A201:$Z201,MATCH(Lists!$B$8,$A$1:$Z$1,0))&amp;""),""),"")</f>
        <v/>
      </c>
      <c r="AR201" s="36">
        <f>IF(LEN($AC201)&gt;0,1,0)</f>
        <v/>
      </c>
      <c r="AS201" s="37">
        <f>IF($AR201=1,IF(IFERROR(IF(ISNUMBER(INDEX($A201:$Z201,MATCH(Lists!$B$2,$A$1:$Z$1,0))),INDEX($A201:$Z201,MATCH(Lists!$B$2,$A$1:$Z$1,0)),DATE(VALUE(LEFT(IFERROR(TRIM(INDEX($A201:$Z201,MATCH(Lists!$B$2,$A$1:$Z$1,0))&amp;""),""),4)),VALUE(MID(IFERROR(TRIM(INDEX($A201:$Z201,MATCH(Lists!$B$2,$A$1:$Z$1,0))&amp;""),""),6,2)),VALUE(MID(IFERROR(TRIM(INDEX($A201:$Z201,MATCH(Lists!$B$2,$A$1:$Z$1,0))&amp;""),""),9,2)))+TIME(VALUE(MID(IFERROR(TRIM(INDEX($A201:$Z201,MATCH(Lists!$B$2,$A$1:$Z$1,0))&amp;""),""),12,2)),VALUE(MID(IFERROR(TRIM(INDEX($A201:$Z201,MATCH(Lists!$B$2,$A$1:$Z$1,0))&amp;""),""),15,2)),VALUE(MID(IFERROR(TRIM(INDEX($A201:$Z201,MATCH(Lists!$B$2,$A$1:$Z$1,0))&amp;""),""),18,2)))),"")="",100000+ROW()/10^7,IFERROR(IF(ISNUMBER(INDEX($A201:$Z201,MATCH(Lists!$B$2,$A$1:$Z$1,0))),INDEX($A201:$Z201,MATCH(Lists!$B$2,$A$1:$Z$1,0)),DATE(VALUE(LEFT(IFERROR(TRIM(INDEX($A201:$Z201,MATCH(Lists!$B$2,$A$1:$Z$1,0))&amp;""),""),4)),VALUE(MID(IFERROR(TRIM(INDEX($A201:$Z201,MATCH(Lists!$B$2,$A$1:$Z$1,0))&amp;""),""),6,2)),VALUE(MID(IFERROR(TRIM(INDEX($A201:$Z201,MATCH(Lists!$B$2,$A$1:$Z$1,0))&amp;""),""),9,2)))+TIME(VALUE(MID(IFERROR(TRIM(INDEX($A201:$Z201,MATCH(Lists!$B$2,$A$1:$Z$1,0))&amp;""),""),12,2)),VALUE(MID(IFERROR(TRIM(INDEX($A201:$Z201,MATCH(Lists!$B$2,$A$1:$Z$1,0))&amp;""),""),15,2)),VALUE(MID(IFERROR(TRIM(INDEX($A201:$Z201,MATCH(Lists!$B$2,$A$1:$Z$1,0))&amp;""),""),18,2)))),"")-ROW()/10^7),"")</f>
        <v/>
      </c>
    </row>
  </sheetData>
  <conditionalFormatting sqref="AB2:AJ201">
    <cfRule type="expression" priority="1" dxfId="0">
      <formula>AND($AJ2&lt;&gt;"",$AJ2&lt;&gt;"OK")</formula>
    </cfRule>
  </conditionalFormatting>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fitToPage="1"/>
  </sheetPr>
  <dimension ref="A1:I203"/>
  <sheetViews>
    <sheetView workbookViewId="0">
      <pane ySplit="3" topLeftCell="A4" activePane="bottomLeft" state="frozen"/>
      <selection pane="bottomLeft" activeCell="A1" sqref="A1"/>
    </sheetView>
  </sheetViews>
  <sheetFormatPr baseColWidth="8" defaultRowHeight="15"/>
  <cols>
    <col width="6" customWidth="1" min="1" max="1"/>
    <col width="26" customWidth="1" min="2" max="2"/>
    <col width="52" customWidth="1" min="3" max="3"/>
    <col width="26" customWidth="1" min="4" max="4"/>
    <col width="11" customWidth="1" min="5" max="5"/>
    <col width="22" customWidth="1" min="6" max="6"/>
    <col width="3" customWidth="1" min="7" max="7"/>
    <col width="22" customWidth="1" min="8" max="8"/>
    <col width="8" customWidth="1" min="9" max="9"/>
  </cols>
  <sheetData>
    <row r="1">
      <c r="A1" s="39">
        <f>'Start here'!$F$7&amp;": item catalogue"</f>
        <v/>
      </c>
      <c r="H1" s="32" t="inlineStr">
        <is>
          <t>Items in the catalogue</t>
        </is>
      </c>
      <c r="I1" s="40">
        <f>MAX(0,MAX(Items!$AB$2:$AB$201))</f>
        <v/>
      </c>
    </row>
    <row r="2">
      <c r="A2" s="3">
        <f>IF(COUNTIF(Items!$A$2:$A$201,"EXAMPLE*")&gt;0,"EXAMPLE data. Clear the example rows on Items before you print.","")</f>
        <v/>
      </c>
    </row>
    <row r="3" ht="30" customHeight="1">
      <c r="A3" s="5" t="inlineStr">
        <is>
          <t>No.</t>
        </is>
      </c>
      <c r="B3" s="5" t="inlineStr">
        <is>
          <t>Item</t>
        </is>
      </c>
      <c r="C3" s="5" t="inlineStr">
        <is>
          <t>Description</t>
        </is>
      </c>
      <c r="D3" s="5" t="inlineStr">
        <is>
          <t>Restrictions or expiry</t>
        </is>
      </c>
      <c r="E3" s="5">
        <f>"Value ("&amp;'Start here'!$F$8&amp;")"</f>
        <v/>
      </c>
      <c r="F3" s="5" t="inlineStr">
        <is>
          <t>Donated by</t>
        </is>
      </c>
    </row>
    <row r="4">
      <c r="A4" s="41">
        <f>IF(ISNUMBER(MATCH(1,Items!$AB$2:$AB$201,0)),1,"")</f>
        <v/>
      </c>
      <c r="B4" s="23">
        <f>IF($A4="","",INDEX(Items!$AC$2:$AC$201,MATCH($A4,Items!$AB$2:$AB$201,0)))</f>
        <v/>
      </c>
      <c r="C4" s="24">
        <f>IF($A4="","",INDEX(Items!$AD$2:$AD$201,MATCH($A4,Items!$AB$2:$AB$201,0)))</f>
        <v/>
      </c>
      <c r="D4" s="24">
        <f>IF($A4="","",INDEX(Items!$AE$2:$AE$201,MATCH($A4,Items!$AB$2:$AB$201,0)))</f>
        <v/>
      </c>
      <c r="E4" s="42">
        <f>IF($A4="","",INDEX(Items!$AF$2:$AF$201,MATCH($A4,Items!$AB$2:$AB$201,0)))</f>
        <v/>
      </c>
      <c r="F4" s="24">
        <f>IF($A4="","",INDEX(Items!$AI$2:$AI$201,MATCH($A4,Items!$AB$2:$AB$201,0)))</f>
        <v/>
      </c>
    </row>
    <row r="5">
      <c r="A5" s="41">
        <f>IF(ISNUMBER(MATCH(2,Items!$AB$2:$AB$201,0)),2,"")</f>
        <v/>
      </c>
      <c r="B5" s="23">
        <f>IF($A5="","",INDEX(Items!$AC$2:$AC$201,MATCH($A5,Items!$AB$2:$AB$201,0)))</f>
        <v/>
      </c>
      <c r="C5" s="24">
        <f>IF($A5="","",INDEX(Items!$AD$2:$AD$201,MATCH($A5,Items!$AB$2:$AB$201,0)))</f>
        <v/>
      </c>
      <c r="D5" s="24">
        <f>IF($A5="","",INDEX(Items!$AE$2:$AE$201,MATCH($A5,Items!$AB$2:$AB$201,0)))</f>
        <v/>
      </c>
      <c r="E5" s="42">
        <f>IF($A5="","",INDEX(Items!$AF$2:$AF$201,MATCH($A5,Items!$AB$2:$AB$201,0)))</f>
        <v/>
      </c>
      <c r="F5" s="24">
        <f>IF($A5="","",INDEX(Items!$AI$2:$AI$201,MATCH($A5,Items!$AB$2:$AB$201,0)))</f>
        <v/>
      </c>
    </row>
    <row r="6">
      <c r="A6" s="41">
        <f>IF(ISNUMBER(MATCH(3,Items!$AB$2:$AB$201,0)),3,"")</f>
        <v/>
      </c>
      <c r="B6" s="23">
        <f>IF($A6="","",INDEX(Items!$AC$2:$AC$201,MATCH($A6,Items!$AB$2:$AB$201,0)))</f>
        <v/>
      </c>
      <c r="C6" s="24">
        <f>IF($A6="","",INDEX(Items!$AD$2:$AD$201,MATCH($A6,Items!$AB$2:$AB$201,0)))</f>
        <v/>
      </c>
      <c r="D6" s="24">
        <f>IF($A6="","",INDEX(Items!$AE$2:$AE$201,MATCH($A6,Items!$AB$2:$AB$201,0)))</f>
        <v/>
      </c>
      <c r="E6" s="42">
        <f>IF($A6="","",INDEX(Items!$AF$2:$AF$201,MATCH($A6,Items!$AB$2:$AB$201,0)))</f>
        <v/>
      </c>
      <c r="F6" s="24">
        <f>IF($A6="","",INDEX(Items!$AI$2:$AI$201,MATCH($A6,Items!$AB$2:$AB$201,0)))</f>
        <v/>
      </c>
    </row>
    <row r="7">
      <c r="A7" s="41">
        <f>IF(ISNUMBER(MATCH(4,Items!$AB$2:$AB$201,0)),4,"")</f>
        <v/>
      </c>
      <c r="B7" s="23">
        <f>IF($A7="","",INDEX(Items!$AC$2:$AC$201,MATCH($A7,Items!$AB$2:$AB$201,0)))</f>
        <v/>
      </c>
      <c r="C7" s="24">
        <f>IF($A7="","",INDEX(Items!$AD$2:$AD$201,MATCH($A7,Items!$AB$2:$AB$201,0)))</f>
        <v/>
      </c>
      <c r="D7" s="24">
        <f>IF($A7="","",INDEX(Items!$AE$2:$AE$201,MATCH($A7,Items!$AB$2:$AB$201,0)))</f>
        <v/>
      </c>
      <c r="E7" s="42">
        <f>IF($A7="","",INDEX(Items!$AF$2:$AF$201,MATCH($A7,Items!$AB$2:$AB$201,0)))</f>
        <v/>
      </c>
      <c r="F7" s="24">
        <f>IF($A7="","",INDEX(Items!$AI$2:$AI$201,MATCH($A7,Items!$AB$2:$AB$201,0)))</f>
        <v/>
      </c>
    </row>
    <row r="8">
      <c r="A8" s="41">
        <f>IF(ISNUMBER(MATCH(5,Items!$AB$2:$AB$201,0)),5,"")</f>
        <v/>
      </c>
      <c r="B8" s="23">
        <f>IF($A8="","",INDEX(Items!$AC$2:$AC$201,MATCH($A8,Items!$AB$2:$AB$201,0)))</f>
        <v/>
      </c>
      <c r="C8" s="24">
        <f>IF($A8="","",INDEX(Items!$AD$2:$AD$201,MATCH($A8,Items!$AB$2:$AB$201,0)))</f>
        <v/>
      </c>
      <c r="D8" s="24">
        <f>IF($A8="","",INDEX(Items!$AE$2:$AE$201,MATCH($A8,Items!$AB$2:$AB$201,0)))</f>
        <v/>
      </c>
      <c r="E8" s="42">
        <f>IF($A8="","",INDEX(Items!$AF$2:$AF$201,MATCH($A8,Items!$AB$2:$AB$201,0)))</f>
        <v/>
      </c>
      <c r="F8" s="24">
        <f>IF($A8="","",INDEX(Items!$AI$2:$AI$201,MATCH($A8,Items!$AB$2:$AB$201,0)))</f>
        <v/>
      </c>
    </row>
    <row r="9">
      <c r="A9" s="41">
        <f>IF(ISNUMBER(MATCH(6,Items!$AB$2:$AB$201,0)),6,"")</f>
        <v/>
      </c>
      <c r="B9" s="23">
        <f>IF($A9="","",INDEX(Items!$AC$2:$AC$201,MATCH($A9,Items!$AB$2:$AB$201,0)))</f>
        <v/>
      </c>
      <c r="C9" s="24">
        <f>IF($A9="","",INDEX(Items!$AD$2:$AD$201,MATCH($A9,Items!$AB$2:$AB$201,0)))</f>
        <v/>
      </c>
      <c r="D9" s="24">
        <f>IF($A9="","",INDEX(Items!$AE$2:$AE$201,MATCH($A9,Items!$AB$2:$AB$201,0)))</f>
        <v/>
      </c>
      <c r="E9" s="42">
        <f>IF($A9="","",INDEX(Items!$AF$2:$AF$201,MATCH($A9,Items!$AB$2:$AB$201,0)))</f>
        <v/>
      </c>
      <c r="F9" s="24">
        <f>IF($A9="","",INDEX(Items!$AI$2:$AI$201,MATCH($A9,Items!$AB$2:$AB$201,0)))</f>
        <v/>
      </c>
    </row>
    <row r="10">
      <c r="A10" s="41">
        <f>IF(ISNUMBER(MATCH(7,Items!$AB$2:$AB$201,0)),7,"")</f>
        <v/>
      </c>
      <c r="B10" s="23">
        <f>IF($A10="","",INDEX(Items!$AC$2:$AC$201,MATCH($A10,Items!$AB$2:$AB$201,0)))</f>
        <v/>
      </c>
      <c r="C10" s="24">
        <f>IF($A10="","",INDEX(Items!$AD$2:$AD$201,MATCH($A10,Items!$AB$2:$AB$201,0)))</f>
        <v/>
      </c>
      <c r="D10" s="24">
        <f>IF($A10="","",INDEX(Items!$AE$2:$AE$201,MATCH($A10,Items!$AB$2:$AB$201,0)))</f>
        <v/>
      </c>
      <c r="E10" s="42">
        <f>IF($A10="","",INDEX(Items!$AF$2:$AF$201,MATCH($A10,Items!$AB$2:$AB$201,0)))</f>
        <v/>
      </c>
      <c r="F10" s="24">
        <f>IF($A10="","",INDEX(Items!$AI$2:$AI$201,MATCH($A10,Items!$AB$2:$AB$201,0)))</f>
        <v/>
      </c>
    </row>
    <row r="11">
      <c r="A11" s="41">
        <f>IF(ISNUMBER(MATCH(8,Items!$AB$2:$AB$201,0)),8,"")</f>
        <v/>
      </c>
      <c r="B11" s="23">
        <f>IF($A11="","",INDEX(Items!$AC$2:$AC$201,MATCH($A11,Items!$AB$2:$AB$201,0)))</f>
        <v/>
      </c>
      <c r="C11" s="24">
        <f>IF($A11="","",INDEX(Items!$AD$2:$AD$201,MATCH($A11,Items!$AB$2:$AB$201,0)))</f>
        <v/>
      </c>
      <c r="D11" s="24">
        <f>IF($A11="","",INDEX(Items!$AE$2:$AE$201,MATCH($A11,Items!$AB$2:$AB$201,0)))</f>
        <v/>
      </c>
      <c r="E11" s="42">
        <f>IF($A11="","",INDEX(Items!$AF$2:$AF$201,MATCH($A11,Items!$AB$2:$AB$201,0)))</f>
        <v/>
      </c>
      <c r="F11" s="24">
        <f>IF($A11="","",INDEX(Items!$AI$2:$AI$201,MATCH($A11,Items!$AB$2:$AB$201,0)))</f>
        <v/>
      </c>
    </row>
    <row r="12">
      <c r="A12" s="41">
        <f>IF(ISNUMBER(MATCH(9,Items!$AB$2:$AB$201,0)),9,"")</f>
        <v/>
      </c>
      <c r="B12" s="23">
        <f>IF($A12="","",INDEX(Items!$AC$2:$AC$201,MATCH($A12,Items!$AB$2:$AB$201,0)))</f>
        <v/>
      </c>
      <c r="C12" s="24">
        <f>IF($A12="","",INDEX(Items!$AD$2:$AD$201,MATCH($A12,Items!$AB$2:$AB$201,0)))</f>
        <v/>
      </c>
      <c r="D12" s="24">
        <f>IF($A12="","",INDEX(Items!$AE$2:$AE$201,MATCH($A12,Items!$AB$2:$AB$201,0)))</f>
        <v/>
      </c>
      <c r="E12" s="42">
        <f>IF($A12="","",INDEX(Items!$AF$2:$AF$201,MATCH($A12,Items!$AB$2:$AB$201,0)))</f>
        <v/>
      </c>
      <c r="F12" s="24">
        <f>IF($A12="","",INDEX(Items!$AI$2:$AI$201,MATCH($A12,Items!$AB$2:$AB$201,0)))</f>
        <v/>
      </c>
    </row>
    <row r="13">
      <c r="A13" s="41">
        <f>IF(ISNUMBER(MATCH(10,Items!$AB$2:$AB$201,0)),10,"")</f>
        <v/>
      </c>
      <c r="B13" s="23">
        <f>IF($A13="","",INDEX(Items!$AC$2:$AC$201,MATCH($A13,Items!$AB$2:$AB$201,0)))</f>
        <v/>
      </c>
      <c r="C13" s="24">
        <f>IF($A13="","",INDEX(Items!$AD$2:$AD$201,MATCH($A13,Items!$AB$2:$AB$201,0)))</f>
        <v/>
      </c>
      <c r="D13" s="24">
        <f>IF($A13="","",INDEX(Items!$AE$2:$AE$201,MATCH($A13,Items!$AB$2:$AB$201,0)))</f>
        <v/>
      </c>
      <c r="E13" s="42">
        <f>IF($A13="","",INDEX(Items!$AF$2:$AF$201,MATCH($A13,Items!$AB$2:$AB$201,0)))</f>
        <v/>
      </c>
      <c r="F13" s="24">
        <f>IF($A13="","",INDEX(Items!$AI$2:$AI$201,MATCH($A13,Items!$AB$2:$AB$201,0)))</f>
        <v/>
      </c>
    </row>
    <row r="14">
      <c r="A14" s="41">
        <f>IF(ISNUMBER(MATCH(11,Items!$AB$2:$AB$201,0)),11,"")</f>
        <v/>
      </c>
      <c r="B14" s="23">
        <f>IF($A14="","",INDEX(Items!$AC$2:$AC$201,MATCH($A14,Items!$AB$2:$AB$201,0)))</f>
        <v/>
      </c>
      <c r="C14" s="24">
        <f>IF($A14="","",INDEX(Items!$AD$2:$AD$201,MATCH($A14,Items!$AB$2:$AB$201,0)))</f>
        <v/>
      </c>
      <c r="D14" s="24">
        <f>IF($A14="","",INDEX(Items!$AE$2:$AE$201,MATCH($A14,Items!$AB$2:$AB$201,0)))</f>
        <v/>
      </c>
      <c r="E14" s="42">
        <f>IF($A14="","",INDEX(Items!$AF$2:$AF$201,MATCH($A14,Items!$AB$2:$AB$201,0)))</f>
        <v/>
      </c>
      <c r="F14" s="24">
        <f>IF($A14="","",INDEX(Items!$AI$2:$AI$201,MATCH($A14,Items!$AB$2:$AB$201,0)))</f>
        <v/>
      </c>
    </row>
    <row r="15">
      <c r="A15" s="41">
        <f>IF(ISNUMBER(MATCH(12,Items!$AB$2:$AB$201,0)),12,"")</f>
        <v/>
      </c>
      <c r="B15" s="23">
        <f>IF($A15="","",INDEX(Items!$AC$2:$AC$201,MATCH($A15,Items!$AB$2:$AB$201,0)))</f>
        <v/>
      </c>
      <c r="C15" s="24">
        <f>IF($A15="","",INDEX(Items!$AD$2:$AD$201,MATCH($A15,Items!$AB$2:$AB$201,0)))</f>
        <v/>
      </c>
      <c r="D15" s="24">
        <f>IF($A15="","",INDEX(Items!$AE$2:$AE$201,MATCH($A15,Items!$AB$2:$AB$201,0)))</f>
        <v/>
      </c>
      <c r="E15" s="42">
        <f>IF($A15="","",INDEX(Items!$AF$2:$AF$201,MATCH($A15,Items!$AB$2:$AB$201,0)))</f>
        <v/>
      </c>
      <c r="F15" s="24">
        <f>IF($A15="","",INDEX(Items!$AI$2:$AI$201,MATCH($A15,Items!$AB$2:$AB$201,0)))</f>
        <v/>
      </c>
    </row>
    <row r="16">
      <c r="A16" s="41">
        <f>IF(ISNUMBER(MATCH(13,Items!$AB$2:$AB$201,0)),13,"")</f>
        <v/>
      </c>
      <c r="B16" s="23">
        <f>IF($A16="","",INDEX(Items!$AC$2:$AC$201,MATCH($A16,Items!$AB$2:$AB$201,0)))</f>
        <v/>
      </c>
      <c r="C16" s="24">
        <f>IF($A16="","",INDEX(Items!$AD$2:$AD$201,MATCH($A16,Items!$AB$2:$AB$201,0)))</f>
        <v/>
      </c>
      <c r="D16" s="24">
        <f>IF($A16="","",INDEX(Items!$AE$2:$AE$201,MATCH($A16,Items!$AB$2:$AB$201,0)))</f>
        <v/>
      </c>
      <c r="E16" s="42">
        <f>IF($A16="","",INDEX(Items!$AF$2:$AF$201,MATCH($A16,Items!$AB$2:$AB$201,0)))</f>
        <v/>
      </c>
      <c r="F16" s="24">
        <f>IF($A16="","",INDEX(Items!$AI$2:$AI$201,MATCH($A16,Items!$AB$2:$AB$201,0)))</f>
        <v/>
      </c>
    </row>
    <row r="17">
      <c r="A17" s="41">
        <f>IF(ISNUMBER(MATCH(14,Items!$AB$2:$AB$201,0)),14,"")</f>
        <v/>
      </c>
      <c r="B17" s="23">
        <f>IF($A17="","",INDEX(Items!$AC$2:$AC$201,MATCH($A17,Items!$AB$2:$AB$201,0)))</f>
        <v/>
      </c>
      <c r="C17" s="24">
        <f>IF($A17="","",INDEX(Items!$AD$2:$AD$201,MATCH($A17,Items!$AB$2:$AB$201,0)))</f>
        <v/>
      </c>
      <c r="D17" s="24">
        <f>IF($A17="","",INDEX(Items!$AE$2:$AE$201,MATCH($A17,Items!$AB$2:$AB$201,0)))</f>
        <v/>
      </c>
      <c r="E17" s="42">
        <f>IF($A17="","",INDEX(Items!$AF$2:$AF$201,MATCH($A17,Items!$AB$2:$AB$201,0)))</f>
        <v/>
      </c>
      <c r="F17" s="24">
        <f>IF($A17="","",INDEX(Items!$AI$2:$AI$201,MATCH($A17,Items!$AB$2:$AB$201,0)))</f>
        <v/>
      </c>
    </row>
    <row r="18">
      <c r="A18" s="41">
        <f>IF(ISNUMBER(MATCH(15,Items!$AB$2:$AB$201,0)),15,"")</f>
        <v/>
      </c>
      <c r="B18" s="23">
        <f>IF($A18="","",INDEX(Items!$AC$2:$AC$201,MATCH($A18,Items!$AB$2:$AB$201,0)))</f>
        <v/>
      </c>
      <c r="C18" s="24">
        <f>IF($A18="","",INDEX(Items!$AD$2:$AD$201,MATCH($A18,Items!$AB$2:$AB$201,0)))</f>
        <v/>
      </c>
      <c r="D18" s="24">
        <f>IF($A18="","",INDEX(Items!$AE$2:$AE$201,MATCH($A18,Items!$AB$2:$AB$201,0)))</f>
        <v/>
      </c>
      <c r="E18" s="42">
        <f>IF($A18="","",INDEX(Items!$AF$2:$AF$201,MATCH($A18,Items!$AB$2:$AB$201,0)))</f>
        <v/>
      </c>
      <c r="F18" s="24">
        <f>IF($A18="","",INDEX(Items!$AI$2:$AI$201,MATCH($A18,Items!$AB$2:$AB$201,0)))</f>
        <v/>
      </c>
    </row>
    <row r="19">
      <c r="A19" s="41">
        <f>IF(ISNUMBER(MATCH(16,Items!$AB$2:$AB$201,0)),16,"")</f>
        <v/>
      </c>
      <c r="B19" s="23">
        <f>IF($A19="","",INDEX(Items!$AC$2:$AC$201,MATCH($A19,Items!$AB$2:$AB$201,0)))</f>
        <v/>
      </c>
      <c r="C19" s="24">
        <f>IF($A19="","",INDEX(Items!$AD$2:$AD$201,MATCH($A19,Items!$AB$2:$AB$201,0)))</f>
        <v/>
      </c>
      <c r="D19" s="24">
        <f>IF($A19="","",INDEX(Items!$AE$2:$AE$201,MATCH($A19,Items!$AB$2:$AB$201,0)))</f>
        <v/>
      </c>
      <c r="E19" s="42">
        <f>IF($A19="","",INDEX(Items!$AF$2:$AF$201,MATCH($A19,Items!$AB$2:$AB$201,0)))</f>
        <v/>
      </c>
      <c r="F19" s="24">
        <f>IF($A19="","",INDEX(Items!$AI$2:$AI$201,MATCH($A19,Items!$AB$2:$AB$201,0)))</f>
        <v/>
      </c>
    </row>
    <row r="20">
      <c r="A20" s="41">
        <f>IF(ISNUMBER(MATCH(17,Items!$AB$2:$AB$201,0)),17,"")</f>
        <v/>
      </c>
      <c r="B20" s="23">
        <f>IF($A20="","",INDEX(Items!$AC$2:$AC$201,MATCH($A20,Items!$AB$2:$AB$201,0)))</f>
        <v/>
      </c>
      <c r="C20" s="24">
        <f>IF($A20="","",INDEX(Items!$AD$2:$AD$201,MATCH($A20,Items!$AB$2:$AB$201,0)))</f>
        <v/>
      </c>
      <c r="D20" s="24">
        <f>IF($A20="","",INDEX(Items!$AE$2:$AE$201,MATCH($A20,Items!$AB$2:$AB$201,0)))</f>
        <v/>
      </c>
      <c r="E20" s="42">
        <f>IF($A20="","",INDEX(Items!$AF$2:$AF$201,MATCH($A20,Items!$AB$2:$AB$201,0)))</f>
        <v/>
      </c>
      <c r="F20" s="24">
        <f>IF($A20="","",INDEX(Items!$AI$2:$AI$201,MATCH($A20,Items!$AB$2:$AB$201,0)))</f>
        <v/>
      </c>
    </row>
    <row r="21">
      <c r="A21" s="41">
        <f>IF(ISNUMBER(MATCH(18,Items!$AB$2:$AB$201,0)),18,"")</f>
        <v/>
      </c>
      <c r="B21" s="23">
        <f>IF($A21="","",INDEX(Items!$AC$2:$AC$201,MATCH($A21,Items!$AB$2:$AB$201,0)))</f>
        <v/>
      </c>
      <c r="C21" s="24">
        <f>IF($A21="","",INDEX(Items!$AD$2:$AD$201,MATCH($A21,Items!$AB$2:$AB$201,0)))</f>
        <v/>
      </c>
      <c r="D21" s="24">
        <f>IF($A21="","",INDEX(Items!$AE$2:$AE$201,MATCH($A21,Items!$AB$2:$AB$201,0)))</f>
        <v/>
      </c>
      <c r="E21" s="42">
        <f>IF($A21="","",INDEX(Items!$AF$2:$AF$201,MATCH($A21,Items!$AB$2:$AB$201,0)))</f>
        <v/>
      </c>
      <c r="F21" s="24">
        <f>IF($A21="","",INDEX(Items!$AI$2:$AI$201,MATCH($A21,Items!$AB$2:$AB$201,0)))</f>
        <v/>
      </c>
    </row>
    <row r="22">
      <c r="A22" s="41">
        <f>IF(ISNUMBER(MATCH(19,Items!$AB$2:$AB$201,0)),19,"")</f>
        <v/>
      </c>
      <c r="B22" s="23">
        <f>IF($A22="","",INDEX(Items!$AC$2:$AC$201,MATCH($A22,Items!$AB$2:$AB$201,0)))</f>
        <v/>
      </c>
      <c r="C22" s="24">
        <f>IF($A22="","",INDEX(Items!$AD$2:$AD$201,MATCH($A22,Items!$AB$2:$AB$201,0)))</f>
        <v/>
      </c>
      <c r="D22" s="24">
        <f>IF($A22="","",INDEX(Items!$AE$2:$AE$201,MATCH($A22,Items!$AB$2:$AB$201,0)))</f>
        <v/>
      </c>
      <c r="E22" s="42">
        <f>IF($A22="","",INDEX(Items!$AF$2:$AF$201,MATCH($A22,Items!$AB$2:$AB$201,0)))</f>
        <v/>
      </c>
      <c r="F22" s="24">
        <f>IF($A22="","",INDEX(Items!$AI$2:$AI$201,MATCH($A22,Items!$AB$2:$AB$201,0)))</f>
        <v/>
      </c>
    </row>
    <row r="23">
      <c r="A23" s="41">
        <f>IF(ISNUMBER(MATCH(20,Items!$AB$2:$AB$201,0)),20,"")</f>
        <v/>
      </c>
      <c r="B23" s="23">
        <f>IF($A23="","",INDEX(Items!$AC$2:$AC$201,MATCH($A23,Items!$AB$2:$AB$201,0)))</f>
        <v/>
      </c>
      <c r="C23" s="24">
        <f>IF($A23="","",INDEX(Items!$AD$2:$AD$201,MATCH($A23,Items!$AB$2:$AB$201,0)))</f>
        <v/>
      </c>
      <c r="D23" s="24">
        <f>IF($A23="","",INDEX(Items!$AE$2:$AE$201,MATCH($A23,Items!$AB$2:$AB$201,0)))</f>
        <v/>
      </c>
      <c r="E23" s="42">
        <f>IF($A23="","",INDEX(Items!$AF$2:$AF$201,MATCH($A23,Items!$AB$2:$AB$201,0)))</f>
        <v/>
      </c>
      <c r="F23" s="24">
        <f>IF($A23="","",INDEX(Items!$AI$2:$AI$201,MATCH($A23,Items!$AB$2:$AB$201,0)))</f>
        <v/>
      </c>
    </row>
    <row r="24">
      <c r="A24" s="41">
        <f>IF(ISNUMBER(MATCH(21,Items!$AB$2:$AB$201,0)),21,"")</f>
        <v/>
      </c>
      <c r="B24" s="23">
        <f>IF($A24="","",INDEX(Items!$AC$2:$AC$201,MATCH($A24,Items!$AB$2:$AB$201,0)))</f>
        <v/>
      </c>
      <c r="C24" s="24">
        <f>IF($A24="","",INDEX(Items!$AD$2:$AD$201,MATCH($A24,Items!$AB$2:$AB$201,0)))</f>
        <v/>
      </c>
      <c r="D24" s="24">
        <f>IF($A24="","",INDEX(Items!$AE$2:$AE$201,MATCH($A24,Items!$AB$2:$AB$201,0)))</f>
        <v/>
      </c>
      <c r="E24" s="42">
        <f>IF($A24="","",INDEX(Items!$AF$2:$AF$201,MATCH($A24,Items!$AB$2:$AB$201,0)))</f>
        <v/>
      </c>
      <c r="F24" s="24">
        <f>IF($A24="","",INDEX(Items!$AI$2:$AI$201,MATCH($A24,Items!$AB$2:$AB$201,0)))</f>
        <v/>
      </c>
    </row>
    <row r="25">
      <c r="A25" s="41">
        <f>IF(ISNUMBER(MATCH(22,Items!$AB$2:$AB$201,0)),22,"")</f>
        <v/>
      </c>
      <c r="B25" s="23">
        <f>IF($A25="","",INDEX(Items!$AC$2:$AC$201,MATCH($A25,Items!$AB$2:$AB$201,0)))</f>
        <v/>
      </c>
      <c r="C25" s="24">
        <f>IF($A25="","",INDEX(Items!$AD$2:$AD$201,MATCH($A25,Items!$AB$2:$AB$201,0)))</f>
        <v/>
      </c>
      <c r="D25" s="24">
        <f>IF($A25="","",INDEX(Items!$AE$2:$AE$201,MATCH($A25,Items!$AB$2:$AB$201,0)))</f>
        <v/>
      </c>
      <c r="E25" s="42">
        <f>IF($A25="","",INDEX(Items!$AF$2:$AF$201,MATCH($A25,Items!$AB$2:$AB$201,0)))</f>
        <v/>
      </c>
      <c r="F25" s="24">
        <f>IF($A25="","",INDEX(Items!$AI$2:$AI$201,MATCH($A25,Items!$AB$2:$AB$201,0)))</f>
        <v/>
      </c>
    </row>
    <row r="26">
      <c r="A26" s="41">
        <f>IF(ISNUMBER(MATCH(23,Items!$AB$2:$AB$201,0)),23,"")</f>
        <v/>
      </c>
      <c r="B26" s="23">
        <f>IF($A26="","",INDEX(Items!$AC$2:$AC$201,MATCH($A26,Items!$AB$2:$AB$201,0)))</f>
        <v/>
      </c>
      <c r="C26" s="24">
        <f>IF($A26="","",INDEX(Items!$AD$2:$AD$201,MATCH($A26,Items!$AB$2:$AB$201,0)))</f>
        <v/>
      </c>
      <c r="D26" s="24">
        <f>IF($A26="","",INDEX(Items!$AE$2:$AE$201,MATCH($A26,Items!$AB$2:$AB$201,0)))</f>
        <v/>
      </c>
      <c r="E26" s="42">
        <f>IF($A26="","",INDEX(Items!$AF$2:$AF$201,MATCH($A26,Items!$AB$2:$AB$201,0)))</f>
        <v/>
      </c>
      <c r="F26" s="24">
        <f>IF($A26="","",INDEX(Items!$AI$2:$AI$201,MATCH($A26,Items!$AB$2:$AB$201,0)))</f>
        <v/>
      </c>
    </row>
    <row r="27">
      <c r="A27" s="41">
        <f>IF(ISNUMBER(MATCH(24,Items!$AB$2:$AB$201,0)),24,"")</f>
        <v/>
      </c>
      <c r="B27" s="23">
        <f>IF($A27="","",INDEX(Items!$AC$2:$AC$201,MATCH($A27,Items!$AB$2:$AB$201,0)))</f>
        <v/>
      </c>
      <c r="C27" s="24">
        <f>IF($A27="","",INDEX(Items!$AD$2:$AD$201,MATCH($A27,Items!$AB$2:$AB$201,0)))</f>
        <v/>
      </c>
      <c r="D27" s="24">
        <f>IF($A27="","",INDEX(Items!$AE$2:$AE$201,MATCH($A27,Items!$AB$2:$AB$201,0)))</f>
        <v/>
      </c>
      <c r="E27" s="42">
        <f>IF($A27="","",INDEX(Items!$AF$2:$AF$201,MATCH($A27,Items!$AB$2:$AB$201,0)))</f>
        <v/>
      </c>
      <c r="F27" s="24">
        <f>IF($A27="","",INDEX(Items!$AI$2:$AI$201,MATCH($A27,Items!$AB$2:$AB$201,0)))</f>
        <v/>
      </c>
    </row>
    <row r="28">
      <c r="A28" s="41">
        <f>IF(ISNUMBER(MATCH(25,Items!$AB$2:$AB$201,0)),25,"")</f>
        <v/>
      </c>
      <c r="B28" s="23">
        <f>IF($A28="","",INDEX(Items!$AC$2:$AC$201,MATCH($A28,Items!$AB$2:$AB$201,0)))</f>
        <v/>
      </c>
      <c r="C28" s="24">
        <f>IF($A28="","",INDEX(Items!$AD$2:$AD$201,MATCH($A28,Items!$AB$2:$AB$201,0)))</f>
        <v/>
      </c>
      <c r="D28" s="24">
        <f>IF($A28="","",INDEX(Items!$AE$2:$AE$201,MATCH($A28,Items!$AB$2:$AB$201,0)))</f>
        <v/>
      </c>
      <c r="E28" s="42">
        <f>IF($A28="","",INDEX(Items!$AF$2:$AF$201,MATCH($A28,Items!$AB$2:$AB$201,0)))</f>
        <v/>
      </c>
      <c r="F28" s="24">
        <f>IF($A28="","",INDEX(Items!$AI$2:$AI$201,MATCH($A28,Items!$AB$2:$AB$201,0)))</f>
        <v/>
      </c>
    </row>
    <row r="29">
      <c r="A29" s="41">
        <f>IF(ISNUMBER(MATCH(26,Items!$AB$2:$AB$201,0)),26,"")</f>
        <v/>
      </c>
      <c r="B29" s="23">
        <f>IF($A29="","",INDEX(Items!$AC$2:$AC$201,MATCH($A29,Items!$AB$2:$AB$201,0)))</f>
        <v/>
      </c>
      <c r="C29" s="24">
        <f>IF($A29="","",INDEX(Items!$AD$2:$AD$201,MATCH($A29,Items!$AB$2:$AB$201,0)))</f>
        <v/>
      </c>
      <c r="D29" s="24">
        <f>IF($A29="","",INDEX(Items!$AE$2:$AE$201,MATCH($A29,Items!$AB$2:$AB$201,0)))</f>
        <v/>
      </c>
      <c r="E29" s="42">
        <f>IF($A29="","",INDEX(Items!$AF$2:$AF$201,MATCH($A29,Items!$AB$2:$AB$201,0)))</f>
        <v/>
      </c>
      <c r="F29" s="24">
        <f>IF($A29="","",INDEX(Items!$AI$2:$AI$201,MATCH($A29,Items!$AB$2:$AB$201,0)))</f>
        <v/>
      </c>
    </row>
    <row r="30">
      <c r="A30" s="41">
        <f>IF(ISNUMBER(MATCH(27,Items!$AB$2:$AB$201,0)),27,"")</f>
        <v/>
      </c>
      <c r="B30" s="23">
        <f>IF($A30="","",INDEX(Items!$AC$2:$AC$201,MATCH($A30,Items!$AB$2:$AB$201,0)))</f>
        <v/>
      </c>
      <c r="C30" s="24">
        <f>IF($A30="","",INDEX(Items!$AD$2:$AD$201,MATCH($A30,Items!$AB$2:$AB$201,0)))</f>
        <v/>
      </c>
      <c r="D30" s="24">
        <f>IF($A30="","",INDEX(Items!$AE$2:$AE$201,MATCH($A30,Items!$AB$2:$AB$201,0)))</f>
        <v/>
      </c>
      <c r="E30" s="42">
        <f>IF($A30="","",INDEX(Items!$AF$2:$AF$201,MATCH($A30,Items!$AB$2:$AB$201,0)))</f>
        <v/>
      </c>
      <c r="F30" s="24">
        <f>IF($A30="","",INDEX(Items!$AI$2:$AI$201,MATCH($A30,Items!$AB$2:$AB$201,0)))</f>
        <v/>
      </c>
    </row>
    <row r="31">
      <c r="A31" s="41">
        <f>IF(ISNUMBER(MATCH(28,Items!$AB$2:$AB$201,0)),28,"")</f>
        <v/>
      </c>
      <c r="B31" s="23">
        <f>IF($A31="","",INDEX(Items!$AC$2:$AC$201,MATCH($A31,Items!$AB$2:$AB$201,0)))</f>
        <v/>
      </c>
      <c r="C31" s="24">
        <f>IF($A31="","",INDEX(Items!$AD$2:$AD$201,MATCH($A31,Items!$AB$2:$AB$201,0)))</f>
        <v/>
      </c>
      <c r="D31" s="24">
        <f>IF($A31="","",INDEX(Items!$AE$2:$AE$201,MATCH($A31,Items!$AB$2:$AB$201,0)))</f>
        <v/>
      </c>
      <c r="E31" s="42">
        <f>IF($A31="","",INDEX(Items!$AF$2:$AF$201,MATCH($A31,Items!$AB$2:$AB$201,0)))</f>
        <v/>
      </c>
      <c r="F31" s="24">
        <f>IF($A31="","",INDEX(Items!$AI$2:$AI$201,MATCH($A31,Items!$AB$2:$AB$201,0)))</f>
        <v/>
      </c>
    </row>
    <row r="32">
      <c r="A32" s="41">
        <f>IF(ISNUMBER(MATCH(29,Items!$AB$2:$AB$201,0)),29,"")</f>
        <v/>
      </c>
      <c r="B32" s="23">
        <f>IF($A32="","",INDEX(Items!$AC$2:$AC$201,MATCH($A32,Items!$AB$2:$AB$201,0)))</f>
        <v/>
      </c>
      <c r="C32" s="24">
        <f>IF($A32="","",INDEX(Items!$AD$2:$AD$201,MATCH($A32,Items!$AB$2:$AB$201,0)))</f>
        <v/>
      </c>
      <c r="D32" s="24">
        <f>IF($A32="","",INDEX(Items!$AE$2:$AE$201,MATCH($A32,Items!$AB$2:$AB$201,0)))</f>
        <v/>
      </c>
      <c r="E32" s="42">
        <f>IF($A32="","",INDEX(Items!$AF$2:$AF$201,MATCH($A32,Items!$AB$2:$AB$201,0)))</f>
        <v/>
      </c>
      <c r="F32" s="24">
        <f>IF($A32="","",INDEX(Items!$AI$2:$AI$201,MATCH($A32,Items!$AB$2:$AB$201,0)))</f>
        <v/>
      </c>
    </row>
    <row r="33">
      <c r="A33" s="41">
        <f>IF(ISNUMBER(MATCH(30,Items!$AB$2:$AB$201,0)),30,"")</f>
        <v/>
      </c>
      <c r="B33" s="23">
        <f>IF($A33="","",INDEX(Items!$AC$2:$AC$201,MATCH($A33,Items!$AB$2:$AB$201,0)))</f>
        <v/>
      </c>
      <c r="C33" s="24">
        <f>IF($A33="","",INDEX(Items!$AD$2:$AD$201,MATCH($A33,Items!$AB$2:$AB$201,0)))</f>
        <v/>
      </c>
      <c r="D33" s="24">
        <f>IF($A33="","",INDEX(Items!$AE$2:$AE$201,MATCH($A33,Items!$AB$2:$AB$201,0)))</f>
        <v/>
      </c>
      <c r="E33" s="42">
        <f>IF($A33="","",INDEX(Items!$AF$2:$AF$201,MATCH($A33,Items!$AB$2:$AB$201,0)))</f>
        <v/>
      </c>
      <c r="F33" s="24">
        <f>IF($A33="","",INDEX(Items!$AI$2:$AI$201,MATCH($A33,Items!$AB$2:$AB$201,0)))</f>
        <v/>
      </c>
    </row>
    <row r="34">
      <c r="A34" s="41">
        <f>IF(ISNUMBER(MATCH(31,Items!$AB$2:$AB$201,0)),31,"")</f>
        <v/>
      </c>
      <c r="B34" s="23">
        <f>IF($A34="","",INDEX(Items!$AC$2:$AC$201,MATCH($A34,Items!$AB$2:$AB$201,0)))</f>
        <v/>
      </c>
      <c r="C34" s="24">
        <f>IF($A34="","",INDEX(Items!$AD$2:$AD$201,MATCH($A34,Items!$AB$2:$AB$201,0)))</f>
        <v/>
      </c>
      <c r="D34" s="24">
        <f>IF($A34="","",INDEX(Items!$AE$2:$AE$201,MATCH($A34,Items!$AB$2:$AB$201,0)))</f>
        <v/>
      </c>
      <c r="E34" s="42">
        <f>IF($A34="","",INDEX(Items!$AF$2:$AF$201,MATCH($A34,Items!$AB$2:$AB$201,0)))</f>
        <v/>
      </c>
      <c r="F34" s="24">
        <f>IF($A34="","",INDEX(Items!$AI$2:$AI$201,MATCH($A34,Items!$AB$2:$AB$201,0)))</f>
        <v/>
      </c>
    </row>
    <row r="35">
      <c r="A35" s="41">
        <f>IF(ISNUMBER(MATCH(32,Items!$AB$2:$AB$201,0)),32,"")</f>
        <v/>
      </c>
      <c r="B35" s="23">
        <f>IF($A35="","",INDEX(Items!$AC$2:$AC$201,MATCH($A35,Items!$AB$2:$AB$201,0)))</f>
        <v/>
      </c>
      <c r="C35" s="24">
        <f>IF($A35="","",INDEX(Items!$AD$2:$AD$201,MATCH($A35,Items!$AB$2:$AB$201,0)))</f>
        <v/>
      </c>
      <c r="D35" s="24">
        <f>IF($A35="","",INDEX(Items!$AE$2:$AE$201,MATCH($A35,Items!$AB$2:$AB$201,0)))</f>
        <v/>
      </c>
      <c r="E35" s="42">
        <f>IF($A35="","",INDEX(Items!$AF$2:$AF$201,MATCH($A35,Items!$AB$2:$AB$201,0)))</f>
        <v/>
      </c>
      <c r="F35" s="24">
        <f>IF($A35="","",INDEX(Items!$AI$2:$AI$201,MATCH($A35,Items!$AB$2:$AB$201,0)))</f>
        <v/>
      </c>
    </row>
    <row r="36">
      <c r="A36" s="41">
        <f>IF(ISNUMBER(MATCH(33,Items!$AB$2:$AB$201,0)),33,"")</f>
        <v/>
      </c>
      <c r="B36" s="23">
        <f>IF($A36="","",INDEX(Items!$AC$2:$AC$201,MATCH($A36,Items!$AB$2:$AB$201,0)))</f>
        <v/>
      </c>
      <c r="C36" s="24">
        <f>IF($A36="","",INDEX(Items!$AD$2:$AD$201,MATCH($A36,Items!$AB$2:$AB$201,0)))</f>
        <v/>
      </c>
      <c r="D36" s="24">
        <f>IF($A36="","",INDEX(Items!$AE$2:$AE$201,MATCH($A36,Items!$AB$2:$AB$201,0)))</f>
        <v/>
      </c>
      <c r="E36" s="42">
        <f>IF($A36="","",INDEX(Items!$AF$2:$AF$201,MATCH($A36,Items!$AB$2:$AB$201,0)))</f>
        <v/>
      </c>
      <c r="F36" s="24">
        <f>IF($A36="","",INDEX(Items!$AI$2:$AI$201,MATCH($A36,Items!$AB$2:$AB$201,0)))</f>
        <v/>
      </c>
    </row>
    <row r="37">
      <c r="A37" s="41">
        <f>IF(ISNUMBER(MATCH(34,Items!$AB$2:$AB$201,0)),34,"")</f>
        <v/>
      </c>
      <c r="B37" s="23">
        <f>IF($A37="","",INDEX(Items!$AC$2:$AC$201,MATCH($A37,Items!$AB$2:$AB$201,0)))</f>
        <v/>
      </c>
      <c r="C37" s="24">
        <f>IF($A37="","",INDEX(Items!$AD$2:$AD$201,MATCH($A37,Items!$AB$2:$AB$201,0)))</f>
        <v/>
      </c>
      <c r="D37" s="24">
        <f>IF($A37="","",INDEX(Items!$AE$2:$AE$201,MATCH($A37,Items!$AB$2:$AB$201,0)))</f>
        <v/>
      </c>
      <c r="E37" s="42">
        <f>IF($A37="","",INDEX(Items!$AF$2:$AF$201,MATCH($A37,Items!$AB$2:$AB$201,0)))</f>
        <v/>
      </c>
      <c r="F37" s="24">
        <f>IF($A37="","",INDEX(Items!$AI$2:$AI$201,MATCH($A37,Items!$AB$2:$AB$201,0)))</f>
        <v/>
      </c>
    </row>
    <row r="38">
      <c r="A38" s="41">
        <f>IF(ISNUMBER(MATCH(35,Items!$AB$2:$AB$201,0)),35,"")</f>
        <v/>
      </c>
      <c r="B38" s="23">
        <f>IF($A38="","",INDEX(Items!$AC$2:$AC$201,MATCH($A38,Items!$AB$2:$AB$201,0)))</f>
        <v/>
      </c>
      <c r="C38" s="24">
        <f>IF($A38="","",INDEX(Items!$AD$2:$AD$201,MATCH($A38,Items!$AB$2:$AB$201,0)))</f>
        <v/>
      </c>
      <c r="D38" s="24">
        <f>IF($A38="","",INDEX(Items!$AE$2:$AE$201,MATCH($A38,Items!$AB$2:$AB$201,0)))</f>
        <v/>
      </c>
      <c r="E38" s="42">
        <f>IF($A38="","",INDEX(Items!$AF$2:$AF$201,MATCH($A38,Items!$AB$2:$AB$201,0)))</f>
        <v/>
      </c>
      <c r="F38" s="24">
        <f>IF($A38="","",INDEX(Items!$AI$2:$AI$201,MATCH($A38,Items!$AB$2:$AB$201,0)))</f>
        <v/>
      </c>
    </row>
    <row r="39">
      <c r="A39" s="41">
        <f>IF(ISNUMBER(MATCH(36,Items!$AB$2:$AB$201,0)),36,"")</f>
        <v/>
      </c>
      <c r="B39" s="23">
        <f>IF($A39="","",INDEX(Items!$AC$2:$AC$201,MATCH($A39,Items!$AB$2:$AB$201,0)))</f>
        <v/>
      </c>
      <c r="C39" s="24">
        <f>IF($A39="","",INDEX(Items!$AD$2:$AD$201,MATCH($A39,Items!$AB$2:$AB$201,0)))</f>
        <v/>
      </c>
      <c r="D39" s="24">
        <f>IF($A39="","",INDEX(Items!$AE$2:$AE$201,MATCH($A39,Items!$AB$2:$AB$201,0)))</f>
        <v/>
      </c>
      <c r="E39" s="42">
        <f>IF($A39="","",INDEX(Items!$AF$2:$AF$201,MATCH($A39,Items!$AB$2:$AB$201,0)))</f>
        <v/>
      </c>
      <c r="F39" s="24">
        <f>IF($A39="","",INDEX(Items!$AI$2:$AI$201,MATCH($A39,Items!$AB$2:$AB$201,0)))</f>
        <v/>
      </c>
    </row>
    <row r="40">
      <c r="A40" s="41">
        <f>IF(ISNUMBER(MATCH(37,Items!$AB$2:$AB$201,0)),37,"")</f>
        <v/>
      </c>
      <c r="B40" s="23">
        <f>IF($A40="","",INDEX(Items!$AC$2:$AC$201,MATCH($A40,Items!$AB$2:$AB$201,0)))</f>
        <v/>
      </c>
      <c r="C40" s="24">
        <f>IF($A40="","",INDEX(Items!$AD$2:$AD$201,MATCH($A40,Items!$AB$2:$AB$201,0)))</f>
        <v/>
      </c>
      <c r="D40" s="24">
        <f>IF($A40="","",INDEX(Items!$AE$2:$AE$201,MATCH($A40,Items!$AB$2:$AB$201,0)))</f>
        <v/>
      </c>
      <c r="E40" s="42">
        <f>IF($A40="","",INDEX(Items!$AF$2:$AF$201,MATCH($A40,Items!$AB$2:$AB$201,0)))</f>
        <v/>
      </c>
      <c r="F40" s="24">
        <f>IF($A40="","",INDEX(Items!$AI$2:$AI$201,MATCH($A40,Items!$AB$2:$AB$201,0)))</f>
        <v/>
      </c>
    </row>
    <row r="41">
      <c r="A41" s="41">
        <f>IF(ISNUMBER(MATCH(38,Items!$AB$2:$AB$201,0)),38,"")</f>
        <v/>
      </c>
      <c r="B41" s="23">
        <f>IF($A41="","",INDEX(Items!$AC$2:$AC$201,MATCH($A41,Items!$AB$2:$AB$201,0)))</f>
        <v/>
      </c>
      <c r="C41" s="24">
        <f>IF($A41="","",INDEX(Items!$AD$2:$AD$201,MATCH($A41,Items!$AB$2:$AB$201,0)))</f>
        <v/>
      </c>
      <c r="D41" s="24">
        <f>IF($A41="","",INDEX(Items!$AE$2:$AE$201,MATCH($A41,Items!$AB$2:$AB$201,0)))</f>
        <v/>
      </c>
      <c r="E41" s="42">
        <f>IF($A41="","",INDEX(Items!$AF$2:$AF$201,MATCH($A41,Items!$AB$2:$AB$201,0)))</f>
        <v/>
      </c>
      <c r="F41" s="24">
        <f>IF($A41="","",INDEX(Items!$AI$2:$AI$201,MATCH($A41,Items!$AB$2:$AB$201,0)))</f>
        <v/>
      </c>
    </row>
    <row r="42">
      <c r="A42" s="41">
        <f>IF(ISNUMBER(MATCH(39,Items!$AB$2:$AB$201,0)),39,"")</f>
        <v/>
      </c>
      <c r="B42" s="23">
        <f>IF($A42="","",INDEX(Items!$AC$2:$AC$201,MATCH($A42,Items!$AB$2:$AB$201,0)))</f>
        <v/>
      </c>
      <c r="C42" s="24">
        <f>IF($A42="","",INDEX(Items!$AD$2:$AD$201,MATCH($A42,Items!$AB$2:$AB$201,0)))</f>
        <v/>
      </c>
      <c r="D42" s="24">
        <f>IF($A42="","",INDEX(Items!$AE$2:$AE$201,MATCH($A42,Items!$AB$2:$AB$201,0)))</f>
        <v/>
      </c>
      <c r="E42" s="42">
        <f>IF($A42="","",INDEX(Items!$AF$2:$AF$201,MATCH($A42,Items!$AB$2:$AB$201,0)))</f>
        <v/>
      </c>
      <c r="F42" s="24">
        <f>IF($A42="","",INDEX(Items!$AI$2:$AI$201,MATCH($A42,Items!$AB$2:$AB$201,0)))</f>
        <v/>
      </c>
    </row>
    <row r="43">
      <c r="A43" s="41">
        <f>IF(ISNUMBER(MATCH(40,Items!$AB$2:$AB$201,0)),40,"")</f>
        <v/>
      </c>
      <c r="B43" s="23">
        <f>IF($A43="","",INDEX(Items!$AC$2:$AC$201,MATCH($A43,Items!$AB$2:$AB$201,0)))</f>
        <v/>
      </c>
      <c r="C43" s="24">
        <f>IF($A43="","",INDEX(Items!$AD$2:$AD$201,MATCH($A43,Items!$AB$2:$AB$201,0)))</f>
        <v/>
      </c>
      <c r="D43" s="24">
        <f>IF($A43="","",INDEX(Items!$AE$2:$AE$201,MATCH($A43,Items!$AB$2:$AB$201,0)))</f>
        <v/>
      </c>
      <c r="E43" s="42">
        <f>IF($A43="","",INDEX(Items!$AF$2:$AF$201,MATCH($A43,Items!$AB$2:$AB$201,0)))</f>
        <v/>
      </c>
      <c r="F43" s="24">
        <f>IF($A43="","",INDEX(Items!$AI$2:$AI$201,MATCH($A43,Items!$AB$2:$AB$201,0)))</f>
        <v/>
      </c>
    </row>
    <row r="44">
      <c r="A44" s="41">
        <f>IF(ISNUMBER(MATCH(41,Items!$AB$2:$AB$201,0)),41,"")</f>
        <v/>
      </c>
      <c r="B44" s="23">
        <f>IF($A44="","",INDEX(Items!$AC$2:$AC$201,MATCH($A44,Items!$AB$2:$AB$201,0)))</f>
        <v/>
      </c>
      <c r="C44" s="24">
        <f>IF($A44="","",INDEX(Items!$AD$2:$AD$201,MATCH($A44,Items!$AB$2:$AB$201,0)))</f>
        <v/>
      </c>
      <c r="D44" s="24">
        <f>IF($A44="","",INDEX(Items!$AE$2:$AE$201,MATCH($A44,Items!$AB$2:$AB$201,0)))</f>
        <v/>
      </c>
      <c r="E44" s="42">
        <f>IF($A44="","",INDEX(Items!$AF$2:$AF$201,MATCH($A44,Items!$AB$2:$AB$201,0)))</f>
        <v/>
      </c>
      <c r="F44" s="24">
        <f>IF($A44="","",INDEX(Items!$AI$2:$AI$201,MATCH($A44,Items!$AB$2:$AB$201,0)))</f>
        <v/>
      </c>
    </row>
    <row r="45">
      <c r="A45" s="41">
        <f>IF(ISNUMBER(MATCH(42,Items!$AB$2:$AB$201,0)),42,"")</f>
        <v/>
      </c>
      <c r="B45" s="23">
        <f>IF($A45="","",INDEX(Items!$AC$2:$AC$201,MATCH($A45,Items!$AB$2:$AB$201,0)))</f>
        <v/>
      </c>
      <c r="C45" s="24">
        <f>IF($A45="","",INDEX(Items!$AD$2:$AD$201,MATCH($A45,Items!$AB$2:$AB$201,0)))</f>
        <v/>
      </c>
      <c r="D45" s="24">
        <f>IF($A45="","",INDEX(Items!$AE$2:$AE$201,MATCH($A45,Items!$AB$2:$AB$201,0)))</f>
        <v/>
      </c>
      <c r="E45" s="42">
        <f>IF($A45="","",INDEX(Items!$AF$2:$AF$201,MATCH($A45,Items!$AB$2:$AB$201,0)))</f>
        <v/>
      </c>
      <c r="F45" s="24">
        <f>IF($A45="","",INDEX(Items!$AI$2:$AI$201,MATCH($A45,Items!$AB$2:$AB$201,0)))</f>
        <v/>
      </c>
    </row>
    <row r="46">
      <c r="A46" s="41">
        <f>IF(ISNUMBER(MATCH(43,Items!$AB$2:$AB$201,0)),43,"")</f>
        <v/>
      </c>
      <c r="B46" s="23">
        <f>IF($A46="","",INDEX(Items!$AC$2:$AC$201,MATCH($A46,Items!$AB$2:$AB$201,0)))</f>
        <v/>
      </c>
      <c r="C46" s="24">
        <f>IF($A46="","",INDEX(Items!$AD$2:$AD$201,MATCH($A46,Items!$AB$2:$AB$201,0)))</f>
        <v/>
      </c>
      <c r="D46" s="24">
        <f>IF($A46="","",INDEX(Items!$AE$2:$AE$201,MATCH($A46,Items!$AB$2:$AB$201,0)))</f>
        <v/>
      </c>
      <c r="E46" s="42">
        <f>IF($A46="","",INDEX(Items!$AF$2:$AF$201,MATCH($A46,Items!$AB$2:$AB$201,0)))</f>
        <v/>
      </c>
      <c r="F46" s="24">
        <f>IF($A46="","",INDEX(Items!$AI$2:$AI$201,MATCH($A46,Items!$AB$2:$AB$201,0)))</f>
        <v/>
      </c>
    </row>
    <row r="47">
      <c r="A47" s="41">
        <f>IF(ISNUMBER(MATCH(44,Items!$AB$2:$AB$201,0)),44,"")</f>
        <v/>
      </c>
      <c r="B47" s="23">
        <f>IF($A47="","",INDEX(Items!$AC$2:$AC$201,MATCH($A47,Items!$AB$2:$AB$201,0)))</f>
        <v/>
      </c>
      <c r="C47" s="24">
        <f>IF($A47="","",INDEX(Items!$AD$2:$AD$201,MATCH($A47,Items!$AB$2:$AB$201,0)))</f>
        <v/>
      </c>
      <c r="D47" s="24">
        <f>IF($A47="","",INDEX(Items!$AE$2:$AE$201,MATCH($A47,Items!$AB$2:$AB$201,0)))</f>
        <v/>
      </c>
      <c r="E47" s="42">
        <f>IF($A47="","",INDEX(Items!$AF$2:$AF$201,MATCH($A47,Items!$AB$2:$AB$201,0)))</f>
        <v/>
      </c>
      <c r="F47" s="24">
        <f>IF($A47="","",INDEX(Items!$AI$2:$AI$201,MATCH($A47,Items!$AB$2:$AB$201,0)))</f>
        <v/>
      </c>
    </row>
    <row r="48">
      <c r="A48" s="41">
        <f>IF(ISNUMBER(MATCH(45,Items!$AB$2:$AB$201,0)),45,"")</f>
        <v/>
      </c>
      <c r="B48" s="23">
        <f>IF($A48="","",INDEX(Items!$AC$2:$AC$201,MATCH($A48,Items!$AB$2:$AB$201,0)))</f>
        <v/>
      </c>
      <c r="C48" s="24">
        <f>IF($A48="","",INDEX(Items!$AD$2:$AD$201,MATCH($A48,Items!$AB$2:$AB$201,0)))</f>
        <v/>
      </c>
      <c r="D48" s="24">
        <f>IF($A48="","",INDEX(Items!$AE$2:$AE$201,MATCH($A48,Items!$AB$2:$AB$201,0)))</f>
        <v/>
      </c>
      <c r="E48" s="42">
        <f>IF($A48="","",INDEX(Items!$AF$2:$AF$201,MATCH($A48,Items!$AB$2:$AB$201,0)))</f>
        <v/>
      </c>
      <c r="F48" s="24">
        <f>IF($A48="","",INDEX(Items!$AI$2:$AI$201,MATCH($A48,Items!$AB$2:$AB$201,0)))</f>
        <v/>
      </c>
    </row>
    <row r="49">
      <c r="A49" s="41">
        <f>IF(ISNUMBER(MATCH(46,Items!$AB$2:$AB$201,0)),46,"")</f>
        <v/>
      </c>
      <c r="B49" s="23">
        <f>IF($A49="","",INDEX(Items!$AC$2:$AC$201,MATCH($A49,Items!$AB$2:$AB$201,0)))</f>
        <v/>
      </c>
      <c r="C49" s="24">
        <f>IF($A49="","",INDEX(Items!$AD$2:$AD$201,MATCH($A49,Items!$AB$2:$AB$201,0)))</f>
        <v/>
      </c>
      <c r="D49" s="24">
        <f>IF($A49="","",INDEX(Items!$AE$2:$AE$201,MATCH($A49,Items!$AB$2:$AB$201,0)))</f>
        <v/>
      </c>
      <c r="E49" s="42">
        <f>IF($A49="","",INDEX(Items!$AF$2:$AF$201,MATCH($A49,Items!$AB$2:$AB$201,0)))</f>
        <v/>
      </c>
      <c r="F49" s="24">
        <f>IF($A49="","",INDEX(Items!$AI$2:$AI$201,MATCH($A49,Items!$AB$2:$AB$201,0)))</f>
        <v/>
      </c>
    </row>
    <row r="50">
      <c r="A50" s="41">
        <f>IF(ISNUMBER(MATCH(47,Items!$AB$2:$AB$201,0)),47,"")</f>
        <v/>
      </c>
      <c r="B50" s="23">
        <f>IF($A50="","",INDEX(Items!$AC$2:$AC$201,MATCH($A50,Items!$AB$2:$AB$201,0)))</f>
        <v/>
      </c>
      <c r="C50" s="24">
        <f>IF($A50="","",INDEX(Items!$AD$2:$AD$201,MATCH($A50,Items!$AB$2:$AB$201,0)))</f>
        <v/>
      </c>
      <c r="D50" s="24">
        <f>IF($A50="","",INDEX(Items!$AE$2:$AE$201,MATCH($A50,Items!$AB$2:$AB$201,0)))</f>
        <v/>
      </c>
      <c r="E50" s="42">
        <f>IF($A50="","",INDEX(Items!$AF$2:$AF$201,MATCH($A50,Items!$AB$2:$AB$201,0)))</f>
        <v/>
      </c>
      <c r="F50" s="24">
        <f>IF($A50="","",INDEX(Items!$AI$2:$AI$201,MATCH($A50,Items!$AB$2:$AB$201,0)))</f>
        <v/>
      </c>
    </row>
    <row r="51">
      <c r="A51" s="41">
        <f>IF(ISNUMBER(MATCH(48,Items!$AB$2:$AB$201,0)),48,"")</f>
        <v/>
      </c>
      <c r="B51" s="23">
        <f>IF($A51="","",INDEX(Items!$AC$2:$AC$201,MATCH($A51,Items!$AB$2:$AB$201,0)))</f>
        <v/>
      </c>
      <c r="C51" s="24">
        <f>IF($A51="","",INDEX(Items!$AD$2:$AD$201,MATCH($A51,Items!$AB$2:$AB$201,0)))</f>
        <v/>
      </c>
      <c r="D51" s="24">
        <f>IF($A51="","",INDEX(Items!$AE$2:$AE$201,MATCH($A51,Items!$AB$2:$AB$201,0)))</f>
        <v/>
      </c>
      <c r="E51" s="42">
        <f>IF($A51="","",INDEX(Items!$AF$2:$AF$201,MATCH($A51,Items!$AB$2:$AB$201,0)))</f>
        <v/>
      </c>
      <c r="F51" s="24">
        <f>IF($A51="","",INDEX(Items!$AI$2:$AI$201,MATCH($A51,Items!$AB$2:$AB$201,0)))</f>
        <v/>
      </c>
    </row>
    <row r="52">
      <c r="A52" s="41">
        <f>IF(ISNUMBER(MATCH(49,Items!$AB$2:$AB$201,0)),49,"")</f>
        <v/>
      </c>
      <c r="B52" s="23">
        <f>IF($A52="","",INDEX(Items!$AC$2:$AC$201,MATCH($A52,Items!$AB$2:$AB$201,0)))</f>
        <v/>
      </c>
      <c r="C52" s="24">
        <f>IF($A52="","",INDEX(Items!$AD$2:$AD$201,MATCH($A52,Items!$AB$2:$AB$201,0)))</f>
        <v/>
      </c>
      <c r="D52" s="24">
        <f>IF($A52="","",INDEX(Items!$AE$2:$AE$201,MATCH($A52,Items!$AB$2:$AB$201,0)))</f>
        <v/>
      </c>
      <c r="E52" s="42">
        <f>IF($A52="","",INDEX(Items!$AF$2:$AF$201,MATCH($A52,Items!$AB$2:$AB$201,0)))</f>
        <v/>
      </c>
      <c r="F52" s="24">
        <f>IF($A52="","",INDEX(Items!$AI$2:$AI$201,MATCH($A52,Items!$AB$2:$AB$201,0)))</f>
        <v/>
      </c>
    </row>
    <row r="53">
      <c r="A53" s="41">
        <f>IF(ISNUMBER(MATCH(50,Items!$AB$2:$AB$201,0)),50,"")</f>
        <v/>
      </c>
      <c r="B53" s="23">
        <f>IF($A53="","",INDEX(Items!$AC$2:$AC$201,MATCH($A53,Items!$AB$2:$AB$201,0)))</f>
        <v/>
      </c>
      <c r="C53" s="24">
        <f>IF($A53="","",INDEX(Items!$AD$2:$AD$201,MATCH($A53,Items!$AB$2:$AB$201,0)))</f>
        <v/>
      </c>
      <c r="D53" s="24">
        <f>IF($A53="","",INDEX(Items!$AE$2:$AE$201,MATCH($A53,Items!$AB$2:$AB$201,0)))</f>
        <v/>
      </c>
      <c r="E53" s="42">
        <f>IF($A53="","",INDEX(Items!$AF$2:$AF$201,MATCH($A53,Items!$AB$2:$AB$201,0)))</f>
        <v/>
      </c>
      <c r="F53" s="24">
        <f>IF($A53="","",INDEX(Items!$AI$2:$AI$201,MATCH($A53,Items!$AB$2:$AB$201,0)))</f>
        <v/>
      </c>
    </row>
    <row r="54">
      <c r="A54" s="41">
        <f>IF(ISNUMBER(MATCH(51,Items!$AB$2:$AB$201,0)),51,"")</f>
        <v/>
      </c>
      <c r="B54" s="23">
        <f>IF($A54="","",INDEX(Items!$AC$2:$AC$201,MATCH($A54,Items!$AB$2:$AB$201,0)))</f>
        <v/>
      </c>
      <c r="C54" s="24">
        <f>IF($A54="","",INDEX(Items!$AD$2:$AD$201,MATCH($A54,Items!$AB$2:$AB$201,0)))</f>
        <v/>
      </c>
      <c r="D54" s="24">
        <f>IF($A54="","",INDEX(Items!$AE$2:$AE$201,MATCH($A54,Items!$AB$2:$AB$201,0)))</f>
        <v/>
      </c>
      <c r="E54" s="42">
        <f>IF($A54="","",INDEX(Items!$AF$2:$AF$201,MATCH($A54,Items!$AB$2:$AB$201,0)))</f>
        <v/>
      </c>
      <c r="F54" s="24">
        <f>IF($A54="","",INDEX(Items!$AI$2:$AI$201,MATCH($A54,Items!$AB$2:$AB$201,0)))</f>
        <v/>
      </c>
    </row>
    <row r="55">
      <c r="A55" s="41">
        <f>IF(ISNUMBER(MATCH(52,Items!$AB$2:$AB$201,0)),52,"")</f>
        <v/>
      </c>
      <c r="B55" s="23">
        <f>IF($A55="","",INDEX(Items!$AC$2:$AC$201,MATCH($A55,Items!$AB$2:$AB$201,0)))</f>
        <v/>
      </c>
      <c r="C55" s="24">
        <f>IF($A55="","",INDEX(Items!$AD$2:$AD$201,MATCH($A55,Items!$AB$2:$AB$201,0)))</f>
        <v/>
      </c>
      <c r="D55" s="24">
        <f>IF($A55="","",INDEX(Items!$AE$2:$AE$201,MATCH($A55,Items!$AB$2:$AB$201,0)))</f>
        <v/>
      </c>
      <c r="E55" s="42">
        <f>IF($A55="","",INDEX(Items!$AF$2:$AF$201,MATCH($A55,Items!$AB$2:$AB$201,0)))</f>
        <v/>
      </c>
      <c r="F55" s="24">
        <f>IF($A55="","",INDEX(Items!$AI$2:$AI$201,MATCH($A55,Items!$AB$2:$AB$201,0)))</f>
        <v/>
      </c>
    </row>
    <row r="56">
      <c r="A56" s="41">
        <f>IF(ISNUMBER(MATCH(53,Items!$AB$2:$AB$201,0)),53,"")</f>
        <v/>
      </c>
      <c r="B56" s="23">
        <f>IF($A56="","",INDEX(Items!$AC$2:$AC$201,MATCH($A56,Items!$AB$2:$AB$201,0)))</f>
        <v/>
      </c>
      <c r="C56" s="24">
        <f>IF($A56="","",INDEX(Items!$AD$2:$AD$201,MATCH($A56,Items!$AB$2:$AB$201,0)))</f>
        <v/>
      </c>
      <c r="D56" s="24">
        <f>IF($A56="","",INDEX(Items!$AE$2:$AE$201,MATCH($A56,Items!$AB$2:$AB$201,0)))</f>
        <v/>
      </c>
      <c r="E56" s="42">
        <f>IF($A56="","",INDEX(Items!$AF$2:$AF$201,MATCH($A56,Items!$AB$2:$AB$201,0)))</f>
        <v/>
      </c>
      <c r="F56" s="24">
        <f>IF($A56="","",INDEX(Items!$AI$2:$AI$201,MATCH($A56,Items!$AB$2:$AB$201,0)))</f>
        <v/>
      </c>
    </row>
    <row r="57">
      <c r="A57" s="41">
        <f>IF(ISNUMBER(MATCH(54,Items!$AB$2:$AB$201,0)),54,"")</f>
        <v/>
      </c>
      <c r="B57" s="23">
        <f>IF($A57="","",INDEX(Items!$AC$2:$AC$201,MATCH($A57,Items!$AB$2:$AB$201,0)))</f>
        <v/>
      </c>
      <c r="C57" s="24">
        <f>IF($A57="","",INDEX(Items!$AD$2:$AD$201,MATCH($A57,Items!$AB$2:$AB$201,0)))</f>
        <v/>
      </c>
      <c r="D57" s="24">
        <f>IF($A57="","",INDEX(Items!$AE$2:$AE$201,MATCH($A57,Items!$AB$2:$AB$201,0)))</f>
        <v/>
      </c>
      <c r="E57" s="42">
        <f>IF($A57="","",INDEX(Items!$AF$2:$AF$201,MATCH($A57,Items!$AB$2:$AB$201,0)))</f>
        <v/>
      </c>
      <c r="F57" s="24">
        <f>IF($A57="","",INDEX(Items!$AI$2:$AI$201,MATCH($A57,Items!$AB$2:$AB$201,0)))</f>
        <v/>
      </c>
    </row>
    <row r="58">
      <c r="A58" s="41">
        <f>IF(ISNUMBER(MATCH(55,Items!$AB$2:$AB$201,0)),55,"")</f>
        <v/>
      </c>
      <c r="B58" s="23">
        <f>IF($A58="","",INDEX(Items!$AC$2:$AC$201,MATCH($A58,Items!$AB$2:$AB$201,0)))</f>
        <v/>
      </c>
      <c r="C58" s="24">
        <f>IF($A58="","",INDEX(Items!$AD$2:$AD$201,MATCH($A58,Items!$AB$2:$AB$201,0)))</f>
        <v/>
      </c>
      <c r="D58" s="24">
        <f>IF($A58="","",INDEX(Items!$AE$2:$AE$201,MATCH($A58,Items!$AB$2:$AB$201,0)))</f>
        <v/>
      </c>
      <c r="E58" s="42">
        <f>IF($A58="","",INDEX(Items!$AF$2:$AF$201,MATCH($A58,Items!$AB$2:$AB$201,0)))</f>
        <v/>
      </c>
      <c r="F58" s="24">
        <f>IF($A58="","",INDEX(Items!$AI$2:$AI$201,MATCH($A58,Items!$AB$2:$AB$201,0)))</f>
        <v/>
      </c>
    </row>
    <row r="59">
      <c r="A59" s="41">
        <f>IF(ISNUMBER(MATCH(56,Items!$AB$2:$AB$201,0)),56,"")</f>
        <v/>
      </c>
      <c r="B59" s="23">
        <f>IF($A59="","",INDEX(Items!$AC$2:$AC$201,MATCH($A59,Items!$AB$2:$AB$201,0)))</f>
        <v/>
      </c>
      <c r="C59" s="24">
        <f>IF($A59="","",INDEX(Items!$AD$2:$AD$201,MATCH($A59,Items!$AB$2:$AB$201,0)))</f>
        <v/>
      </c>
      <c r="D59" s="24">
        <f>IF($A59="","",INDEX(Items!$AE$2:$AE$201,MATCH($A59,Items!$AB$2:$AB$201,0)))</f>
        <v/>
      </c>
      <c r="E59" s="42">
        <f>IF($A59="","",INDEX(Items!$AF$2:$AF$201,MATCH($A59,Items!$AB$2:$AB$201,0)))</f>
        <v/>
      </c>
      <c r="F59" s="24">
        <f>IF($A59="","",INDEX(Items!$AI$2:$AI$201,MATCH($A59,Items!$AB$2:$AB$201,0)))</f>
        <v/>
      </c>
    </row>
    <row r="60">
      <c r="A60" s="41">
        <f>IF(ISNUMBER(MATCH(57,Items!$AB$2:$AB$201,0)),57,"")</f>
        <v/>
      </c>
      <c r="B60" s="23">
        <f>IF($A60="","",INDEX(Items!$AC$2:$AC$201,MATCH($A60,Items!$AB$2:$AB$201,0)))</f>
        <v/>
      </c>
      <c r="C60" s="24">
        <f>IF($A60="","",INDEX(Items!$AD$2:$AD$201,MATCH($A60,Items!$AB$2:$AB$201,0)))</f>
        <v/>
      </c>
      <c r="D60" s="24">
        <f>IF($A60="","",INDEX(Items!$AE$2:$AE$201,MATCH($A60,Items!$AB$2:$AB$201,0)))</f>
        <v/>
      </c>
      <c r="E60" s="42">
        <f>IF($A60="","",INDEX(Items!$AF$2:$AF$201,MATCH($A60,Items!$AB$2:$AB$201,0)))</f>
        <v/>
      </c>
      <c r="F60" s="24">
        <f>IF($A60="","",INDEX(Items!$AI$2:$AI$201,MATCH($A60,Items!$AB$2:$AB$201,0)))</f>
        <v/>
      </c>
    </row>
    <row r="61">
      <c r="A61" s="41">
        <f>IF(ISNUMBER(MATCH(58,Items!$AB$2:$AB$201,0)),58,"")</f>
        <v/>
      </c>
      <c r="B61" s="23">
        <f>IF($A61="","",INDEX(Items!$AC$2:$AC$201,MATCH($A61,Items!$AB$2:$AB$201,0)))</f>
        <v/>
      </c>
      <c r="C61" s="24">
        <f>IF($A61="","",INDEX(Items!$AD$2:$AD$201,MATCH($A61,Items!$AB$2:$AB$201,0)))</f>
        <v/>
      </c>
      <c r="D61" s="24">
        <f>IF($A61="","",INDEX(Items!$AE$2:$AE$201,MATCH($A61,Items!$AB$2:$AB$201,0)))</f>
        <v/>
      </c>
      <c r="E61" s="42">
        <f>IF($A61="","",INDEX(Items!$AF$2:$AF$201,MATCH($A61,Items!$AB$2:$AB$201,0)))</f>
        <v/>
      </c>
      <c r="F61" s="24">
        <f>IF($A61="","",INDEX(Items!$AI$2:$AI$201,MATCH($A61,Items!$AB$2:$AB$201,0)))</f>
        <v/>
      </c>
    </row>
    <row r="62">
      <c r="A62" s="41">
        <f>IF(ISNUMBER(MATCH(59,Items!$AB$2:$AB$201,0)),59,"")</f>
        <v/>
      </c>
      <c r="B62" s="23">
        <f>IF($A62="","",INDEX(Items!$AC$2:$AC$201,MATCH($A62,Items!$AB$2:$AB$201,0)))</f>
        <v/>
      </c>
      <c r="C62" s="24">
        <f>IF($A62="","",INDEX(Items!$AD$2:$AD$201,MATCH($A62,Items!$AB$2:$AB$201,0)))</f>
        <v/>
      </c>
      <c r="D62" s="24">
        <f>IF($A62="","",INDEX(Items!$AE$2:$AE$201,MATCH($A62,Items!$AB$2:$AB$201,0)))</f>
        <v/>
      </c>
      <c r="E62" s="42">
        <f>IF($A62="","",INDEX(Items!$AF$2:$AF$201,MATCH($A62,Items!$AB$2:$AB$201,0)))</f>
        <v/>
      </c>
      <c r="F62" s="24">
        <f>IF($A62="","",INDEX(Items!$AI$2:$AI$201,MATCH($A62,Items!$AB$2:$AB$201,0)))</f>
        <v/>
      </c>
    </row>
    <row r="63">
      <c r="A63" s="41">
        <f>IF(ISNUMBER(MATCH(60,Items!$AB$2:$AB$201,0)),60,"")</f>
        <v/>
      </c>
      <c r="B63" s="23">
        <f>IF($A63="","",INDEX(Items!$AC$2:$AC$201,MATCH($A63,Items!$AB$2:$AB$201,0)))</f>
        <v/>
      </c>
      <c r="C63" s="24">
        <f>IF($A63="","",INDEX(Items!$AD$2:$AD$201,MATCH($A63,Items!$AB$2:$AB$201,0)))</f>
        <v/>
      </c>
      <c r="D63" s="24">
        <f>IF($A63="","",INDEX(Items!$AE$2:$AE$201,MATCH($A63,Items!$AB$2:$AB$201,0)))</f>
        <v/>
      </c>
      <c r="E63" s="42">
        <f>IF($A63="","",INDEX(Items!$AF$2:$AF$201,MATCH($A63,Items!$AB$2:$AB$201,0)))</f>
        <v/>
      </c>
      <c r="F63" s="24">
        <f>IF($A63="","",INDEX(Items!$AI$2:$AI$201,MATCH($A63,Items!$AB$2:$AB$201,0)))</f>
        <v/>
      </c>
    </row>
    <row r="64">
      <c r="A64" s="41">
        <f>IF(ISNUMBER(MATCH(61,Items!$AB$2:$AB$201,0)),61,"")</f>
        <v/>
      </c>
      <c r="B64" s="23">
        <f>IF($A64="","",INDEX(Items!$AC$2:$AC$201,MATCH($A64,Items!$AB$2:$AB$201,0)))</f>
        <v/>
      </c>
      <c r="C64" s="24">
        <f>IF($A64="","",INDEX(Items!$AD$2:$AD$201,MATCH($A64,Items!$AB$2:$AB$201,0)))</f>
        <v/>
      </c>
      <c r="D64" s="24">
        <f>IF($A64="","",INDEX(Items!$AE$2:$AE$201,MATCH($A64,Items!$AB$2:$AB$201,0)))</f>
        <v/>
      </c>
      <c r="E64" s="42">
        <f>IF($A64="","",INDEX(Items!$AF$2:$AF$201,MATCH($A64,Items!$AB$2:$AB$201,0)))</f>
        <v/>
      </c>
      <c r="F64" s="24">
        <f>IF($A64="","",INDEX(Items!$AI$2:$AI$201,MATCH($A64,Items!$AB$2:$AB$201,0)))</f>
        <v/>
      </c>
    </row>
    <row r="65">
      <c r="A65" s="41">
        <f>IF(ISNUMBER(MATCH(62,Items!$AB$2:$AB$201,0)),62,"")</f>
        <v/>
      </c>
      <c r="B65" s="23">
        <f>IF($A65="","",INDEX(Items!$AC$2:$AC$201,MATCH($A65,Items!$AB$2:$AB$201,0)))</f>
        <v/>
      </c>
      <c r="C65" s="24">
        <f>IF($A65="","",INDEX(Items!$AD$2:$AD$201,MATCH($A65,Items!$AB$2:$AB$201,0)))</f>
        <v/>
      </c>
      <c r="D65" s="24">
        <f>IF($A65="","",INDEX(Items!$AE$2:$AE$201,MATCH($A65,Items!$AB$2:$AB$201,0)))</f>
        <v/>
      </c>
      <c r="E65" s="42">
        <f>IF($A65="","",INDEX(Items!$AF$2:$AF$201,MATCH($A65,Items!$AB$2:$AB$201,0)))</f>
        <v/>
      </c>
      <c r="F65" s="24">
        <f>IF($A65="","",INDEX(Items!$AI$2:$AI$201,MATCH($A65,Items!$AB$2:$AB$201,0)))</f>
        <v/>
      </c>
    </row>
    <row r="66">
      <c r="A66" s="41">
        <f>IF(ISNUMBER(MATCH(63,Items!$AB$2:$AB$201,0)),63,"")</f>
        <v/>
      </c>
      <c r="B66" s="23">
        <f>IF($A66="","",INDEX(Items!$AC$2:$AC$201,MATCH($A66,Items!$AB$2:$AB$201,0)))</f>
        <v/>
      </c>
      <c r="C66" s="24">
        <f>IF($A66="","",INDEX(Items!$AD$2:$AD$201,MATCH($A66,Items!$AB$2:$AB$201,0)))</f>
        <v/>
      </c>
      <c r="D66" s="24">
        <f>IF($A66="","",INDEX(Items!$AE$2:$AE$201,MATCH($A66,Items!$AB$2:$AB$201,0)))</f>
        <v/>
      </c>
      <c r="E66" s="42">
        <f>IF($A66="","",INDEX(Items!$AF$2:$AF$201,MATCH($A66,Items!$AB$2:$AB$201,0)))</f>
        <v/>
      </c>
      <c r="F66" s="24">
        <f>IF($A66="","",INDEX(Items!$AI$2:$AI$201,MATCH($A66,Items!$AB$2:$AB$201,0)))</f>
        <v/>
      </c>
    </row>
    <row r="67">
      <c r="A67" s="41">
        <f>IF(ISNUMBER(MATCH(64,Items!$AB$2:$AB$201,0)),64,"")</f>
        <v/>
      </c>
      <c r="B67" s="23">
        <f>IF($A67="","",INDEX(Items!$AC$2:$AC$201,MATCH($A67,Items!$AB$2:$AB$201,0)))</f>
        <v/>
      </c>
      <c r="C67" s="24">
        <f>IF($A67="","",INDEX(Items!$AD$2:$AD$201,MATCH($A67,Items!$AB$2:$AB$201,0)))</f>
        <v/>
      </c>
      <c r="D67" s="24">
        <f>IF($A67="","",INDEX(Items!$AE$2:$AE$201,MATCH($A67,Items!$AB$2:$AB$201,0)))</f>
        <v/>
      </c>
      <c r="E67" s="42">
        <f>IF($A67="","",INDEX(Items!$AF$2:$AF$201,MATCH($A67,Items!$AB$2:$AB$201,0)))</f>
        <v/>
      </c>
      <c r="F67" s="24">
        <f>IF($A67="","",INDEX(Items!$AI$2:$AI$201,MATCH($A67,Items!$AB$2:$AB$201,0)))</f>
        <v/>
      </c>
    </row>
    <row r="68">
      <c r="A68" s="41">
        <f>IF(ISNUMBER(MATCH(65,Items!$AB$2:$AB$201,0)),65,"")</f>
        <v/>
      </c>
      <c r="B68" s="23">
        <f>IF($A68="","",INDEX(Items!$AC$2:$AC$201,MATCH($A68,Items!$AB$2:$AB$201,0)))</f>
        <v/>
      </c>
      <c r="C68" s="24">
        <f>IF($A68="","",INDEX(Items!$AD$2:$AD$201,MATCH($A68,Items!$AB$2:$AB$201,0)))</f>
        <v/>
      </c>
      <c r="D68" s="24">
        <f>IF($A68="","",INDEX(Items!$AE$2:$AE$201,MATCH($A68,Items!$AB$2:$AB$201,0)))</f>
        <v/>
      </c>
      <c r="E68" s="42">
        <f>IF($A68="","",INDEX(Items!$AF$2:$AF$201,MATCH($A68,Items!$AB$2:$AB$201,0)))</f>
        <v/>
      </c>
      <c r="F68" s="24">
        <f>IF($A68="","",INDEX(Items!$AI$2:$AI$201,MATCH($A68,Items!$AB$2:$AB$201,0)))</f>
        <v/>
      </c>
    </row>
    <row r="69">
      <c r="A69" s="41">
        <f>IF(ISNUMBER(MATCH(66,Items!$AB$2:$AB$201,0)),66,"")</f>
        <v/>
      </c>
      <c r="B69" s="23">
        <f>IF($A69="","",INDEX(Items!$AC$2:$AC$201,MATCH($A69,Items!$AB$2:$AB$201,0)))</f>
        <v/>
      </c>
      <c r="C69" s="24">
        <f>IF($A69="","",INDEX(Items!$AD$2:$AD$201,MATCH($A69,Items!$AB$2:$AB$201,0)))</f>
        <v/>
      </c>
      <c r="D69" s="24">
        <f>IF($A69="","",INDEX(Items!$AE$2:$AE$201,MATCH($A69,Items!$AB$2:$AB$201,0)))</f>
        <v/>
      </c>
      <c r="E69" s="42">
        <f>IF($A69="","",INDEX(Items!$AF$2:$AF$201,MATCH($A69,Items!$AB$2:$AB$201,0)))</f>
        <v/>
      </c>
      <c r="F69" s="24">
        <f>IF($A69="","",INDEX(Items!$AI$2:$AI$201,MATCH($A69,Items!$AB$2:$AB$201,0)))</f>
        <v/>
      </c>
    </row>
    <row r="70">
      <c r="A70" s="41">
        <f>IF(ISNUMBER(MATCH(67,Items!$AB$2:$AB$201,0)),67,"")</f>
        <v/>
      </c>
      <c r="B70" s="23">
        <f>IF($A70="","",INDEX(Items!$AC$2:$AC$201,MATCH($A70,Items!$AB$2:$AB$201,0)))</f>
        <v/>
      </c>
      <c r="C70" s="24">
        <f>IF($A70="","",INDEX(Items!$AD$2:$AD$201,MATCH($A70,Items!$AB$2:$AB$201,0)))</f>
        <v/>
      </c>
      <c r="D70" s="24">
        <f>IF($A70="","",INDEX(Items!$AE$2:$AE$201,MATCH($A70,Items!$AB$2:$AB$201,0)))</f>
        <v/>
      </c>
      <c r="E70" s="42">
        <f>IF($A70="","",INDEX(Items!$AF$2:$AF$201,MATCH($A70,Items!$AB$2:$AB$201,0)))</f>
        <v/>
      </c>
      <c r="F70" s="24">
        <f>IF($A70="","",INDEX(Items!$AI$2:$AI$201,MATCH($A70,Items!$AB$2:$AB$201,0)))</f>
        <v/>
      </c>
    </row>
    <row r="71">
      <c r="A71" s="41">
        <f>IF(ISNUMBER(MATCH(68,Items!$AB$2:$AB$201,0)),68,"")</f>
        <v/>
      </c>
      <c r="B71" s="23">
        <f>IF($A71="","",INDEX(Items!$AC$2:$AC$201,MATCH($A71,Items!$AB$2:$AB$201,0)))</f>
        <v/>
      </c>
      <c r="C71" s="24">
        <f>IF($A71="","",INDEX(Items!$AD$2:$AD$201,MATCH($A71,Items!$AB$2:$AB$201,0)))</f>
        <v/>
      </c>
      <c r="D71" s="24">
        <f>IF($A71="","",INDEX(Items!$AE$2:$AE$201,MATCH($A71,Items!$AB$2:$AB$201,0)))</f>
        <v/>
      </c>
      <c r="E71" s="42">
        <f>IF($A71="","",INDEX(Items!$AF$2:$AF$201,MATCH($A71,Items!$AB$2:$AB$201,0)))</f>
        <v/>
      </c>
      <c r="F71" s="24">
        <f>IF($A71="","",INDEX(Items!$AI$2:$AI$201,MATCH($A71,Items!$AB$2:$AB$201,0)))</f>
        <v/>
      </c>
    </row>
    <row r="72">
      <c r="A72" s="41">
        <f>IF(ISNUMBER(MATCH(69,Items!$AB$2:$AB$201,0)),69,"")</f>
        <v/>
      </c>
      <c r="B72" s="23">
        <f>IF($A72="","",INDEX(Items!$AC$2:$AC$201,MATCH($A72,Items!$AB$2:$AB$201,0)))</f>
        <v/>
      </c>
      <c r="C72" s="24">
        <f>IF($A72="","",INDEX(Items!$AD$2:$AD$201,MATCH($A72,Items!$AB$2:$AB$201,0)))</f>
        <v/>
      </c>
      <c r="D72" s="24">
        <f>IF($A72="","",INDEX(Items!$AE$2:$AE$201,MATCH($A72,Items!$AB$2:$AB$201,0)))</f>
        <v/>
      </c>
      <c r="E72" s="42">
        <f>IF($A72="","",INDEX(Items!$AF$2:$AF$201,MATCH($A72,Items!$AB$2:$AB$201,0)))</f>
        <v/>
      </c>
      <c r="F72" s="24">
        <f>IF($A72="","",INDEX(Items!$AI$2:$AI$201,MATCH($A72,Items!$AB$2:$AB$201,0)))</f>
        <v/>
      </c>
    </row>
    <row r="73">
      <c r="A73" s="41">
        <f>IF(ISNUMBER(MATCH(70,Items!$AB$2:$AB$201,0)),70,"")</f>
        <v/>
      </c>
      <c r="B73" s="23">
        <f>IF($A73="","",INDEX(Items!$AC$2:$AC$201,MATCH($A73,Items!$AB$2:$AB$201,0)))</f>
        <v/>
      </c>
      <c r="C73" s="24">
        <f>IF($A73="","",INDEX(Items!$AD$2:$AD$201,MATCH($A73,Items!$AB$2:$AB$201,0)))</f>
        <v/>
      </c>
      <c r="D73" s="24">
        <f>IF($A73="","",INDEX(Items!$AE$2:$AE$201,MATCH($A73,Items!$AB$2:$AB$201,0)))</f>
        <v/>
      </c>
      <c r="E73" s="42">
        <f>IF($A73="","",INDEX(Items!$AF$2:$AF$201,MATCH($A73,Items!$AB$2:$AB$201,0)))</f>
        <v/>
      </c>
      <c r="F73" s="24">
        <f>IF($A73="","",INDEX(Items!$AI$2:$AI$201,MATCH($A73,Items!$AB$2:$AB$201,0)))</f>
        <v/>
      </c>
    </row>
    <row r="74">
      <c r="A74" s="41">
        <f>IF(ISNUMBER(MATCH(71,Items!$AB$2:$AB$201,0)),71,"")</f>
        <v/>
      </c>
      <c r="B74" s="23">
        <f>IF($A74="","",INDEX(Items!$AC$2:$AC$201,MATCH($A74,Items!$AB$2:$AB$201,0)))</f>
        <v/>
      </c>
      <c r="C74" s="24">
        <f>IF($A74="","",INDEX(Items!$AD$2:$AD$201,MATCH($A74,Items!$AB$2:$AB$201,0)))</f>
        <v/>
      </c>
      <c r="D74" s="24">
        <f>IF($A74="","",INDEX(Items!$AE$2:$AE$201,MATCH($A74,Items!$AB$2:$AB$201,0)))</f>
        <v/>
      </c>
      <c r="E74" s="42">
        <f>IF($A74="","",INDEX(Items!$AF$2:$AF$201,MATCH($A74,Items!$AB$2:$AB$201,0)))</f>
        <v/>
      </c>
      <c r="F74" s="24">
        <f>IF($A74="","",INDEX(Items!$AI$2:$AI$201,MATCH($A74,Items!$AB$2:$AB$201,0)))</f>
        <v/>
      </c>
    </row>
    <row r="75">
      <c r="A75" s="41">
        <f>IF(ISNUMBER(MATCH(72,Items!$AB$2:$AB$201,0)),72,"")</f>
        <v/>
      </c>
      <c r="B75" s="23">
        <f>IF($A75="","",INDEX(Items!$AC$2:$AC$201,MATCH($A75,Items!$AB$2:$AB$201,0)))</f>
        <v/>
      </c>
      <c r="C75" s="24">
        <f>IF($A75="","",INDEX(Items!$AD$2:$AD$201,MATCH($A75,Items!$AB$2:$AB$201,0)))</f>
        <v/>
      </c>
      <c r="D75" s="24">
        <f>IF($A75="","",INDEX(Items!$AE$2:$AE$201,MATCH($A75,Items!$AB$2:$AB$201,0)))</f>
        <v/>
      </c>
      <c r="E75" s="42">
        <f>IF($A75="","",INDEX(Items!$AF$2:$AF$201,MATCH($A75,Items!$AB$2:$AB$201,0)))</f>
        <v/>
      </c>
      <c r="F75" s="24">
        <f>IF($A75="","",INDEX(Items!$AI$2:$AI$201,MATCH($A75,Items!$AB$2:$AB$201,0)))</f>
        <v/>
      </c>
    </row>
    <row r="76">
      <c r="A76" s="41">
        <f>IF(ISNUMBER(MATCH(73,Items!$AB$2:$AB$201,0)),73,"")</f>
        <v/>
      </c>
      <c r="B76" s="23">
        <f>IF($A76="","",INDEX(Items!$AC$2:$AC$201,MATCH($A76,Items!$AB$2:$AB$201,0)))</f>
        <v/>
      </c>
      <c r="C76" s="24">
        <f>IF($A76="","",INDEX(Items!$AD$2:$AD$201,MATCH($A76,Items!$AB$2:$AB$201,0)))</f>
        <v/>
      </c>
      <c r="D76" s="24">
        <f>IF($A76="","",INDEX(Items!$AE$2:$AE$201,MATCH($A76,Items!$AB$2:$AB$201,0)))</f>
        <v/>
      </c>
      <c r="E76" s="42">
        <f>IF($A76="","",INDEX(Items!$AF$2:$AF$201,MATCH($A76,Items!$AB$2:$AB$201,0)))</f>
        <v/>
      </c>
      <c r="F76" s="24">
        <f>IF($A76="","",INDEX(Items!$AI$2:$AI$201,MATCH($A76,Items!$AB$2:$AB$201,0)))</f>
        <v/>
      </c>
    </row>
    <row r="77">
      <c r="A77" s="41">
        <f>IF(ISNUMBER(MATCH(74,Items!$AB$2:$AB$201,0)),74,"")</f>
        <v/>
      </c>
      <c r="B77" s="23">
        <f>IF($A77="","",INDEX(Items!$AC$2:$AC$201,MATCH($A77,Items!$AB$2:$AB$201,0)))</f>
        <v/>
      </c>
      <c r="C77" s="24">
        <f>IF($A77="","",INDEX(Items!$AD$2:$AD$201,MATCH($A77,Items!$AB$2:$AB$201,0)))</f>
        <v/>
      </c>
      <c r="D77" s="24">
        <f>IF($A77="","",INDEX(Items!$AE$2:$AE$201,MATCH($A77,Items!$AB$2:$AB$201,0)))</f>
        <v/>
      </c>
      <c r="E77" s="42">
        <f>IF($A77="","",INDEX(Items!$AF$2:$AF$201,MATCH($A77,Items!$AB$2:$AB$201,0)))</f>
        <v/>
      </c>
      <c r="F77" s="24">
        <f>IF($A77="","",INDEX(Items!$AI$2:$AI$201,MATCH($A77,Items!$AB$2:$AB$201,0)))</f>
        <v/>
      </c>
    </row>
    <row r="78">
      <c r="A78" s="41">
        <f>IF(ISNUMBER(MATCH(75,Items!$AB$2:$AB$201,0)),75,"")</f>
        <v/>
      </c>
      <c r="B78" s="23">
        <f>IF($A78="","",INDEX(Items!$AC$2:$AC$201,MATCH($A78,Items!$AB$2:$AB$201,0)))</f>
        <v/>
      </c>
      <c r="C78" s="24">
        <f>IF($A78="","",INDEX(Items!$AD$2:$AD$201,MATCH($A78,Items!$AB$2:$AB$201,0)))</f>
        <v/>
      </c>
      <c r="D78" s="24">
        <f>IF($A78="","",INDEX(Items!$AE$2:$AE$201,MATCH($A78,Items!$AB$2:$AB$201,0)))</f>
        <v/>
      </c>
      <c r="E78" s="42">
        <f>IF($A78="","",INDEX(Items!$AF$2:$AF$201,MATCH($A78,Items!$AB$2:$AB$201,0)))</f>
        <v/>
      </c>
      <c r="F78" s="24">
        <f>IF($A78="","",INDEX(Items!$AI$2:$AI$201,MATCH($A78,Items!$AB$2:$AB$201,0)))</f>
        <v/>
      </c>
    </row>
    <row r="79">
      <c r="A79" s="41">
        <f>IF(ISNUMBER(MATCH(76,Items!$AB$2:$AB$201,0)),76,"")</f>
        <v/>
      </c>
      <c r="B79" s="23">
        <f>IF($A79="","",INDEX(Items!$AC$2:$AC$201,MATCH($A79,Items!$AB$2:$AB$201,0)))</f>
        <v/>
      </c>
      <c r="C79" s="24">
        <f>IF($A79="","",INDEX(Items!$AD$2:$AD$201,MATCH($A79,Items!$AB$2:$AB$201,0)))</f>
        <v/>
      </c>
      <c r="D79" s="24">
        <f>IF($A79="","",INDEX(Items!$AE$2:$AE$201,MATCH($A79,Items!$AB$2:$AB$201,0)))</f>
        <v/>
      </c>
      <c r="E79" s="42">
        <f>IF($A79="","",INDEX(Items!$AF$2:$AF$201,MATCH($A79,Items!$AB$2:$AB$201,0)))</f>
        <v/>
      </c>
      <c r="F79" s="24">
        <f>IF($A79="","",INDEX(Items!$AI$2:$AI$201,MATCH($A79,Items!$AB$2:$AB$201,0)))</f>
        <v/>
      </c>
    </row>
    <row r="80">
      <c r="A80" s="41">
        <f>IF(ISNUMBER(MATCH(77,Items!$AB$2:$AB$201,0)),77,"")</f>
        <v/>
      </c>
      <c r="B80" s="23">
        <f>IF($A80="","",INDEX(Items!$AC$2:$AC$201,MATCH($A80,Items!$AB$2:$AB$201,0)))</f>
        <v/>
      </c>
      <c r="C80" s="24">
        <f>IF($A80="","",INDEX(Items!$AD$2:$AD$201,MATCH($A80,Items!$AB$2:$AB$201,0)))</f>
        <v/>
      </c>
      <c r="D80" s="24">
        <f>IF($A80="","",INDEX(Items!$AE$2:$AE$201,MATCH($A80,Items!$AB$2:$AB$201,0)))</f>
        <v/>
      </c>
      <c r="E80" s="42">
        <f>IF($A80="","",INDEX(Items!$AF$2:$AF$201,MATCH($A80,Items!$AB$2:$AB$201,0)))</f>
        <v/>
      </c>
      <c r="F80" s="24">
        <f>IF($A80="","",INDEX(Items!$AI$2:$AI$201,MATCH($A80,Items!$AB$2:$AB$201,0)))</f>
        <v/>
      </c>
    </row>
    <row r="81">
      <c r="A81" s="41">
        <f>IF(ISNUMBER(MATCH(78,Items!$AB$2:$AB$201,0)),78,"")</f>
        <v/>
      </c>
      <c r="B81" s="23">
        <f>IF($A81="","",INDEX(Items!$AC$2:$AC$201,MATCH($A81,Items!$AB$2:$AB$201,0)))</f>
        <v/>
      </c>
      <c r="C81" s="24">
        <f>IF($A81="","",INDEX(Items!$AD$2:$AD$201,MATCH($A81,Items!$AB$2:$AB$201,0)))</f>
        <v/>
      </c>
      <c r="D81" s="24">
        <f>IF($A81="","",INDEX(Items!$AE$2:$AE$201,MATCH($A81,Items!$AB$2:$AB$201,0)))</f>
        <v/>
      </c>
      <c r="E81" s="42">
        <f>IF($A81="","",INDEX(Items!$AF$2:$AF$201,MATCH($A81,Items!$AB$2:$AB$201,0)))</f>
        <v/>
      </c>
      <c r="F81" s="24">
        <f>IF($A81="","",INDEX(Items!$AI$2:$AI$201,MATCH($A81,Items!$AB$2:$AB$201,0)))</f>
        <v/>
      </c>
    </row>
    <row r="82">
      <c r="A82" s="41">
        <f>IF(ISNUMBER(MATCH(79,Items!$AB$2:$AB$201,0)),79,"")</f>
        <v/>
      </c>
      <c r="B82" s="23">
        <f>IF($A82="","",INDEX(Items!$AC$2:$AC$201,MATCH($A82,Items!$AB$2:$AB$201,0)))</f>
        <v/>
      </c>
      <c r="C82" s="24">
        <f>IF($A82="","",INDEX(Items!$AD$2:$AD$201,MATCH($A82,Items!$AB$2:$AB$201,0)))</f>
        <v/>
      </c>
      <c r="D82" s="24">
        <f>IF($A82="","",INDEX(Items!$AE$2:$AE$201,MATCH($A82,Items!$AB$2:$AB$201,0)))</f>
        <v/>
      </c>
      <c r="E82" s="42">
        <f>IF($A82="","",INDEX(Items!$AF$2:$AF$201,MATCH($A82,Items!$AB$2:$AB$201,0)))</f>
        <v/>
      </c>
      <c r="F82" s="24">
        <f>IF($A82="","",INDEX(Items!$AI$2:$AI$201,MATCH($A82,Items!$AB$2:$AB$201,0)))</f>
        <v/>
      </c>
    </row>
    <row r="83">
      <c r="A83" s="41">
        <f>IF(ISNUMBER(MATCH(80,Items!$AB$2:$AB$201,0)),80,"")</f>
        <v/>
      </c>
      <c r="B83" s="23">
        <f>IF($A83="","",INDEX(Items!$AC$2:$AC$201,MATCH($A83,Items!$AB$2:$AB$201,0)))</f>
        <v/>
      </c>
      <c r="C83" s="24">
        <f>IF($A83="","",INDEX(Items!$AD$2:$AD$201,MATCH($A83,Items!$AB$2:$AB$201,0)))</f>
        <v/>
      </c>
      <c r="D83" s="24">
        <f>IF($A83="","",INDEX(Items!$AE$2:$AE$201,MATCH($A83,Items!$AB$2:$AB$201,0)))</f>
        <v/>
      </c>
      <c r="E83" s="42">
        <f>IF($A83="","",INDEX(Items!$AF$2:$AF$201,MATCH($A83,Items!$AB$2:$AB$201,0)))</f>
        <v/>
      </c>
      <c r="F83" s="24">
        <f>IF($A83="","",INDEX(Items!$AI$2:$AI$201,MATCH($A83,Items!$AB$2:$AB$201,0)))</f>
        <v/>
      </c>
    </row>
    <row r="84">
      <c r="A84" s="41">
        <f>IF(ISNUMBER(MATCH(81,Items!$AB$2:$AB$201,0)),81,"")</f>
        <v/>
      </c>
      <c r="B84" s="23">
        <f>IF($A84="","",INDEX(Items!$AC$2:$AC$201,MATCH($A84,Items!$AB$2:$AB$201,0)))</f>
        <v/>
      </c>
      <c r="C84" s="24">
        <f>IF($A84="","",INDEX(Items!$AD$2:$AD$201,MATCH($A84,Items!$AB$2:$AB$201,0)))</f>
        <v/>
      </c>
      <c r="D84" s="24">
        <f>IF($A84="","",INDEX(Items!$AE$2:$AE$201,MATCH($A84,Items!$AB$2:$AB$201,0)))</f>
        <v/>
      </c>
      <c r="E84" s="42">
        <f>IF($A84="","",INDEX(Items!$AF$2:$AF$201,MATCH($A84,Items!$AB$2:$AB$201,0)))</f>
        <v/>
      </c>
      <c r="F84" s="24">
        <f>IF($A84="","",INDEX(Items!$AI$2:$AI$201,MATCH($A84,Items!$AB$2:$AB$201,0)))</f>
        <v/>
      </c>
    </row>
    <row r="85">
      <c r="A85" s="41">
        <f>IF(ISNUMBER(MATCH(82,Items!$AB$2:$AB$201,0)),82,"")</f>
        <v/>
      </c>
      <c r="B85" s="23">
        <f>IF($A85="","",INDEX(Items!$AC$2:$AC$201,MATCH($A85,Items!$AB$2:$AB$201,0)))</f>
        <v/>
      </c>
      <c r="C85" s="24">
        <f>IF($A85="","",INDEX(Items!$AD$2:$AD$201,MATCH($A85,Items!$AB$2:$AB$201,0)))</f>
        <v/>
      </c>
      <c r="D85" s="24">
        <f>IF($A85="","",INDEX(Items!$AE$2:$AE$201,MATCH($A85,Items!$AB$2:$AB$201,0)))</f>
        <v/>
      </c>
      <c r="E85" s="42">
        <f>IF($A85="","",INDEX(Items!$AF$2:$AF$201,MATCH($A85,Items!$AB$2:$AB$201,0)))</f>
        <v/>
      </c>
      <c r="F85" s="24">
        <f>IF($A85="","",INDEX(Items!$AI$2:$AI$201,MATCH($A85,Items!$AB$2:$AB$201,0)))</f>
        <v/>
      </c>
    </row>
    <row r="86">
      <c r="A86" s="41">
        <f>IF(ISNUMBER(MATCH(83,Items!$AB$2:$AB$201,0)),83,"")</f>
        <v/>
      </c>
      <c r="B86" s="23">
        <f>IF($A86="","",INDEX(Items!$AC$2:$AC$201,MATCH($A86,Items!$AB$2:$AB$201,0)))</f>
        <v/>
      </c>
      <c r="C86" s="24">
        <f>IF($A86="","",INDEX(Items!$AD$2:$AD$201,MATCH($A86,Items!$AB$2:$AB$201,0)))</f>
        <v/>
      </c>
      <c r="D86" s="24">
        <f>IF($A86="","",INDEX(Items!$AE$2:$AE$201,MATCH($A86,Items!$AB$2:$AB$201,0)))</f>
        <v/>
      </c>
      <c r="E86" s="42">
        <f>IF($A86="","",INDEX(Items!$AF$2:$AF$201,MATCH($A86,Items!$AB$2:$AB$201,0)))</f>
        <v/>
      </c>
      <c r="F86" s="24">
        <f>IF($A86="","",INDEX(Items!$AI$2:$AI$201,MATCH($A86,Items!$AB$2:$AB$201,0)))</f>
        <v/>
      </c>
    </row>
    <row r="87">
      <c r="A87" s="41">
        <f>IF(ISNUMBER(MATCH(84,Items!$AB$2:$AB$201,0)),84,"")</f>
        <v/>
      </c>
      <c r="B87" s="23">
        <f>IF($A87="","",INDEX(Items!$AC$2:$AC$201,MATCH($A87,Items!$AB$2:$AB$201,0)))</f>
        <v/>
      </c>
      <c r="C87" s="24">
        <f>IF($A87="","",INDEX(Items!$AD$2:$AD$201,MATCH($A87,Items!$AB$2:$AB$201,0)))</f>
        <v/>
      </c>
      <c r="D87" s="24">
        <f>IF($A87="","",INDEX(Items!$AE$2:$AE$201,MATCH($A87,Items!$AB$2:$AB$201,0)))</f>
        <v/>
      </c>
      <c r="E87" s="42">
        <f>IF($A87="","",INDEX(Items!$AF$2:$AF$201,MATCH($A87,Items!$AB$2:$AB$201,0)))</f>
        <v/>
      </c>
      <c r="F87" s="24">
        <f>IF($A87="","",INDEX(Items!$AI$2:$AI$201,MATCH($A87,Items!$AB$2:$AB$201,0)))</f>
        <v/>
      </c>
    </row>
    <row r="88">
      <c r="A88" s="41">
        <f>IF(ISNUMBER(MATCH(85,Items!$AB$2:$AB$201,0)),85,"")</f>
        <v/>
      </c>
      <c r="B88" s="23">
        <f>IF($A88="","",INDEX(Items!$AC$2:$AC$201,MATCH($A88,Items!$AB$2:$AB$201,0)))</f>
        <v/>
      </c>
      <c r="C88" s="24">
        <f>IF($A88="","",INDEX(Items!$AD$2:$AD$201,MATCH($A88,Items!$AB$2:$AB$201,0)))</f>
        <v/>
      </c>
      <c r="D88" s="24">
        <f>IF($A88="","",INDEX(Items!$AE$2:$AE$201,MATCH($A88,Items!$AB$2:$AB$201,0)))</f>
        <v/>
      </c>
      <c r="E88" s="42">
        <f>IF($A88="","",INDEX(Items!$AF$2:$AF$201,MATCH($A88,Items!$AB$2:$AB$201,0)))</f>
        <v/>
      </c>
      <c r="F88" s="24">
        <f>IF($A88="","",INDEX(Items!$AI$2:$AI$201,MATCH($A88,Items!$AB$2:$AB$201,0)))</f>
        <v/>
      </c>
    </row>
    <row r="89">
      <c r="A89" s="41">
        <f>IF(ISNUMBER(MATCH(86,Items!$AB$2:$AB$201,0)),86,"")</f>
        <v/>
      </c>
      <c r="B89" s="23">
        <f>IF($A89="","",INDEX(Items!$AC$2:$AC$201,MATCH($A89,Items!$AB$2:$AB$201,0)))</f>
        <v/>
      </c>
      <c r="C89" s="24">
        <f>IF($A89="","",INDEX(Items!$AD$2:$AD$201,MATCH($A89,Items!$AB$2:$AB$201,0)))</f>
        <v/>
      </c>
      <c r="D89" s="24">
        <f>IF($A89="","",INDEX(Items!$AE$2:$AE$201,MATCH($A89,Items!$AB$2:$AB$201,0)))</f>
        <v/>
      </c>
      <c r="E89" s="42">
        <f>IF($A89="","",INDEX(Items!$AF$2:$AF$201,MATCH($A89,Items!$AB$2:$AB$201,0)))</f>
        <v/>
      </c>
      <c r="F89" s="24">
        <f>IF($A89="","",INDEX(Items!$AI$2:$AI$201,MATCH($A89,Items!$AB$2:$AB$201,0)))</f>
        <v/>
      </c>
    </row>
    <row r="90">
      <c r="A90" s="41">
        <f>IF(ISNUMBER(MATCH(87,Items!$AB$2:$AB$201,0)),87,"")</f>
        <v/>
      </c>
      <c r="B90" s="23">
        <f>IF($A90="","",INDEX(Items!$AC$2:$AC$201,MATCH($A90,Items!$AB$2:$AB$201,0)))</f>
        <v/>
      </c>
      <c r="C90" s="24">
        <f>IF($A90="","",INDEX(Items!$AD$2:$AD$201,MATCH($A90,Items!$AB$2:$AB$201,0)))</f>
        <v/>
      </c>
      <c r="D90" s="24">
        <f>IF($A90="","",INDEX(Items!$AE$2:$AE$201,MATCH($A90,Items!$AB$2:$AB$201,0)))</f>
        <v/>
      </c>
      <c r="E90" s="42">
        <f>IF($A90="","",INDEX(Items!$AF$2:$AF$201,MATCH($A90,Items!$AB$2:$AB$201,0)))</f>
        <v/>
      </c>
      <c r="F90" s="24">
        <f>IF($A90="","",INDEX(Items!$AI$2:$AI$201,MATCH($A90,Items!$AB$2:$AB$201,0)))</f>
        <v/>
      </c>
    </row>
    <row r="91">
      <c r="A91" s="41">
        <f>IF(ISNUMBER(MATCH(88,Items!$AB$2:$AB$201,0)),88,"")</f>
        <v/>
      </c>
      <c r="B91" s="23">
        <f>IF($A91="","",INDEX(Items!$AC$2:$AC$201,MATCH($A91,Items!$AB$2:$AB$201,0)))</f>
        <v/>
      </c>
      <c r="C91" s="24">
        <f>IF($A91="","",INDEX(Items!$AD$2:$AD$201,MATCH($A91,Items!$AB$2:$AB$201,0)))</f>
        <v/>
      </c>
      <c r="D91" s="24">
        <f>IF($A91="","",INDEX(Items!$AE$2:$AE$201,MATCH($A91,Items!$AB$2:$AB$201,0)))</f>
        <v/>
      </c>
      <c r="E91" s="42">
        <f>IF($A91="","",INDEX(Items!$AF$2:$AF$201,MATCH($A91,Items!$AB$2:$AB$201,0)))</f>
        <v/>
      </c>
      <c r="F91" s="24">
        <f>IF($A91="","",INDEX(Items!$AI$2:$AI$201,MATCH($A91,Items!$AB$2:$AB$201,0)))</f>
        <v/>
      </c>
    </row>
    <row r="92">
      <c r="A92" s="41">
        <f>IF(ISNUMBER(MATCH(89,Items!$AB$2:$AB$201,0)),89,"")</f>
        <v/>
      </c>
      <c r="B92" s="23">
        <f>IF($A92="","",INDEX(Items!$AC$2:$AC$201,MATCH($A92,Items!$AB$2:$AB$201,0)))</f>
        <v/>
      </c>
      <c r="C92" s="24">
        <f>IF($A92="","",INDEX(Items!$AD$2:$AD$201,MATCH($A92,Items!$AB$2:$AB$201,0)))</f>
        <v/>
      </c>
      <c r="D92" s="24">
        <f>IF($A92="","",INDEX(Items!$AE$2:$AE$201,MATCH($A92,Items!$AB$2:$AB$201,0)))</f>
        <v/>
      </c>
      <c r="E92" s="42">
        <f>IF($A92="","",INDEX(Items!$AF$2:$AF$201,MATCH($A92,Items!$AB$2:$AB$201,0)))</f>
        <v/>
      </c>
      <c r="F92" s="24">
        <f>IF($A92="","",INDEX(Items!$AI$2:$AI$201,MATCH($A92,Items!$AB$2:$AB$201,0)))</f>
        <v/>
      </c>
    </row>
    <row r="93">
      <c r="A93" s="41">
        <f>IF(ISNUMBER(MATCH(90,Items!$AB$2:$AB$201,0)),90,"")</f>
        <v/>
      </c>
      <c r="B93" s="23">
        <f>IF($A93="","",INDEX(Items!$AC$2:$AC$201,MATCH($A93,Items!$AB$2:$AB$201,0)))</f>
        <v/>
      </c>
      <c r="C93" s="24">
        <f>IF($A93="","",INDEX(Items!$AD$2:$AD$201,MATCH($A93,Items!$AB$2:$AB$201,0)))</f>
        <v/>
      </c>
      <c r="D93" s="24">
        <f>IF($A93="","",INDEX(Items!$AE$2:$AE$201,MATCH($A93,Items!$AB$2:$AB$201,0)))</f>
        <v/>
      </c>
      <c r="E93" s="42">
        <f>IF($A93="","",INDEX(Items!$AF$2:$AF$201,MATCH($A93,Items!$AB$2:$AB$201,0)))</f>
        <v/>
      </c>
      <c r="F93" s="24">
        <f>IF($A93="","",INDEX(Items!$AI$2:$AI$201,MATCH($A93,Items!$AB$2:$AB$201,0)))</f>
        <v/>
      </c>
    </row>
    <row r="94">
      <c r="A94" s="41">
        <f>IF(ISNUMBER(MATCH(91,Items!$AB$2:$AB$201,0)),91,"")</f>
        <v/>
      </c>
      <c r="B94" s="23">
        <f>IF($A94="","",INDEX(Items!$AC$2:$AC$201,MATCH($A94,Items!$AB$2:$AB$201,0)))</f>
        <v/>
      </c>
      <c r="C94" s="24">
        <f>IF($A94="","",INDEX(Items!$AD$2:$AD$201,MATCH($A94,Items!$AB$2:$AB$201,0)))</f>
        <v/>
      </c>
      <c r="D94" s="24">
        <f>IF($A94="","",INDEX(Items!$AE$2:$AE$201,MATCH($A94,Items!$AB$2:$AB$201,0)))</f>
        <v/>
      </c>
      <c r="E94" s="42">
        <f>IF($A94="","",INDEX(Items!$AF$2:$AF$201,MATCH($A94,Items!$AB$2:$AB$201,0)))</f>
        <v/>
      </c>
      <c r="F94" s="24">
        <f>IF($A94="","",INDEX(Items!$AI$2:$AI$201,MATCH($A94,Items!$AB$2:$AB$201,0)))</f>
        <v/>
      </c>
    </row>
    <row r="95">
      <c r="A95" s="41">
        <f>IF(ISNUMBER(MATCH(92,Items!$AB$2:$AB$201,0)),92,"")</f>
        <v/>
      </c>
      <c r="B95" s="23">
        <f>IF($A95="","",INDEX(Items!$AC$2:$AC$201,MATCH($A95,Items!$AB$2:$AB$201,0)))</f>
        <v/>
      </c>
      <c r="C95" s="24">
        <f>IF($A95="","",INDEX(Items!$AD$2:$AD$201,MATCH($A95,Items!$AB$2:$AB$201,0)))</f>
        <v/>
      </c>
      <c r="D95" s="24">
        <f>IF($A95="","",INDEX(Items!$AE$2:$AE$201,MATCH($A95,Items!$AB$2:$AB$201,0)))</f>
        <v/>
      </c>
      <c r="E95" s="42">
        <f>IF($A95="","",INDEX(Items!$AF$2:$AF$201,MATCH($A95,Items!$AB$2:$AB$201,0)))</f>
        <v/>
      </c>
      <c r="F95" s="24">
        <f>IF($A95="","",INDEX(Items!$AI$2:$AI$201,MATCH($A95,Items!$AB$2:$AB$201,0)))</f>
        <v/>
      </c>
    </row>
    <row r="96">
      <c r="A96" s="41">
        <f>IF(ISNUMBER(MATCH(93,Items!$AB$2:$AB$201,0)),93,"")</f>
        <v/>
      </c>
      <c r="B96" s="23">
        <f>IF($A96="","",INDEX(Items!$AC$2:$AC$201,MATCH($A96,Items!$AB$2:$AB$201,0)))</f>
        <v/>
      </c>
      <c r="C96" s="24">
        <f>IF($A96="","",INDEX(Items!$AD$2:$AD$201,MATCH($A96,Items!$AB$2:$AB$201,0)))</f>
        <v/>
      </c>
      <c r="D96" s="24">
        <f>IF($A96="","",INDEX(Items!$AE$2:$AE$201,MATCH($A96,Items!$AB$2:$AB$201,0)))</f>
        <v/>
      </c>
      <c r="E96" s="42">
        <f>IF($A96="","",INDEX(Items!$AF$2:$AF$201,MATCH($A96,Items!$AB$2:$AB$201,0)))</f>
        <v/>
      </c>
      <c r="F96" s="24">
        <f>IF($A96="","",INDEX(Items!$AI$2:$AI$201,MATCH($A96,Items!$AB$2:$AB$201,0)))</f>
        <v/>
      </c>
    </row>
    <row r="97">
      <c r="A97" s="41">
        <f>IF(ISNUMBER(MATCH(94,Items!$AB$2:$AB$201,0)),94,"")</f>
        <v/>
      </c>
      <c r="B97" s="23">
        <f>IF($A97="","",INDEX(Items!$AC$2:$AC$201,MATCH($A97,Items!$AB$2:$AB$201,0)))</f>
        <v/>
      </c>
      <c r="C97" s="24">
        <f>IF($A97="","",INDEX(Items!$AD$2:$AD$201,MATCH($A97,Items!$AB$2:$AB$201,0)))</f>
        <v/>
      </c>
      <c r="D97" s="24">
        <f>IF($A97="","",INDEX(Items!$AE$2:$AE$201,MATCH($A97,Items!$AB$2:$AB$201,0)))</f>
        <v/>
      </c>
      <c r="E97" s="42">
        <f>IF($A97="","",INDEX(Items!$AF$2:$AF$201,MATCH($A97,Items!$AB$2:$AB$201,0)))</f>
        <v/>
      </c>
      <c r="F97" s="24">
        <f>IF($A97="","",INDEX(Items!$AI$2:$AI$201,MATCH($A97,Items!$AB$2:$AB$201,0)))</f>
        <v/>
      </c>
    </row>
    <row r="98">
      <c r="A98" s="41">
        <f>IF(ISNUMBER(MATCH(95,Items!$AB$2:$AB$201,0)),95,"")</f>
        <v/>
      </c>
      <c r="B98" s="23">
        <f>IF($A98="","",INDEX(Items!$AC$2:$AC$201,MATCH($A98,Items!$AB$2:$AB$201,0)))</f>
        <v/>
      </c>
      <c r="C98" s="24">
        <f>IF($A98="","",INDEX(Items!$AD$2:$AD$201,MATCH($A98,Items!$AB$2:$AB$201,0)))</f>
        <v/>
      </c>
      <c r="D98" s="24">
        <f>IF($A98="","",INDEX(Items!$AE$2:$AE$201,MATCH($A98,Items!$AB$2:$AB$201,0)))</f>
        <v/>
      </c>
      <c r="E98" s="42">
        <f>IF($A98="","",INDEX(Items!$AF$2:$AF$201,MATCH($A98,Items!$AB$2:$AB$201,0)))</f>
        <v/>
      </c>
      <c r="F98" s="24">
        <f>IF($A98="","",INDEX(Items!$AI$2:$AI$201,MATCH($A98,Items!$AB$2:$AB$201,0)))</f>
        <v/>
      </c>
    </row>
    <row r="99">
      <c r="A99" s="41">
        <f>IF(ISNUMBER(MATCH(96,Items!$AB$2:$AB$201,0)),96,"")</f>
        <v/>
      </c>
      <c r="B99" s="23">
        <f>IF($A99="","",INDEX(Items!$AC$2:$AC$201,MATCH($A99,Items!$AB$2:$AB$201,0)))</f>
        <v/>
      </c>
      <c r="C99" s="24">
        <f>IF($A99="","",INDEX(Items!$AD$2:$AD$201,MATCH($A99,Items!$AB$2:$AB$201,0)))</f>
        <v/>
      </c>
      <c r="D99" s="24">
        <f>IF($A99="","",INDEX(Items!$AE$2:$AE$201,MATCH($A99,Items!$AB$2:$AB$201,0)))</f>
        <v/>
      </c>
      <c r="E99" s="42">
        <f>IF($A99="","",INDEX(Items!$AF$2:$AF$201,MATCH($A99,Items!$AB$2:$AB$201,0)))</f>
        <v/>
      </c>
      <c r="F99" s="24">
        <f>IF($A99="","",INDEX(Items!$AI$2:$AI$201,MATCH($A99,Items!$AB$2:$AB$201,0)))</f>
        <v/>
      </c>
    </row>
    <row r="100">
      <c r="A100" s="41">
        <f>IF(ISNUMBER(MATCH(97,Items!$AB$2:$AB$201,0)),97,"")</f>
        <v/>
      </c>
      <c r="B100" s="23">
        <f>IF($A100="","",INDEX(Items!$AC$2:$AC$201,MATCH($A100,Items!$AB$2:$AB$201,0)))</f>
        <v/>
      </c>
      <c r="C100" s="24">
        <f>IF($A100="","",INDEX(Items!$AD$2:$AD$201,MATCH($A100,Items!$AB$2:$AB$201,0)))</f>
        <v/>
      </c>
      <c r="D100" s="24">
        <f>IF($A100="","",INDEX(Items!$AE$2:$AE$201,MATCH($A100,Items!$AB$2:$AB$201,0)))</f>
        <v/>
      </c>
      <c r="E100" s="42">
        <f>IF($A100="","",INDEX(Items!$AF$2:$AF$201,MATCH($A100,Items!$AB$2:$AB$201,0)))</f>
        <v/>
      </c>
      <c r="F100" s="24">
        <f>IF($A100="","",INDEX(Items!$AI$2:$AI$201,MATCH($A100,Items!$AB$2:$AB$201,0)))</f>
        <v/>
      </c>
    </row>
    <row r="101">
      <c r="A101" s="41">
        <f>IF(ISNUMBER(MATCH(98,Items!$AB$2:$AB$201,0)),98,"")</f>
        <v/>
      </c>
      <c r="B101" s="23">
        <f>IF($A101="","",INDEX(Items!$AC$2:$AC$201,MATCH($A101,Items!$AB$2:$AB$201,0)))</f>
        <v/>
      </c>
      <c r="C101" s="24">
        <f>IF($A101="","",INDEX(Items!$AD$2:$AD$201,MATCH($A101,Items!$AB$2:$AB$201,0)))</f>
        <v/>
      </c>
      <c r="D101" s="24">
        <f>IF($A101="","",INDEX(Items!$AE$2:$AE$201,MATCH($A101,Items!$AB$2:$AB$201,0)))</f>
        <v/>
      </c>
      <c r="E101" s="42">
        <f>IF($A101="","",INDEX(Items!$AF$2:$AF$201,MATCH($A101,Items!$AB$2:$AB$201,0)))</f>
        <v/>
      </c>
      <c r="F101" s="24">
        <f>IF($A101="","",INDEX(Items!$AI$2:$AI$201,MATCH($A101,Items!$AB$2:$AB$201,0)))</f>
        <v/>
      </c>
    </row>
    <row r="102">
      <c r="A102" s="41">
        <f>IF(ISNUMBER(MATCH(99,Items!$AB$2:$AB$201,0)),99,"")</f>
        <v/>
      </c>
      <c r="B102" s="23">
        <f>IF($A102="","",INDEX(Items!$AC$2:$AC$201,MATCH($A102,Items!$AB$2:$AB$201,0)))</f>
        <v/>
      </c>
      <c r="C102" s="24">
        <f>IF($A102="","",INDEX(Items!$AD$2:$AD$201,MATCH($A102,Items!$AB$2:$AB$201,0)))</f>
        <v/>
      </c>
      <c r="D102" s="24">
        <f>IF($A102="","",INDEX(Items!$AE$2:$AE$201,MATCH($A102,Items!$AB$2:$AB$201,0)))</f>
        <v/>
      </c>
      <c r="E102" s="42">
        <f>IF($A102="","",INDEX(Items!$AF$2:$AF$201,MATCH($A102,Items!$AB$2:$AB$201,0)))</f>
        <v/>
      </c>
      <c r="F102" s="24">
        <f>IF($A102="","",INDEX(Items!$AI$2:$AI$201,MATCH($A102,Items!$AB$2:$AB$201,0)))</f>
        <v/>
      </c>
    </row>
    <row r="103">
      <c r="A103" s="41">
        <f>IF(ISNUMBER(MATCH(100,Items!$AB$2:$AB$201,0)),100,"")</f>
        <v/>
      </c>
      <c r="B103" s="23">
        <f>IF($A103="","",INDEX(Items!$AC$2:$AC$201,MATCH($A103,Items!$AB$2:$AB$201,0)))</f>
        <v/>
      </c>
      <c r="C103" s="24">
        <f>IF($A103="","",INDEX(Items!$AD$2:$AD$201,MATCH($A103,Items!$AB$2:$AB$201,0)))</f>
        <v/>
      </c>
      <c r="D103" s="24">
        <f>IF($A103="","",INDEX(Items!$AE$2:$AE$201,MATCH($A103,Items!$AB$2:$AB$201,0)))</f>
        <v/>
      </c>
      <c r="E103" s="42">
        <f>IF($A103="","",INDEX(Items!$AF$2:$AF$201,MATCH($A103,Items!$AB$2:$AB$201,0)))</f>
        <v/>
      </c>
      <c r="F103" s="24">
        <f>IF($A103="","",INDEX(Items!$AI$2:$AI$201,MATCH($A103,Items!$AB$2:$AB$201,0)))</f>
        <v/>
      </c>
    </row>
    <row r="104">
      <c r="A104" s="41">
        <f>IF(ISNUMBER(MATCH(101,Items!$AB$2:$AB$201,0)),101,"")</f>
        <v/>
      </c>
      <c r="B104" s="23">
        <f>IF($A104="","",INDEX(Items!$AC$2:$AC$201,MATCH($A104,Items!$AB$2:$AB$201,0)))</f>
        <v/>
      </c>
      <c r="C104" s="24">
        <f>IF($A104="","",INDEX(Items!$AD$2:$AD$201,MATCH($A104,Items!$AB$2:$AB$201,0)))</f>
        <v/>
      </c>
      <c r="D104" s="24">
        <f>IF($A104="","",INDEX(Items!$AE$2:$AE$201,MATCH($A104,Items!$AB$2:$AB$201,0)))</f>
        <v/>
      </c>
      <c r="E104" s="42">
        <f>IF($A104="","",INDEX(Items!$AF$2:$AF$201,MATCH($A104,Items!$AB$2:$AB$201,0)))</f>
        <v/>
      </c>
      <c r="F104" s="24">
        <f>IF($A104="","",INDEX(Items!$AI$2:$AI$201,MATCH($A104,Items!$AB$2:$AB$201,0)))</f>
        <v/>
      </c>
    </row>
    <row r="105">
      <c r="A105" s="41">
        <f>IF(ISNUMBER(MATCH(102,Items!$AB$2:$AB$201,0)),102,"")</f>
        <v/>
      </c>
      <c r="B105" s="23">
        <f>IF($A105="","",INDEX(Items!$AC$2:$AC$201,MATCH($A105,Items!$AB$2:$AB$201,0)))</f>
        <v/>
      </c>
      <c r="C105" s="24">
        <f>IF($A105="","",INDEX(Items!$AD$2:$AD$201,MATCH($A105,Items!$AB$2:$AB$201,0)))</f>
        <v/>
      </c>
      <c r="D105" s="24">
        <f>IF($A105="","",INDEX(Items!$AE$2:$AE$201,MATCH($A105,Items!$AB$2:$AB$201,0)))</f>
        <v/>
      </c>
      <c r="E105" s="42">
        <f>IF($A105="","",INDEX(Items!$AF$2:$AF$201,MATCH($A105,Items!$AB$2:$AB$201,0)))</f>
        <v/>
      </c>
      <c r="F105" s="24">
        <f>IF($A105="","",INDEX(Items!$AI$2:$AI$201,MATCH($A105,Items!$AB$2:$AB$201,0)))</f>
        <v/>
      </c>
    </row>
    <row r="106">
      <c r="A106" s="41">
        <f>IF(ISNUMBER(MATCH(103,Items!$AB$2:$AB$201,0)),103,"")</f>
        <v/>
      </c>
      <c r="B106" s="23">
        <f>IF($A106="","",INDEX(Items!$AC$2:$AC$201,MATCH($A106,Items!$AB$2:$AB$201,0)))</f>
        <v/>
      </c>
      <c r="C106" s="24">
        <f>IF($A106="","",INDEX(Items!$AD$2:$AD$201,MATCH($A106,Items!$AB$2:$AB$201,0)))</f>
        <v/>
      </c>
      <c r="D106" s="24">
        <f>IF($A106="","",INDEX(Items!$AE$2:$AE$201,MATCH($A106,Items!$AB$2:$AB$201,0)))</f>
        <v/>
      </c>
      <c r="E106" s="42">
        <f>IF($A106="","",INDEX(Items!$AF$2:$AF$201,MATCH($A106,Items!$AB$2:$AB$201,0)))</f>
        <v/>
      </c>
      <c r="F106" s="24">
        <f>IF($A106="","",INDEX(Items!$AI$2:$AI$201,MATCH($A106,Items!$AB$2:$AB$201,0)))</f>
        <v/>
      </c>
    </row>
    <row r="107">
      <c r="A107" s="41">
        <f>IF(ISNUMBER(MATCH(104,Items!$AB$2:$AB$201,0)),104,"")</f>
        <v/>
      </c>
      <c r="B107" s="23">
        <f>IF($A107="","",INDEX(Items!$AC$2:$AC$201,MATCH($A107,Items!$AB$2:$AB$201,0)))</f>
        <v/>
      </c>
      <c r="C107" s="24">
        <f>IF($A107="","",INDEX(Items!$AD$2:$AD$201,MATCH($A107,Items!$AB$2:$AB$201,0)))</f>
        <v/>
      </c>
      <c r="D107" s="24">
        <f>IF($A107="","",INDEX(Items!$AE$2:$AE$201,MATCH($A107,Items!$AB$2:$AB$201,0)))</f>
        <v/>
      </c>
      <c r="E107" s="42">
        <f>IF($A107="","",INDEX(Items!$AF$2:$AF$201,MATCH($A107,Items!$AB$2:$AB$201,0)))</f>
        <v/>
      </c>
      <c r="F107" s="24">
        <f>IF($A107="","",INDEX(Items!$AI$2:$AI$201,MATCH($A107,Items!$AB$2:$AB$201,0)))</f>
        <v/>
      </c>
    </row>
    <row r="108">
      <c r="A108" s="41">
        <f>IF(ISNUMBER(MATCH(105,Items!$AB$2:$AB$201,0)),105,"")</f>
        <v/>
      </c>
      <c r="B108" s="23">
        <f>IF($A108="","",INDEX(Items!$AC$2:$AC$201,MATCH($A108,Items!$AB$2:$AB$201,0)))</f>
        <v/>
      </c>
      <c r="C108" s="24">
        <f>IF($A108="","",INDEX(Items!$AD$2:$AD$201,MATCH($A108,Items!$AB$2:$AB$201,0)))</f>
        <v/>
      </c>
      <c r="D108" s="24">
        <f>IF($A108="","",INDEX(Items!$AE$2:$AE$201,MATCH($A108,Items!$AB$2:$AB$201,0)))</f>
        <v/>
      </c>
      <c r="E108" s="42">
        <f>IF($A108="","",INDEX(Items!$AF$2:$AF$201,MATCH($A108,Items!$AB$2:$AB$201,0)))</f>
        <v/>
      </c>
      <c r="F108" s="24">
        <f>IF($A108="","",INDEX(Items!$AI$2:$AI$201,MATCH($A108,Items!$AB$2:$AB$201,0)))</f>
        <v/>
      </c>
    </row>
    <row r="109">
      <c r="A109" s="41">
        <f>IF(ISNUMBER(MATCH(106,Items!$AB$2:$AB$201,0)),106,"")</f>
        <v/>
      </c>
      <c r="B109" s="23">
        <f>IF($A109="","",INDEX(Items!$AC$2:$AC$201,MATCH($A109,Items!$AB$2:$AB$201,0)))</f>
        <v/>
      </c>
      <c r="C109" s="24">
        <f>IF($A109="","",INDEX(Items!$AD$2:$AD$201,MATCH($A109,Items!$AB$2:$AB$201,0)))</f>
        <v/>
      </c>
      <c r="D109" s="24">
        <f>IF($A109="","",INDEX(Items!$AE$2:$AE$201,MATCH($A109,Items!$AB$2:$AB$201,0)))</f>
        <v/>
      </c>
      <c r="E109" s="42">
        <f>IF($A109="","",INDEX(Items!$AF$2:$AF$201,MATCH($A109,Items!$AB$2:$AB$201,0)))</f>
        <v/>
      </c>
      <c r="F109" s="24">
        <f>IF($A109="","",INDEX(Items!$AI$2:$AI$201,MATCH($A109,Items!$AB$2:$AB$201,0)))</f>
        <v/>
      </c>
    </row>
    <row r="110">
      <c r="A110" s="41">
        <f>IF(ISNUMBER(MATCH(107,Items!$AB$2:$AB$201,0)),107,"")</f>
        <v/>
      </c>
      <c r="B110" s="23">
        <f>IF($A110="","",INDEX(Items!$AC$2:$AC$201,MATCH($A110,Items!$AB$2:$AB$201,0)))</f>
        <v/>
      </c>
      <c r="C110" s="24">
        <f>IF($A110="","",INDEX(Items!$AD$2:$AD$201,MATCH($A110,Items!$AB$2:$AB$201,0)))</f>
        <v/>
      </c>
      <c r="D110" s="24">
        <f>IF($A110="","",INDEX(Items!$AE$2:$AE$201,MATCH($A110,Items!$AB$2:$AB$201,0)))</f>
        <v/>
      </c>
      <c r="E110" s="42">
        <f>IF($A110="","",INDEX(Items!$AF$2:$AF$201,MATCH($A110,Items!$AB$2:$AB$201,0)))</f>
        <v/>
      </c>
      <c r="F110" s="24">
        <f>IF($A110="","",INDEX(Items!$AI$2:$AI$201,MATCH($A110,Items!$AB$2:$AB$201,0)))</f>
        <v/>
      </c>
    </row>
    <row r="111">
      <c r="A111" s="41">
        <f>IF(ISNUMBER(MATCH(108,Items!$AB$2:$AB$201,0)),108,"")</f>
        <v/>
      </c>
      <c r="B111" s="23">
        <f>IF($A111="","",INDEX(Items!$AC$2:$AC$201,MATCH($A111,Items!$AB$2:$AB$201,0)))</f>
        <v/>
      </c>
      <c r="C111" s="24">
        <f>IF($A111="","",INDEX(Items!$AD$2:$AD$201,MATCH($A111,Items!$AB$2:$AB$201,0)))</f>
        <v/>
      </c>
      <c r="D111" s="24">
        <f>IF($A111="","",INDEX(Items!$AE$2:$AE$201,MATCH($A111,Items!$AB$2:$AB$201,0)))</f>
        <v/>
      </c>
      <c r="E111" s="42">
        <f>IF($A111="","",INDEX(Items!$AF$2:$AF$201,MATCH($A111,Items!$AB$2:$AB$201,0)))</f>
        <v/>
      </c>
      <c r="F111" s="24">
        <f>IF($A111="","",INDEX(Items!$AI$2:$AI$201,MATCH($A111,Items!$AB$2:$AB$201,0)))</f>
        <v/>
      </c>
    </row>
    <row r="112">
      <c r="A112" s="41">
        <f>IF(ISNUMBER(MATCH(109,Items!$AB$2:$AB$201,0)),109,"")</f>
        <v/>
      </c>
      <c r="B112" s="23">
        <f>IF($A112="","",INDEX(Items!$AC$2:$AC$201,MATCH($A112,Items!$AB$2:$AB$201,0)))</f>
        <v/>
      </c>
      <c r="C112" s="24">
        <f>IF($A112="","",INDEX(Items!$AD$2:$AD$201,MATCH($A112,Items!$AB$2:$AB$201,0)))</f>
        <v/>
      </c>
      <c r="D112" s="24">
        <f>IF($A112="","",INDEX(Items!$AE$2:$AE$201,MATCH($A112,Items!$AB$2:$AB$201,0)))</f>
        <v/>
      </c>
      <c r="E112" s="42">
        <f>IF($A112="","",INDEX(Items!$AF$2:$AF$201,MATCH($A112,Items!$AB$2:$AB$201,0)))</f>
        <v/>
      </c>
      <c r="F112" s="24">
        <f>IF($A112="","",INDEX(Items!$AI$2:$AI$201,MATCH($A112,Items!$AB$2:$AB$201,0)))</f>
        <v/>
      </c>
    </row>
    <row r="113">
      <c r="A113" s="41">
        <f>IF(ISNUMBER(MATCH(110,Items!$AB$2:$AB$201,0)),110,"")</f>
        <v/>
      </c>
      <c r="B113" s="23">
        <f>IF($A113="","",INDEX(Items!$AC$2:$AC$201,MATCH($A113,Items!$AB$2:$AB$201,0)))</f>
        <v/>
      </c>
      <c r="C113" s="24">
        <f>IF($A113="","",INDEX(Items!$AD$2:$AD$201,MATCH($A113,Items!$AB$2:$AB$201,0)))</f>
        <v/>
      </c>
      <c r="D113" s="24">
        <f>IF($A113="","",INDEX(Items!$AE$2:$AE$201,MATCH($A113,Items!$AB$2:$AB$201,0)))</f>
        <v/>
      </c>
      <c r="E113" s="42">
        <f>IF($A113="","",INDEX(Items!$AF$2:$AF$201,MATCH($A113,Items!$AB$2:$AB$201,0)))</f>
        <v/>
      </c>
      <c r="F113" s="24">
        <f>IF($A113="","",INDEX(Items!$AI$2:$AI$201,MATCH($A113,Items!$AB$2:$AB$201,0)))</f>
        <v/>
      </c>
    </row>
    <row r="114">
      <c r="A114" s="41">
        <f>IF(ISNUMBER(MATCH(111,Items!$AB$2:$AB$201,0)),111,"")</f>
        <v/>
      </c>
      <c r="B114" s="23">
        <f>IF($A114="","",INDEX(Items!$AC$2:$AC$201,MATCH($A114,Items!$AB$2:$AB$201,0)))</f>
        <v/>
      </c>
      <c r="C114" s="24">
        <f>IF($A114="","",INDEX(Items!$AD$2:$AD$201,MATCH($A114,Items!$AB$2:$AB$201,0)))</f>
        <v/>
      </c>
      <c r="D114" s="24">
        <f>IF($A114="","",INDEX(Items!$AE$2:$AE$201,MATCH($A114,Items!$AB$2:$AB$201,0)))</f>
        <v/>
      </c>
      <c r="E114" s="42">
        <f>IF($A114="","",INDEX(Items!$AF$2:$AF$201,MATCH($A114,Items!$AB$2:$AB$201,0)))</f>
        <v/>
      </c>
      <c r="F114" s="24">
        <f>IF($A114="","",INDEX(Items!$AI$2:$AI$201,MATCH($A114,Items!$AB$2:$AB$201,0)))</f>
        <v/>
      </c>
    </row>
    <row r="115">
      <c r="A115" s="41">
        <f>IF(ISNUMBER(MATCH(112,Items!$AB$2:$AB$201,0)),112,"")</f>
        <v/>
      </c>
      <c r="B115" s="23">
        <f>IF($A115="","",INDEX(Items!$AC$2:$AC$201,MATCH($A115,Items!$AB$2:$AB$201,0)))</f>
        <v/>
      </c>
      <c r="C115" s="24">
        <f>IF($A115="","",INDEX(Items!$AD$2:$AD$201,MATCH($A115,Items!$AB$2:$AB$201,0)))</f>
        <v/>
      </c>
      <c r="D115" s="24">
        <f>IF($A115="","",INDEX(Items!$AE$2:$AE$201,MATCH($A115,Items!$AB$2:$AB$201,0)))</f>
        <v/>
      </c>
      <c r="E115" s="42">
        <f>IF($A115="","",INDEX(Items!$AF$2:$AF$201,MATCH($A115,Items!$AB$2:$AB$201,0)))</f>
        <v/>
      </c>
      <c r="F115" s="24">
        <f>IF($A115="","",INDEX(Items!$AI$2:$AI$201,MATCH($A115,Items!$AB$2:$AB$201,0)))</f>
        <v/>
      </c>
    </row>
    <row r="116">
      <c r="A116" s="41">
        <f>IF(ISNUMBER(MATCH(113,Items!$AB$2:$AB$201,0)),113,"")</f>
        <v/>
      </c>
      <c r="B116" s="23">
        <f>IF($A116="","",INDEX(Items!$AC$2:$AC$201,MATCH($A116,Items!$AB$2:$AB$201,0)))</f>
        <v/>
      </c>
      <c r="C116" s="24">
        <f>IF($A116="","",INDEX(Items!$AD$2:$AD$201,MATCH($A116,Items!$AB$2:$AB$201,0)))</f>
        <v/>
      </c>
      <c r="D116" s="24">
        <f>IF($A116="","",INDEX(Items!$AE$2:$AE$201,MATCH($A116,Items!$AB$2:$AB$201,0)))</f>
        <v/>
      </c>
      <c r="E116" s="42">
        <f>IF($A116="","",INDEX(Items!$AF$2:$AF$201,MATCH($A116,Items!$AB$2:$AB$201,0)))</f>
        <v/>
      </c>
      <c r="F116" s="24">
        <f>IF($A116="","",INDEX(Items!$AI$2:$AI$201,MATCH($A116,Items!$AB$2:$AB$201,0)))</f>
        <v/>
      </c>
    </row>
    <row r="117">
      <c r="A117" s="41">
        <f>IF(ISNUMBER(MATCH(114,Items!$AB$2:$AB$201,0)),114,"")</f>
        <v/>
      </c>
      <c r="B117" s="23">
        <f>IF($A117="","",INDEX(Items!$AC$2:$AC$201,MATCH($A117,Items!$AB$2:$AB$201,0)))</f>
        <v/>
      </c>
      <c r="C117" s="24">
        <f>IF($A117="","",INDEX(Items!$AD$2:$AD$201,MATCH($A117,Items!$AB$2:$AB$201,0)))</f>
        <v/>
      </c>
      <c r="D117" s="24">
        <f>IF($A117="","",INDEX(Items!$AE$2:$AE$201,MATCH($A117,Items!$AB$2:$AB$201,0)))</f>
        <v/>
      </c>
      <c r="E117" s="42">
        <f>IF($A117="","",INDEX(Items!$AF$2:$AF$201,MATCH($A117,Items!$AB$2:$AB$201,0)))</f>
        <v/>
      </c>
      <c r="F117" s="24">
        <f>IF($A117="","",INDEX(Items!$AI$2:$AI$201,MATCH($A117,Items!$AB$2:$AB$201,0)))</f>
        <v/>
      </c>
    </row>
    <row r="118">
      <c r="A118" s="41">
        <f>IF(ISNUMBER(MATCH(115,Items!$AB$2:$AB$201,0)),115,"")</f>
        <v/>
      </c>
      <c r="B118" s="23">
        <f>IF($A118="","",INDEX(Items!$AC$2:$AC$201,MATCH($A118,Items!$AB$2:$AB$201,0)))</f>
        <v/>
      </c>
      <c r="C118" s="24">
        <f>IF($A118="","",INDEX(Items!$AD$2:$AD$201,MATCH($A118,Items!$AB$2:$AB$201,0)))</f>
        <v/>
      </c>
      <c r="D118" s="24">
        <f>IF($A118="","",INDEX(Items!$AE$2:$AE$201,MATCH($A118,Items!$AB$2:$AB$201,0)))</f>
        <v/>
      </c>
      <c r="E118" s="42">
        <f>IF($A118="","",INDEX(Items!$AF$2:$AF$201,MATCH($A118,Items!$AB$2:$AB$201,0)))</f>
        <v/>
      </c>
      <c r="F118" s="24">
        <f>IF($A118="","",INDEX(Items!$AI$2:$AI$201,MATCH($A118,Items!$AB$2:$AB$201,0)))</f>
        <v/>
      </c>
    </row>
    <row r="119">
      <c r="A119" s="41">
        <f>IF(ISNUMBER(MATCH(116,Items!$AB$2:$AB$201,0)),116,"")</f>
        <v/>
      </c>
      <c r="B119" s="23">
        <f>IF($A119="","",INDEX(Items!$AC$2:$AC$201,MATCH($A119,Items!$AB$2:$AB$201,0)))</f>
        <v/>
      </c>
      <c r="C119" s="24">
        <f>IF($A119="","",INDEX(Items!$AD$2:$AD$201,MATCH($A119,Items!$AB$2:$AB$201,0)))</f>
        <v/>
      </c>
      <c r="D119" s="24">
        <f>IF($A119="","",INDEX(Items!$AE$2:$AE$201,MATCH($A119,Items!$AB$2:$AB$201,0)))</f>
        <v/>
      </c>
      <c r="E119" s="42">
        <f>IF($A119="","",INDEX(Items!$AF$2:$AF$201,MATCH($A119,Items!$AB$2:$AB$201,0)))</f>
        <v/>
      </c>
      <c r="F119" s="24">
        <f>IF($A119="","",INDEX(Items!$AI$2:$AI$201,MATCH($A119,Items!$AB$2:$AB$201,0)))</f>
        <v/>
      </c>
    </row>
    <row r="120">
      <c r="A120" s="41">
        <f>IF(ISNUMBER(MATCH(117,Items!$AB$2:$AB$201,0)),117,"")</f>
        <v/>
      </c>
      <c r="B120" s="23">
        <f>IF($A120="","",INDEX(Items!$AC$2:$AC$201,MATCH($A120,Items!$AB$2:$AB$201,0)))</f>
        <v/>
      </c>
      <c r="C120" s="24">
        <f>IF($A120="","",INDEX(Items!$AD$2:$AD$201,MATCH($A120,Items!$AB$2:$AB$201,0)))</f>
        <v/>
      </c>
      <c r="D120" s="24">
        <f>IF($A120="","",INDEX(Items!$AE$2:$AE$201,MATCH($A120,Items!$AB$2:$AB$201,0)))</f>
        <v/>
      </c>
      <c r="E120" s="42">
        <f>IF($A120="","",INDEX(Items!$AF$2:$AF$201,MATCH($A120,Items!$AB$2:$AB$201,0)))</f>
        <v/>
      </c>
      <c r="F120" s="24">
        <f>IF($A120="","",INDEX(Items!$AI$2:$AI$201,MATCH($A120,Items!$AB$2:$AB$201,0)))</f>
        <v/>
      </c>
    </row>
    <row r="121">
      <c r="A121" s="41">
        <f>IF(ISNUMBER(MATCH(118,Items!$AB$2:$AB$201,0)),118,"")</f>
        <v/>
      </c>
      <c r="B121" s="23">
        <f>IF($A121="","",INDEX(Items!$AC$2:$AC$201,MATCH($A121,Items!$AB$2:$AB$201,0)))</f>
        <v/>
      </c>
      <c r="C121" s="24">
        <f>IF($A121="","",INDEX(Items!$AD$2:$AD$201,MATCH($A121,Items!$AB$2:$AB$201,0)))</f>
        <v/>
      </c>
      <c r="D121" s="24">
        <f>IF($A121="","",INDEX(Items!$AE$2:$AE$201,MATCH($A121,Items!$AB$2:$AB$201,0)))</f>
        <v/>
      </c>
      <c r="E121" s="42">
        <f>IF($A121="","",INDEX(Items!$AF$2:$AF$201,MATCH($A121,Items!$AB$2:$AB$201,0)))</f>
        <v/>
      </c>
      <c r="F121" s="24">
        <f>IF($A121="","",INDEX(Items!$AI$2:$AI$201,MATCH($A121,Items!$AB$2:$AB$201,0)))</f>
        <v/>
      </c>
    </row>
    <row r="122">
      <c r="A122" s="41">
        <f>IF(ISNUMBER(MATCH(119,Items!$AB$2:$AB$201,0)),119,"")</f>
        <v/>
      </c>
      <c r="B122" s="23">
        <f>IF($A122="","",INDEX(Items!$AC$2:$AC$201,MATCH($A122,Items!$AB$2:$AB$201,0)))</f>
        <v/>
      </c>
      <c r="C122" s="24">
        <f>IF($A122="","",INDEX(Items!$AD$2:$AD$201,MATCH($A122,Items!$AB$2:$AB$201,0)))</f>
        <v/>
      </c>
      <c r="D122" s="24">
        <f>IF($A122="","",INDEX(Items!$AE$2:$AE$201,MATCH($A122,Items!$AB$2:$AB$201,0)))</f>
        <v/>
      </c>
      <c r="E122" s="42">
        <f>IF($A122="","",INDEX(Items!$AF$2:$AF$201,MATCH($A122,Items!$AB$2:$AB$201,0)))</f>
        <v/>
      </c>
      <c r="F122" s="24">
        <f>IF($A122="","",INDEX(Items!$AI$2:$AI$201,MATCH($A122,Items!$AB$2:$AB$201,0)))</f>
        <v/>
      </c>
    </row>
    <row r="123">
      <c r="A123" s="41">
        <f>IF(ISNUMBER(MATCH(120,Items!$AB$2:$AB$201,0)),120,"")</f>
        <v/>
      </c>
      <c r="B123" s="23">
        <f>IF($A123="","",INDEX(Items!$AC$2:$AC$201,MATCH($A123,Items!$AB$2:$AB$201,0)))</f>
        <v/>
      </c>
      <c r="C123" s="24">
        <f>IF($A123="","",INDEX(Items!$AD$2:$AD$201,MATCH($A123,Items!$AB$2:$AB$201,0)))</f>
        <v/>
      </c>
      <c r="D123" s="24">
        <f>IF($A123="","",INDEX(Items!$AE$2:$AE$201,MATCH($A123,Items!$AB$2:$AB$201,0)))</f>
        <v/>
      </c>
      <c r="E123" s="42">
        <f>IF($A123="","",INDEX(Items!$AF$2:$AF$201,MATCH($A123,Items!$AB$2:$AB$201,0)))</f>
        <v/>
      </c>
      <c r="F123" s="24">
        <f>IF($A123="","",INDEX(Items!$AI$2:$AI$201,MATCH($A123,Items!$AB$2:$AB$201,0)))</f>
        <v/>
      </c>
    </row>
    <row r="124">
      <c r="A124" s="41">
        <f>IF(ISNUMBER(MATCH(121,Items!$AB$2:$AB$201,0)),121,"")</f>
        <v/>
      </c>
      <c r="B124" s="23">
        <f>IF($A124="","",INDEX(Items!$AC$2:$AC$201,MATCH($A124,Items!$AB$2:$AB$201,0)))</f>
        <v/>
      </c>
      <c r="C124" s="24">
        <f>IF($A124="","",INDEX(Items!$AD$2:$AD$201,MATCH($A124,Items!$AB$2:$AB$201,0)))</f>
        <v/>
      </c>
      <c r="D124" s="24">
        <f>IF($A124="","",INDEX(Items!$AE$2:$AE$201,MATCH($A124,Items!$AB$2:$AB$201,0)))</f>
        <v/>
      </c>
      <c r="E124" s="42">
        <f>IF($A124="","",INDEX(Items!$AF$2:$AF$201,MATCH($A124,Items!$AB$2:$AB$201,0)))</f>
        <v/>
      </c>
      <c r="F124" s="24">
        <f>IF($A124="","",INDEX(Items!$AI$2:$AI$201,MATCH($A124,Items!$AB$2:$AB$201,0)))</f>
        <v/>
      </c>
    </row>
    <row r="125">
      <c r="A125" s="41">
        <f>IF(ISNUMBER(MATCH(122,Items!$AB$2:$AB$201,0)),122,"")</f>
        <v/>
      </c>
      <c r="B125" s="23">
        <f>IF($A125="","",INDEX(Items!$AC$2:$AC$201,MATCH($A125,Items!$AB$2:$AB$201,0)))</f>
        <v/>
      </c>
      <c r="C125" s="24">
        <f>IF($A125="","",INDEX(Items!$AD$2:$AD$201,MATCH($A125,Items!$AB$2:$AB$201,0)))</f>
        <v/>
      </c>
      <c r="D125" s="24">
        <f>IF($A125="","",INDEX(Items!$AE$2:$AE$201,MATCH($A125,Items!$AB$2:$AB$201,0)))</f>
        <v/>
      </c>
      <c r="E125" s="42">
        <f>IF($A125="","",INDEX(Items!$AF$2:$AF$201,MATCH($A125,Items!$AB$2:$AB$201,0)))</f>
        <v/>
      </c>
      <c r="F125" s="24">
        <f>IF($A125="","",INDEX(Items!$AI$2:$AI$201,MATCH($A125,Items!$AB$2:$AB$201,0)))</f>
        <v/>
      </c>
    </row>
    <row r="126">
      <c r="A126" s="41">
        <f>IF(ISNUMBER(MATCH(123,Items!$AB$2:$AB$201,0)),123,"")</f>
        <v/>
      </c>
      <c r="B126" s="23">
        <f>IF($A126="","",INDEX(Items!$AC$2:$AC$201,MATCH($A126,Items!$AB$2:$AB$201,0)))</f>
        <v/>
      </c>
      <c r="C126" s="24">
        <f>IF($A126="","",INDEX(Items!$AD$2:$AD$201,MATCH($A126,Items!$AB$2:$AB$201,0)))</f>
        <v/>
      </c>
      <c r="D126" s="24">
        <f>IF($A126="","",INDEX(Items!$AE$2:$AE$201,MATCH($A126,Items!$AB$2:$AB$201,0)))</f>
        <v/>
      </c>
      <c r="E126" s="42">
        <f>IF($A126="","",INDEX(Items!$AF$2:$AF$201,MATCH($A126,Items!$AB$2:$AB$201,0)))</f>
        <v/>
      </c>
      <c r="F126" s="24">
        <f>IF($A126="","",INDEX(Items!$AI$2:$AI$201,MATCH($A126,Items!$AB$2:$AB$201,0)))</f>
        <v/>
      </c>
    </row>
    <row r="127">
      <c r="A127" s="41">
        <f>IF(ISNUMBER(MATCH(124,Items!$AB$2:$AB$201,0)),124,"")</f>
        <v/>
      </c>
      <c r="B127" s="23">
        <f>IF($A127="","",INDEX(Items!$AC$2:$AC$201,MATCH($A127,Items!$AB$2:$AB$201,0)))</f>
        <v/>
      </c>
      <c r="C127" s="24">
        <f>IF($A127="","",INDEX(Items!$AD$2:$AD$201,MATCH($A127,Items!$AB$2:$AB$201,0)))</f>
        <v/>
      </c>
      <c r="D127" s="24">
        <f>IF($A127="","",INDEX(Items!$AE$2:$AE$201,MATCH($A127,Items!$AB$2:$AB$201,0)))</f>
        <v/>
      </c>
      <c r="E127" s="42">
        <f>IF($A127="","",INDEX(Items!$AF$2:$AF$201,MATCH($A127,Items!$AB$2:$AB$201,0)))</f>
        <v/>
      </c>
      <c r="F127" s="24">
        <f>IF($A127="","",INDEX(Items!$AI$2:$AI$201,MATCH($A127,Items!$AB$2:$AB$201,0)))</f>
        <v/>
      </c>
    </row>
    <row r="128">
      <c r="A128" s="41">
        <f>IF(ISNUMBER(MATCH(125,Items!$AB$2:$AB$201,0)),125,"")</f>
        <v/>
      </c>
      <c r="B128" s="23">
        <f>IF($A128="","",INDEX(Items!$AC$2:$AC$201,MATCH($A128,Items!$AB$2:$AB$201,0)))</f>
        <v/>
      </c>
      <c r="C128" s="24">
        <f>IF($A128="","",INDEX(Items!$AD$2:$AD$201,MATCH($A128,Items!$AB$2:$AB$201,0)))</f>
        <v/>
      </c>
      <c r="D128" s="24">
        <f>IF($A128="","",INDEX(Items!$AE$2:$AE$201,MATCH($A128,Items!$AB$2:$AB$201,0)))</f>
        <v/>
      </c>
      <c r="E128" s="42">
        <f>IF($A128="","",INDEX(Items!$AF$2:$AF$201,MATCH($A128,Items!$AB$2:$AB$201,0)))</f>
        <v/>
      </c>
      <c r="F128" s="24">
        <f>IF($A128="","",INDEX(Items!$AI$2:$AI$201,MATCH($A128,Items!$AB$2:$AB$201,0)))</f>
        <v/>
      </c>
    </row>
    <row r="129">
      <c r="A129" s="41">
        <f>IF(ISNUMBER(MATCH(126,Items!$AB$2:$AB$201,0)),126,"")</f>
        <v/>
      </c>
      <c r="B129" s="23">
        <f>IF($A129="","",INDEX(Items!$AC$2:$AC$201,MATCH($A129,Items!$AB$2:$AB$201,0)))</f>
        <v/>
      </c>
      <c r="C129" s="24">
        <f>IF($A129="","",INDEX(Items!$AD$2:$AD$201,MATCH($A129,Items!$AB$2:$AB$201,0)))</f>
        <v/>
      </c>
      <c r="D129" s="24">
        <f>IF($A129="","",INDEX(Items!$AE$2:$AE$201,MATCH($A129,Items!$AB$2:$AB$201,0)))</f>
        <v/>
      </c>
      <c r="E129" s="42">
        <f>IF($A129="","",INDEX(Items!$AF$2:$AF$201,MATCH($A129,Items!$AB$2:$AB$201,0)))</f>
        <v/>
      </c>
      <c r="F129" s="24">
        <f>IF($A129="","",INDEX(Items!$AI$2:$AI$201,MATCH($A129,Items!$AB$2:$AB$201,0)))</f>
        <v/>
      </c>
    </row>
    <row r="130">
      <c r="A130" s="41">
        <f>IF(ISNUMBER(MATCH(127,Items!$AB$2:$AB$201,0)),127,"")</f>
        <v/>
      </c>
      <c r="B130" s="23">
        <f>IF($A130="","",INDEX(Items!$AC$2:$AC$201,MATCH($A130,Items!$AB$2:$AB$201,0)))</f>
        <v/>
      </c>
      <c r="C130" s="24">
        <f>IF($A130="","",INDEX(Items!$AD$2:$AD$201,MATCH($A130,Items!$AB$2:$AB$201,0)))</f>
        <v/>
      </c>
      <c r="D130" s="24">
        <f>IF($A130="","",INDEX(Items!$AE$2:$AE$201,MATCH($A130,Items!$AB$2:$AB$201,0)))</f>
        <v/>
      </c>
      <c r="E130" s="42">
        <f>IF($A130="","",INDEX(Items!$AF$2:$AF$201,MATCH($A130,Items!$AB$2:$AB$201,0)))</f>
        <v/>
      </c>
      <c r="F130" s="24">
        <f>IF($A130="","",INDEX(Items!$AI$2:$AI$201,MATCH($A130,Items!$AB$2:$AB$201,0)))</f>
        <v/>
      </c>
    </row>
    <row r="131">
      <c r="A131" s="41">
        <f>IF(ISNUMBER(MATCH(128,Items!$AB$2:$AB$201,0)),128,"")</f>
        <v/>
      </c>
      <c r="B131" s="23">
        <f>IF($A131="","",INDEX(Items!$AC$2:$AC$201,MATCH($A131,Items!$AB$2:$AB$201,0)))</f>
        <v/>
      </c>
      <c r="C131" s="24">
        <f>IF($A131="","",INDEX(Items!$AD$2:$AD$201,MATCH($A131,Items!$AB$2:$AB$201,0)))</f>
        <v/>
      </c>
      <c r="D131" s="24">
        <f>IF($A131="","",INDEX(Items!$AE$2:$AE$201,MATCH($A131,Items!$AB$2:$AB$201,0)))</f>
        <v/>
      </c>
      <c r="E131" s="42">
        <f>IF($A131="","",INDEX(Items!$AF$2:$AF$201,MATCH($A131,Items!$AB$2:$AB$201,0)))</f>
        <v/>
      </c>
      <c r="F131" s="24">
        <f>IF($A131="","",INDEX(Items!$AI$2:$AI$201,MATCH($A131,Items!$AB$2:$AB$201,0)))</f>
        <v/>
      </c>
    </row>
    <row r="132">
      <c r="A132" s="41">
        <f>IF(ISNUMBER(MATCH(129,Items!$AB$2:$AB$201,0)),129,"")</f>
        <v/>
      </c>
      <c r="B132" s="23">
        <f>IF($A132="","",INDEX(Items!$AC$2:$AC$201,MATCH($A132,Items!$AB$2:$AB$201,0)))</f>
        <v/>
      </c>
      <c r="C132" s="24">
        <f>IF($A132="","",INDEX(Items!$AD$2:$AD$201,MATCH($A132,Items!$AB$2:$AB$201,0)))</f>
        <v/>
      </c>
      <c r="D132" s="24">
        <f>IF($A132="","",INDEX(Items!$AE$2:$AE$201,MATCH($A132,Items!$AB$2:$AB$201,0)))</f>
        <v/>
      </c>
      <c r="E132" s="42">
        <f>IF($A132="","",INDEX(Items!$AF$2:$AF$201,MATCH($A132,Items!$AB$2:$AB$201,0)))</f>
        <v/>
      </c>
      <c r="F132" s="24">
        <f>IF($A132="","",INDEX(Items!$AI$2:$AI$201,MATCH($A132,Items!$AB$2:$AB$201,0)))</f>
        <v/>
      </c>
    </row>
    <row r="133">
      <c r="A133" s="41">
        <f>IF(ISNUMBER(MATCH(130,Items!$AB$2:$AB$201,0)),130,"")</f>
        <v/>
      </c>
      <c r="B133" s="23">
        <f>IF($A133="","",INDEX(Items!$AC$2:$AC$201,MATCH($A133,Items!$AB$2:$AB$201,0)))</f>
        <v/>
      </c>
      <c r="C133" s="24">
        <f>IF($A133="","",INDEX(Items!$AD$2:$AD$201,MATCH($A133,Items!$AB$2:$AB$201,0)))</f>
        <v/>
      </c>
      <c r="D133" s="24">
        <f>IF($A133="","",INDEX(Items!$AE$2:$AE$201,MATCH($A133,Items!$AB$2:$AB$201,0)))</f>
        <v/>
      </c>
      <c r="E133" s="42">
        <f>IF($A133="","",INDEX(Items!$AF$2:$AF$201,MATCH($A133,Items!$AB$2:$AB$201,0)))</f>
        <v/>
      </c>
      <c r="F133" s="24">
        <f>IF($A133="","",INDEX(Items!$AI$2:$AI$201,MATCH($A133,Items!$AB$2:$AB$201,0)))</f>
        <v/>
      </c>
    </row>
    <row r="134">
      <c r="A134" s="41">
        <f>IF(ISNUMBER(MATCH(131,Items!$AB$2:$AB$201,0)),131,"")</f>
        <v/>
      </c>
      <c r="B134" s="23">
        <f>IF($A134="","",INDEX(Items!$AC$2:$AC$201,MATCH($A134,Items!$AB$2:$AB$201,0)))</f>
        <v/>
      </c>
      <c r="C134" s="24">
        <f>IF($A134="","",INDEX(Items!$AD$2:$AD$201,MATCH($A134,Items!$AB$2:$AB$201,0)))</f>
        <v/>
      </c>
      <c r="D134" s="24">
        <f>IF($A134="","",INDEX(Items!$AE$2:$AE$201,MATCH($A134,Items!$AB$2:$AB$201,0)))</f>
        <v/>
      </c>
      <c r="E134" s="42">
        <f>IF($A134="","",INDEX(Items!$AF$2:$AF$201,MATCH($A134,Items!$AB$2:$AB$201,0)))</f>
        <v/>
      </c>
      <c r="F134" s="24">
        <f>IF($A134="","",INDEX(Items!$AI$2:$AI$201,MATCH($A134,Items!$AB$2:$AB$201,0)))</f>
        <v/>
      </c>
    </row>
    <row r="135">
      <c r="A135" s="41">
        <f>IF(ISNUMBER(MATCH(132,Items!$AB$2:$AB$201,0)),132,"")</f>
        <v/>
      </c>
      <c r="B135" s="23">
        <f>IF($A135="","",INDEX(Items!$AC$2:$AC$201,MATCH($A135,Items!$AB$2:$AB$201,0)))</f>
        <v/>
      </c>
      <c r="C135" s="24">
        <f>IF($A135="","",INDEX(Items!$AD$2:$AD$201,MATCH($A135,Items!$AB$2:$AB$201,0)))</f>
        <v/>
      </c>
      <c r="D135" s="24">
        <f>IF($A135="","",INDEX(Items!$AE$2:$AE$201,MATCH($A135,Items!$AB$2:$AB$201,0)))</f>
        <v/>
      </c>
      <c r="E135" s="42">
        <f>IF($A135="","",INDEX(Items!$AF$2:$AF$201,MATCH($A135,Items!$AB$2:$AB$201,0)))</f>
        <v/>
      </c>
      <c r="F135" s="24">
        <f>IF($A135="","",INDEX(Items!$AI$2:$AI$201,MATCH($A135,Items!$AB$2:$AB$201,0)))</f>
        <v/>
      </c>
    </row>
    <row r="136">
      <c r="A136" s="41">
        <f>IF(ISNUMBER(MATCH(133,Items!$AB$2:$AB$201,0)),133,"")</f>
        <v/>
      </c>
      <c r="B136" s="23">
        <f>IF($A136="","",INDEX(Items!$AC$2:$AC$201,MATCH($A136,Items!$AB$2:$AB$201,0)))</f>
        <v/>
      </c>
      <c r="C136" s="24">
        <f>IF($A136="","",INDEX(Items!$AD$2:$AD$201,MATCH($A136,Items!$AB$2:$AB$201,0)))</f>
        <v/>
      </c>
      <c r="D136" s="24">
        <f>IF($A136="","",INDEX(Items!$AE$2:$AE$201,MATCH($A136,Items!$AB$2:$AB$201,0)))</f>
        <v/>
      </c>
      <c r="E136" s="42">
        <f>IF($A136="","",INDEX(Items!$AF$2:$AF$201,MATCH($A136,Items!$AB$2:$AB$201,0)))</f>
        <v/>
      </c>
      <c r="F136" s="24">
        <f>IF($A136="","",INDEX(Items!$AI$2:$AI$201,MATCH($A136,Items!$AB$2:$AB$201,0)))</f>
        <v/>
      </c>
    </row>
    <row r="137">
      <c r="A137" s="41">
        <f>IF(ISNUMBER(MATCH(134,Items!$AB$2:$AB$201,0)),134,"")</f>
        <v/>
      </c>
      <c r="B137" s="23">
        <f>IF($A137="","",INDEX(Items!$AC$2:$AC$201,MATCH($A137,Items!$AB$2:$AB$201,0)))</f>
        <v/>
      </c>
      <c r="C137" s="24">
        <f>IF($A137="","",INDEX(Items!$AD$2:$AD$201,MATCH($A137,Items!$AB$2:$AB$201,0)))</f>
        <v/>
      </c>
      <c r="D137" s="24">
        <f>IF($A137="","",INDEX(Items!$AE$2:$AE$201,MATCH($A137,Items!$AB$2:$AB$201,0)))</f>
        <v/>
      </c>
      <c r="E137" s="42">
        <f>IF($A137="","",INDEX(Items!$AF$2:$AF$201,MATCH($A137,Items!$AB$2:$AB$201,0)))</f>
        <v/>
      </c>
      <c r="F137" s="24">
        <f>IF($A137="","",INDEX(Items!$AI$2:$AI$201,MATCH($A137,Items!$AB$2:$AB$201,0)))</f>
        <v/>
      </c>
    </row>
    <row r="138">
      <c r="A138" s="41">
        <f>IF(ISNUMBER(MATCH(135,Items!$AB$2:$AB$201,0)),135,"")</f>
        <v/>
      </c>
      <c r="B138" s="23">
        <f>IF($A138="","",INDEX(Items!$AC$2:$AC$201,MATCH($A138,Items!$AB$2:$AB$201,0)))</f>
        <v/>
      </c>
      <c r="C138" s="24">
        <f>IF($A138="","",INDEX(Items!$AD$2:$AD$201,MATCH($A138,Items!$AB$2:$AB$201,0)))</f>
        <v/>
      </c>
      <c r="D138" s="24">
        <f>IF($A138="","",INDEX(Items!$AE$2:$AE$201,MATCH($A138,Items!$AB$2:$AB$201,0)))</f>
        <v/>
      </c>
      <c r="E138" s="42">
        <f>IF($A138="","",INDEX(Items!$AF$2:$AF$201,MATCH($A138,Items!$AB$2:$AB$201,0)))</f>
        <v/>
      </c>
      <c r="F138" s="24">
        <f>IF($A138="","",INDEX(Items!$AI$2:$AI$201,MATCH($A138,Items!$AB$2:$AB$201,0)))</f>
        <v/>
      </c>
    </row>
    <row r="139">
      <c r="A139" s="41">
        <f>IF(ISNUMBER(MATCH(136,Items!$AB$2:$AB$201,0)),136,"")</f>
        <v/>
      </c>
      <c r="B139" s="23">
        <f>IF($A139="","",INDEX(Items!$AC$2:$AC$201,MATCH($A139,Items!$AB$2:$AB$201,0)))</f>
        <v/>
      </c>
      <c r="C139" s="24">
        <f>IF($A139="","",INDEX(Items!$AD$2:$AD$201,MATCH($A139,Items!$AB$2:$AB$201,0)))</f>
        <v/>
      </c>
      <c r="D139" s="24">
        <f>IF($A139="","",INDEX(Items!$AE$2:$AE$201,MATCH($A139,Items!$AB$2:$AB$201,0)))</f>
        <v/>
      </c>
      <c r="E139" s="42">
        <f>IF($A139="","",INDEX(Items!$AF$2:$AF$201,MATCH($A139,Items!$AB$2:$AB$201,0)))</f>
        <v/>
      </c>
      <c r="F139" s="24">
        <f>IF($A139="","",INDEX(Items!$AI$2:$AI$201,MATCH($A139,Items!$AB$2:$AB$201,0)))</f>
        <v/>
      </c>
    </row>
    <row r="140">
      <c r="A140" s="41">
        <f>IF(ISNUMBER(MATCH(137,Items!$AB$2:$AB$201,0)),137,"")</f>
        <v/>
      </c>
      <c r="B140" s="23">
        <f>IF($A140="","",INDEX(Items!$AC$2:$AC$201,MATCH($A140,Items!$AB$2:$AB$201,0)))</f>
        <v/>
      </c>
      <c r="C140" s="24">
        <f>IF($A140="","",INDEX(Items!$AD$2:$AD$201,MATCH($A140,Items!$AB$2:$AB$201,0)))</f>
        <v/>
      </c>
      <c r="D140" s="24">
        <f>IF($A140="","",INDEX(Items!$AE$2:$AE$201,MATCH($A140,Items!$AB$2:$AB$201,0)))</f>
        <v/>
      </c>
      <c r="E140" s="42">
        <f>IF($A140="","",INDEX(Items!$AF$2:$AF$201,MATCH($A140,Items!$AB$2:$AB$201,0)))</f>
        <v/>
      </c>
      <c r="F140" s="24">
        <f>IF($A140="","",INDEX(Items!$AI$2:$AI$201,MATCH($A140,Items!$AB$2:$AB$201,0)))</f>
        <v/>
      </c>
    </row>
    <row r="141">
      <c r="A141" s="41">
        <f>IF(ISNUMBER(MATCH(138,Items!$AB$2:$AB$201,0)),138,"")</f>
        <v/>
      </c>
      <c r="B141" s="23">
        <f>IF($A141="","",INDEX(Items!$AC$2:$AC$201,MATCH($A141,Items!$AB$2:$AB$201,0)))</f>
        <v/>
      </c>
      <c r="C141" s="24">
        <f>IF($A141="","",INDEX(Items!$AD$2:$AD$201,MATCH($A141,Items!$AB$2:$AB$201,0)))</f>
        <v/>
      </c>
      <c r="D141" s="24">
        <f>IF($A141="","",INDEX(Items!$AE$2:$AE$201,MATCH($A141,Items!$AB$2:$AB$201,0)))</f>
        <v/>
      </c>
      <c r="E141" s="42">
        <f>IF($A141="","",INDEX(Items!$AF$2:$AF$201,MATCH($A141,Items!$AB$2:$AB$201,0)))</f>
        <v/>
      </c>
      <c r="F141" s="24">
        <f>IF($A141="","",INDEX(Items!$AI$2:$AI$201,MATCH($A141,Items!$AB$2:$AB$201,0)))</f>
        <v/>
      </c>
    </row>
    <row r="142">
      <c r="A142" s="41">
        <f>IF(ISNUMBER(MATCH(139,Items!$AB$2:$AB$201,0)),139,"")</f>
        <v/>
      </c>
      <c r="B142" s="23">
        <f>IF($A142="","",INDEX(Items!$AC$2:$AC$201,MATCH($A142,Items!$AB$2:$AB$201,0)))</f>
        <v/>
      </c>
      <c r="C142" s="24">
        <f>IF($A142="","",INDEX(Items!$AD$2:$AD$201,MATCH($A142,Items!$AB$2:$AB$201,0)))</f>
        <v/>
      </c>
      <c r="D142" s="24">
        <f>IF($A142="","",INDEX(Items!$AE$2:$AE$201,MATCH($A142,Items!$AB$2:$AB$201,0)))</f>
        <v/>
      </c>
      <c r="E142" s="42">
        <f>IF($A142="","",INDEX(Items!$AF$2:$AF$201,MATCH($A142,Items!$AB$2:$AB$201,0)))</f>
        <v/>
      </c>
      <c r="F142" s="24">
        <f>IF($A142="","",INDEX(Items!$AI$2:$AI$201,MATCH($A142,Items!$AB$2:$AB$201,0)))</f>
        <v/>
      </c>
    </row>
    <row r="143">
      <c r="A143" s="41">
        <f>IF(ISNUMBER(MATCH(140,Items!$AB$2:$AB$201,0)),140,"")</f>
        <v/>
      </c>
      <c r="B143" s="23">
        <f>IF($A143="","",INDEX(Items!$AC$2:$AC$201,MATCH($A143,Items!$AB$2:$AB$201,0)))</f>
        <v/>
      </c>
      <c r="C143" s="24">
        <f>IF($A143="","",INDEX(Items!$AD$2:$AD$201,MATCH($A143,Items!$AB$2:$AB$201,0)))</f>
        <v/>
      </c>
      <c r="D143" s="24">
        <f>IF($A143="","",INDEX(Items!$AE$2:$AE$201,MATCH($A143,Items!$AB$2:$AB$201,0)))</f>
        <v/>
      </c>
      <c r="E143" s="42">
        <f>IF($A143="","",INDEX(Items!$AF$2:$AF$201,MATCH($A143,Items!$AB$2:$AB$201,0)))</f>
        <v/>
      </c>
      <c r="F143" s="24">
        <f>IF($A143="","",INDEX(Items!$AI$2:$AI$201,MATCH($A143,Items!$AB$2:$AB$201,0)))</f>
        <v/>
      </c>
    </row>
    <row r="144">
      <c r="A144" s="41">
        <f>IF(ISNUMBER(MATCH(141,Items!$AB$2:$AB$201,0)),141,"")</f>
        <v/>
      </c>
      <c r="B144" s="23">
        <f>IF($A144="","",INDEX(Items!$AC$2:$AC$201,MATCH($A144,Items!$AB$2:$AB$201,0)))</f>
        <v/>
      </c>
      <c r="C144" s="24">
        <f>IF($A144="","",INDEX(Items!$AD$2:$AD$201,MATCH($A144,Items!$AB$2:$AB$201,0)))</f>
        <v/>
      </c>
      <c r="D144" s="24">
        <f>IF($A144="","",INDEX(Items!$AE$2:$AE$201,MATCH($A144,Items!$AB$2:$AB$201,0)))</f>
        <v/>
      </c>
      <c r="E144" s="42">
        <f>IF($A144="","",INDEX(Items!$AF$2:$AF$201,MATCH($A144,Items!$AB$2:$AB$201,0)))</f>
        <v/>
      </c>
      <c r="F144" s="24">
        <f>IF($A144="","",INDEX(Items!$AI$2:$AI$201,MATCH($A144,Items!$AB$2:$AB$201,0)))</f>
        <v/>
      </c>
    </row>
    <row r="145">
      <c r="A145" s="41">
        <f>IF(ISNUMBER(MATCH(142,Items!$AB$2:$AB$201,0)),142,"")</f>
        <v/>
      </c>
      <c r="B145" s="23">
        <f>IF($A145="","",INDEX(Items!$AC$2:$AC$201,MATCH($A145,Items!$AB$2:$AB$201,0)))</f>
        <v/>
      </c>
      <c r="C145" s="24">
        <f>IF($A145="","",INDEX(Items!$AD$2:$AD$201,MATCH($A145,Items!$AB$2:$AB$201,0)))</f>
        <v/>
      </c>
      <c r="D145" s="24">
        <f>IF($A145="","",INDEX(Items!$AE$2:$AE$201,MATCH($A145,Items!$AB$2:$AB$201,0)))</f>
        <v/>
      </c>
      <c r="E145" s="42">
        <f>IF($A145="","",INDEX(Items!$AF$2:$AF$201,MATCH($A145,Items!$AB$2:$AB$201,0)))</f>
        <v/>
      </c>
      <c r="F145" s="24">
        <f>IF($A145="","",INDEX(Items!$AI$2:$AI$201,MATCH($A145,Items!$AB$2:$AB$201,0)))</f>
        <v/>
      </c>
    </row>
    <row r="146">
      <c r="A146" s="41">
        <f>IF(ISNUMBER(MATCH(143,Items!$AB$2:$AB$201,0)),143,"")</f>
        <v/>
      </c>
      <c r="B146" s="23">
        <f>IF($A146="","",INDEX(Items!$AC$2:$AC$201,MATCH($A146,Items!$AB$2:$AB$201,0)))</f>
        <v/>
      </c>
      <c r="C146" s="24">
        <f>IF($A146="","",INDEX(Items!$AD$2:$AD$201,MATCH($A146,Items!$AB$2:$AB$201,0)))</f>
        <v/>
      </c>
      <c r="D146" s="24">
        <f>IF($A146="","",INDEX(Items!$AE$2:$AE$201,MATCH($A146,Items!$AB$2:$AB$201,0)))</f>
        <v/>
      </c>
      <c r="E146" s="42">
        <f>IF($A146="","",INDEX(Items!$AF$2:$AF$201,MATCH($A146,Items!$AB$2:$AB$201,0)))</f>
        <v/>
      </c>
      <c r="F146" s="24">
        <f>IF($A146="","",INDEX(Items!$AI$2:$AI$201,MATCH($A146,Items!$AB$2:$AB$201,0)))</f>
        <v/>
      </c>
    </row>
    <row r="147">
      <c r="A147" s="41">
        <f>IF(ISNUMBER(MATCH(144,Items!$AB$2:$AB$201,0)),144,"")</f>
        <v/>
      </c>
      <c r="B147" s="23">
        <f>IF($A147="","",INDEX(Items!$AC$2:$AC$201,MATCH($A147,Items!$AB$2:$AB$201,0)))</f>
        <v/>
      </c>
      <c r="C147" s="24">
        <f>IF($A147="","",INDEX(Items!$AD$2:$AD$201,MATCH($A147,Items!$AB$2:$AB$201,0)))</f>
        <v/>
      </c>
      <c r="D147" s="24">
        <f>IF($A147="","",INDEX(Items!$AE$2:$AE$201,MATCH($A147,Items!$AB$2:$AB$201,0)))</f>
        <v/>
      </c>
      <c r="E147" s="42">
        <f>IF($A147="","",INDEX(Items!$AF$2:$AF$201,MATCH($A147,Items!$AB$2:$AB$201,0)))</f>
        <v/>
      </c>
      <c r="F147" s="24">
        <f>IF($A147="","",INDEX(Items!$AI$2:$AI$201,MATCH($A147,Items!$AB$2:$AB$201,0)))</f>
        <v/>
      </c>
    </row>
    <row r="148">
      <c r="A148" s="41">
        <f>IF(ISNUMBER(MATCH(145,Items!$AB$2:$AB$201,0)),145,"")</f>
        <v/>
      </c>
      <c r="B148" s="23">
        <f>IF($A148="","",INDEX(Items!$AC$2:$AC$201,MATCH($A148,Items!$AB$2:$AB$201,0)))</f>
        <v/>
      </c>
      <c r="C148" s="24">
        <f>IF($A148="","",INDEX(Items!$AD$2:$AD$201,MATCH($A148,Items!$AB$2:$AB$201,0)))</f>
        <v/>
      </c>
      <c r="D148" s="24">
        <f>IF($A148="","",INDEX(Items!$AE$2:$AE$201,MATCH($A148,Items!$AB$2:$AB$201,0)))</f>
        <v/>
      </c>
      <c r="E148" s="42">
        <f>IF($A148="","",INDEX(Items!$AF$2:$AF$201,MATCH($A148,Items!$AB$2:$AB$201,0)))</f>
        <v/>
      </c>
      <c r="F148" s="24">
        <f>IF($A148="","",INDEX(Items!$AI$2:$AI$201,MATCH($A148,Items!$AB$2:$AB$201,0)))</f>
        <v/>
      </c>
    </row>
    <row r="149">
      <c r="A149" s="41">
        <f>IF(ISNUMBER(MATCH(146,Items!$AB$2:$AB$201,0)),146,"")</f>
        <v/>
      </c>
      <c r="B149" s="23">
        <f>IF($A149="","",INDEX(Items!$AC$2:$AC$201,MATCH($A149,Items!$AB$2:$AB$201,0)))</f>
        <v/>
      </c>
      <c r="C149" s="24">
        <f>IF($A149="","",INDEX(Items!$AD$2:$AD$201,MATCH($A149,Items!$AB$2:$AB$201,0)))</f>
        <v/>
      </c>
      <c r="D149" s="24">
        <f>IF($A149="","",INDEX(Items!$AE$2:$AE$201,MATCH($A149,Items!$AB$2:$AB$201,0)))</f>
        <v/>
      </c>
      <c r="E149" s="42">
        <f>IF($A149="","",INDEX(Items!$AF$2:$AF$201,MATCH($A149,Items!$AB$2:$AB$201,0)))</f>
        <v/>
      </c>
      <c r="F149" s="24">
        <f>IF($A149="","",INDEX(Items!$AI$2:$AI$201,MATCH($A149,Items!$AB$2:$AB$201,0)))</f>
        <v/>
      </c>
    </row>
    <row r="150">
      <c r="A150" s="41">
        <f>IF(ISNUMBER(MATCH(147,Items!$AB$2:$AB$201,0)),147,"")</f>
        <v/>
      </c>
      <c r="B150" s="23">
        <f>IF($A150="","",INDEX(Items!$AC$2:$AC$201,MATCH($A150,Items!$AB$2:$AB$201,0)))</f>
        <v/>
      </c>
      <c r="C150" s="24">
        <f>IF($A150="","",INDEX(Items!$AD$2:$AD$201,MATCH($A150,Items!$AB$2:$AB$201,0)))</f>
        <v/>
      </c>
      <c r="D150" s="24">
        <f>IF($A150="","",INDEX(Items!$AE$2:$AE$201,MATCH($A150,Items!$AB$2:$AB$201,0)))</f>
        <v/>
      </c>
      <c r="E150" s="42">
        <f>IF($A150="","",INDEX(Items!$AF$2:$AF$201,MATCH($A150,Items!$AB$2:$AB$201,0)))</f>
        <v/>
      </c>
      <c r="F150" s="24">
        <f>IF($A150="","",INDEX(Items!$AI$2:$AI$201,MATCH($A150,Items!$AB$2:$AB$201,0)))</f>
        <v/>
      </c>
    </row>
    <row r="151">
      <c r="A151" s="41">
        <f>IF(ISNUMBER(MATCH(148,Items!$AB$2:$AB$201,0)),148,"")</f>
        <v/>
      </c>
      <c r="B151" s="23">
        <f>IF($A151="","",INDEX(Items!$AC$2:$AC$201,MATCH($A151,Items!$AB$2:$AB$201,0)))</f>
        <v/>
      </c>
      <c r="C151" s="24">
        <f>IF($A151="","",INDEX(Items!$AD$2:$AD$201,MATCH($A151,Items!$AB$2:$AB$201,0)))</f>
        <v/>
      </c>
      <c r="D151" s="24">
        <f>IF($A151="","",INDEX(Items!$AE$2:$AE$201,MATCH($A151,Items!$AB$2:$AB$201,0)))</f>
        <v/>
      </c>
      <c r="E151" s="42">
        <f>IF($A151="","",INDEX(Items!$AF$2:$AF$201,MATCH($A151,Items!$AB$2:$AB$201,0)))</f>
        <v/>
      </c>
      <c r="F151" s="24">
        <f>IF($A151="","",INDEX(Items!$AI$2:$AI$201,MATCH($A151,Items!$AB$2:$AB$201,0)))</f>
        <v/>
      </c>
    </row>
    <row r="152">
      <c r="A152" s="41">
        <f>IF(ISNUMBER(MATCH(149,Items!$AB$2:$AB$201,0)),149,"")</f>
        <v/>
      </c>
      <c r="B152" s="23">
        <f>IF($A152="","",INDEX(Items!$AC$2:$AC$201,MATCH($A152,Items!$AB$2:$AB$201,0)))</f>
        <v/>
      </c>
      <c r="C152" s="24">
        <f>IF($A152="","",INDEX(Items!$AD$2:$AD$201,MATCH($A152,Items!$AB$2:$AB$201,0)))</f>
        <v/>
      </c>
      <c r="D152" s="24">
        <f>IF($A152="","",INDEX(Items!$AE$2:$AE$201,MATCH($A152,Items!$AB$2:$AB$201,0)))</f>
        <v/>
      </c>
      <c r="E152" s="42">
        <f>IF($A152="","",INDEX(Items!$AF$2:$AF$201,MATCH($A152,Items!$AB$2:$AB$201,0)))</f>
        <v/>
      </c>
      <c r="F152" s="24">
        <f>IF($A152="","",INDEX(Items!$AI$2:$AI$201,MATCH($A152,Items!$AB$2:$AB$201,0)))</f>
        <v/>
      </c>
    </row>
    <row r="153">
      <c r="A153" s="41">
        <f>IF(ISNUMBER(MATCH(150,Items!$AB$2:$AB$201,0)),150,"")</f>
        <v/>
      </c>
      <c r="B153" s="23">
        <f>IF($A153="","",INDEX(Items!$AC$2:$AC$201,MATCH($A153,Items!$AB$2:$AB$201,0)))</f>
        <v/>
      </c>
      <c r="C153" s="24">
        <f>IF($A153="","",INDEX(Items!$AD$2:$AD$201,MATCH($A153,Items!$AB$2:$AB$201,0)))</f>
        <v/>
      </c>
      <c r="D153" s="24">
        <f>IF($A153="","",INDEX(Items!$AE$2:$AE$201,MATCH($A153,Items!$AB$2:$AB$201,0)))</f>
        <v/>
      </c>
      <c r="E153" s="42">
        <f>IF($A153="","",INDEX(Items!$AF$2:$AF$201,MATCH($A153,Items!$AB$2:$AB$201,0)))</f>
        <v/>
      </c>
      <c r="F153" s="24">
        <f>IF($A153="","",INDEX(Items!$AI$2:$AI$201,MATCH($A153,Items!$AB$2:$AB$201,0)))</f>
        <v/>
      </c>
    </row>
    <row r="154">
      <c r="A154" s="41">
        <f>IF(ISNUMBER(MATCH(151,Items!$AB$2:$AB$201,0)),151,"")</f>
        <v/>
      </c>
      <c r="B154" s="23">
        <f>IF($A154="","",INDEX(Items!$AC$2:$AC$201,MATCH($A154,Items!$AB$2:$AB$201,0)))</f>
        <v/>
      </c>
      <c r="C154" s="24">
        <f>IF($A154="","",INDEX(Items!$AD$2:$AD$201,MATCH($A154,Items!$AB$2:$AB$201,0)))</f>
        <v/>
      </c>
      <c r="D154" s="24">
        <f>IF($A154="","",INDEX(Items!$AE$2:$AE$201,MATCH($A154,Items!$AB$2:$AB$201,0)))</f>
        <v/>
      </c>
      <c r="E154" s="42">
        <f>IF($A154="","",INDEX(Items!$AF$2:$AF$201,MATCH($A154,Items!$AB$2:$AB$201,0)))</f>
        <v/>
      </c>
      <c r="F154" s="24">
        <f>IF($A154="","",INDEX(Items!$AI$2:$AI$201,MATCH($A154,Items!$AB$2:$AB$201,0)))</f>
        <v/>
      </c>
    </row>
    <row r="155">
      <c r="A155" s="41">
        <f>IF(ISNUMBER(MATCH(152,Items!$AB$2:$AB$201,0)),152,"")</f>
        <v/>
      </c>
      <c r="B155" s="23">
        <f>IF($A155="","",INDEX(Items!$AC$2:$AC$201,MATCH($A155,Items!$AB$2:$AB$201,0)))</f>
        <v/>
      </c>
      <c r="C155" s="24">
        <f>IF($A155="","",INDEX(Items!$AD$2:$AD$201,MATCH($A155,Items!$AB$2:$AB$201,0)))</f>
        <v/>
      </c>
      <c r="D155" s="24">
        <f>IF($A155="","",INDEX(Items!$AE$2:$AE$201,MATCH($A155,Items!$AB$2:$AB$201,0)))</f>
        <v/>
      </c>
      <c r="E155" s="42">
        <f>IF($A155="","",INDEX(Items!$AF$2:$AF$201,MATCH($A155,Items!$AB$2:$AB$201,0)))</f>
        <v/>
      </c>
      <c r="F155" s="24">
        <f>IF($A155="","",INDEX(Items!$AI$2:$AI$201,MATCH($A155,Items!$AB$2:$AB$201,0)))</f>
        <v/>
      </c>
    </row>
    <row r="156">
      <c r="A156" s="41">
        <f>IF(ISNUMBER(MATCH(153,Items!$AB$2:$AB$201,0)),153,"")</f>
        <v/>
      </c>
      <c r="B156" s="23">
        <f>IF($A156="","",INDEX(Items!$AC$2:$AC$201,MATCH($A156,Items!$AB$2:$AB$201,0)))</f>
        <v/>
      </c>
      <c r="C156" s="24">
        <f>IF($A156="","",INDEX(Items!$AD$2:$AD$201,MATCH($A156,Items!$AB$2:$AB$201,0)))</f>
        <v/>
      </c>
      <c r="D156" s="24">
        <f>IF($A156="","",INDEX(Items!$AE$2:$AE$201,MATCH($A156,Items!$AB$2:$AB$201,0)))</f>
        <v/>
      </c>
      <c r="E156" s="42">
        <f>IF($A156="","",INDEX(Items!$AF$2:$AF$201,MATCH($A156,Items!$AB$2:$AB$201,0)))</f>
        <v/>
      </c>
      <c r="F156" s="24">
        <f>IF($A156="","",INDEX(Items!$AI$2:$AI$201,MATCH($A156,Items!$AB$2:$AB$201,0)))</f>
        <v/>
      </c>
    </row>
    <row r="157">
      <c r="A157" s="41">
        <f>IF(ISNUMBER(MATCH(154,Items!$AB$2:$AB$201,0)),154,"")</f>
        <v/>
      </c>
      <c r="B157" s="23">
        <f>IF($A157="","",INDEX(Items!$AC$2:$AC$201,MATCH($A157,Items!$AB$2:$AB$201,0)))</f>
        <v/>
      </c>
      <c r="C157" s="24">
        <f>IF($A157="","",INDEX(Items!$AD$2:$AD$201,MATCH($A157,Items!$AB$2:$AB$201,0)))</f>
        <v/>
      </c>
      <c r="D157" s="24">
        <f>IF($A157="","",INDEX(Items!$AE$2:$AE$201,MATCH($A157,Items!$AB$2:$AB$201,0)))</f>
        <v/>
      </c>
      <c r="E157" s="42">
        <f>IF($A157="","",INDEX(Items!$AF$2:$AF$201,MATCH($A157,Items!$AB$2:$AB$201,0)))</f>
        <v/>
      </c>
      <c r="F157" s="24">
        <f>IF($A157="","",INDEX(Items!$AI$2:$AI$201,MATCH($A157,Items!$AB$2:$AB$201,0)))</f>
        <v/>
      </c>
    </row>
    <row r="158">
      <c r="A158" s="41">
        <f>IF(ISNUMBER(MATCH(155,Items!$AB$2:$AB$201,0)),155,"")</f>
        <v/>
      </c>
      <c r="B158" s="23">
        <f>IF($A158="","",INDEX(Items!$AC$2:$AC$201,MATCH($A158,Items!$AB$2:$AB$201,0)))</f>
        <v/>
      </c>
      <c r="C158" s="24">
        <f>IF($A158="","",INDEX(Items!$AD$2:$AD$201,MATCH($A158,Items!$AB$2:$AB$201,0)))</f>
        <v/>
      </c>
      <c r="D158" s="24">
        <f>IF($A158="","",INDEX(Items!$AE$2:$AE$201,MATCH($A158,Items!$AB$2:$AB$201,0)))</f>
        <v/>
      </c>
      <c r="E158" s="42">
        <f>IF($A158="","",INDEX(Items!$AF$2:$AF$201,MATCH($A158,Items!$AB$2:$AB$201,0)))</f>
        <v/>
      </c>
      <c r="F158" s="24">
        <f>IF($A158="","",INDEX(Items!$AI$2:$AI$201,MATCH($A158,Items!$AB$2:$AB$201,0)))</f>
        <v/>
      </c>
    </row>
    <row r="159">
      <c r="A159" s="41">
        <f>IF(ISNUMBER(MATCH(156,Items!$AB$2:$AB$201,0)),156,"")</f>
        <v/>
      </c>
      <c r="B159" s="23">
        <f>IF($A159="","",INDEX(Items!$AC$2:$AC$201,MATCH($A159,Items!$AB$2:$AB$201,0)))</f>
        <v/>
      </c>
      <c r="C159" s="24">
        <f>IF($A159="","",INDEX(Items!$AD$2:$AD$201,MATCH($A159,Items!$AB$2:$AB$201,0)))</f>
        <v/>
      </c>
      <c r="D159" s="24">
        <f>IF($A159="","",INDEX(Items!$AE$2:$AE$201,MATCH($A159,Items!$AB$2:$AB$201,0)))</f>
        <v/>
      </c>
      <c r="E159" s="42">
        <f>IF($A159="","",INDEX(Items!$AF$2:$AF$201,MATCH($A159,Items!$AB$2:$AB$201,0)))</f>
        <v/>
      </c>
      <c r="F159" s="24">
        <f>IF($A159="","",INDEX(Items!$AI$2:$AI$201,MATCH($A159,Items!$AB$2:$AB$201,0)))</f>
        <v/>
      </c>
    </row>
    <row r="160">
      <c r="A160" s="41">
        <f>IF(ISNUMBER(MATCH(157,Items!$AB$2:$AB$201,0)),157,"")</f>
        <v/>
      </c>
      <c r="B160" s="23">
        <f>IF($A160="","",INDEX(Items!$AC$2:$AC$201,MATCH($A160,Items!$AB$2:$AB$201,0)))</f>
        <v/>
      </c>
      <c r="C160" s="24">
        <f>IF($A160="","",INDEX(Items!$AD$2:$AD$201,MATCH($A160,Items!$AB$2:$AB$201,0)))</f>
        <v/>
      </c>
      <c r="D160" s="24">
        <f>IF($A160="","",INDEX(Items!$AE$2:$AE$201,MATCH($A160,Items!$AB$2:$AB$201,0)))</f>
        <v/>
      </c>
      <c r="E160" s="42">
        <f>IF($A160="","",INDEX(Items!$AF$2:$AF$201,MATCH($A160,Items!$AB$2:$AB$201,0)))</f>
        <v/>
      </c>
      <c r="F160" s="24">
        <f>IF($A160="","",INDEX(Items!$AI$2:$AI$201,MATCH($A160,Items!$AB$2:$AB$201,0)))</f>
        <v/>
      </c>
    </row>
    <row r="161">
      <c r="A161" s="41">
        <f>IF(ISNUMBER(MATCH(158,Items!$AB$2:$AB$201,0)),158,"")</f>
        <v/>
      </c>
      <c r="B161" s="23">
        <f>IF($A161="","",INDEX(Items!$AC$2:$AC$201,MATCH($A161,Items!$AB$2:$AB$201,0)))</f>
        <v/>
      </c>
      <c r="C161" s="24">
        <f>IF($A161="","",INDEX(Items!$AD$2:$AD$201,MATCH($A161,Items!$AB$2:$AB$201,0)))</f>
        <v/>
      </c>
      <c r="D161" s="24">
        <f>IF($A161="","",INDEX(Items!$AE$2:$AE$201,MATCH($A161,Items!$AB$2:$AB$201,0)))</f>
        <v/>
      </c>
      <c r="E161" s="42">
        <f>IF($A161="","",INDEX(Items!$AF$2:$AF$201,MATCH($A161,Items!$AB$2:$AB$201,0)))</f>
        <v/>
      </c>
      <c r="F161" s="24">
        <f>IF($A161="","",INDEX(Items!$AI$2:$AI$201,MATCH($A161,Items!$AB$2:$AB$201,0)))</f>
        <v/>
      </c>
    </row>
    <row r="162">
      <c r="A162" s="41">
        <f>IF(ISNUMBER(MATCH(159,Items!$AB$2:$AB$201,0)),159,"")</f>
        <v/>
      </c>
      <c r="B162" s="23">
        <f>IF($A162="","",INDEX(Items!$AC$2:$AC$201,MATCH($A162,Items!$AB$2:$AB$201,0)))</f>
        <v/>
      </c>
      <c r="C162" s="24">
        <f>IF($A162="","",INDEX(Items!$AD$2:$AD$201,MATCH($A162,Items!$AB$2:$AB$201,0)))</f>
        <v/>
      </c>
      <c r="D162" s="24">
        <f>IF($A162="","",INDEX(Items!$AE$2:$AE$201,MATCH($A162,Items!$AB$2:$AB$201,0)))</f>
        <v/>
      </c>
      <c r="E162" s="42">
        <f>IF($A162="","",INDEX(Items!$AF$2:$AF$201,MATCH($A162,Items!$AB$2:$AB$201,0)))</f>
        <v/>
      </c>
      <c r="F162" s="24">
        <f>IF($A162="","",INDEX(Items!$AI$2:$AI$201,MATCH($A162,Items!$AB$2:$AB$201,0)))</f>
        <v/>
      </c>
    </row>
    <row r="163">
      <c r="A163" s="41">
        <f>IF(ISNUMBER(MATCH(160,Items!$AB$2:$AB$201,0)),160,"")</f>
        <v/>
      </c>
      <c r="B163" s="23">
        <f>IF($A163="","",INDEX(Items!$AC$2:$AC$201,MATCH($A163,Items!$AB$2:$AB$201,0)))</f>
        <v/>
      </c>
      <c r="C163" s="24">
        <f>IF($A163="","",INDEX(Items!$AD$2:$AD$201,MATCH($A163,Items!$AB$2:$AB$201,0)))</f>
        <v/>
      </c>
      <c r="D163" s="24">
        <f>IF($A163="","",INDEX(Items!$AE$2:$AE$201,MATCH($A163,Items!$AB$2:$AB$201,0)))</f>
        <v/>
      </c>
      <c r="E163" s="42">
        <f>IF($A163="","",INDEX(Items!$AF$2:$AF$201,MATCH($A163,Items!$AB$2:$AB$201,0)))</f>
        <v/>
      </c>
      <c r="F163" s="24">
        <f>IF($A163="","",INDEX(Items!$AI$2:$AI$201,MATCH($A163,Items!$AB$2:$AB$201,0)))</f>
        <v/>
      </c>
    </row>
    <row r="164">
      <c r="A164" s="41">
        <f>IF(ISNUMBER(MATCH(161,Items!$AB$2:$AB$201,0)),161,"")</f>
        <v/>
      </c>
      <c r="B164" s="23">
        <f>IF($A164="","",INDEX(Items!$AC$2:$AC$201,MATCH($A164,Items!$AB$2:$AB$201,0)))</f>
        <v/>
      </c>
      <c r="C164" s="24">
        <f>IF($A164="","",INDEX(Items!$AD$2:$AD$201,MATCH($A164,Items!$AB$2:$AB$201,0)))</f>
        <v/>
      </c>
      <c r="D164" s="24">
        <f>IF($A164="","",INDEX(Items!$AE$2:$AE$201,MATCH($A164,Items!$AB$2:$AB$201,0)))</f>
        <v/>
      </c>
      <c r="E164" s="42">
        <f>IF($A164="","",INDEX(Items!$AF$2:$AF$201,MATCH($A164,Items!$AB$2:$AB$201,0)))</f>
        <v/>
      </c>
      <c r="F164" s="24">
        <f>IF($A164="","",INDEX(Items!$AI$2:$AI$201,MATCH($A164,Items!$AB$2:$AB$201,0)))</f>
        <v/>
      </c>
    </row>
    <row r="165">
      <c r="A165" s="41">
        <f>IF(ISNUMBER(MATCH(162,Items!$AB$2:$AB$201,0)),162,"")</f>
        <v/>
      </c>
      <c r="B165" s="23">
        <f>IF($A165="","",INDEX(Items!$AC$2:$AC$201,MATCH($A165,Items!$AB$2:$AB$201,0)))</f>
        <v/>
      </c>
      <c r="C165" s="24">
        <f>IF($A165="","",INDEX(Items!$AD$2:$AD$201,MATCH($A165,Items!$AB$2:$AB$201,0)))</f>
        <v/>
      </c>
      <c r="D165" s="24">
        <f>IF($A165="","",INDEX(Items!$AE$2:$AE$201,MATCH($A165,Items!$AB$2:$AB$201,0)))</f>
        <v/>
      </c>
      <c r="E165" s="42">
        <f>IF($A165="","",INDEX(Items!$AF$2:$AF$201,MATCH($A165,Items!$AB$2:$AB$201,0)))</f>
        <v/>
      </c>
      <c r="F165" s="24">
        <f>IF($A165="","",INDEX(Items!$AI$2:$AI$201,MATCH($A165,Items!$AB$2:$AB$201,0)))</f>
        <v/>
      </c>
    </row>
    <row r="166">
      <c r="A166" s="41">
        <f>IF(ISNUMBER(MATCH(163,Items!$AB$2:$AB$201,0)),163,"")</f>
        <v/>
      </c>
      <c r="B166" s="23">
        <f>IF($A166="","",INDEX(Items!$AC$2:$AC$201,MATCH($A166,Items!$AB$2:$AB$201,0)))</f>
        <v/>
      </c>
      <c r="C166" s="24">
        <f>IF($A166="","",INDEX(Items!$AD$2:$AD$201,MATCH($A166,Items!$AB$2:$AB$201,0)))</f>
        <v/>
      </c>
      <c r="D166" s="24">
        <f>IF($A166="","",INDEX(Items!$AE$2:$AE$201,MATCH($A166,Items!$AB$2:$AB$201,0)))</f>
        <v/>
      </c>
      <c r="E166" s="42">
        <f>IF($A166="","",INDEX(Items!$AF$2:$AF$201,MATCH($A166,Items!$AB$2:$AB$201,0)))</f>
        <v/>
      </c>
      <c r="F166" s="24">
        <f>IF($A166="","",INDEX(Items!$AI$2:$AI$201,MATCH($A166,Items!$AB$2:$AB$201,0)))</f>
        <v/>
      </c>
    </row>
    <row r="167">
      <c r="A167" s="41">
        <f>IF(ISNUMBER(MATCH(164,Items!$AB$2:$AB$201,0)),164,"")</f>
        <v/>
      </c>
      <c r="B167" s="23">
        <f>IF($A167="","",INDEX(Items!$AC$2:$AC$201,MATCH($A167,Items!$AB$2:$AB$201,0)))</f>
        <v/>
      </c>
      <c r="C167" s="24">
        <f>IF($A167="","",INDEX(Items!$AD$2:$AD$201,MATCH($A167,Items!$AB$2:$AB$201,0)))</f>
        <v/>
      </c>
      <c r="D167" s="24">
        <f>IF($A167="","",INDEX(Items!$AE$2:$AE$201,MATCH($A167,Items!$AB$2:$AB$201,0)))</f>
        <v/>
      </c>
      <c r="E167" s="42">
        <f>IF($A167="","",INDEX(Items!$AF$2:$AF$201,MATCH($A167,Items!$AB$2:$AB$201,0)))</f>
        <v/>
      </c>
      <c r="F167" s="24">
        <f>IF($A167="","",INDEX(Items!$AI$2:$AI$201,MATCH($A167,Items!$AB$2:$AB$201,0)))</f>
        <v/>
      </c>
    </row>
    <row r="168">
      <c r="A168" s="41">
        <f>IF(ISNUMBER(MATCH(165,Items!$AB$2:$AB$201,0)),165,"")</f>
        <v/>
      </c>
      <c r="B168" s="23">
        <f>IF($A168="","",INDEX(Items!$AC$2:$AC$201,MATCH($A168,Items!$AB$2:$AB$201,0)))</f>
        <v/>
      </c>
      <c r="C168" s="24">
        <f>IF($A168="","",INDEX(Items!$AD$2:$AD$201,MATCH($A168,Items!$AB$2:$AB$201,0)))</f>
        <v/>
      </c>
      <c r="D168" s="24">
        <f>IF($A168="","",INDEX(Items!$AE$2:$AE$201,MATCH($A168,Items!$AB$2:$AB$201,0)))</f>
        <v/>
      </c>
      <c r="E168" s="42">
        <f>IF($A168="","",INDEX(Items!$AF$2:$AF$201,MATCH($A168,Items!$AB$2:$AB$201,0)))</f>
        <v/>
      </c>
      <c r="F168" s="24">
        <f>IF($A168="","",INDEX(Items!$AI$2:$AI$201,MATCH($A168,Items!$AB$2:$AB$201,0)))</f>
        <v/>
      </c>
    </row>
    <row r="169">
      <c r="A169" s="41">
        <f>IF(ISNUMBER(MATCH(166,Items!$AB$2:$AB$201,0)),166,"")</f>
        <v/>
      </c>
      <c r="B169" s="23">
        <f>IF($A169="","",INDEX(Items!$AC$2:$AC$201,MATCH($A169,Items!$AB$2:$AB$201,0)))</f>
        <v/>
      </c>
      <c r="C169" s="24">
        <f>IF($A169="","",INDEX(Items!$AD$2:$AD$201,MATCH($A169,Items!$AB$2:$AB$201,0)))</f>
        <v/>
      </c>
      <c r="D169" s="24">
        <f>IF($A169="","",INDEX(Items!$AE$2:$AE$201,MATCH($A169,Items!$AB$2:$AB$201,0)))</f>
        <v/>
      </c>
      <c r="E169" s="42">
        <f>IF($A169="","",INDEX(Items!$AF$2:$AF$201,MATCH($A169,Items!$AB$2:$AB$201,0)))</f>
        <v/>
      </c>
      <c r="F169" s="24">
        <f>IF($A169="","",INDEX(Items!$AI$2:$AI$201,MATCH($A169,Items!$AB$2:$AB$201,0)))</f>
        <v/>
      </c>
    </row>
    <row r="170">
      <c r="A170" s="41">
        <f>IF(ISNUMBER(MATCH(167,Items!$AB$2:$AB$201,0)),167,"")</f>
        <v/>
      </c>
      <c r="B170" s="23">
        <f>IF($A170="","",INDEX(Items!$AC$2:$AC$201,MATCH($A170,Items!$AB$2:$AB$201,0)))</f>
        <v/>
      </c>
      <c r="C170" s="24">
        <f>IF($A170="","",INDEX(Items!$AD$2:$AD$201,MATCH($A170,Items!$AB$2:$AB$201,0)))</f>
        <v/>
      </c>
      <c r="D170" s="24">
        <f>IF($A170="","",INDEX(Items!$AE$2:$AE$201,MATCH($A170,Items!$AB$2:$AB$201,0)))</f>
        <v/>
      </c>
      <c r="E170" s="42">
        <f>IF($A170="","",INDEX(Items!$AF$2:$AF$201,MATCH($A170,Items!$AB$2:$AB$201,0)))</f>
        <v/>
      </c>
      <c r="F170" s="24">
        <f>IF($A170="","",INDEX(Items!$AI$2:$AI$201,MATCH($A170,Items!$AB$2:$AB$201,0)))</f>
        <v/>
      </c>
    </row>
    <row r="171">
      <c r="A171" s="41">
        <f>IF(ISNUMBER(MATCH(168,Items!$AB$2:$AB$201,0)),168,"")</f>
        <v/>
      </c>
      <c r="B171" s="23">
        <f>IF($A171="","",INDEX(Items!$AC$2:$AC$201,MATCH($A171,Items!$AB$2:$AB$201,0)))</f>
        <v/>
      </c>
      <c r="C171" s="24">
        <f>IF($A171="","",INDEX(Items!$AD$2:$AD$201,MATCH($A171,Items!$AB$2:$AB$201,0)))</f>
        <v/>
      </c>
      <c r="D171" s="24">
        <f>IF($A171="","",INDEX(Items!$AE$2:$AE$201,MATCH($A171,Items!$AB$2:$AB$201,0)))</f>
        <v/>
      </c>
      <c r="E171" s="42">
        <f>IF($A171="","",INDEX(Items!$AF$2:$AF$201,MATCH($A171,Items!$AB$2:$AB$201,0)))</f>
        <v/>
      </c>
      <c r="F171" s="24">
        <f>IF($A171="","",INDEX(Items!$AI$2:$AI$201,MATCH($A171,Items!$AB$2:$AB$201,0)))</f>
        <v/>
      </c>
    </row>
    <row r="172">
      <c r="A172" s="41">
        <f>IF(ISNUMBER(MATCH(169,Items!$AB$2:$AB$201,0)),169,"")</f>
        <v/>
      </c>
      <c r="B172" s="23">
        <f>IF($A172="","",INDEX(Items!$AC$2:$AC$201,MATCH($A172,Items!$AB$2:$AB$201,0)))</f>
        <v/>
      </c>
      <c r="C172" s="24">
        <f>IF($A172="","",INDEX(Items!$AD$2:$AD$201,MATCH($A172,Items!$AB$2:$AB$201,0)))</f>
        <v/>
      </c>
      <c r="D172" s="24">
        <f>IF($A172="","",INDEX(Items!$AE$2:$AE$201,MATCH($A172,Items!$AB$2:$AB$201,0)))</f>
        <v/>
      </c>
      <c r="E172" s="42">
        <f>IF($A172="","",INDEX(Items!$AF$2:$AF$201,MATCH($A172,Items!$AB$2:$AB$201,0)))</f>
        <v/>
      </c>
      <c r="F172" s="24">
        <f>IF($A172="","",INDEX(Items!$AI$2:$AI$201,MATCH($A172,Items!$AB$2:$AB$201,0)))</f>
        <v/>
      </c>
    </row>
    <row r="173">
      <c r="A173" s="41">
        <f>IF(ISNUMBER(MATCH(170,Items!$AB$2:$AB$201,0)),170,"")</f>
        <v/>
      </c>
      <c r="B173" s="23">
        <f>IF($A173="","",INDEX(Items!$AC$2:$AC$201,MATCH($A173,Items!$AB$2:$AB$201,0)))</f>
        <v/>
      </c>
      <c r="C173" s="24">
        <f>IF($A173="","",INDEX(Items!$AD$2:$AD$201,MATCH($A173,Items!$AB$2:$AB$201,0)))</f>
        <v/>
      </c>
      <c r="D173" s="24">
        <f>IF($A173="","",INDEX(Items!$AE$2:$AE$201,MATCH($A173,Items!$AB$2:$AB$201,0)))</f>
        <v/>
      </c>
      <c r="E173" s="42">
        <f>IF($A173="","",INDEX(Items!$AF$2:$AF$201,MATCH($A173,Items!$AB$2:$AB$201,0)))</f>
        <v/>
      </c>
      <c r="F173" s="24">
        <f>IF($A173="","",INDEX(Items!$AI$2:$AI$201,MATCH($A173,Items!$AB$2:$AB$201,0)))</f>
        <v/>
      </c>
    </row>
    <row r="174">
      <c r="A174" s="41">
        <f>IF(ISNUMBER(MATCH(171,Items!$AB$2:$AB$201,0)),171,"")</f>
        <v/>
      </c>
      <c r="B174" s="23">
        <f>IF($A174="","",INDEX(Items!$AC$2:$AC$201,MATCH($A174,Items!$AB$2:$AB$201,0)))</f>
        <v/>
      </c>
      <c r="C174" s="24">
        <f>IF($A174="","",INDEX(Items!$AD$2:$AD$201,MATCH($A174,Items!$AB$2:$AB$201,0)))</f>
        <v/>
      </c>
      <c r="D174" s="24">
        <f>IF($A174="","",INDEX(Items!$AE$2:$AE$201,MATCH($A174,Items!$AB$2:$AB$201,0)))</f>
        <v/>
      </c>
      <c r="E174" s="42">
        <f>IF($A174="","",INDEX(Items!$AF$2:$AF$201,MATCH($A174,Items!$AB$2:$AB$201,0)))</f>
        <v/>
      </c>
      <c r="F174" s="24">
        <f>IF($A174="","",INDEX(Items!$AI$2:$AI$201,MATCH($A174,Items!$AB$2:$AB$201,0)))</f>
        <v/>
      </c>
    </row>
    <row r="175">
      <c r="A175" s="41">
        <f>IF(ISNUMBER(MATCH(172,Items!$AB$2:$AB$201,0)),172,"")</f>
        <v/>
      </c>
      <c r="B175" s="23">
        <f>IF($A175="","",INDEX(Items!$AC$2:$AC$201,MATCH($A175,Items!$AB$2:$AB$201,0)))</f>
        <v/>
      </c>
      <c r="C175" s="24">
        <f>IF($A175="","",INDEX(Items!$AD$2:$AD$201,MATCH($A175,Items!$AB$2:$AB$201,0)))</f>
        <v/>
      </c>
      <c r="D175" s="24">
        <f>IF($A175="","",INDEX(Items!$AE$2:$AE$201,MATCH($A175,Items!$AB$2:$AB$201,0)))</f>
        <v/>
      </c>
      <c r="E175" s="42">
        <f>IF($A175="","",INDEX(Items!$AF$2:$AF$201,MATCH($A175,Items!$AB$2:$AB$201,0)))</f>
        <v/>
      </c>
      <c r="F175" s="24">
        <f>IF($A175="","",INDEX(Items!$AI$2:$AI$201,MATCH($A175,Items!$AB$2:$AB$201,0)))</f>
        <v/>
      </c>
    </row>
    <row r="176">
      <c r="A176" s="41">
        <f>IF(ISNUMBER(MATCH(173,Items!$AB$2:$AB$201,0)),173,"")</f>
        <v/>
      </c>
      <c r="B176" s="23">
        <f>IF($A176="","",INDEX(Items!$AC$2:$AC$201,MATCH($A176,Items!$AB$2:$AB$201,0)))</f>
        <v/>
      </c>
      <c r="C176" s="24">
        <f>IF($A176="","",INDEX(Items!$AD$2:$AD$201,MATCH($A176,Items!$AB$2:$AB$201,0)))</f>
        <v/>
      </c>
      <c r="D176" s="24">
        <f>IF($A176="","",INDEX(Items!$AE$2:$AE$201,MATCH($A176,Items!$AB$2:$AB$201,0)))</f>
        <v/>
      </c>
      <c r="E176" s="42">
        <f>IF($A176="","",INDEX(Items!$AF$2:$AF$201,MATCH($A176,Items!$AB$2:$AB$201,0)))</f>
        <v/>
      </c>
      <c r="F176" s="24">
        <f>IF($A176="","",INDEX(Items!$AI$2:$AI$201,MATCH($A176,Items!$AB$2:$AB$201,0)))</f>
        <v/>
      </c>
    </row>
    <row r="177">
      <c r="A177" s="41">
        <f>IF(ISNUMBER(MATCH(174,Items!$AB$2:$AB$201,0)),174,"")</f>
        <v/>
      </c>
      <c r="B177" s="23">
        <f>IF($A177="","",INDEX(Items!$AC$2:$AC$201,MATCH($A177,Items!$AB$2:$AB$201,0)))</f>
        <v/>
      </c>
      <c r="C177" s="24">
        <f>IF($A177="","",INDEX(Items!$AD$2:$AD$201,MATCH($A177,Items!$AB$2:$AB$201,0)))</f>
        <v/>
      </c>
      <c r="D177" s="24">
        <f>IF($A177="","",INDEX(Items!$AE$2:$AE$201,MATCH($A177,Items!$AB$2:$AB$201,0)))</f>
        <v/>
      </c>
      <c r="E177" s="42">
        <f>IF($A177="","",INDEX(Items!$AF$2:$AF$201,MATCH($A177,Items!$AB$2:$AB$201,0)))</f>
        <v/>
      </c>
      <c r="F177" s="24">
        <f>IF($A177="","",INDEX(Items!$AI$2:$AI$201,MATCH($A177,Items!$AB$2:$AB$201,0)))</f>
        <v/>
      </c>
    </row>
    <row r="178">
      <c r="A178" s="41">
        <f>IF(ISNUMBER(MATCH(175,Items!$AB$2:$AB$201,0)),175,"")</f>
        <v/>
      </c>
      <c r="B178" s="23">
        <f>IF($A178="","",INDEX(Items!$AC$2:$AC$201,MATCH($A178,Items!$AB$2:$AB$201,0)))</f>
        <v/>
      </c>
      <c r="C178" s="24">
        <f>IF($A178="","",INDEX(Items!$AD$2:$AD$201,MATCH($A178,Items!$AB$2:$AB$201,0)))</f>
        <v/>
      </c>
      <c r="D178" s="24">
        <f>IF($A178="","",INDEX(Items!$AE$2:$AE$201,MATCH($A178,Items!$AB$2:$AB$201,0)))</f>
        <v/>
      </c>
      <c r="E178" s="42">
        <f>IF($A178="","",INDEX(Items!$AF$2:$AF$201,MATCH($A178,Items!$AB$2:$AB$201,0)))</f>
        <v/>
      </c>
      <c r="F178" s="24">
        <f>IF($A178="","",INDEX(Items!$AI$2:$AI$201,MATCH($A178,Items!$AB$2:$AB$201,0)))</f>
        <v/>
      </c>
    </row>
    <row r="179">
      <c r="A179" s="41">
        <f>IF(ISNUMBER(MATCH(176,Items!$AB$2:$AB$201,0)),176,"")</f>
        <v/>
      </c>
      <c r="B179" s="23">
        <f>IF($A179="","",INDEX(Items!$AC$2:$AC$201,MATCH($A179,Items!$AB$2:$AB$201,0)))</f>
        <v/>
      </c>
      <c r="C179" s="24">
        <f>IF($A179="","",INDEX(Items!$AD$2:$AD$201,MATCH($A179,Items!$AB$2:$AB$201,0)))</f>
        <v/>
      </c>
      <c r="D179" s="24">
        <f>IF($A179="","",INDEX(Items!$AE$2:$AE$201,MATCH($A179,Items!$AB$2:$AB$201,0)))</f>
        <v/>
      </c>
      <c r="E179" s="42">
        <f>IF($A179="","",INDEX(Items!$AF$2:$AF$201,MATCH($A179,Items!$AB$2:$AB$201,0)))</f>
        <v/>
      </c>
      <c r="F179" s="24">
        <f>IF($A179="","",INDEX(Items!$AI$2:$AI$201,MATCH($A179,Items!$AB$2:$AB$201,0)))</f>
        <v/>
      </c>
    </row>
    <row r="180">
      <c r="A180" s="41">
        <f>IF(ISNUMBER(MATCH(177,Items!$AB$2:$AB$201,0)),177,"")</f>
        <v/>
      </c>
      <c r="B180" s="23">
        <f>IF($A180="","",INDEX(Items!$AC$2:$AC$201,MATCH($A180,Items!$AB$2:$AB$201,0)))</f>
        <v/>
      </c>
      <c r="C180" s="24">
        <f>IF($A180="","",INDEX(Items!$AD$2:$AD$201,MATCH($A180,Items!$AB$2:$AB$201,0)))</f>
        <v/>
      </c>
      <c r="D180" s="24">
        <f>IF($A180="","",INDEX(Items!$AE$2:$AE$201,MATCH($A180,Items!$AB$2:$AB$201,0)))</f>
        <v/>
      </c>
      <c r="E180" s="42">
        <f>IF($A180="","",INDEX(Items!$AF$2:$AF$201,MATCH($A180,Items!$AB$2:$AB$201,0)))</f>
        <v/>
      </c>
      <c r="F180" s="24">
        <f>IF($A180="","",INDEX(Items!$AI$2:$AI$201,MATCH($A180,Items!$AB$2:$AB$201,0)))</f>
        <v/>
      </c>
    </row>
    <row r="181">
      <c r="A181" s="41">
        <f>IF(ISNUMBER(MATCH(178,Items!$AB$2:$AB$201,0)),178,"")</f>
        <v/>
      </c>
      <c r="B181" s="23">
        <f>IF($A181="","",INDEX(Items!$AC$2:$AC$201,MATCH($A181,Items!$AB$2:$AB$201,0)))</f>
        <v/>
      </c>
      <c r="C181" s="24">
        <f>IF($A181="","",INDEX(Items!$AD$2:$AD$201,MATCH($A181,Items!$AB$2:$AB$201,0)))</f>
        <v/>
      </c>
      <c r="D181" s="24">
        <f>IF($A181="","",INDEX(Items!$AE$2:$AE$201,MATCH($A181,Items!$AB$2:$AB$201,0)))</f>
        <v/>
      </c>
      <c r="E181" s="42">
        <f>IF($A181="","",INDEX(Items!$AF$2:$AF$201,MATCH($A181,Items!$AB$2:$AB$201,0)))</f>
        <v/>
      </c>
      <c r="F181" s="24">
        <f>IF($A181="","",INDEX(Items!$AI$2:$AI$201,MATCH($A181,Items!$AB$2:$AB$201,0)))</f>
        <v/>
      </c>
    </row>
    <row r="182">
      <c r="A182" s="41">
        <f>IF(ISNUMBER(MATCH(179,Items!$AB$2:$AB$201,0)),179,"")</f>
        <v/>
      </c>
      <c r="B182" s="23">
        <f>IF($A182="","",INDEX(Items!$AC$2:$AC$201,MATCH($A182,Items!$AB$2:$AB$201,0)))</f>
        <v/>
      </c>
      <c r="C182" s="24">
        <f>IF($A182="","",INDEX(Items!$AD$2:$AD$201,MATCH($A182,Items!$AB$2:$AB$201,0)))</f>
        <v/>
      </c>
      <c r="D182" s="24">
        <f>IF($A182="","",INDEX(Items!$AE$2:$AE$201,MATCH($A182,Items!$AB$2:$AB$201,0)))</f>
        <v/>
      </c>
      <c r="E182" s="42">
        <f>IF($A182="","",INDEX(Items!$AF$2:$AF$201,MATCH($A182,Items!$AB$2:$AB$201,0)))</f>
        <v/>
      </c>
      <c r="F182" s="24">
        <f>IF($A182="","",INDEX(Items!$AI$2:$AI$201,MATCH($A182,Items!$AB$2:$AB$201,0)))</f>
        <v/>
      </c>
    </row>
    <row r="183">
      <c r="A183" s="41">
        <f>IF(ISNUMBER(MATCH(180,Items!$AB$2:$AB$201,0)),180,"")</f>
        <v/>
      </c>
      <c r="B183" s="23">
        <f>IF($A183="","",INDEX(Items!$AC$2:$AC$201,MATCH($A183,Items!$AB$2:$AB$201,0)))</f>
        <v/>
      </c>
      <c r="C183" s="24">
        <f>IF($A183="","",INDEX(Items!$AD$2:$AD$201,MATCH($A183,Items!$AB$2:$AB$201,0)))</f>
        <v/>
      </c>
      <c r="D183" s="24">
        <f>IF($A183="","",INDEX(Items!$AE$2:$AE$201,MATCH($A183,Items!$AB$2:$AB$201,0)))</f>
        <v/>
      </c>
      <c r="E183" s="42">
        <f>IF($A183="","",INDEX(Items!$AF$2:$AF$201,MATCH($A183,Items!$AB$2:$AB$201,0)))</f>
        <v/>
      </c>
      <c r="F183" s="24">
        <f>IF($A183="","",INDEX(Items!$AI$2:$AI$201,MATCH($A183,Items!$AB$2:$AB$201,0)))</f>
        <v/>
      </c>
    </row>
    <row r="184">
      <c r="A184" s="41">
        <f>IF(ISNUMBER(MATCH(181,Items!$AB$2:$AB$201,0)),181,"")</f>
        <v/>
      </c>
      <c r="B184" s="23">
        <f>IF($A184="","",INDEX(Items!$AC$2:$AC$201,MATCH($A184,Items!$AB$2:$AB$201,0)))</f>
        <v/>
      </c>
      <c r="C184" s="24">
        <f>IF($A184="","",INDEX(Items!$AD$2:$AD$201,MATCH($A184,Items!$AB$2:$AB$201,0)))</f>
        <v/>
      </c>
      <c r="D184" s="24">
        <f>IF($A184="","",INDEX(Items!$AE$2:$AE$201,MATCH($A184,Items!$AB$2:$AB$201,0)))</f>
        <v/>
      </c>
      <c r="E184" s="42">
        <f>IF($A184="","",INDEX(Items!$AF$2:$AF$201,MATCH($A184,Items!$AB$2:$AB$201,0)))</f>
        <v/>
      </c>
      <c r="F184" s="24">
        <f>IF($A184="","",INDEX(Items!$AI$2:$AI$201,MATCH($A184,Items!$AB$2:$AB$201,0)))</f>
        <v/>
      </c>
    </row>
    <row r="185">
      <c r="A185" s="41">
        <f>IF(ISNUMBER(MATCH(182,Items!$AB$2:$AB$201,0)),182,"")</f>
        <v/>
      </c>
      <c r="B185" s="23">
        <f>IF($A185="","",INDEX(Items!$AC$2:$AC$201,MATCH($A185,Items!$AB$2:$AB$201,0)))</f>
        <v/>
      </c>
      <c r="C185" s="24">
        <f>IF($A185="","",INDEX(Items!$AD$2:$AD$201,MATCH($A185,Items!$AB$2:$AB$201,0)))</f>
        <v/>
      </c>
      <c r="D185" s="24">
        <f>IF($A185="","",INDEX(Items!$AE$2:$AE$201,MATCH($A185,Items!$AB$2:$AB$201,0)))</f>
        <v/>
      </c>
      <c r="E185" s="42">
        <f>IF($A185="","",INDEX(Items!$AF$2:$AF$201,MATCH($A185,Items!$AB$2:$AB$201,0)))</f>
        <v/>
      </c>
      <c r="F185" s="24">
        <f>IF($A185="","",INDEX(Items!$AI$2:$AI$201,MATCH($A185,Items!$AB$2:$AB$201,0)))</f>
        <v/>
      </c>
    </row>
    <row r="186">
      <c r="A186" s="41">
        <f>IF(ISNUMBER(MATCH(183,Items!$AB$2:$AB$201,0)),183,"")</f>
        <v/>
      </c>
      <c r="B186" s="23">
        <f>IF($A186="","",INDEX(Items!$AC$2:$AC$201,MATCH($A186,Items!$AB$2:$AB$201,0)))</f>
        <v/>
      </c>
      <c r="C186" s="24">
        <f>IF($A186="","",INDEX(Items!$AD$2:$AD$201,MATCH($A186,Items!$AB$2:$AB$201,0)))</f>
        <v/>
      </c>
      <c r="D186" s="24">
        <f>IF($A186="","",INDEX(Items!$AE$2:$AE$201,MATCH($A186,Items!$AB$2:$AB$201,0)))</f>
        <v/>
      </c>
      <c r="E186" s="42">
        <f>IF($A186="","",INDEX(Items!$AF$2:$AF$201,MATCH($A186,Items!$AB$2:$AB$201,0)))</f>
        <v/>
      </c>
      <c r="F186" s="24">
        <f>IF($A186="","",INDEX(Items!$AI$2:$AI$201,MATCH($A186,Items!$AB$2:$AB$201,0)))</f>
        <v/>
      </c>
    </row>
    <row r="187">
      <c r="A187" s="41">
        <f>IF(ISNUMBER(MATCH(184,Items!$AB$2:$AB$201,0)),184,"")</f>
        <v/>
      </c>
      <c r="B187" s="23">
        <f>IF($A187="","",INDEX(Items!$AC$2:$AC$201,MATCH($A187,Items!$AB$2:$AB$201,0)))</f>
        <v/>
      </c>
      <c r="C187" s="24">
        <f>IF($A187="","",INDEX(Items!$AD$2:$AD$201,MATCH($A187,Items!$AB$2:$AB$201,0)))</f>
        <v/>
      </c>
      <c r="D187" s="24">
        <f>IF($A187="","",INDEX(Items!$AE$2:$AE$201,MATCH($A187,Items!$AB$2:$AB$201,0)))</f>
        <v/>
      </c>
      <c r="E187" s="42">
        <f>IF($A187="","",INDEX(Items!$AF$2:$AF$201,MATCH($A187,Items!$AB$2:$AB$201,0)))</f>
        <v/>
      </c>
      <c r="F187" s="24">
        <f>IF($A187="","",INDEX(Items!$AI$2:$AI$201,MATCH($A187,Items!$AB$2:$AB$201,0)))</f>
        <v/>
      </c>
    </row>
    <row r="188">
      <c r="A188" s="41">
        <f>IF(ISNUMBER(MATCH(185,Items!$AB$2:$AB$201,0)),185,"")</f>
        <v/>
      </c>
      <c r="B188" s="23">
        <f>IF($A188="","",INDEX(Items!$AC$2:$AC$201,MATCH($A188,Items!$AB$2:$AB$201,0)))</f>
        <v/>
      </c>
      <c r="C188" s="24">
        <f>IF($A188="","",INDEX(Items!$AD$2:$AD$201,MATCH($A188,Items!$AB$2:$AB$201,0)))</f>
        <v/>
      </c>
      <c r="D188" s="24">
        <f>IF($A188="","",INDEX(Items!$AE$2:$AE$201,MATCH($A188,Items!$AB$2:$AB$201,0)))</f>
        <v/>
      </c>
      <c r="E188" s="42">
        <f>IF($A188="","",INDEX(Items!$AF$2:$AF$201,MATCH($A188,Items!$AB$2:$AB$201,0)))</f>
        <v/>
      </c>
      <c r="F188" s="24">
        <f>IF($A188="","",INDEX(Items!$AI$2:$AI$201,MATCH($A188,Items!$AB$2:$AB$201,0)))</f>
        <v/>
      </c>
    </row>
    <row r="189">
      <c r="A189" s="41">
        <f>IF(ISNUMBER(MATCH(186,Items!$AB$2:$AB$201,0)),186,"")</f>
        <v/>
      </c>
      <c r="B189" s="23">
        <f>IF($A189="","",INDEX(Items!$AC$2:$AC$201,MATCH($A189,Items!$AB$2:$AB$201,0)))</f>
        <v/>
      </c>
      <c r="C189" s="24">
        <f>IF($A189="","",INDEX(Items!$AD$2:$AD$201,MATCH($A189,Items!$AB$2:$AB$201,0)))</f>
        <v/>
      </c>
      <c r="D189" s="24">
        <f>IF($A189="","",INDEX(Items!$AE$2:$AE$201,MATCH($A189,Items!$AB$2:$AB$201,0)))</f>
        <v/>
      </c>
      <c r="E189" s="42">
        <f>IF($A189="","",INDEX(Items!$AF$2:$AF$201,MATCH($A189,Items!$AB$2:$AB$201,0)))</f>
        <v/>
      </c>
      <c r="F189" s="24">
        <f>IF($A189="","",INDEX(Items!$AI$2:$AI$201,MATCH($A189,Items!$AB$2:$AB$201,0)))</f>
        <v/>
      </c>
    </row>
    <row r="190">
      <c r="A190" s="41">
        <f>IF(ISNUMBER(MATCH(187,Items!$AB$2:$AB$201,0)),187,"")</f>
        <v/>
      </c>
      <c r="B190" s="23">
        <f>IF($A190="","",INDEX(Items!$AC$2:$AC$201,MATCH($A190,Items!$AB$2:$AB$201,0)))</f>
        <v/>
      </c>
      <c r="C190" s="24">
        <f>IF($A190="","",INDEX(Items!$AD$2:$AD$201,MATCH($A190,Items!$AB$2:$AB$201,0)))</f>
        <v/>
      </c>
      <c r="D190" s="24">
        <f>IF($A190="","",INDEX(Items!$AE$2:$AE$201,MATCH($A190,Items!$AB$2:$AB$201,0)))</f>
        <v/>
      </c>
      <c r="E190" s="42">
        <f>IF($A190="","",INDEX(Items!$AF$2:$AF$201,MATCH($A190,Items!$AB$2:$AB$201,0)))</f>
        <v/>
      </c>
      <c r="F190" s="24">
        <f>IF($A190="","",INDEX(Items!$AI$2:$AI$201,MATCH($A190,Items!$AB$2:$AB$201,0)))</f>
        <v/>
      </c>
    </row>
    <row r="191">
      <c r="A191" s="41">
        <f>IF(ISNUMBER(MATCH(188,Items!$AB$2:$AB$201,0)),188,"")</f>
        <v/>
      </c>
      <c r="B191" s="23">
        <f>IF($A191="","",INDEX(Items!$AC$2:$AC$201,MATCH($A191,Items!$AB$2:$AB$201,0)))</f>
        <v/>
      </c>
      <c r="C191" s="24">
        <f>IF($A191="","",INDEX(Items!$AD$2:$AD$201,MATCH($A191,Items!$AB$2:$AB$201,0)))</f>
        <v/>
      </c>
      <c r="D191" s="24">
        <f>IF($A191="","",INDEX(Items!$AE$2:$AE$201,MATCH($A191,Items!$AB$2:$AB$201,0)))</f>
        <v/>
      </c>
      <c r="E191" s="42">
        <f>IF($A191="","",INDEX(Items!$AF$2:$AF$201,MATCH($A191,Items!$AB$2:$AB$201,0)))</f>
        <v/>
      </c>
      <c r="F191" s="24">
        <f>IF($A191="","",INDEX(Items!$AI$2:$AI$201,MATCH($A191,Items!$AB$2:$AB$201,0)))</f>
        <v/>
      </c>
    </row>
    <row r="192">
      <c r="A192" s="41">
        <f>IF(ISNUMBER(MATCH(189,Items!$AB$2:$AB$201,0)),189,"")</f>
        <v/>
      </c>
      <c r="B192" s="23">
        <f>IF($A192="","",INDEX(Items!$AC$2:$AC$201,MATCH($A192,Items!$AB$2:$AB$201,0)))</f>
        <v/>
      </c>
      <c r="C192" s="24">
        <f>IF($A192="","",INDEX(Items!$AD$2:$AD$201,MATCH($A192,Items!$AB$2:$AB$201,0)))</f>
        <v/>
      </c>
      <c r="D192" s="24">
        <f>IF($A192="","",INDEX(Items!$AE$2:$AE$201,MATCH($A192,Items!$AB$2:$AB$201,0)))</f>
        <v/>
      </c>
      <c r="E192" s="42">
        <f>IF($A192="","",INDEX(Items!$AF$2:$AF$201,MATCH($A192,Items!$AB$2:$AB$201,0)))</f>
        <v/>
      </c>
      <c r="F192" s="24">
        <f>IF($A192="","",INDEX(Items!$AI$2:$AI$201,MATCH($A192,Items!$AB$2:$AB$201,0)))</f>
        <v/>
      </c>
    </row>
    <row r="193">
      <c r="A193" s="41">
        <f>IF(ISNUMBER(MATCH(190,Items!$AB$2:$AB$201,0)),190,"")</f>
        <v/>
      </c>
      <c r="B193" s="23">
        <f>IF($A193="","",INDEX(Items!$AC$2:$AC$201,MATCH($A193,Items!$AB$2:$AB$201,0)))</f>
        <v/>
      </c>
      <c r="C193" s="24">
        <f>IF($A193="","",INDEX(Items!$AD$2:$AD$201,MATCH($A193,Items!$AB$2:$AB$201,0)))</f>
        <v/>
      </c>
      <c r="D193" s="24">
        <f>IF($A193="","",INDEX(Items!$AE$2:$AE$201,MATCH($A193,Items!$AB$2:$AB$201,0)))</f>
        <v/>
      </c>
      <c r="E193" s="42">
        <f>IF($A193="","",INDEX(Items!$AF$2:$AF$201,MATCH($A193,Items!$AB$2:$AB$201,0)))</f>
        <v/>
      </c>
      <c r="F193" s="24">
        <f>IF($A193="","",INDEX(Items!$AI$2:$AI$201,MATCH($A193,Items!$AB$2:$AB$201,0)))</f>
        <v/>
      </c>
    </row>
    <row r="194">
      <c r="A194" s="41">
        <f>IF(ISNUMBER(MATCH(191,Items!$AB$2:$AB$201,0)),191,"")</f>
        <v/>
      </c>
      <c r="B194" s="23">
        <f>IF($A194="","",INDEX(Items!$AC$2:$AC$201,MATCH($A194,Items!$AB$2:$AB$201,0)))</f>
        <v/>
      </c>
      <c r="C194" s="24">
        <f>IF($A194="","",INDEX(Items!$AD$2:$AD$201,MATCH($A194,Items!$AB$2:$AB$201,0)))</f>
        <v/>
      </c>
      <c r="D194" s="24">
        <f>IF($A194="","",INDEX(Items!$AE$2:$AE$201,MATCH($A194,Items!$AB$2:$AB$201,0)))</f>
        <v/>
      </c>
      <c r="E194" s="42">
        <f>IF($A194="","",INDEX(Items!$AF$2:$AF$201,MATCH($A194,Items!$AB$2:$AB$201,0)))</f>
        <v/>
      </c>
      <c r="F194" s="24">
        <f>IF($A194="","",INDEX(Items!$AI$2:$AI$201,MATCH($A194,Items!$AB$2:$AB$201,0)))</f>
        <v/>
      </c>
    </row>
    <row r="195">
      <c r="A195" s="41">
        <f>IF(ISNUMBER(MATCH(192,Items!$AB$2:$AB$201,0)),192,"")</f>
        <v/>
      </c>
      <c r="B195" s="23">
        <f>IF($A195="","",INDEX(Items!$AC$2:$AC$201,MATCH($A195,Items!$AB$2:$AB$201,0)))</f>
        <v/>
      </c>
      <c r="C195" s="24">
        <f>IF($A195="","",INDEX(Items!$AD$2:$AD$201,MATCH($A195,Items!$AB$2:$AB$201,0)))</f>
        <v/>
      </c>
      <c r="D195" s="24">
        <f>IF($A195="","",INDEX(Items!$AE$2:$AE$201,MATCH($A195,Items!$AB$2:$AB$201,0)))</f>
        <v/>
      </c>
      <c r="E195" s="42">
        <f>IF($A195="","",INDEX(Items!$AF$2:$AF$201,MATCH($A195,Items!$AB$2:$AB$201,0)))</f>
        <v/>
      </c>
      <c r="F195" s="24">
        <f>IF($A195="","",INDEX(Items!$AI$2:$AI$201,MATCH($A195,Items!$AB$2:$AB$201,0)))</f>
        <v/>
      </c>
    </row>
    <row r="196">
      <c r="A196" s="41">
        <f>IF(ISNUMBER(MATCH(193,Items!$AB$2:$AB$201,0)),193,"")</f>
        <v/>
      </c>
      <c r="B196" s="23">
        <f>IF($A196="","",INDEX(Items!$AC$2:$AC$201,MATCH($A196,Items!$AB$2:$AB$201,0)))</f>
        <v/>
      </c>
      <c r="C196" s="24">
        <f>IF($A196="","",INDEX(Items!$AD$2:$AD$201,MATCH($A196,Items!$AB$2:$AB$201,0)))</f>
        <v/>
      </c>
      <c r="D196" s="24">
        <f>IF($A196="","",INDEX(Items!$AE$2:$AE$201,MATCH($A196,Items!$AB$2:$AB$201,0)))</f>
        <v/>
      </c>
      <c r="E196" s="42">
        <f>IF($A196="","",INDEX(Items!$AF$2:$AF$201,MATCH($A196,Items!$AB$2:$AB$201,0)))</f>
        <v/>
      </c>
      <c r="F196" s="24">
        <f>IF($A196="","",INDEX(Items!$AI$2:$AI$201,MATCH($A196,Items!$AB$2:$AB$201,0)))</f>
        <v/>
      </c>
    </row>
    <row r="197">
      <c r="A197" s="41">
        <f>IF(ISNUMBER(MATCH(194,Items!$AB$2:$AB$201,0)),194,"")</f>
        <v/>
      </c>
      <c r="B197" s="23">
        <f>IF($A197="","",INDEX(Items!$AC$2:$AC$201,MATCH($A197,Items!$AB$2:$AB$201,0)))</f>
        <v/>
      </c>
      <c r="C197" s="24">
        <f>IF($A197="","",INDEX(Items!$AD$2:$AD$201,MATCH($A197,Items!$AB$2:$AB$201,0)))</f>
        <v/>
      </c>
      <c r="D197" s="24">
        <f>IF($A197="","",INDEX(Items!$AE$2:$AE$201,MATCH($A197,Items!$AB$2:$AB$201,0)))</f>
        <v/>
      </c>
      <c r="E197" s="42">
        <f>IF($A197="","",INDEX(Items!$AF$2:$AF$201,MATCH($A197,Items!$AB$2:$AB$201,0)))</f>
        <v/>
      </c>
      <c r="F197" s="24">
        <f>IF($A197="","",INDEX(Items!$AI$2:$AI$201,MATCH($A197,Items!$AB$2:$AB$201,0)))</f>
        <v/>
      </c>
    </row>
    <row r="198">
      <c r="A198" s="41">
        <f>IF(ISNUMBER(MATCH(195,Items!$AB$2:$AB$201,0)),195,"")</f>
        <v/>
      </c>
      <c r="B198" s="23">
        <f>IF($A198="","",INDEX(Items!$AC$2:$AC$201,MATCH($A198,Items!$AB$2:$AB$201,0)))</f>
        <v/>
      </c>
      <c r="C198" s="24">
        <f>IF($A198="","",INDEX(Items!$AD$2:$AD$201,MATCH($A198,Items!$AB$2:$AB$201,0)))</f>
        <v/>
      </c>
      <c r="D198" s="24">
        <f>IF($A198="","",INDEX(Items!$AE$2:$AE$201,MATCH($A198,Items!$AB$2:$AB$201,0)))</f>
        <v/>
      </c>
      <c r="E198" s="42">
        <f>IF($A198="","",INDEX(Items!$AF$2:$AF$201,MATCH($A198,Items!$AB$2:$AB$201,0)))</f>
        <v/>
      </c>
      <c r="F198" s="24">
        <f>IF($A198="","",INDEX(Items!$AI$2:$AI$201,MATCH($A198,Items!$AB$2:$AB$201,0)))</f>
        <v/>
      </c>
    </row>
    <row r="199">
      <c r="A199" s="41">
        <f>IF(ISNUMBER(MATCH(196,Items!$AB$2:$AB$201,0)),196,"")</f>
        <v/>
      </c>
      <c r="B199" s="23">
        <f>IF($A199="","",INDEX(Items!$AC$2:$AC$201,MATCH($A199,Items!$AB$2:$AB$201,0)))</f>
        <v/>
      </c>
      <c r="C199" s="24">
        <f>IF($A199="","",INDEX(Items!$AD$2:$AD$201,MATCH($A199,Items!$AB$2:$AB$201,0)))</f>
        <v/>
      </c>
      <c r="D199" s="24">
        <f>IF($A199="","",INDEX(Items!$AE$2:$AE$201,MATCH($A199,Items!$AB$2:$AB$201,0)))</f>
        <v/>
      </c>
      <c r="E199" s="42">
        <f>IF($A199="","",INDEX(Items!$AF$2:$AF$201,MATCH($A199,Items!$AB$2:$AB$201,0)))</f>
        <v/>
      </c>
      <c r="F199" s="24">
        <f>IF($A199="","",INDEX(Items!$AI$2:$AI$201,MATCH($A199,Items!$AB$2:$AB$201,0)))</f>
        <v/>
      </c>
    </row>
    <row r="200">
      <c r="A200" s="41">
        <f>IF(ISNUMBER(MATCH(197,Items!$AB$2:$AB$201,0)),197,"")</f>
        <v/>
      </c>
      <c r="B200" s="23">
        <f>IF($A200="","",INDEX(Items!$AC$2:$AC$201,MATCH($A200,Items!$AB$2:$AB$201,0)))</f>
        <v/>
      </c>
      <c r="C200" s="24">
        <f>IF($A200="","",INDEX(Items!$AD$2:$AD$201,MATCH($A200,Items!$AB$2:$AB$201,0)))</f>
        <v/>
      </c>
      <c r="D200" s="24">
        <f>IF($A200="","",INDEX(Items!$AE$2:$AE$201,MATCH($A200,Items!$AB$2:$AB$201,0)))</f>
        <v/>
      </c>
      <c r="E200" s="42">
        <f>IF($A200="","",INDEX(Items!$AF$2:$AF$201,MATCH($A200,Items!$AB$2:$AB$201,0)))</f>
        <v/>
      </c>
      <c r="F200" s="24">
        <f>IF($A200="","",INDEX(Items!$AI$2:$AI$201,MATCH($A200,Items!$AB$2:$AB$201,0)))</f>
        <v/>
      </c>
    </row>
    <row r="201">
      <c r="A201" s="41">
        <f>IF(ISNUMBER(MATCH(198,Items!$AB$2:$AB$201,0)),198,"")</f>
        <v/>
      </c>
      <c r="B201" s="23">
        <f>IF($A201="","",INDEX(Items!$AC$2:$AC$201,MATCH($A201,Items!$AB$2:$AB$201,0)))</f>
        <v/>
      </c>
      <c r="C201" s="24">
        <f>IF($A201="","",INDEX(Items!$AD$2:$AD$201,MATCH($A201,Items!$AB$2:$AB$201,0)))</f>
        <v/>
      </c>
      <c r="D201" s="24">
        <f>IF($A201="","",INDEX(Items!$AE$2:$AE$201,MATCH($A201,Items!$AB$2:$AB$201,0)))</f>
        <v/>
      </c>
      <c r="E201" s="42">
        <f>IF($A201="","",INDEX(Items!$AF$2:$AF$201,MATCH($A201,Items!$AB$2:$AB$201,0)))</f>
        <v/>
      </c>
      <c r="F201" s="24">
        <f>IF($A201="","",INDEX(Items!$AI$2:$AI$201,MATCH($A201,Items!$AB$2:$AB$201,0)))</f>
        <v/>
      </c>
    </row>
    <row r="202">
      <c r="A202" s="41">
        <f>IF(ISNUMBER(MATCH(199,Items!$AB$2:$AB$201,0)),199,"")</f>
        <v/>
      </c>
      <c r="B202" s="23">
        <f>IF($A202="","",INDEX(Items!$AC$2:$AC$201,MATCH($A202,Items!$AB$2:$AB$201,0)))</f>
        <v/>
      </c>
      <c r="C202" s="24">
        <f>IF($A202="","",INDEX(Items!$AD$2:$AD$201,MATCH($A202,Items!$AB$2:$AB$201,0)))</f>
        <v/>
      </c>
      <c r="D202" s="24">
        <f>IF($A202="","",INDEX(Items!$AE$2:$AE$201,MATCH($A202,Items!$AB$2:$AB$201,0)))</f>
        <v/>
      </c>
      <c r="E202" s="42">
        <f>IF($A202="","",INDEX(Items!$AF$2:$AF$201,MATCH($A202,Items!$AB$2:$AB$201,0)))</f>
        <v/>
      </c>
      <c r="F202" s="24">
        <f>IF($A202="","",INDEX(Items!$AI$2:$AI$201,MATCH($A202,Items!$AB$2:$AB$201,0)))</f>
        <v/>
      </c>
    </row>
    <row r="203">
      <c r="A203" s="41">
        <f>IF(ISNUMBER(MATCH(200,Items!$AB$2:$AB$201,0)),200,"")</f>
        <v/>
      </c>
      <c r="B203" s="23">
        <f>IF($A203="","",INDEX(Items!$AC$2:$AC$201,MATCH($A203,Items!$AB$2:$AB$201,0)))</f>
        <v/>
      </c>
      <c r="C203" s="24">
        <f>IF($A203="","",INDEX(Items!$AD$2:$AD$201,MATCH($A203,Items!$AB$2:$AB$201,0)))</f>
        <v/>
      </c>
      <c r="D203" s="24">
        <f>IF($A203="","",INDEX(Items!$AE$2:$AE$201,MATCH($A203,Items!$AB$2:$AB$201,0)))</f>
        <v/>
      </c>
      <c r="E203" s="42">
        <f>IF($A203="","",INDEX(Items!$AF$2:$AF$201,MATCH($A203,Items!$AB$2:$AB$201,0)))</f>
        <v/>
      </c>
      <c r="F203" s="24">
        <f>IF($A203="","",INDEX(Items!$AI$2:$AI$201,MATCH($A203,Items!$AB$2:$AB$201,0)))</f>
        <v/>
      </c>
    </row>
  </sheetData>
  <printOptions horizontalCentered="1"/>
  <pageMargins left="0.5" right="0.5" top="1" bottom="1" header="0.5" footer="0.5"/>
  <pageSetup orientation="landscape" fitToHeight="0" fitToWidth="1"/>
  <headerFooter>
    <oddHeader/>
    <oddFooter>&amp;L&amp;8 Made with HornetForms, https://hornetforms.com/blog/silent-auction-donation-form&amp;R&amp;8 Page &amp;P of &amp;N</oddFooter>
    <evenHeader/>
    <evenFooter/>
    <firstHeader/>
    <firstFooter/>
  </headerFooter>
</worksheet>
</file>

<file path=xl/worksheets/sheet4.xml><?xml version="1.0" encoding="utf-8"?>
<worksheet xmlns="http://schemas.openxmlformats.org/spreadsheetml/2006/main">
  <sheetPr>
    <tabColor rgb="004B2E83"/>
    <outlinePr summaryBelow="1" summaryRight="1"/>
    <pageSetUpPr fitToPage="1"/>
  </sheetPr>
  <dimension ref="A1:G35"/>
  <sheetViews>
    <sheetView showGridLines="0" workbookViewId="0">
      <selection activeCell="A1" sqref="A1"/>
    </sheetView>
  </sheetViews>
  <sheetFormatPr baseColWidth="8" defaultRowHeight="15"/>
  <cols>
    <col width="8" customWidth="1" min="1" max="1"/>
    <col width="22" customWidth="1" min="2" max="2"/>
    <col width="30" customWidth="1" min="3" max="3"/>
    <col width="30" customWidth="1" min="4" max="4"/>
    <col width="3" customWidth="1" min="5" max="5"/>
    <col width="26" customWidth="1" min="6" max="6"/>
    <col width="10" customWidth="1" min="7" max="7"/>
  </cols>
  <sheetData>
    <row r="1">
      <c r="A1" s="1">
        <f>'Start here'!$F$7</f>
        <v/>
      </c>
    </row>
    <row r="2">
      <c r="A2" s="43" t="inlineStr">
        <is>
          <t>Silent auction bid sheet</t>
        </is>
      </c>
    </row>
    <row r="3" ht="28" customHeight="1">
      <c r="A3" s="44" t="inlineStr">
        <is>
          <t>Item number</t>
        </is>
      </c>
      <c r="C3" s="45" t="n">
        <v>1</v>
      </c>
      <c r="F3" s="32" t="inlineStr">
        <is>
          <t>Row on Items (helper)</t>
        </is>
      </c>
      <c r="G3" s="36">
        <f>IFERROR(MATCH(C3,Items!$AB$2:$AB$201,0),"")</f>
        <v/>
      </c>
    </row>
    <row r="5" ht="24" customHeight="1">
      <c r="A5" s="23" t="inlineStr">
        <is>
          <t>Item</t>
        </is>
      </c>
      <c r="B5" s="25" t="n"/>
      <c r="C5" s="46">
        <f>IF(G3="","No item has this number yet. Check the Catalogue tab.",INDEX(Items!$AC$2:$AC$201,G3))</f>
        <v/>
      </c>
      <c r="D5" s="47" t="n"/>
      <c r="F5" s="48" t="inlineStr">
        <is>
          <t>To print every item: type 1 in the yellow cell and print, then type 2 and print again, and so on. Or print the blank bid sheet PDF and fill it in by hand.</t>
        </is>
      </c>
    </row>
    <row r="6" ht="66" customHeight="1">
      <c r="A6" s="23" t="inlineStr">
        <is>
          <t>Description</t>
        </is>
      </c>
      <c r="B6" s="25" t="n"/>
      <c r="C6" s="49">
        <f>IF(G3="","",INDEX(Items!$AD$2:$AD$201,G3))</f>
        <v/>
      </c>
      <c r="D6" s="47" t="n"/>
    </row>
    <row r="7" ht="30" customHeight="1">
      <c r="A7" s="23" t="inlineStr">
        <is>
          <t>Restrictions or expiry</t>
        </is>
      </c>
      <c r="B7" s="25" t="n"/>
      <c r="C7" s="49">
        <f>IF(G3="","",INDEX(Items!$AE$2:$AE$201,G3))</f>
        <v/>
      </c>
      <c r="D7" s="47" t="n"/>
    </row>
    <row r="8" ht="22" customHeight="1">
      <c r="A8" s="23">
        <f>"Estimated value ("&amp;'Start here'!$F$8&amp;")"</f>
        <v/>
      </c>
      <c r="B8" s="25" t="n"/>
      <c r="C8" s="50">
        <f>IF(G3="","",INDEX(Items!$AF$2:$AF$201,G3))</f>
        <v/>
      </c>
      <c r="D8" s="25" t="n"/>
    </row>
    <row r="9" ht="22" customHeight="1">
      <c r="A9" s="23">
        <f>"Opening bid ("&amp;'Start here'!$F$8&amp;")"</f>
        <v/>
      </c>
      <c r="B9" s="25" t="n"/>
      <c r="C9" s="51">
        <f>IF(G3="","",INDEX(Items!$AH$2:$AH$201,G3))</f>
        <v/>
      </c>
      <c r="D9" s="25" t="n"/>
    </row>
    <row r="10" ht="22" customHeight="1">
      <c r="A10" s="23">
        <f>"Bid increment ("&amp;'Start here'!$F$8&amp;")"</f>
        <v/>
      </c>
      <c r="B10" s="25" t="n"/>
      <c r="C10" s="50">
        <f>IF(G3="","",INDEX(Items!$AG$2:$AG$201,G3))</f>
        <v/>
      </c>
      <c r="D10" s="25" t="n"/>
      <c r="F10" s="52">
        <f>IF(COUNTIF(Items!$A$2:$A$201,"EXAMPLE*")&gt;0,"EXAMPLE data. Clear the example rows on Items before you print.","")</f>
        <v/>
      </c>
    </row>
    <row r="11" ht="22" customHeight="1">
      <c r="A11" s="23" t="inlineStr">
        <is>
          <t>Donated by</t>
        </is>
      </c>
      <c r="B11" s="25" t="n"/>
      <c r="C11" s="49">
        <f>IF(G3="","",INDEX(Items!$AI$2:$AI$201,G3))</f>
        <v/>
      </c>
      <c r="D11" s="47" t="n"/>
    </row>
    <row r="12"/>
    <row r="13" ht="26" customHeight="1">
      <c r="A13" s="5" t="inlineStr">
        <is>
          <t>Line</t>
        </is>
      </c>
      <c r="B13" s="5">
        <f>"Minimum bid ("&amp;'Start here'!$F$8&amp;")"</f>
        <v/>
      </c>
      <c r="C13" s="5" t="inlineStr">
        <is>
          <t>Bidder number</t>
        </is>
      </c>
      <c r="D13" s="5">
        <f>"Bid amount ("&amp;'Start here'!$F$8&amp;")"</f>
        <v/>
      </c>
    </row>
    <row r="14" ht="24" customHeight="1">
      <c r="A14" s="53" t="n">
        <v>1</v>
      </c>
      <c r="B14" s="54">
        <f>IF(OR($C$9="",$C$10=""),"",$C$9+0*$C$10)</f>
        <v/>
      </c>
      <c r="C14" s="55" t="n"/>
      <c r="D14" s="55" t="n"/>
    </row>
    <row r="15" ht="24" customHeight="1">
      <c r="A15" s="53" t="n">
        <v>2</v>
      </c>
      <c r="B15" s="54">
        <f>IF(OR($C$9="",$C$10=""),"",$C$9+1*$C$10)</f>
        <v/>
      </c>
      <c r="C15" s="55" t="n"/>
      <c r="D15" s="55" t="n"/>
    </row>
    <row r="16" ht="24" customHeight="1">
      <c r="A16" s="53" t="n">
        <v>3</v>
      </c>
      <c r="B16" s="54">
        <f>IF(OR($C$9="",$C$10=""),"",$C$9+2*$C$10)</f>
        <v/>
      </c>
      <c r="C16" s="55" t="n"/>
      <c r="D16" s="55" t="n"/>
    </row>
    <row r="17" ht="24" customHeight="1">
      <c r="A17" s="53" t="n">
        <v>4</v>
      </c>
      <c r="B17" s="54">
        <f>IF(OR($C$9="",$C$10=""),"",$C$9+3*$C$10)</f>
        <v/>
      </c>
      <c r="C17" s="55" t="n"/>
      <c r="D17" s="55" t="n"/>
    </row>
    <row r="18" ht="24" customHeight="1">
      <c r="A18" s="53" t="n">
        <v>5</v>
      </c>
      <c r="B18" s="54">
        <f>IF(OR($C$9="",$C$10=""),"",$C$9+4*$C$10)</f>
        <v/>
      </c>
      <c r="C18" s="55" t="n"/>
      <c r="D18" s="55" t="n"/>
    </row>
    <row r="19" ht="24" customHeight="1">
      <c r="A19" s="53" t="n">
        <v>6</v>
      </c>
      <c r="B19" s="54">
        <f>IF(OR($C$9="",$C$10=""),"",$C$9+5*$C$10)</f>
        <v/>
      </c>
      <c r="C19" s="55" t="n"/>
      <c r="D19" s="55" t="n"/>
    </row>
    <row r="20" ht="24" customHeight="1">
      <c r="A20" s="53" t="n">
        <v>7</v>
      </c>
      <c r="B20" s="54">
        <f>IF(OR($C$9="",$C$10=""),"",$C$9+6*$C$10)</f>
        <v/>
      </c>
      <c r="C20" s="55" t="n"/>
      <c r="D20" s="55" t="n"/>
    </row>
    <row r="21" ht="24" customHeight="1">
      <c r="A21" s="53" t="n">
        <v>8</v>
      </c>
      <c r="B21" s="54">
        <f>IF(OR($C$9="",$C$10=""),"",$C$9+7*$C$10)</f>
        <v/>
      </c>
      <c r="C21" s="55" t="n"/>
      <c r="D21" s="55" t="n"/>
    </row>
    <row r="22" ht="24" customHeight="1">
      <c r="A22" s="53" t="n">
        <v>9</v>
      </c>
      <c r="B22" s="54">
        <f>IF(OR($C$9="",$C$10=""),"",$C$9+8*$C$10)</f>
        <v/>
      </c>
      <c r="C22" s="55" t="n"/>
      <c r="D22" s="55" t="n"/>
    </row>
    <row r="23" ht="24" customHeight="1">
      <c r="A23" s="53" t="n">
        <v>10</v>
      </c>
      <c r="B23" s="54">
        <f>IF(OR($C$9="",$C$10=""),"",$C$9+9*$C$10)</f>
        <v/>
      </c>
      <c r="C23" s="55" t="n"/>
      <c r="D23" s="55" t="n"/>
    </row>
    <row r="24" ht="24" customHeight="1">
      <c r="A24" s="53" t="n">
        <v>11</v>
      </c>
      <c r="B24" s="54">
        <f>IF(OR($C$9="",$C$10=""),"",$C$9+10*$C$10)</f>
        <v/>
      </c>
      <c r="C24" s="55" t="n"/>
      <c r="D24" s="55" t="n"/>
    </row>
    <row r="25" ht="24" customHeight="1">
      <c r="A25" s="53" t="n">
        <v>12</v>
      </c>
      <c r="B25" s="54">
        <f>IF(OR($C$9="",$C$10=""),"",$C$9+11*$C$10)</f>
        <v/>
      </c>
      <c r="C25" s="55" t="n"/>
      <c r="D25" s="55" t="n"/>
    </row>
    <row r="26" ht="24" customHeight="1">
      <c r="A26" s="53" t="n">
        <v>13</v>
      </c>
      <c r="B26" s="54">
        <f>IF(OR($C$9="",$C$10=""),"",$C$9+12*$C$10)</f>
        <v/>
      </c>
      <c r="C26" s="55" t="n"/>
      <c r="D26" s="55" t="n"/>
    </row>
    <row r="27" ht="24" customHeight="1">
      <c r="A27" s="53" t="n">
        <v>14</v>
      </c>
      <c r="B27" s="54">
        <f>IF(OR($C$9="",$C$10=""),"",$C$9+13*$C$10)</f>
        <v/>
      </c>
      <c r="C27" s="55" t="n"/>
      <c r="D27" s="55" t="n"/>
    </row>
    <row r="28" ht="24" customHeight="1">
      <c r="A28" s="53" t="n">
        <v>15</v>
      </c>
      <c r="B28" s="54">
        <f>IF(OR($C$9="",$C$10=""),"",$C$9+14*$C$10)</f>
        <v/>
      </c>
      <c r="C28" s="55" t="n"/>
      <c r="D28" s="55" t="n"/>
    </row>
    <row r="29" ht="24" customHeight="1">
      <c r="A29" s="53" t="n">
        <v>16</v>
      </c>
      <c r="B29" s="54">
        <f>IF(OR($C$9="",$C$10=""),"",$C$9+15*$C$10)</f>
        <v/>
      </c>
      <c r="C29" s="55" t="n"/>
      <c r="D29" s="55" t="n"/>
    </row>
    <row r="30" ht="24" customHeight="1">
      <c r="A30" s="53" t="n">
        <v>17</v>
      </c>
      <c r="B30" s="54">
        <f>IF(OR($C$9="",$C$10=""),"",$C$9+16*$C$10)</f>
        <v/>
      </c>
      <c r="C30" s="55" t="n"/>
      <c r="D30" s="55" t="n"/>
    </row>
    <row r="31" ht="24" customHeight="1">
      <c r="A31" s="53" t="n">
        <v>18</v>
      </c>
      <c r="B31" s="54">
        <f>IF(OR($C$9="",$C$10=""),"",$C$9+17*$C$10)</f>
        <v/>
      </c>
      <c r="C31" s="55" t="n"/>
      <c r="D31" s="55" t="n"/>
    </row>
    <row r="32" ht="24" customHeight="1">
      <c r="A32" s="53" t="n">
        <v>19</v>
      </c>
      <c r="B32" s="54">
        <f>IF(OR($C$9="",$C$10=""),"",$C$9+18*$C$10)</f>
        <v/>
      </c>
      <c r="C32" s="55" t="n"/>
      <c r="D32" s="55" t="n"/>
    </row>
    <row r="33" ht="24" customHeight="1">
      <c r="A33" s="53" t="n">
        <v>20</v>
      </c>
      <c r="B33" s="54">
        <f>IF(OR($C$9="",$C$10=""),"",$C$9+19*$C$10)</f>
        <v/>
      </c>
      <c r="C33" s="55" t="n"/>
      <c r="D33" s="55" t="n"/>
    </row>
    <row r="35" ht="28" customHeight="1">
      <c r="A35" s="56" t="inlineStr">
        <is>
          <t>Write your bidder number and a bid of at least the amount on your line. Each bid must also beat the bid above it. The highest bid when bidding closes wins.</t>
        </is>
      </c>
    </row>
  </sheetData>
  <mergeCells count="17">
    <mergeCell ref="A1:D1"/>
    <mergeCell ref="C6:D6"/>
    <mergeCell ref="C7:D7"/>
    <mergeCell ref="A7:B7"/>
    <mergeCell ref="A35:D35"/>
    <mergeCell ref="C11:D11"/>
    <mergeCell ref="A11:B11"/>
    <mergeCell ref="C5:D5"/>
    <mergeCell ref="A5:B5"/>
    <mergeCell ref="A10:B10"/>
    <mergeCell ref="F5:G8"/>
    <mergeCell ref="A2:D2"/>
    <mergeCell ref="A9:B9"/>
    <mergeCell ref="A8:B8"/>
    <mergeCell ref="A3:B3"/>
    <mergeCell ref="A6:B6"/>
    <mergeCell ref="F10:G12"/>
  </mergeCells>
  <dataValidations count="1">
    <dataValidation sqref="C3" showDropDown="0" showInputMessage="1" showErrorMessage="1" allowBlank="0" errorTitle="Item number" error="Type an item number from 1 to 200." promptTitle="Item number" prompt="Type an item number, then print." type="whole" errorStyle="warning" operator="between">
      <formula1>1</formula1>
      <formula2>200</formula2>
    </dataValidation>
  </dataValidations>
  <printOptions horizontalCentered="1"/>
  <pageMargins left="0.75" right="0.75" top="1" bottom="1" header="0.5" footer="0.5"/>
  <pageSetup orientation="portrait" fitToHeight="1" fitToWidth="1"/>
  <headerFooter>
    <oddHeader/>
    <oddFooter>&amp;L&amp;8 Made with HornetForms, https://hornetforms.com/blog/silent-auction-donation-form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8F8499"/>
    <outlinePr summaryBelow="1" summaryRight="1"/>
    <pageSetUpPr fitToPage="1"/>
  </sheetPr>
  <dimension ref="A1:K20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24" customWidth="1" min="3" max="3"/>
    <col width="28" customWidth="1" min="4" max="4"/>
    <col width="32" customWidth="1" min="5" max="5"/>
    <col width="24" customWidth="1" min="6" max="6"/>
    <col width="15" customWidth="1" min="7" max="7"/>
    <col width="30" customWidth="1" min="8" max="8"/>
    <col width="3" customWidth="1" min="9" max="9"/>
    <col width="8" customWidth="1" min="10" max="10"/>
    <col width="12" customWidth="1" min="11" max="11"/>
  </cols>
  <sheetData>
    <row r="1">
      <c r="A1" s="39" t="inlineStr">
        <is>
          <t>Thank-you list</t>
        </is>
      </c>
    </row>
    <row r="2">
      <c r="A2" s="57" t="inlineStr">
        <is>
          <t>For the committee's own thank-you notes. One row per item, in item number order.</t>
        </is>
      </c>
    </row>
    <row r="3" ht="30" customHeight="1">
      <c r="A3" s="5" t="inlineStr">
        <is>
          <t>No.</t>
        </is>
      </c>
      <c r="B3" s="5" t="inlineStr">
        <is>
          <t>Donor</t>
        </is>
      </c>
      <c r="C3" s="5" t="inlineStr">
        <is>
          <t>Business</t>
        </is>
      </c>
      <c r="D3" s="5" t="inlineStr">
        <is>
          <t>Email</t>
        </is>
      </c>
      <c r="E3" s="5" t="inlineStr">
        <is>
          <t>Item</t>
        </is>
      </c>
      <c r="F3" s="5" t="inlineStr">
        <is>
          <t>Credit choice</t>
        </is>
      </c>
      <c r="G3" s="58" t="inlineStr">
        <is>
          <t>Thank-you sent</t>
        </is>
      </c>
      <c r="H3" s="58" t="inlineStr">
        <is>
          <t>Your note</t>
        </is>
      </c>
      <c r="J3" s="59" t="inlineStr">
        <is>
          <t>Sent</t>
        </is>
      </c>
      <c r="K3" s="40">
        <f>COUNTIF($G$4:$G$203,"Yes")&amp;" of "&amp;COUNT($A$4:$A$203)</f>
        <v/>
      </c>
    </row>
    <row r="4">
      <c r="A4" s="36">
        <f>IF(ISNUMBER(MATCH(1,Items!$AB$2:$AB$201,0)),1,"")</f>
        <v/>
      </c>
      <c r="B4" s="37">
        <f>IF($A4="","",INDEX(Items!$AK$2:$AK$201,MATCH($A4,Items!$AB$2:$AB$201,0)))</f>
        <v/>
      </c>
      <c r="C4" s="37">
        <f>IF($A4="","",INDEX(Items!$AL$2:$AL$201,MATCH($A4,Items!$AB$2:$AB$201,0)))</f>
        <v/>
      </c>
      <c r="D4" s="37">
        <f>IF($A4="","",INDEX(Items!$AM$2:$AM$201,MATCH($A4,Items!$AB$2:$AB$201,0)))</f>
        <v/>
      </c>
      <c r="E4" s="37">
        <f>IF($A4="","",INDEX(Items!$AC$2:$AC$201,MATCH($A4,Items!$AB$2:$AB$201,0)))</f>
        <v/>
      </c>
      <c r="F4" s="37">
        <f>IF($A4="","",INDEX(Items!$AN$2:$AN$201,MATCH($A4,Items!$AB$2:$AB$201,0)))</f>
        <v/>
      </c>
      <c r="G4" s="60" t="n"/>
      <c r="H4" s="61" t="n"/>
    </row>
    <row r="5">
      <c r="A5" s="36">
        <f>IF(ISNUMBER(MATCH(2,Items!$AB$2:$AB$201,0)),2,"")</f>
        <v/>
      </c>
      <c r="B5" s="37">
        <f>IF($A5="","",INDEX(Items!$AK$2:$AK$201,MATCH($A5,Items!$AB$2:$AB$201,0)))</f>
        <v/>
      </c>
      <c r="C5" s="37">
        <f>IF($A5="","",INDEX(Items!$AL$2:$AL$201,MATCH($A5,Items!$AB$2:$AB$201,0)))</f>
        <v/>
      </c>
      <c r="D5" s="37">
        <f>IF($A5="","",INDEX(Items!$AM$2:$AM$201,MATCH($A5,Items!$AB$2:$AB$201,0)))</f>
        <v/>
      </c>
      <c r="E5" s="37">
        <f>IF($A5="","",INDEX(Items!$AC$2:$AC$201,MATCH($A5,Items!$AB$2:$AB$201,0)))</f>
        <v/>
      </c>
      <c r="F5" s="37">
        <f>IF($A5="","",INDEX(Items!$AN$2:$AN$201,MATCH($A5,Items!$AB$2:$AB$201,0)))</f>
        <v/>
      </c>
      <c r="G5" s="60" t="n"/>
      <c r="H5" s="61" t="n"/>
    </row>
    <row r="6">
      <c r="A6" s="36">
        <f>IF(ISNUMBER(MATCH(3,Items!$AB$2:$AB$201,0)),3,"")</f>
        <v/>
      </c>
      <c r="B6" s="37">
        <f>IF($A6="","",INDEX(Items!$AK$2:$AK$201,MATCH($A6,Items!$AB$2:$AB$201,0)))</f>
        <v/>
      </c>
      <c r="C6" s="37">
        <f>IF($A6="","",INDEX(Items!$AL$2:$AL$201,MATCH($A6,Items!$AB$2:$AB$201,0)))</f>
        <v/>
      </c>
      <c r="D6" s="37">
        <f>IF($A6="","",INDEX(Items!$AM$2:$AM$201,MATCH($A6,Items!$AB$2:$AB$201,0)))</f>
        <v/>
      </c>
      <c r="E6" s="37">
        <f>IF($A6="","",INDEX(Items!$AC$2:$AC$201,MATCH($A6,Items!$AB$2:$AB$201,0)))</f>
        <v/>
      </c>
      <c r="F6" s="37">
        <f>IF($A6="","",INDEX(Items!$AN$2:$AN$201,MATCH($A6,Items!$AB$2:$AB$201,0)))</f>
        <v/>
      </c>
      <c r="G6" s="60" t="n"/>
      <c r="H6" s="61" t="n"/>
    </row>
    <row r="7">
      <c r="A7" s="36">
        <f>IF(ISNUMBER(MATCH(4,Items!$AB$2:$AB$201,0)),4,"")</f>
        <v/>
      </c>
      <c r="B7" s="37">
        <f>IF($A7="","",INDEX(Items!$AK$2:$AK$201,MATCH($A7,Items!$AB$2:$AB$201,0)))</f>
        <v/>
      </c>
      <c r="C7" s="37">
        <f>IF($A7="","",INDEX(Items!$AL$2:$AL$201,MATCH($A7,Items!$AB$2:$AB$201,0)))</f>
        <v/>
      </c>
      <c r="D7" s="37">
        <f>IF($A7="","",INDEX(Items!$AM$2:$AM$201,MATCH($A7,Items!$AB$2:$AB$201,0)))</f>
        <v/>
      </c>
      <c r="E7" s="37">
        <f>IF($A7="","",INDEX(Items!$AC$2:$AC$201,MATCH($A7,Items!$AB$2:$AB$201,0)))</f>
        <v/>
      </c>
      <c r="F7" s="37">
        <f>IF($A7="","",INDEX(Items!$AN$2:$AN$201,MATCH($A7,Items!$AB$2:$AB$201,0)))</f>
        <v/>
      </c>
      <c r="G7" s="60" t="n"/>
      <c r="H7" s="61" t="n"/>
    </row>
    <row r="8">
      <c r="A8" s="36">
        <f>IF(ISNUMBER(MATCH(5,Items!$AB$2:$AB$201,0)),5,"")</f>
        <v/>
      </c>
      <c r="B8" s="37">
        <f>IF($A8="","",INDEX(Items!$AK$2:$AK$201,MATCH($A8,Items!$AB$2:$AB$201,0)))</f>
        <v/>
      </c>
      <c r="C8" s="37">
        <f>IF($A8="","",INDEX(Items!$AL$2:$AL$201,MATCH($A8,Items!$AB$2:$AB$201,0)))</f>
        <v/>
      </c>
      <c r="D8" s="37">
        <f>IF($A8="","",INDEX(Items!$AM$2:$AM$201,MATCH($A8,Items!$AB$2:$AB$201,0)))</f>
        <v/>
      </c>
      <c r="E8" s="37">
        <f>IF($A8="","",INDEX(Items!$AC$2:$AC$201,MATCH($A8,Items!$AB$2:$AB$201,0)))</f>
        <v/>
      </c>
      <c r="F8" s="37">
        <f>IF($A8="","",INDEX(Items!$AN$2:$AN$201,MATCH($A8,Items!$AB$2:$AB$201,0)))</f>
        <v/>
      </c>
      <c r="G8" s="60" t="n"/>
      <c r="H8" s="61" t="n"/>
    </row>
    <row r="9">
      <c r="A9" s="36">
        <f>IF(ISNUMBER(MATCH(6,Items!$AB$2:$AB$201,0)),6,"")</f>
        <v/>
      </c>
      <c r="B9" s="37">
        <f>IF($A9="","",INDEX(Items!$AK$2:$AK$201,MATCH($A9,Items!$AB$2:$AB$201,0)))</f>
        <v/>
      </c>
      <c r="C9" s="37">
        <f>IF($A9="","",INDEX(Items!$AL$2:$AL$201,MATCH($A9,Items!$AB$2:$AB$201,0)))</f>
        <v/>
      </c>
      <c r="D9" s="37">
        <f>IF($A9="","",INDEX(Items!$AM$2:$AM$201,MATCH($A9,Items!$AB$2:$AB$201,0)))</f>
        <v/>
      </c>
      <c r="E9" s="37">
        <f>IF($A9="","",INDEX(Items!$AC$2:$AC$201,MATCH($A9,Items!$AB$2:$AB$201,0)))</f>
        <v/>
      </c>
      <c r="F9" s="37">
        <f>IF($A9="","",INDEX(Items!$AN$2:$AN$201,MATCH($A9,Items!$AB$2:$AB$201,0)))</f>
        <v/>
      </c>
      <c r="G9" s="60" t="n"/>
      <c r="H9" s="61" t="n"/>
    </row>
    <row r="10">
      <c r="A10" s="36">
        <f>IF(ISNUMBER(MATCH(7,Items!$AB$2:$AB$201,0)),7,"")</f>
        <v/>
      </c>
      <c r="B10" s="37">
        <f>IF($A10="","",INDEX(Items!$AK$2:$AK$201,MATCH($A10,Items!$AB$2:$AB$201,0)))</f>
        <v/>
      </c>
      <c r="C10" s="37">
        <f>IF($A10="","",INDEX(Items!$AL$2:$AL$201,MATCH($A10,Items!$AB$2:$AB$201,0)))</f>
        <v/>
      </c>
      <c r="D10" s="37">
        <f>IF($A10="","",INDEX(Items!$AM$2:$AM$201,MATCH($A10,Items!$AB$2:$AB$201,0)))</f>
        <v/>
      </c>
      <c r="E10" s="37">
        <f>IF($A10="","",INDEX(Items!$AC$2:$AC$201,MATCH($A10,Items!$AB$2:$AB$201,0)))</f>
        <v/>
      </c>
      <c r="F10" s="37">
        <f>IF($A10="","",INDEX(Items!$AN$2:$AN$201,MATCH($A10,Items!$AB$2:$AB$201,0)))</f>
        <v/>
      </c>
      <c r="G10" s="60" t="n"/>
      <c r="H10" s="61" t="n"/>
    </row>
    <row r="11">
      <c r="A11" s="36">
        <f>IF(ISNUMBER(MATCH(8,Items!$AB$2:$AB$201,0)),8,"")</f>
        <v/>
      </c>
      <c r="B11" s="37">
        <f>IF($A11="","",INDEX(Items!$AK$2:$AK$201,MATCH($A11,Items!$AB$2:$AB$201,0)))</f>
        <v/>
      </c>
      <c r="C11" s="37">
        <f>IF($A11="","",INDEX(Items!$AL$2:$AL$201,MATCH($A11,Items!$AB$2:$AB$201,0)))</f>
        <v/>
      </c>
      <c r="D11" s="37">
        <f>IF($A11="","",INDEX(Items!$AM$2:$AM$201,MATCH($A11,Items!$AB$2:$AB$201,0)))</f>
        <v/>
      </c>
      <c r="E11" s="37">
        <f>IF($A11="","",INDEX(Items!$AC$2:$AC$201,MATCH($A11,Items!$AB$2:$AB$201,0)))</f>
        <v/>
      </c>
      <c r="F11" s="37">
        <f>IF($A11="","",INDEX(Items!$AN$2:$AN$201,MATCH($A11,Items!$AB$2:$AB$201,0)))</f>
        <v/>
      </c>
      <c r="G11" s="60" t="n"/>
      <c r="H11" s="61" t="n"/>
    </row>
    <row r="12">
      <c r="A12" s="36">
        <f>IF(ISNUMBER(MATCH(9,Items!$AB$2:$AB$201,0)),9,"")</f>
        <v/>
      </c>
      <c r="B12" s="37">
        <f>IF($A12="","",INDEX(Items!$AK$2:$AK$201,MATCH($A12,Items!$AB$2:$AB$201,0)))</f>
        <v/>
      </c>
      <c r="C12" s="37">
        <f>IF($A12="","",INDEX(Items!$AL$2:$AL$201,MATCH($A12,Items!$AB$2:$AB$201,0)))</f>
        <v/>
      </c>
      <c r="D12" s="37">
        <f>IF($A12="","",INDEX(Items!$AM$2:$AM$201,MATCH($A12,Items!$AB$2:$AB$201,0)))</f>
        <v/>
      </c>
      <c r="E12" s="37">
        <f>IF($A12="","",INDEX(Items!$AC$2:$AC$201,MATCH($A12,Items!$AB$2:$AB$201,0)))</f>
        <v/>
      </c>
      <c r="F12" s="37">
        <f>IF($A12="","",INDEX(Items!$AN$2:$AN$201,MATCH($A12,Items!$AB$2:$AB$201,0)))</f>
        <v/>
      </c>
      <c r="G12" s="60" t="n"/>
      <c r="H12" s="61" t="n"/>
    </row>
    <row r="13">
      <c r="A13" s="36">
        <f>IF(ISNUMBER(MATCH(10,Items!$AB$2:$AB$201,0)),10,"")</f>
        <v/>
      </c>
      <c r="B13" s="37">
        <f>IF($A13="","",INDEX(Items!$AK$2:$AK$201,MATCH($A13,Items!$AB$2:$AB$201,0)))</f>
        <v/>
      </c>
      <c r="C13" s="37">
        <f>IF($A13="","",INDEX(Items!$AL$2:$AL$201,MATCH($A13,Items!$AB$2:$AB$201,0)))</f>
        <v/>
      </c>
      <c r="D13" s="37">
        <f>IF($A13="","",INDEX(Items!$AM$2:$AM$201,MATCH($A13,Items!$AB$2:$AB$201,0)))</f>
        <v/>
      </c>
      <c r="E13" s="37">
        <f>IF($A13="","",INDEX(Items!$AC$2:$AC$201,MATCH($A13,Items!$AB$2:$AB$201,0)))</f>
        <v/>
      </c>
      <c r="F13" s="37">
        <f>IF($A13="","",INDEX(Items!$AN$2:$AN$201,MATCH($A13,Items!$AB$2:$AB$201,0)))</f>
        <v/>
      </c>
      <c r="G13" s="60" t="n"/>
      <c r="H13" s="61" t="n"/>
    </row>
    <row r="14">
      <c r="A14" s="36">
        <f>IF(ISNUMBER(MATCH(11,Items!$AB$2:$AB$201,0)),11,"")</f>
        <v/>
      </c>
      <c r="B14" s="37">
        <f>IF($A14="","",INDEX(Items!$AK$2:$AK$201,MATCH($A14,Items!$AB$2:$AB$201,0)))</f>
        <v/>
      </c>
      <c r="C14" s="37">
        <f>IF($A14="","",INDEX(Items!$AL$2:$AL$201,MATCH($A14,Items!$AB$2:$AB$201,0)))</f>
        <v/>
      </c>
      <c r="D14" s="37">
        <f>IF($A14="","",INDEX(Items!$AM$2:$AM$201,MATCH($A14,Items!$AB$2:$AB$201,0)))</f>
        <v/>
      </c>
      <c r="E14" s="37">
        <f>IF($A14="","",INDEX(Items!$AC$2:$AC$201,MATCH($A14,Items!$AB$2:$AB$201,0)))</f>
        <v/>
      </c>
      <c r="F14" s="37">
        <f>IF($A14="","",INDEX(Items!$AN$2:$AN$201,MATCH($A14,Items!$AB$2:$AB$201,0)))</f>
        <v/>
      </c>
      <c r="G14" s="60" t="n"/>
      <c r="H14" s="61" t="n"/>
    </row>
    <row r="15">
      <c r="A15" s="36">
        <f>IF(ISNUMBER(MATCH(12,Items!$AB$2:$AB$201,0)),12,"")</f>
        <v/>
      </c>
      <c r="B15" s="37">
        <f>IF($A15="","",INDEX(Items!$AK$2:$AK$201,MATCH($A15,Items!$AB$2:$AB$201,0)))</f>
        <v/>
      </c>
      <c r="C15" s="37">
        <f>IF($A15="","",INDEX(Items!$AL$2:$AL$201,MATCH($A15,Items!$AB$2:$AB$201,0)))</f>
        <v/>
      </c>
      <c r="D15" s="37">
        <f>IF($A15="","",INDEX(Items!$AM$2:$AM$201,MATCH($A15,Items!$AB$2:$AB$201,0)))</f>
        <v/>
      </c>
      <c r="E15" s="37">
        <f>IF($A15="","",INDEX(Items!$AC$2:$AC$201,MATCH($A15,Items!$AB$2:$AB$201,0)))</f>
        <v/>
      </c>
      <c r="F15" s="37">
        <f>IF($A15="","",INDEX(Items!$AN$2:$AN$201,MATCH($A15,Items!$AB$2:$AB$201,0)))</f>
        <v/>
      </c>
      <c r="G15" s="60" t="n"/>
      <c r="H15" s="61" t="n"/>
    </row>
    <row r="16">
      <c r="A16" s="36">
        <f>IF(ISNUMBER(MATCH(13,Items!$AB$2:$AB$201,0)),13,"")</f>
        <v/>
      </c>
      <c r="B16" s="37">
        <f>IF($A16="","",INDEX(Items!$AK$2:$AK$201,MATCH($A16,Items!$AB$2:$AB$201,0)))</f>
        <v/>
      </c>
      <c r="C16" s="37">
        <f>IF($A16="","",INDEX(Items!$AL$2:$AL$201,MATCH($A16,Items!$AB$2:$AB$201,0)))</f>
        <v/>
      </c>
      <c r="D16" s="37">
        <f>IF($A16="","",INDEX(Items!$AM$2:$AM$201,MATCH($A16,Items!$AB$2:$AB$201,0)))</f>
        <v/>
      </c>
      <c r="E16" s="37">
        <f>IF($A16="","",INDEX(Items!$AC$2:$AC$201,MATCH($A16,Items!$AB$2:$AB$201,0)))</f>
        <v/>
      </c>
      <c r="F16" s="37">
        <f>IF($A16="","",INDEX(Items!$AN$2:$AN$201,MATCH($A16,Items!$AB$2:$AB$201,0)))</f>
        <v/>
      </c>
      <c r="G16" s="60" t="n"/>
      <c r="H16" s="61" t="n"/>
    </row>
    <row r="17">
      <c r="A17" s="36">
        <f>IF(ISNUMBER(MATCH(14,Items!$AB$2:$AB$201,0)),14,"")</f>
        <v/>
      </c>
      <c r="B17" s="37">
        <f>IF($A17="","",INDEX(Items!$AK$2:$AK$201,MATCH($A17,Items!$AB$2:$AB$201,0)))</f>
        <v/>
      </c>
      <c r="C17" s="37">
        <f>IF($A17="","",INDEX(Items!$AL$2:$AL$201,MATCH($A17,Items!$AB$2:$AB$201,0)))</f>
        <v/>
      </c>
      <c r="D17" s="37">
        <f>IF($A17="","",INDEX(Items!$AM$2:$AM$201,MATCH($A17,Items!$AB$2:$AB$201,0)))</f>
        <v/>
      </c>
      <c r="E17" s="37">
        <f>IF($A17="","",INDEX(Items!$AC$2:$AC$201,MATCH($A17,Items!$AB$2:$AB$201,0)))</f>
        <v/>
      </c>
      <c r="F17" s="37">
        <f>IF($A17="","",INDEX(Items!$AN$2:$AN$201,MATCH($A17,Items!$AB$2:$AB$201,0)))</f>
        <v/>
      </c>
      <c r="G17" s="60" t="n"/>
      <c r="H17" s="61" t="n"/>
    </row>
    <row r="18">
      <c r="A18" s="36">
        <f>IF(ISNUMBER(MATCH(15,Items!$AB$2:$AB$201,0)),15,"")</f>
        <v/>
      </c>
      <c r="B18" s="37">
        <f>IF($A18="","",INDEX(Items!$AK$2:$AK$201,MATCH($A18,Items!$AB$2:$AB$201,0)))</f>
        <v/>
      </c>
      <c r="C18" s="37">
        <f>IF($A18="","",INDEX(Items!$AL$2:$AL$201,MATCH($A18,Items!$AB$2:$AB$201,0)))</f>
        <v/>
      </c>
      <c r="D18" s="37">
        <f>IF($A18="","",INDEX(Items!$AM$2:$AM$201,MATCH($A18,Items!$AB$2:$AB$201,0)))</f>
        <v/>
      </c>
      <c r="E18" s="37">
        <f>IF($A18="","",INDEX(Items!$AC$2:$AC$201,MATCH($A18,Items!$AB$2:$AB$201,0)))</f>
        <v/>
      </c>
      <c r="F18" s="37">
        <f>IF($A18="","",INDEX(Items!$AN$2:$AN$201,MATCH($A18,Items!$AB$2:$AB$201,0)))</f>
        <v/>
      </c>
      <c r="G18" s="60" t="n"/>
      <c r="H18" s="61" t="n"/>
    </row>
    <row r="19">
      <c r="A19" s="36">
        <f>IF(ISNUMBER(MATCH(16,Items!$AB$2:$AB$201,0)),16,"")</f>
        <v/>
      </c>
      <c r="B19" s="37">
        <f>IF($A19="","",INDEX(Items!$AK$2:$AK$201,MATCH($A19,Items!$AB$2:$AB$201,0)))</f>
        <v/>
      </c>
      <c r="C19" s="37">
        <f>IF($A19="","",INDEX(Items!$AL$2:$AL$201,MATCH($A19,Items!$AB$2:$AB$201,0)))</f>
        <v/>
      </c>
      <c r="D19" s="37">
        <f>IF($A19="","",INDEX(Items!$AM$2:$AM$201,MATCH($A19,Items!$AB$2:$AB$201,0)))</f>
        <v/>
      </c>
      <c r="E19" s="37">
        <f>IF($A19="","",INDEX(Items!$AC$2:$AC$201,MATCH($A19,Items!$AB$2:$AB$201,0)))</f>
        <v/>
      </c>
      <c r="F19" s="37">
        <f>IF($A19="","",INDEX(Items!$AN$2:$AN$201,MATCH($A19,Items!$AB$2:$AB$201,0)))</f>
        <v/>
      </c>
      <c r="G19" s="60" t="n"/>
      <c r="H19" s="61" t="n"/>
    </row>
    <row r="20">
      <c r="A20" s="36">
        <f>IF(ISNUMBER(MATCH(17,Items!$AB$2:$AB$201,0)),17,"")</f>
        <v/>
      </c>
      <c r="B20" s="37">
        <f>IF($A20="","",INDEX(Items!$AK$2:$AK$201,MATCH($A20,Items!$AB$2:$AB$201,0)))</f>
        <v/>
      </c>
      <c r="C20" s="37">
        <f>IF($A20="","",INDEX(Items!$AL$2:$AL$201,MATCH($A20,Items!$AB$2:$AB$201,0)))</f>
        <v/>
      </c>
      <c r="D20" s="37">
        <f>IF($A20="","",INDEX(Items!$AM$2:$AM$201,MATCH($A20,Items!$AB$2:$AB$201,0)))</f>
        <v/>
      </c>
      <c r="E20" s="37">
        <f>IF($A20="","",INDEX(Items!$AC$2:$AC$201,MATCH($A20,Items!$AB$2:$AB$201,0)))</f>
        <v/>
      </c>
      <c r="F20" s="37">
        <f>IF($A20="","",INDEX(Items!$AN$2:$AN$201,MATCH($A20,Items!$AB$2:$AB$201,0)))</f>
        <v/>
      </c>
      <c r="G20" s="60" t="n"/>
      <c r="H20" s="61" t="n"/>
    </row>
    <row r="21">
      <c r="A21" s="36">
        <f>IF(ISNUMBER(MATCH(18,Items!$AB$2:$AB$201,0)),18,"")</f>
        <v/>
      </c>
      <c r="B21" s="37">
        <f>IF($A21="","",INDEX(Items!$AK$2:$AK$201,MATCH($A21,Items!$AB$2:$AB$201,0)))</f>
        <v/>
      </c>
      <c r="C21" s="37">
        <f>IF($A21="","",INDEX(Items!$AL$2:$AL$201,MATCH($A21,Items!$AB$2:$AB$201,0)))</f>
        <v/>
      </c>
      <c r="D21" s="37">
        <f>IF($A21="","",INDEX(Items!$AM$2:$AM$201,MATCH($A21,Items!$AB$2:$AB$201,0)))</f>
        <v/>
      </c>
      <c r="E21" s="37">
        <f>IF($A21="","",INDEX(Items!$AC$2:$AC$201,MATCH($A21,Items!$AB$2:$AB$201,0)))</f>
        <v/>
      </c>
      <c r="F21" s="37">
        <f>IF($A21="","",INDEX(Items!$AN$2:$AN$201,MATCH($A21,Items!$AB$2:$AB$201,0)))</f>
        <v/>
      </c>
      <c r="G21" s="60" t="n"/>
      <c r="H21" s="61" t="n"/>
    </row>
    <row r="22">
      <c r="A22" s="36">
        <f>IF(ISNUMBER(MATCH(19,Items!$AB$2:$AB$201,0)),19,"")</f>
        <v/>
      </c>
      <c r="B22" s="37">
        <f>IF($A22="","",INDEX(Items!$AK$2:$AK$201,MATCH($A22,Items!$AB$2:$AB$201,0)))</f>
        <v/>
      </c>
      <c r="C22" s="37">
        <f>IF($A22="","",INDEX(Items!$AL$2:$AL$201,MATCH($A22,Items!$AB$2:$AB$201,0)))</f>
        <v/>
      </c>
      <c r="D22" s="37">
        <f>IF($A22="","",INDEX(Items!$AM$2:$AM$201,MATCH($A22,Items!$AB$2:$AB$201,0)))</f>
        <v/>
      </c>
      <c r="E22" s="37">
        <f>IF($A22="","",INDEX(Items!$AC$2:$AC$201,MATCH($A22,Items!$AB$2:$AB$201,0)))</f>
        <v/>
      </c>
      <c r="F22" s="37">
        <f>IF($A22="","",INDEX(Items!$AN$2:$AN$201,MATCH($A22,Items!$AB$2:$AB$201,0)))</f>
        <v/>
      </c>
      <c r="G22" s="60" t="n"/>
      <c r="H22" s="61" t="n"/>
    </row>
    <row r="23">
      <c r="A23" s="36">
        <f>IF(ISNUMBER(MATCH(20,Items!$AB$2:$AB$201,0)),20,"")</f>
        <v/>
      </c>
      <c r="B23" s="37">
        <f>IF($A23="","",INDEX(Items!$AK$2:$AK$201,MATCH($A23,Items!$AB$2:$AB$201,0)))</f>
        <v/>
      </c>
      <c r="C23" s="37">
        <f>IF($A23="","",INDEX(Items!$AL$2:$AL$201,MATCH($A23,Items!$AB$2:$AB$201,0)))</f>
        <v/>
      </c>
      <c r="D23" s="37">
        <f>IF($A23="","",INDEX(Items!$AM$2:$AM$201,MATCH($A23,Items!$AB$2:$AB$201,0)))</f>
        <v/>
      </c>
      <c r="E23" s="37">
        <f>IF($A23="","",INDEX(Items!$AC$2:$AC$201,MATCH($A23,Items!$AB$2:$AB$201,0)))</f>
        <v/>
      </c>
      <c r="F23" s="37">
        <f>IF($A23="","",INDEX(Items!$AN$2:$AN$201,MATCH($A23,Items!$AB$2:$AB$201,0)))</f>
        <v/>
      </c>
      <c r="G23" s="60" t="n"/>
      <c r="H23" s="61" t="n"/>
    </row>
    <row r="24">
      <c r="A24" s="36">
        <f>IF(ISNUMBER(MATCH(21,Items!$AB$2:$AB$201,0)),21,"")</f>
        <v/>
      </c>
      <c r="B24" s="37">
        <f>IF($A24="","",INDEX(Items!$AK$2:$AK$201,MATCH($A24,Items!$AB$2:$AB$201,0)))</f>
        <v/>
      </c>
      <c r="C24" s="37">
        <f>IF($A24="","",INDEX(Items!$AL$2:$AL$201,MATCH($A24,Items!$AB$2:$AB$201,0)))</f>
        <v/>
      </c>
      <c r="D24" s="37">
        <f>IF($A24="","",INDEX(Items!$AM$2:$AM$201,MATCH($A24,Items!$AB$2:$AB$201,0)))</f>
        <v/>
      </c>
      <c r="E24" s="37">
        <f>IF($A24="","",INDEX(Items!$AC$2:$AC$201,MATCH($A24,Items!$AB$2:$AB$201,0)))</f>
        <v/>
      </c>
      <c r="F24" s="37">
        <f>IF($A24="","",INDEX(Items!$AN$2:$AN$201,MATCH($A24,Items!$AB$2:$AB$201,0)))</f>
        <v/>
      </c>
      <c r="G24" s="60" t="n"/>
      <c r="H24" s="61" t="n"/>
    </row>
    <row r="25">
      <c r="A25" s="36">
        <f>IF(ISNUMBER(MATCH(22,Items!$AB$2:$AB$201,0)),22,"")</f>
        <v/>
      </c>
      <c r="B25" s="37">
        <f>IF($A25="","",INDEX(Items!$AK$2:$AK$201,MATCH($A25,Items!$AB$2:$AB$201,0)))</f>
        <v/>
      </c>
      <c r="C25" s="37">
        <f>IF($A25="","",INDEX(Items!$AL$2:$AL$201,MATCH($A25,Items!$AB$2:$AB$201,0)))</f>
        <v/>
      </c>
      <c r="D25" s="37">
        <f>IF($A25="","",INDEX(Items!$AM$2:$AM$201,MATCH($A25,Items!$AB$2:$AB$201,0)))</f>
        <v/>
      </c>
      <c r="E25" s="37">
        <f>IF($A25="","",INDEX(Items!$AC$2:$AC$201,MATCH($A25,Items!$AB$2:$AB$201,0)))</f>
        <v/>
      </c>
      <c r="F25" s="37">
        <f>IF($A25="","",INDEX(Items!$AN$2:$AN$201,MATCH($A25,Items!$AB$2:$AB$201,0)))</f>
        <v/>
      </c>
      <c r="G25" s="60" t="n"/>
      <c r="H25" s="61" t="n"/>
    </row>
    <row r="26">
      <c r="A26" s="36">
        <f>IF(ISNUMBER(MATCH(23,Items!$AB$2:$AB$201,0)),23,"")</f>
        <v/>
      </c>
      <c r="B26" s="37">
        <f>IF($A26="","",INDEX(Items!$AK$2:$AK$201,MATCH($A26,Items!$AB$2:$AB$201,0)))</f>
        <v/>
      </c>
      <c r="C26" s="37">
        <f>IF($A26="","",INDEX(Items!$AL$2:$AL$201,MATCH($A26,Items!$AB$2:$AB$201,0)))</f>
        <v/>
      </c>
      <c r="D26" s="37">
        <f>IF($A26="","",INDEX(Items!$AM$2:$AM$201,MATCH($A26,Items!$AB$2:$AB$201,0)))</f>
        <v/>
      </c>
      <c r="E26" s="37">
        <f>IF($A26="","",INDEX(Items!$AC$2:$AC$201,MATCH($A26,Items!$AB$2:$AB$201,0)))</f>
        <v/>
      </c>
      <c r="F26" s="37">
        <f>IF($A26="","",INDEX(Items!$AN$2:$AN$201,MATCH($A26,Items!$AB$2:$AB$201,0)))</f>
        <v/>
      </c>
      <c r="G26" s="60" t="n"/>
      <c r="H26" s="61" t="n"/>
    </row>
    <row r="27">
      <c r="A27" s="36">
        <f>IF(ISNUMBER(MATCH(24,Items!$AB$2:$AB$201,0)),24,"")</f>
        <v/>
      </c>
      <c r="B27" s="37">
        <f>IF($A27="","",INDEX(Items!$AK$2:$AK$201,MATCH($A27,Items!$AB$2:$AB$201,0)))</f>
        <v/>
      </c>
      <c r="C27" s="37">
        <f>IF($A27="","",INDEX(Items!$AL$2:$AL$201,MATCH($A27,Items!$AB$2:$AB$201,0)))</f>
        <v/>
      </c>
      <c r="D27" s="37">
        <f>IF($A27="","",INDEX(Items!$AM$2:$AM$201,MATCH($A27,Items!$AB$2:$AB$201,0)))</f>
        <v/>
      </c>
      <c r="E27" s="37">
        <f>IF($A27="","",INDEX(Items!$AC$2:$AC$201,MATCH($A27,Items!$AB$2:$AB$201,0)))</f>
        <v/>
      </c>
      <c r="F27" s="37">
        <f>IF($A27="","",INDEX(Items!$AN$2:$AN$201,MATCH($A27,Items!$AB$2:$AB$201,0)))</f>
        <v/>
      </c>
      <c r="G27" s="60" t="n"/>
      <c r="H27" s="61" t="n"/>
    </row>
    <row r="28">
      <c r="A28" s="36">
        <f>IF(ISNUMBER(MATCH(25,Items!$AB$2:$AB$201,0)),25,"")</f>
        <v/>
      </c>
      <c r="B28" s="37">
        <f>IF($A28="","",INDEX(Items!$AK$2:$AK$201,MATCH($A28,Items!$AB$2:$AB$201,0)))</f>
        <v/>
      </c>
      <c r="C28" s="37">
        <f>IF($A28="","",INDEX(Items!$AL$2:$AL$201,MATCH($A28,Items!$AB$2:$AB$201,0)))</f>
        <v/>
      </c>
      <c r="D28" s="37">
        <f>IF($A28="","",INDEX(Items!$AM$2:$AM$201,MATCH($A28,Items!$AB$2:$AB$201,0)))</f>
        <v/>
      </c>
      <c r="E28" s="37">
        <f>IF($A28="","",INDEX(Items!$AC$2:$AC$201,MATCH($A28,Items!$AB$2:$AB$201,0)))</f>
        <v/>
      </c>
      <c r="F28" s="37">
        <f>IF($A28="","",INDEX(Items!$AN$2:$AN$201,MATCH($A28,Items!$AB$2:$AB$201,0)))</f>
        <v/>
      </c>
      <c r="G28" s="60" t="n"/>
      <c r="H28" s="61" t="n"/>
    </row>
    <row r="29">
      <c r="A29" s="36">
        <f>IF(ISNUMBER(MATCH(26,Items!$AB$2:$AB$201,0)),26,"")</f>
        <v/>
      </c>
      <c r="B29" s="37">
        <f>IF($A29="","",INDEX(Items!$AK$2:$AK$201,MATCH($A29,Items!$AB$2:$AB$201,0)))</f>
        <v/>
      </c>
      <c r="C29" s="37">
        <f>IF($A29="","",INDEX(Items!$AL$2:$AL$201,MATCH($A29,Items!$AB$2:$AB$201,0)))</f>
        <v/>
      </c>
      <c r="D29" s="37">
        <f>IF($A29="","",INDEX(Items!$AM$2:$AM$201,MATCH($A29,Items!$AB$2:$AB$201,0)))</f>
        <v/>
      </c>
      <c r="E29" s="37">
        <f>IF($A29="","",INDEX(Items!$AC$2:$AC$201,MATCH($A29,Items!$AB$2:$AB$201,0)))</f>
        <v/>
      </c>
      <c r="F29" s="37">
        <f>IF($A29="","",INDEX(Items!$AN$2:$AN$201,MATCH($A29,Items!$AB$2:$AB$201,0)))</f>
        <v/>
      </c>
      <c r="G29" s="60" t="n"/>
      <c r="H29" s="61" t="n"/>
    </row>
    <row r="30">
      <c r="A30" s="36">
        <f>IF(ISNUMBER(MATCH(27,Items!$AB$2:$AB$201,0)),27,"")</f>
        <v/>
      </c>
      <c r="B30" s="37">
        <f>IF($A30="","",INDEX(Items!$AK$2:$AK$201,MATCH($A30,Items!$AB$2:$AB$201,0)))</f>
        <v/>
      </c>
      <c r="C30" s="37">
        <f>IF($A30="","",INDEX(Items!$AL$2:$AL$201,MATCH($A30,Items!$AB$2:$AB$201,0)))</f>
        <v/>
      </c>
      <c r="D30" s="37">
        <f>IF($A30="","",INDEX(Items!$AM$2:$AM$201,MATCH($A30,Items!$AB$2:$AB$201,0)))</f>
        <v/>
      </c>
      <c r="E30" s="37">
        <f>IF($A30="","",INDEX(Items!$AC$2:$AC$201,MATCH($A30,Items!$AB$2:$AB$201,0)))</f>
        <v/>
      </c>
      <c r="F30" s="37">
        <f>IF($A30="","",INDEX(Items!$AN$2:$AN$201,MATCH($A30,Items!$AB$2:$AB$201,0)))</f>
        <v/>
      </c>
      <c r="G30" s="60" t="n"/>
      <c r="H30" s="61" t="n"/>
    </row>
    <row r="31">
      <c r="A31" s="36">
        <f>IF(ISNUMBER(MATCH(28,Items!$AB$2:$AB$201,0)),28,"")</f>
        <v/>
      </c>
      <c r="B31" s="37">
        <f>IF($A31="","",INDEX(Items!$AK$2:$AK$201,MATCH($A31,Items!$AB$2:$AB$201,0)))</f>
        <v/>
      </c>
      <c r="C31" s="37">
        <f>IF($A31="","",INDEX(Items!$AL$2:$AL$201,MATCH($A31,Items!$AB$2:$AB$201,0)))</f>
        <v/>
      </c>
      <c r="D31" s="37">
        <f>IF($A31="","",INDEX(Items!$AM$2:$AM$201,MATCH($A31,Items!$AB$2:$AB$201,0)))</f>
        <v/>
      </c>
      <c r="E31" s="37">
        <f>IF($A31="","",INDEX(Items!$AC$2:$AC$201,MATCH($A31,Items!$AB$2:$AB$201,0)))</f>
        <v/>
      </c>
      <c r="F31" s="37">
        <f>IF($A31="","",INDEX(Items!$AN$2:$AN$201,MATCH($A31,Items!$AB$2:$AB$201,0)))</f>
        <v/>
      </c>
      <c r="G31" s="60" t="n"/>
      <c r="H31" s="61" t="n"/>
    </row>
    <row r="32">
      <c r="A32" s="36">
        <f>IF(ISNUMBER(MATCH(29,Items!$AB$2:$AB$201,0)),29,"")</f>
        <v/>
      </c>
      <c r="B32" s="37">
        <f>IF($A32="","",INDEX(Items!$AK$2:$AK$201,MATCH($A32,Items!$AB$2:$AB$201,0)))</f>
        <v/>
      </c>
      <c r="C32" s="37">
        <f>IF($A32="","",INDEX(Items!$AL$2:$AL$201,MATCH($A32,Items!$AB$2:$AB$201,0)))</f>
        <v/>
      </c>
      <c r="D32" s="37">
        <f>IF($A32="","",INDEX(Items!$AM$2:$AM$201,MATCH($A32,Items!$AB$2:$AB$201,0)))</f>
        <v/>
      </c>
      <c r="E32" s="37">
        <f>IF($A32="","",INDEX(Items!$AC$2:$AC$201,MATCH($A32,Items!$AB$2:$AB$201,0)))</f>
        <v/>
      </c>
      <c r="F32" s="37">
        <f>IF($A32="","",INDEX(Items!$AN$2:$AN$201,MATCH($A32,Items!$AB$2:$AB$201,0)))</f>
        <v/>
      </c>
      <c r="G32" s="60" t="n"/>
      <c r="H32" s="61" t="n"/>
    </row>
    <row r="33">
      <c r="A33" s="36">
        <f>IF(ISNUMBER(MATCH(30,Items!$AB$2:$AB$201,0)),30,"")</f>
        <v/>
      </c>
      <c r="B33" s="37">
        <f>IF($A33="","",INDEX(Items!$AK$2:$AK$201,MATCH($A33,Items!$AB$2:$AB$201,0)))</f>
        <v/>
      </c>
      <c r="C33" s="37">
        <f>IF($A33="","",INDEX(Items!$AL$2:$AL$201,MATCH($A33,Items!$AB$2:$AB$201,0)))</f>
        <v/>
      </c>
      <c r="D33" s="37">
        <f>IF($A33="","",INDEX(Items!$AM$2:$AM$201,MATCH($A33,Items!$AB$2:$AB$201,0)))</f>
        <v/>
      </c>
      <c r="E33" s="37">
        <f>IF($A33="","",INDEX(Items!$AC$2:$AC$201,MATCH($A33,Items!$AB$2:$AB$201,0)))</f>
        <v/>
      </c>
      <c r="F33" s="37">
        <f>IF($A33="","",INDEX(Items!$AN$2:$AN$201,MATCH($A33,Items!$AB$2:$AB$201,0)))</f>
        <v/>
      </c>
      <c r="G33" s="60" t="n"/>
      <c r="H33" s="61" t="n"/>
    </row>
    <row r="34">
      <c r="A34" s="36">
        <f>IF(ISNUMBER(MATCH(31,Items!$AB$2:$AB$201,0)),31,"")</f>
        <v/>
      </c>
      <c r="B34" s="37">
        <f>IF($A34="","",INDEX(Items!$AK$2:$AK$201,MATCH($A34,Items!$AB$2:$AB$201,0)))</f>
        <v/>
      </c>
      <c r="C34" s="37">
        <f>IF($A34="","",INDEX(Items!$AL$2:$AL$201,MATCH($A34,Items!$AB$2:$AB$201,0)))</f>
        <v/>
      </c>
      <c r="D34" s="37">
        <f>IF($A34="","",INDEX(Items!$AM$2:$AM$201,MATCH($A34,Items!$AB$2:$AB$201,0)))</f>
        <v/>
      </c>
      <c r="E34" s="37">
        <f>IF($A34="","",INDEX(Items!$AC$2:$AC$201,MATCH($A34,Items!$AB$2:$AB$201,0)))</f>
        <v/>
      </c>
      <c r="F34" s="37">
        <f>IF($A34="","",INDEX(Items!$AN$2:$AN$201,MATCH($A34,Items!$AB$2:$AB$201,0)))</f>
        <v/>
      </c>
      <c r="G34" s="60" t="n"/>
      <c r="H34" s="61" t="n"/>
    </row>
    <row r="35">
      <c r="A35" s="36">
        <f>IF(ISNUMBER(MATCH(32,Items!$AB$2:$AB$201,0)),32,"")</f>
        <v/>
      </c>
      <c r="B35" s="37">
        <f>IF($A35="","",INDEX(Items!$AK$2:$AK$201,MATCH($A35,Items!$AB$2:$AB$201,0)))</f>
        <v/>
      </c>
      <c r="C35" s="37">
        <f>IF($A35="","",INDEX(Items!$AL$2:$AL$201,MATCH($A35,Items!$AB$2:$AB$201,0)))</f>
        <v/>
      </c>
      <c r="D35" s="37">
        <f>IF($A35="","",INDEX(Items!$AM$2:$AM$201,MATCH($A35,Items!$AB$2:$AB$201,0)))</f>
        <v/>
      </c>
      <c r="E35" s="37">
        <f>IF($A35="","",INDEX(Items!$AC$2:$AC$201,MATCH($A35,Items!$AB$2:$AB$201,0)))</f>
        <v/>
      </c>
      <c r="F35" s="37">
        <f>IF($A35="","",INDEX(Items!$AN$2:$AN$201,MATCH($A35,Items!$AB$2:$AB$201,0)))</f>
        <v/>
      </c>
      <c r="G35" s="60" t="n"/>
      <c r="H35" s="61" t="n"/>
    </row>
    <row r="36">
      <c r="A36" s="36">
        <f>IF(ISNUMBER(MATCH(33,Items!$AB$2:$AB$201,0)),33,"")</f>
        <v/>
      </c>
      <c r="B36" s="37">
        <f>IF($A36="","",INDEX(Items!$AK$2:$AK$201,MATCH($A36,Items!$AB$2:$AB$201,0)))</f>
        <v/>
      </c>
      <c r="C36" s="37">
        <f>IF($A36="","",INDEX(Items!$AL$2:$AL$201,MATCH($A36,Items!$AB$2:$AB$201,0)))</f>
        <v/>
      </c>
      <c r="D36" s="37">
        <f>IF($A36="","",INDEX(Items!$AM$2:$AM$201,MATCH($A36,Items!$AB$2:$AB$201,0)))</f>
        <v/>
      </c>
      <c r="E36" s="37">
        <f>IF($A36="","",INDEX(Items!$AC$2:$AC$201,MATCH($A36,Items!$AB$2:$AB$201,0)))</f>
        <v/>
      </c>
      <c r="F36" s="37">
        <f>IF($A36="","",INDEX(Items!$AN$2:$AN$201,MATCH($A36,Items!$AB$2:$AB$201,0)))</f>
        <v/>
      </c>
      <c r="G36" s="60" t="n"/>
      <c r="H36" s="61" t="n"/>
    </row>
    <row r="37">
      <c r="A37" s="36">
        <f>IF(ISNUMBER(MATCH(34,Items!$AB$2:$AB$201,0)),34,"")</f>
        <v/>
      </c>
      <c r="B37" s="37">
        <f>IF($A37="","",INDEX(Items!$AK$2:$AK$201,MATCH($A37,Items!$AB$2:$AB$201,0)))</f>
        <v/>
      </c>
      <c r="C37" s="37">
        <f>IF($A37="","",INDEX(Items!$AL$2:$AL$201,MATCH($A37,Items!$AB$2:$AB$201,0)))</f>
        <v/>
      </c>
      <c r="D37" s="37">
        <f>IF($A37="","",INDEX(Items!$AM$2:$AM$201,MATCH($A37,Items!$AB$2:$AB$201,0)))</f>
        <v/>
      </c>
      <c r="E37" s="37">
        <f>IF($A37="","",INDEX(Items!$AC$2:$AC$201,MATCH($A37,Items!$AB$2:$AB$201,0)))</f>
        <v/>
      </c>
      <c r="F37" s="37">
        <f>IF($A37="","",INDEX(Items!$AN$2:$AN$201,MATCH($A37,Items!$AB$2:$AB$201,0)))</f>
        <v/>
      </c>
      <c r="G37" s="60" t="n"/>
      <c r="H37" s="61" t="n"/>
    </row>
    <row r="38">
      <c r="A38" s="36">
        <f>IF(ISNUMBER(MATCH(35,Items!$AB$2:$AB$201,0)),35,"")</f>
        <v/>
      </c>
      <c r="B38" s="37">
        <f>IF($A38="","",INDEX(Items!$AK$2:$AK$201,MATCH($A38,Items!$AB$2:$AB$201,0)))</f>
        <v/>
      </c>
      <c r="C38" s="37">
        <f>IF($A38="","",INDEX(Items!$AL$2:$AL$201,MATCH($A38,Items!$AB$2:$AB$201,0)))</f>
        <v/>
      </c>
      <c r="D38" s="37">
        <f>IF($A38="","",INDEX(Items!$AM$2:$AM$201,MATCH($A38,Items!$AB$2:$AB$201,0)))</f>
        <v/>
      </c>
      <c r="E38" s="37">
        <f>IF($A38="","",INDEX(Items!$AC$2:$AC$201,MATCH($A38,Items!$AB$2:$AB$201,0)))</f>
        <v/>
      </c>
      <c r="F38" s="37">
        <f>IF($A38="","",INDEX(Items!$AN$2:$AN$201,MATCH($A38,Items!$AB$2:$AB$201,0)))</f>
        <v/>
      </c>
      <c r="G38" s="60" t="n"/>
      <c r="H38" s="61" t="n"/>
    </row>
    <row r="39">
      <c r="A39" s="36">
        <f>IF(ISNUMBER(MATCH(36,Items!$AB$2:$AB$201,0)),36,"")</f>
        <v/>
      </c>
      <c r="B39" s="37">
        <f>IF($A39="","",INDEX(Items!$AK$2:$AK$201,MATCH($A39,Items!$AB$2:$AB$201,0)))</f>
        <v/>
      </c>
      <c r="C39" s="37">
        <f>IF($A39="","",INDEX(Items!$AL$2:$AL$201,MATCH($A39,Items!$AB$2:$AB$201,0)))</f>
        <v/>
      </c>
      <c r="D39" s="37">
        <f>IF($A39="","",INDEX(Items!$AM$2:$AM$201,MATCH($A39,Items!$AB$2:$AB$201,0)))</f>
        <v/>
      </c>
      <c r="E39" s="37">
        <f>IF($A39="","",INDEX(Items!$AC$2:$AC$201,MATCH($A39,Items!$AB$2:$AB$201,0)))</f>
        <v/>
      </c>
      <c r="F39" s="37">
        <f>IF($A39="","",INDEX(Items!$AN$2:$AN$201,MATCH($A39,Items!$AB$2:$AB$201,0)))</f>
        <v/>
      </c>
      <c r="G39" s="60" t="n"/>
      <c r="H39" s="61" t="n"/>
    </row>
    <row r="40">
      <c r="A40" s="36">
        <f>IF(ISNUMBER(MATCH(37,Items!$AB$2:$AB$201,0)),37,"")</f>
        <v/>
      </c>
      <c r="B40" s="37">
        <f>IF($A40="","",INDEX(Items!$AK$2:$AK$201,MATCH($A40,Items!$AB$2:$AB$201,0)))</f>
        <v/>
      </c>
      <c r="C40" s="37">
        <f>IF($A40="","",INDEX(Items!$AL$2:$AL$201,MATCH($A40,Items!$AB$2:$AB$201,0)))</f>
        <v/>
      </c>
      <c r="D40" s="37">
        <f>IF($A40="","",INDEX(Items!$AM$2:$AM$201,MATCH($A40,Items!$AB$2:$AB$201,0)))</f>
        <v/>
      </c>
      <c r="E40" s="37">
        <f>IF($A40="","",INDEX(Items!$AC$2:$AC$201,MATCH($A40,Items!$AB$2:$AB$201,0)))</f>
        <v/>
      </c>
      <c r="F40" s="37">
        <f>IF($A40="","",INDEX(Items!$AN$2:$AN$201,MATCH($A40,Items!$AB$2:$AB$201,0)))</f>
        <v/>
      </c>
      <c r="G40" s="60" t="n"/>
      <c r="H40" s="61" t="n"/>
    </row>
    <row r="41">
      <c r="A41" s="36">
        <f>IF(ISNUMBER(MATCH(38,Items!$AB$2:$AB$201,0)),38,"")</f>
        <v/>
      </c>
      <c r="B41" s="37">
        <f>IF($A41="","",INDEX(Items!$AK$2:$AK$201,MATCH($A41,Items!$AB$2:$AB$201,0)))</f>
        <v/>
      </c>
      <c r="C41" s="37">
        <f>IF($A41="","",INDEX(Items!$AL$2:$AL$201,MATCH($A41,Items!$AB$2:$AB$201,0)))</f>
        <v/>
      </c>
      <c r="D41" s="37">
        <f>IF($A41="","",INDEX(Items!$AM$2:$AM$201,MATCH($A41,Items!$AB$2:$AB$201,0)))</f>
        <v/>
      </c>
      <c r="E41" s="37">
        <f>IF($A41="","",INDEX(Items!$AC$2:$AC$201,MATCH($A41,Items!$AB$2:$AB$201,0)))</f>
        <v/>
      </c>
      <c r="F41" s="37">
        <f>IF($A41="","",INDEX(Items!$AN$2:$AN$201,MATCH($A41,Items!$AB$2:$AB$201,0)))</f>
        <v/>
      </c>
      <c r="G41" s="60" t="n"/>
      <c r="H41" s="61" t="n"/>
    </row>
    <row r="42">
      <c r="A42" s="36">
        <f>IF(ISNUMBER(MATCH(39,Items!$AB$2:$AB$201,0)),39,"")</f>
        <v/>
      </c>
      <c r="B42" s="37">
        <f>IF($A42="","",INDEX(Items!$AK$2:$AK$201,MATCH($A42,Items!$AB$2:$AB$201,0)))</f>
        <v/>
      </c>
      <c r="C42" s="37">
        <f>IF($A42="","",INDEX(Items!$AL$2:$AL$201,MATCH($A42,Items!$AB$2:$AB$201,0)))</f>
        <v/>
      </c>
      <c r="D42" s="37">
        <f>IF($A42="","",INDEX(Items!$AM$2:$AM$201,MATCH($A42,Items!$AB$2:$AB$201,0)))</f>
        <v/>
      </c>
      <c r="E42" s="37">
        <f>IF($A42="","",INDEX(Items!$AC$2:$AC$201,MATCH($A42,Items!$AB$2:$AB$201,0)))</f>
        <v/>
      </c>
      <c r="F42" s="37">
        <f>IF($A42="","",INDEX(Items!$AN$2:$AN$201,MATCH($A42,Items!$AB$2:$AB$201,0)))</f>
        <v/>
      </c>
      <c r="G42" s="60" t="n"/>
      <c r="H42" s="61" t="n"/>
    </row>
    <row r="43">
      <c r="A43" s="36">
        <f>IF(ISNUMBER(MATCH(40,Items!$AB$2:$AB$201,0)),40,"")</f>
        <v/>
      </c>
      <c r="B43" s="37">
        <f>IF($A43="","",INDEX(Items!$AK$2:$AK$201,MATCH($A43,Items!$AB$2:$AB$201,0)))</f>
        <v/>
      </c>
      <c r="C43" s="37">
        <f>IF($A43="","",INDEX(Items!$AL$2:$AL$201,MATCH($A43,Items!$AB$2:$AB$201,0)))</f>
        <v/>
      </c>
      <c r="D43" s="37">
        <f>IF($A43="","",INDEX(Items!$AM$2:$AM$201,MATCH($A43,Items!$AB$2:$AB$201,0)))</f>
        <v/>
      </c>
      <c r="E43" s="37">
        <f>IF($A43="","",INDEX(Items!$AC$2:$AC$201,MATCH($A43,Items!$AB$2:$AB$201,0)))</f>
        <v/>
      </c>
      <c r="F43" s="37">
        <f>IF($A43="","",INDEX(Items!$AN$2:$AN$201,MATCH($A43,Items!$AB$2:$AB$201,0)))</f>
        <v/>
      </c>
      <c r="G43" s="60" t="n"/>
      <c r="H43" s="61" t="n"/>
    </row>
    <row r="44">
      <c r="A44" s="36">
        <f>IF(ISNUMBER(MATCH(41,Items!$AB$2:$AB$201,0)),41,"")</f>
        <v/>
      </c>
      <c r="B44" s="37">
        <f>IF($A44="","",INDEX(Items!$AK$2:$AK$201,MATCH($A44,Items!$AB$2:$AB$201,0)))</f>
        <v/>
      </c>
      <c r="C44" s="37">
        <f>IF($A44="","",INDEX(Items!$AL$2:$AL$201,MATCH($A44,Items!$AB$2:$AB$201,0)))</f>
        <v/>
      </c>
      <c r="D44" s="37">
        <f>IF($A44="","",INDEX(Items!$AM$2:$AM$201,MATCH($A44,Items!$AB$2:$AB$201,0)))</f>
        <v/>
      </c>
      <c r="E44" s="37">
        <f>IF($A44="","",INDEX(Items!$AC$2:$AC$201,MATCH($A44,Items!$AB$2:$AB$201,0)))</f>
        <v/>
      </c>
      <c r="F44" s="37">
        <f>IF($A44="","",INDEX(Items!$AN$2:$AN$201,MATCH($A44,Items!$AB$2:$AB$201,0)))</f>
        <v/>
      </c>
      <c r="G44" s="60" t="n"/>
      <c r="H44" s="61" t="n"/>
    </row>
    <row r="45">
      <c r="A45" s="36">
        <f>IF(ISNUMBER(MATCH(42,Items!$AB$2:$AB$201,0)),42,"")</f>
        <v/>
      </c>
      <c r="B45" s="37">
        <f>IF($A45="","",INDEX(Items!$AK$2:$AK$201,MATCH($A45,Items!$AB$2:$AB$201,0)))</f>
        <v/>
      </c>
      <c r="C45" s="37">
        <f>IF($A45="","",INDEX(Items!$AL$2:$AL$201,MATCH($A45,Items!$AB$2:$AB$201,0)))</f>
        <v/>
      </c>
      <c r="D45" s="37">
        <f>IF($A45="","",INDEX(Items!$AM$2:$AM$201,MATCH($A45,Items!$AB$2:$AB$201,0)))</f>
        <v/>
      </c>
      <c r="E45" s="37">
        <f>IF($A45="","",INDEX(Items!$AC$2:$AC$201,MATCH($A45,Items!$AB$2:$AB$201,0)))</f>
        <v/>
      </c>
      <c r="F45" s="37">
        <f>IF($A45="","",INDEX(Items!$AN$2:$AN$201,MATCH($A45,Items!$AB$2:$AB$201,0)))</f>
        <v/>
      </c>
      <c r="G45" s="60" t="n"/>
      <c r="H45" s="61" t="n"/>
    </row>
    <row r="46">
      <c r="A46" s="36">
        <f>IF(ISNUMBER(MATCH(43,Items!$AB$2:$AB$201,0)),43,"")</f>
        <v/>
      </c>
      <c r="B46" s="37">
        <f>IF($A46="","",INDEX(Items!$AK$2:$AK$201,MATCH($A46,Items!$AB$2:$AB$201,0)))</f>
        <v/>
      </c>
      <c r="C46" s="37">
        <f>IF($A46="","",INDEX(Items!$AL$2:$AL$201,MATCH($A46,Items!$AB$2:$AB$201,0)))</f>
        <v/>
      </c>
      <c r="D46" s="37">
        <f>IF($A46="","",INDEX(Items!$AM$2:$AM$201,MATCH($A46,Items!$AB$2:$AB$201,0)))</f>
        <v/>
      </c>
      <c r="E46" s="37">
        <f>IF($A46="","",INDEX(Items!$AC$2:$AC$201,MATCH($A46,Items!$AB$2:$AB$201,0)))</f>
        <v/>
      </c>
      <c r="F46" s="37">
        <f>IF($A46="","",INDEX(Items!$AN$2:$AN$201,MATCH($A46,Items!$AB$2:$AB$201,0)))</f>
        <v/>
      </c>
      <c r="G46" s="60" t="n"/>
      <c r="H46" s="61" t="n"/>
    </row>
    <row r="47">
      <c r="A47" s="36">
        <f>IF(ISNUMBER(MATCH(44,Items!$AB$2:$AB$201,0)),44,"")</f>
        <v/>
      </c>
      <c r="B47" s="37">
        <f>IF($A47="","",INDEX(Items!$AK$2:$AK$201,MATCH($A47,Items!$AB$2:$AB$201,0)))</f>
        <v/>
      </c>
      <c r="C47" s="37">
        <f>IF($A47="","",INDEX(Items!$AL$2:$AL$201,MATCH($A47,Items!$AB$2:$AB$201,0)))</f>
        <v/>
      </c>
      <c r="D47" s="37">
        <f>IF($A47="","",INDEX(Items!$AM$2:$AM$201,MATCH($A47,Items!$AB$2:$AB$201,0)))</f>
        <v/>
      </c>
      <c r="E47" s="37">
        <f>IF($A47="","",INDEX(Items!$AC$2:$AC$201,MATCH($A47,Items!$AB$2:$AB$201,0)))</f>
        <v/>
      </c>
      <c r="F47" s="37">
        <f>IF($A47="","",INDEX(Items!$AN$2:$AN$201,MATCH($A47,Items!$AB$2:$AB$201,0)))</f>
        <v/>
      </c>
      <c r="G47" s="60" t="n"/>
      <c r="H47" s="61" t="n"/>
    </row>
    <row r="48">
      <c r="A48" s="36">
        <f>IF(ISNUMBER(MATCH(45,Items!$AB$2:$AB$201,0)),45,"")</f>
        <v/>
      </c>
      <c r="B48" s="37">
        <f>IF($A48="","",INDEX(Items!$AK$2:$AK$201,MATCH($A48,Items!$AB$2:$AB$201,0)))</f>
        <v/>
      </c>
      <c r="C48" s="37">
        <f>IF($A48="","",INDEX(Items!$AL$2:$AL$201,MATCH($A48,Items!$AB$2:$AB$201,0)))</f>
        <v/>
      </c>
      <c r="D48" s="37">
        <f>IF($A48="","",INDEX(Items!$AM$2:$AM$201,MATCH($A48,Items!$AB$2:$AB$201,0)))</f>
        <v/>
      </c>
      <c r="E48" s="37">
        <f>IF($A48="","",INDEX(Items!$AC$2:$AC$201,MATCH($A48,Items!$AB$2:$AB$201,0)))</f>
        <v/>
      </c>
      <c r="F48" s="37">
        <f>IF($A48="","",INDEX(Items!$AN$2:$AN$201,MATCH($A48,Items!$AB$2:$AB$201,0)))</f>
        <v/>
      </c>
      <c r="G48" s="60" t="n"/>
      <c r="H48" s="61" t="n"/>
    </row>
    <row r="49">
      <c r="A49" s="36">
        <f>IF(ISNUMBER(MATCH(46,Items!$AB$2:$AB$201,0)),46,"")</f>
        <v/>
      </c>
      <c r="B49" s="37">
        <f>IF($A49="","",INDEX(Items!$AK$2:$AK$201,MATCH($A49,Items!$AB$2:$AB$201,0)))</f>
        <v/>
      </c>
      <c r="C49" s="37">
        <f>IF($A49="","",INDEX(Items!$AL$2:$AL$201,MATCH($A49,Items!$AB$2:$AB$201,0)))</f>
        <v/>
      </c>
      <c r="D49" s="37">
        <f>IF($A49="","",INDEX(Items!$AM$2:$AM$201,MATCH($A49,Items!$AB$2:$AB$201,0)))</f>
        <v/>
      </c>
      <c r="E49" s="37">
        <f>IF($A49="","",INDEX(Items!$AC$2:$AC$201,MATCH($A49,Items!$AB$2:$AB$201,0)))</f>
        <v/>
      </c>
      <c r="F49" s="37">
        <f>IF($A49="","",INDEX(Items!$AN$2:$AN$201,MATCH($A49,Items!$AB$2:$AB$201,0)))</f>
        <v/>
      </c>
      <c r="G49" s="60" t="n"/>
      <c r="H49" s="61" t="n"/>
    </row>
    <row r="50">
      <c r="A50" s="36">
        <f>IF(ISNUMBER(MATCH(47,Items!$AB$2:$AB$201,0)),47,"")</f>
        <v/>
      </c>
      <c r="B50" s="37">
        <f>IF($A50="","",INDEX(Items!$AK$2:$AK$201,MATCH($A50,Items!$AB$2:$AB$201,0)))</f>
        <v/>
      </c>
      <c r="C50" s="37">
        <f>IF($A50="","",INDEX(Items!$AL$2:$AL$201,MATCH($A50,Items!$AB$2:$AB$201,0)))</f>
        <v/>
      </c>
      <c r="D50" s="37">
        <f>IF($A50="","",INDEX(Items!$AM$2:$AM$201,MATCH($A50,Items!$AB$2:$AB$201,0)))</f>
        <v/>
      </c>
      <c r="E50" s="37">
        <f>IF($A50="","",INDEX(Items!$AC$2:$AC$201,MATCH($A50,Items!$AB$2:$AB$201,0)))</f>
        <v/>
      </c>
      <c r="F50" s="37">
        <f>IF($A50="","",INDEX(Items!$AN$2:$AN$201,MATCH($A50,Items!$AB$2:$AB$201,0)))</f>
        <v/>
      </c>
      <c r="G50" s="60" t="n"/>
      <c r="H50" s="61" t="n"/>
    </row>
    <row r="51">
      <c r="A51" s="36">
        <f>IF(ISNUMBER(MATCH(48,Items!$AB$2:$AB$201,0)),48,"")</f>
        <v/>
      </c>
      <c r="B51" s="37">
        <f>IF($A51="","",INDEX(Items!$AK$2:$AK$201,MATCH($A51,Items!$AB$2:$AB$201,0)))</f>
        <v/>
      </c>
      <c r="C51" s="37">
        <f>IF($A51="","",INDEX(Items!$AL$2:$AL$201,MATCH($A51,Items!$AB$2:$AB$201,0)))</f>
        <v/>
      </c>
      <c r="D51" s="37">
        <f>IF($A51="","",INDEX(Items!$AM$2:$AM$201,MATCH($A51,Items!$AB$2:$AB$201,0)))</f>
        <v/>
      </c>
      <c r="E51" s="37">
        <f>IF($A51="","",INDEX(Items!$AC$2:$AC$201,MATCH($A51,Items!$AB$2:$AB$201,0)))</f>
        <v/>
      </c>
      <c r="F51" s="37">
        <f>IF($A51="","",INDEX(Items!$AN$2:$AN$201,MATCH($A51,Items!$AB$2:$AB$201,0)))</f>
        <v/>
      </c>
      <c r="G51" s="60" t="n"/>
      <c r="H51" s="61" t="n"/>
    </row>
    <row r="52">
      <c r="A52" s="36">
        <f>IF(ISNUMBER(MATCH(49,Items!$AB$2:$AB$201,0)),49,"")</f>
        <v/>
      </c>
      <c r="B52" s="37">
        <f>IF($A52="","",INDEX(Items!$AK$2:$AK$201,MATCH($A52,Items!$AB$2:$AB$201,0)))</f>
        <v/>
      </c>
      <c r="C52" s="37">
        <f>IF($A52="","",INDEX(Items!$AL$2:$AL$201,MATCH($A52,Items!$AB$2:$AB$201,0)))</f>
        <v/>
      </c>
      <c r="D52" s="37">
        <f>IF($A52="","",INDEX(Items!$AM$2:$AM$201,MATCH($A52,Items!$AB$2:$AB$201,0)))</f>
        <v/>
      </c>
      <c r="E52" s="37">
        <f>IF($A52="","",INDEX(Items!$AC$2:$AC$201,MATCH($A52,Items!$AB$2:$AB$201,0)))</f>
        <v/>
      </c>
      <c r="F52" s="37">
        <f>IF($A52="","",INDEX(Items!$AN$2:$AN$201,MATCH($A52,Items!$AB$2:$AB$201,0)))</f>
        <v/>
      </c>
      <c r="G52" s="60" t="n"/>
      <c r="H52" s="61" t="n"/>
    </row>
    <row r="53">
      <c r="A53" s="36">
        <f>IF(ISNUMBER(MATCH(50,Items!$AB$2:$AB$201,0)),50,"")</f>
        <v/>
      </c>
      <c r="B53" s="37">
        <f>IF($A53="","",INDEX(Items!$AK$2:$AK$201,MATCH($A53,Items!$AB$2:$AB$201,0)))</f>
        <v/>
      </c>
      <c r="C53" s="37">
        <f>IF($A53="","",INDEX(Items!$AL$2:$AL$201,MATCH($A53,Items!$AB$2:$AB$201,0)))</f>
        <v/>
      </c>
      <c r="D53" s="37">
        <f>IF($A53="","",INDEX(Items!$AM$2:$AM$201,MATCH($A53,Items!$AB$2:$AB$201,0)))</f>
        <v/>
      </c>
      <c r="E53" s="37">
        <f>IF($A53="","",INDEX(Items!$AC$2:$AC$201,MATCH($A53,Items!$AB$2:$AB$201,0)))</f>
        <v/>
      </c>
      <c r="F53" s="37">
        <f>IF($A53="","",INDEX(Items!$AN$2:$AN$201,MATCH($A53,Items!$AB$2:$AB$201,0)))</f>
        <v/>
      </c>
      <c r="G53" s="60" t="n"/>
      <c r="H53" s="61" t="n"/>
    </row>
    <row r="54">
      <c r="A54" s="36">
        <f>IF(ISNUMBER(MATCH(51,Items!$AB$2:$AB$201,0)),51,"")</f>
        <v/>
      </c>
      <c r="B54" s="37">
        <f>IF($A54="","",INDEX(Items!$AK$2:$AK$201,MATCH($A54,Items!$AB$2:$AB$201,0)))</f>
        <v/>
      </c>
      <c r="C54" s="37">
        <f>IF($A54="","",INDEX(Items!$AL$2:$AL$201,MATCH($A54,Items!$AB$2:$AB$201,0)))</f>
        <v/>
      </c>
      <c r="D54" s="37">
        <f>IF($A54="","",INDEX(Items!$AM$2:$AM$201,MATCH($A54,Items!$AB$2:$AB$201,0)))</f>
        <v/>
      </c>
      <c r="E54" s="37">
        <f>IF($A54="","",INDEX(Items!$AC$2:$AC$201,MATCH($A54,Items!$AB$2:$AB$201,0)))</f>
        <v/>
      </c>
      <c r="F54" s="37">
        <f>IF($A54="","",INDEX(Items!$AN$2:$AN$201,MATCH($A54,Items!$AB$2:$AB$201,0)))</f>
        <v/>
      </c>
      <c r="G54" s="60" t="n"/>
      <c r="H54" s="61" t="n"/>
    </row>
    <row r="55">
      <c r="A55" s="36">
        <f>IF(ISNUMBER(MATCH(52,Items!$AB$2:$AB$201,0)),52,"")</f>
        <v/>
      </c>
      <c r="B55" s="37">
        <f>IF($A55="","",INDEX(Items!$AK$2:$AK$201,MATCH($A55,Items!$AB$2:$AB$201,0)))</f>
        <v/>
      </c>
      <c r="C55" s="37">
        <f>IF($A55="","",INDEX(Items!$AL$2:$AL$201,MATCH($A55,Items!$AB$2:$AB$201,0)))</f>
        <v/>
      </c>
      <c r="D55" s="37">
        <f>IF($A55="","",INDEX(Items!$AM$2:$AM$201,MATCH($A55,Items!$AB$2:$AB$201,0)))</f>
        <v/>
      </c>
      <c r="E55" s="37">
        <f>IF($A55="","",INDEX(Items!$AC$2:$AC$201,MATCH($A55,Items!$AB$2:$AB$201,0)))</f>
        <v/>
      </c>
      <c r="F55" s="37">
        <f>IF($A55="","",INDEX(Items!$AN$2:$AN$201,MATCH($A55,Items!$AB$2:$AB$201,0)))</f>
        <v/>
      </c>
      <c r="G55" s="60" t="n"/>
      <c r="H55" s="61" t="n"/>
    </row>
    <row r="56">
      <c r="A56" s="36">
        <f>IF(ISNUMBER(MATCH(53,Items!$AB$2:$AB$201,0)),53,"")</f>
        <v/>
      </c>
      <c r="B56" s="37">
        <f>IF($A56="","",INDEX(Items!$AK$2:$AK$201,MATCH($A56,Items!$AB$2:$AB$201,0)))</f>
        <v/>
      </c>
      <c r="C56" s="37">
        <f>IF($A56="","",INDEX(Items!$AL$2:$AL$201,MATCH($A56,Items!$AB$2:$AB$201,0)))</f>
        <v/>
      </c>
      <c r="D56" s="37">
        <f>IF($A56="","",INDEX(Items!$AM$2:$AM$201,MATCH($A56,Items!$AB$2:$AB$201,0)))</f>
        <v/>
      </c>
      <c r="E56" s="37">
        <f>IF($A56="","",INDEX(Items!$AC$2:$AC$201,MATCH($A56,Items!$AB$2:$AB$201,0)))</f>
        <v/>
      </c>
      <c r="F56" s="37">
        <f>IF($A56="","",INDEX(Items!$AN$2:$AN$201,MATCH($A56,Items!$AB$2:$AB$201,0)))</f>
        <v/>
      </c>
      <c r="G56" s="60" t="n"/>
      <c r="H56" s="61" t="n"/>
    </row>
    <row r="57">
      <c r="A57" s="36">
        <f>IF(ISNUMBER(MATCH(54,Items!$AB$2:$AB$201,0)),54,"")</f>
        <v/>
      </c>
      <c r="B57" s="37">
        <f>IF($A57="","",INDEX(Items!$AK$2:$AK$201,MATCH($A57,Items!$AB$2:$AB$201,0)))</f>
        <v/>
      </c>
      <c r="C57" s="37">
        <f>IF($A57="","",INDEX(Items!$AL$2:$AL$201,MATCH($A57,Items!$AB$2:$AB$201,0)))</f>
        <v/>
      </c>
      <c r="D57" s="37">
        <f>IF($A57="","",INDEX(Items!$AM$2:$AM$201,MATCH($A57,Items!$AB$2:$AB$201,0)))</f>
        <v/>
      </c>
      <c r="E57" s="37">
        <f>IF($A57="","",INDEX(Items!$AC$2:$AC$201,MATCH($A57,Items!$AB$2:$AB$201,0)))</f>
        <v/>
      </c>
      <c r="F57" s="37">
        <f>IF($A57="","",INDEX(Items!$AN$2:$AN$201,MATCH($A57,Items!$AB$2:$AB$201,0)))</f>
        <v/>
      </c>
      <c r="G57" s="60" t="n"/>
      <c r="H57" s="61" t="n"/>
    </row>
    <row r="58">
      <c r="A58" s="36">
        <f>IF(ISNUMBER(MATCH(55,Items!$AB$2:$AB$201,0)),55,"")</f>
        <v/>
      </c>
      <c r="B58" s="37">
        <f>IF($A58="","",INDEX(Items!$AK$2:$AK$201,MATCH($A58,Items!$AB$2:$AB$201,0)))</f>
        <v/>
      </c>
      <c r="C58" s="37">
        <f>IF($A58="","",INDEX(Items!$AL$2:$AL$201,MATCH($A58,Items!$AB$2:$AB$201,0)))</f>
        <v/>
      </c>
      <c r="D58" s="37">
        <f>IF($A58="","",INDEX(Items!$AM$2:$AM$201,MATCH($A58,Items!$AB$2:$AB$201,0)))</f>
        <v/>
      </c>
      <c r="E58" s="37">
        <f>IF($A58="","",INDEX(Items!$AC$2:$AC$201,MATCH($A58,Items!$AB$2:$AB$201,0)))</f>
        <v/>
      </c>
      <c r="F58" s="37">
        <f>IF($A58="","",INDEX(Items!$AN$2:$AN$201,MATCH($A58,Items!$AB$2:$AB$201,0)))</f>
        <v/>
      </c>
      <c r="G58" s="60" t="n"/>
      <c r="H58" s="61" t="n"/>
    </row>
    <row r="59">
      <c r="A59" s="36">
        <f>IF(ISNUMBER(MATCH(56,Items!$AB$2:$AB$201,0)),56,"")</f>
        <v/>
      </c>
      <c r="B59" s="37">
        <f>IF($A59="","",INDEX(Items!$AK$2:$AK$201,MATCH($A59,Items!$AB$2:$AB$201,0)))</f>
        <v/>
      </c>
      <c r="C59" s="37">
        <f>IF($A59="","",INDEX(Items!$AL$2:$AL$201,MATCH($A59,Items!$AB$2:$AB$201,0)))</f>
        <v/>
      </c>
      <c r="D59" s="37">
        <f>IF($A59="","",INDEX(Items!$AM$2:$AM$201,MATCH($A59,Items!$AB$2:$AB$201,0)))</f>
        <v/>
      </c>
      <c r="E59" s="37">
        <f>IF($A59="","",INDEX(Items!$AC$2:$AC$201,MATCH($A59,Items!$AB$2:$AB$201,0)))</f>
        <v/>
      </c>
      <c r="F59" s="37">
        <f>IF($A59="","",INDEX(Items!$AN$2:$AN$201,MATCH($A59,Items!$AB$2:$AB$201,0)))</f>
        <v/>
      </c>
      <c r="G59" s="60" t="n"/>
      <c r="H59" s="61" t="n"/>
    </row>
    <row r="60">
      <c r="A60" s="36">
        <f>IF(ISNUMBER(MATCH(57,Items!$AB$2:$AB$201,0)),57,"")</f>
        <v/>
      </c>
      <c r="B60" s="37">
        <f>IF($A60="","",INDEX(Items!$AK$2:$AK$201,MATCH($A60,Items!$AB$2:$AB$201,0)))</f>
        <v/>
      </c>
      <c r="C60" s="37">
        <f>IF($A60="","",INDEX(Items!$AL$2:$AL$201,MATCH($A60,Items!$AB$2:$AB$201,0)))</f>
        <v/>
      </c>
      <c r="D60" s="37">
        <f>IF($A60="","",INDEX(Items!$AM$2:$AM$201,MATCH($A60,Items!$AB$2:$AB$201,0)))</f>
        <v/>
      </c>
      <c r="E60" s="37">
        <f>IF($A60="","",INDEX(Items!$AC$2:$AC$201,MATCH($A60,Items!$AB$2:$AB$201,0)))</f>
        <v/>
      </c>
      <c r="F60" s="37">
        <f>IF($A60="","",INDEX(Items!$AN$2:$AN$201,MATCH($A60,Items!$AB$2:$AB$201,0)))</f>
        <v/>
      </c>
      <c r="G60" s="60" t="n"/>
      <c r="H60" s="61" t="n"/>
    </row>
    <row r="61">
      <c r="A61" s="36">
        <f>IF(ISNUMBER(MATCH(58,Items!$AB$2:$AB$201,0)),58,"")</f>
        <v/>
      </c>
      <c r="B61" s="37">
        <f>IF($A61="","",INDEX(Items!$AK$2:$AK$201,MATCH($A61,Items!$AB$2:$AB$201,0)))</f>
        <v/>
      </c>
      <c r="C61" s="37">
        <f>IF($A61="","",INDEX(Items!$AL$2:$AL$201,MATCH($A61,Items!$AB$2:$AB$201,0)))</f>
        <v/>
      </c>
      <c r="D61" s="37">
        <f>IF($A61="","",INDEX(Items!$AM$2:$AM$201,MATCH($A61,Items!$AB$2:$AB$201,0)))</f>
        <v/>
      </c>
      <c r="E61" s="37">
        <f>IF($A61="","",INDEX(Items!$AC$2:$AC$201,MATCH($A61,Items!$AB$2:$AB$201,0)))</f>
        <v/>
      </c>
      <c r="F61" s="37">
        <f>IF($A61="","",INDEX(Items!$AN$2:$AN$201,MATCH($A61,Items!$AB$2:$AB$201,0)))</f>
        <v/>
      </c>
      <c r="G61" s="60" t="n"/>
      <c r="H61" s="61" t="n"/>
    </row>
    <row r="62">
      <c r="A62" s="36">
        <f>IF(ISNUMBER(MATCH(59,Items!$AB$2:$AB$201,0)),59,"")</f>
        <v/>
      </c>
      <c r="B62" s="37">
        <f>IF($A62="","",INDEX(Items!$AK$2:$AK$201,MATCH($A62,Items!$AB$2:$AB$201,0)))</f>
        <v/>
      </c>
      <c r="C62" s="37">
        <f>IF($A62="","",INDEX(Items!$AL$2:$AL$201,MATCH($A62,Items!$AB$2:$AB$201,0)))</f>
        <v/>
      </c>
      <c r="D62" s="37">
        <f>IF($A62="","",INDEX(Items!$AM$2:$AM$201,MATCH($A62,Items!$AB$2:$AB$201,0)))</f>
        <v/>
      </c>
      <c r="E62" s="37">
        <f>IF($A62="","",INDEX(Items!$AC$2:$AC$201,MATCH($A62,Items!$AB$2:$AB$201,0)))</f>
        <v/>
      </c>
      <c r="F62" s="37">
        <f>IF($A62="","",INDEX(Items!$AN$2:$AN$201,MATCH($A62,Items!$AB$2:$AB$201,0)))</f>
        <v/>
      </c>
      <c r="G62" s="60" t="n"/>
      <c r="H62" s="61" t="n"/>
    </row>
    <row r="63">
      <c r="A63" s="36">
        <f>IF(ISNUMBER(MATCH(60,Items!$AB$2:$AB$201,0)),60,"")</f>
        <v/>
      </c>
      <c r="B63" s="37">
        <f>IF($A63="","",INDEX(Items!$AK$2:$AK$201,MATCH($A63,Items!$AB$2:$AB$201,0)))</f>
        <v/>
      </c>
      <c r="C63" s="37">
        <f>IF($A63="","",INDEX(Items!$AL$2:$AL$201,MATCH($A63,Items!$AB$2:$AB$201,0)))</f>
        <v/>
      </c>
      <c r="D63" s="37">
        <f>IF($A63="","",INDEX(Items!$AM$2:$AM$201,MATCH($A63,Items!$AB$2:$AB$201,0)))</f>
        <v/>
      </c>
      <c r="E63" s="37">
        <f>IF($A63="","",INDEX(Items!$AC$2:$AC$201,MATCH($A63,Items!$AB$2:$AB$201,0)))</f>
        <v/>
      </c>
      <c r="F63" s="37">
        <f>IF($A63="","",INDEX(Items!$AN$2:$AN$201,MATCH($A63,Items!$AB$2:$AB$201,0)))</f>
        <v/>
      </c>
      <c r="G63" s="60" t="n"/>
      <c r="H63" s="61" t="n"/>
    </row>
    <row r="64">
      <c r="A64" s="36">
        <f>IF(ISNUMBER(MATCH(61,Items!$AB$2:$AB$201,0)),61,"")</f>
        <v/>
      </c>
      <c r="B64" s="37">
        <f>IF($A64="","",INDEX(Items!$AK$2:$AK$201,MATCH($A64,Items!$AB$2:$AB$201,0)))</f>
        <v/>
      </c>
      <c r="C64" s="37">
        <f>IF($A64="","",INDEX(Items!$AL$2:$AL$201,MATCH($A64,Items!$AB$2:$AB$201,0)))</f>
        <v/>
      </c>
      <c r="D64" s="37">
        <f>IF($A64="","",INDEX(Items!$AM$2:$AM$201,MATCH($A64,Items!$AB$2:$AB$201,0)))</f>
        <v/>
      </c>
      <c r="E64" s="37">
        <f>IF($A64="","",INDEX(Items!$AC$2:$AC$201,MATCH($A64,Items!$AB$2:$AB$201,0)))</f>
        <v/>
      </c>
      <c r="F64" s="37">
        <f>IF($A64="","",INDEX(Items!$AN$2:$AN$201,MATCH($A64,Items!$AB$2:$AB$201,0)))</f>
        <v/>
      </c>
      <c r="G64" s="60" t="n"/>
      <c r="H64" s="61" t="n"/>
    </row>
    <row r="65">
      <c r="A65" s="36">
        <f>IF(ISNUMBER(MATCH(62,Items!$AB$2:$AB$201,0)),62,"")</f>
        <v/>
      </c>
      <c r="B65" s="37">
        <f>IF($A65="","",INDEX(Items!$AK$2:$AK$201,MATCH($A65,Items!$AB$2:$AB$201,0)))</f>
        <v/>
      </c>
      <c r="C65" s="37">
        <f>IF($A65="","",INDEX(Items!$AL$2:$AL$201,MATCH($A65,Items!$AB$2:$AB$201,0)))</f>
        <v/>
      </c>
      <c r="D65" s="37">
        <f>IF($A65="","",INDEX(Items!$AM$2:$AM$201,MATCH($A65,Items!$AB$2:$AB$201,0)))</f>
        <v/>
      </c>
      <c r="E65" s="37">
        <f>IF($A65="","",INDEX(Items!$AC$2:$AC$201,MATCH($A65,Items!$AB$2:$AB$201,0)))</f>
        <v/>
      </c>
      <c r="F65" s="37">
        <f>IF($A65="","",INDEX(Items!$AN$2:$AN$201,MATCH($A65,Items!$AB$2:$AB$201,0)))</f>
        <v/>
      </c>
      <c r="G65" s="60" t="n"/>
      <c r="H65" s="61" t="n"/>
    </row>
    <row r="66">
      <c r="A66" s="36">
        <f>IF(ISNUMBER(MATCH(63,Items!$AB$2:$AB$201,0)),63,"")</f>
        <v/>
      </c>
      <c r="B66" s="37">
        <f>IF($A66="","",INDEX(Items!$AK$2:$AK$201,MATCH($A66,Items!$AB$2:$AB$201,0)))</f>
        <v/>
      </c>
      <c r="C66" s="37">
        <f>IF($A66="","",INDEX(Items!$AL$2:$AL$201,MATCH($A66,Items!$AB$2:$AB$201,0)))</f>
        <v/>
      </c>
      <c r="D66" s="37">
        <f>IF($A66="","",INDEX(Items!$AM$2:$AM$201,MATCH($A66,Items!$AB$2:$AB$201,0)))</f>
        <v/>
      </c>
      <c r="E66" s="37">
        <f>IF($A66="","",INDEX(Items!$AC$2:$AC$201,MATCH($A66,Items!$AB$2:$AB$201,0)))</f>
        <v/>
      </c>
      <c r="F66" s="37">
        <f>IF($A66="","",INDEX(Items!$AN$2:$AN$201,MATCH($A66,Items!$AB$2:$AB$201,0)))</f>
        <v/>
      </c>
      <c r="G66" s="60" t="n"/>
      <c r="H66" s="61" t="n"/>
    </row>
    <row r="67">
      <c r="A67" s="36">
        <f>IF(ISNUMBER(MATCH(64,Items!$AB$2:$AB$201,0)),64,"")</f>
        <v/>
      </c>
      <c r="B67" s="37">
        <f>IF($A67="","",INDEX(Items!$AK$2:$AK$201,MATCH($A67,Items!$AB$2:$AB$201,0)))</f>
        <v/>
      </c>
      <c r="C67" s="37">
        <f>IF($A67="","",INDEX(Items!$AL$2:$AL$201,MATCH($A67,Items!$AB$2:$AB$201,0)))</f>
        <v/>
      </c>
      <c r="D67" s="37">
        <f>IF($A67="","",INDEX(Items!$AM$2:$AM$201,MATCH($A67,Items!$AB$2:$AB$201,0)))</f>
        <v/>
      </c>
      <c r="E67" s="37">
        <f>IF($A67="","",INDEX(Items!$AC$2:$AC$201,MATCH($A67,Items!$AB$2:$AB$201,0)))</f>
        <v/>
      </c>
      <c r="F67" s="37">
        <f>IF($A67="","",INDEX(Items!$AN$2:$AN$201,MATCH($A67,Items!$AB$2:$AB$201,0)))</f>
        <v/>
      </c>
      <c r="G67" s="60" t="n"/>
      <c r="H67" s="61" t="n"/>
    </row>
    <row r="68">
      <c r="A68" s="36">
        <f>IF(ISNUMBER(MATCH(65,Items!$AB$2:$AB$201,0)),65,"")</f>
        <v/>
      </c>
      <c r="B68" s="37">
        <f>IF($A68="","",INDEX(Items!$AK$2:$AK$201,MATCH($A68,Items!$AB$2:$AB$201,0)))</f>
        <v/>
      </c>
      <c r="C68" s="37">
        <f>IF($A68="","",INDEX(Items!$AL$2:$AL$201,MATCH($A68,Items!$AB$2:$AB$201,0)))</f>
        <v/>
      </c>
      <c r="D68" s="37">
        <f>IF($A68="","",INDEX(Items!$AM$2:$AM$201,MATCH($A68,Items!$AB$2:$AB$201,0)))</f>
        <v/>
      </c>
      <c r="E68" s="37">
        <f>IF($A68="","",INDEX(Items!$AC$2:$AC$201,MATCH($A68,Items!$AB$2:$AB$201,0)))</f>
        <v/>
      </c>
      <c r="F68" s="37">
        <f>IF($A68="","",INDEX(Items!$AN$2:$AN$201,MATCH($A68,Items!$AB$2:$AB$201,0)))</f>
        <v/>
      </c>
      <c r="G68" s="60" t="n"/>
      <c r="H68" s="61" t="n"/>
    </row>
    <row r="69">
      <c r="A69" s="36">
        <f>IF(ISNUMBER(MATCH(66,Items!$AB$2:$AB$201,0)),66,"")</f>
        <v/>
      </c>
      <c r="B69" s="37">
        <f>IF($A69="","",INDEX(Items!$AK$2:$AK$201,MATCH($A69,Items!$AB$2:$AB$201,0)))</f>
        <v/>
      </c>
      <c r="C69" s="37">
        <f>IF($A69="","",INDEX(Items!$AL$2:$AL$201,MATCH($A69,Items!$AB$2:$AB$201,0)))</f>
        <v/>
      </c>
      <c r="D69" s="37">
        <f>IF($A69="","",INDEX(Items!$AM$2:$AM$201,MATCH($A69,Items!$AB$2:$AB$201,0)))</f>
        <v/>
      </c>
      <c r="E69" s="37">
        <f>IF($A69="","",INDEX(Items!$AC$2:$AC$201,MATCH($A69,Items!$AB$2:$AB$201,0)))</f>
        <v/>
      </c>
      <c r="F69" s="37">
        <f>IF($A69="","",INDEX(Items!$AN$2:$AN$201,MATCH($A69,Items!$AB$2:$AB$201,0)))</f>
        <v/>
      </c>
      <c r="G69" s="60" t="n"/>
      <c r="H69" s="61" t="n"/>
    </row>
    <row r="70">
      <c r="A70" s="36">
        <f>IF(ISNUMBER(MATCH(67,Items!$AB$2:$AB$201,0)),67,"")</f>
        <v/>
      </c>
      <c r="B70" s="37">
        <f>IF($A70="","",INDEX(Items!$AK$2:$AK$201,MATCH($A70,Items!$AB$2:$AB$201,0)))</f>
        <v/>
      </c>
      <c r="C70" s="37">
        <f>IF($A70="","",INDEX(Items!$AL$2:$AL$201,MATCH($A70,Items!$AB$2:$AB$201,0)))</f>
        <v/>
      </c>
      <c r="D70" s="37">
        <f>IF($A70="","",INDEX(Items!$AM$2:$AM$201,MATCH($A70,Items!$AB$2:$AB$201,0)))</f>
        <v/>
      </c>
      <c r="E70" s="37">
        <f>IF($A70="","",INDEX(Items!$AC$2:$AC$201,MATCH($A70,Items!$AB$2:$AB$201,0)))</f>
        <v/>
      </c>
      <c r="F70" s="37">
        <f>IF($A70="","",INDEX(Items!$AN$2:$AN$201,MATCH($A70,Items!$AB$2:$AB$201,0)))</f>
        <v/>
      </c>
      <c r="G70" s="60" t="n"/>
      <c r="H70" s="61" t="n"/>
    </row>
    <row r="71">
      <c r="A71" s="36">
        <f>IF(ISNUMBER(MATCH(68,Items!$AB$2:$AB$201,0)),68,"")</f>
        <v/>
      </c>
      <c r="B71" s="37">
        <f>IF($A71="","",INDEX(Items!$AK$2:$AK$201,MATCH($A71,Items!$AB$2:$AB$201,0)))</f>
        <v/>
      </c>
      <c r="C71" s="37">
        <f>IF($A71="","",INDEX(Items!$AL$2:$AL$201,MATCH($A71,Items!$AB$2:$AB$201,0)))</f>
        <v/>
      </c>
      <c r="D71" s="37">
        <f>IF($A71="","",INDEX(Items!$AM$2:$AM$201,MATCH($A71,Items!$AB$2:$AB$201,0)))</f>
        <v/>
      </c>
      <c r="E71" s="37">
        <f>IF($A71="","",INDEX(Items!$AC$2:$AC$201,MATCH($A71,Items!$AB$2:$AB$201,0)))</f>
        <v/>
      </c>
      <c r="F71" s="37">
        <f>IF($A71="","",INDEX(Items!$AN$2:$AN$201,MATCH($A71,Items!$AB$2:$AB$201,0)))</f>
        <v/>
      </c>
      <c r="G71" s="60" t="n"/>
      <c r="H71" s="61" t="n"/>
    </row>
    <row r="72">
      <c r="A72" s="36">
        <f>IF(ISNUMBER(MATCH(69,Items!$AB$2:$AB$201,0)),69,"")</f>
        <v/>
      </c>
      <c r="B72" s="37">
        <f>IF($A72="","",INDEX(Items!$AK$2:$AK$201,MATCH($A72,Items!$AB$2:$AB$201,0)))</f>
        <v/>
      </c>
      <c r="C72" s="37">
        <f>IF($A72="","",INDEX(Items!$AL$2:$AL$201,MATCH($A72,Items!$AB$2:$AB$201,0)))</f>
        <v/>
      </c>
      <c r="D72" s="37">
        <f>IF($A72="","",INDEX(Items!$AM$2:$AM$201,MATCH($A72,Items!$AB$2:$AB$201,0)))</f>
        <v/>
      </c>
      <c r="E72" s="37">
        <f>IF($A72="","",INDEX(Items!$AC$2:$AC$201,MATCH($A72,Items!$AB$2:$AB$201,0)))</f>
        <v/>
      </c>
      <c r="F72" s="37">
        <f>IF($A72="","",INDEX(Items!$AN$2:$AN$201,MATCH($A72,Items!$AB$2:$AB$201,0)))</f>
        <v/>
      </c>
      <c r="G72" s="60" t="n"/>
      <c r="H72" s="61" t="n"/>
    </row>
    <row r="73">
      <c r="A73" s="36">
        <f>IF(ISNUMBER(MATCH(70,Items!$AB$2:$AB$201,0)),70,"")</f>
        <v/>
      </c>
      <c r="B73" s="37">
        <f>IF($A73="","",INDEX(Items!$AK$2:$AK$201,MATCH($A73,Items!$AB$2:$AB$201,0)))</f>
        <v/>
      </c>
      <c r="C73" s="37">
        <f>IF($A73="","",INDEX(Items!$AL$2:$AL$201,MATCH($A73,Items!$AB$2:$AB$201,0)))</f>
        <v/>
      </c>
      <c r="D73" s="37">
        <f>IF($A73="","",INDEX(Items!$AM$2:$AM$201,MATCH($A73,Items!$AB$2:$AB$201,0)))</f>
        <v/>
      </c>
      <c r="E73" s="37">
        <f>IF($A73="","",INDEX(Items!$AC$2:$AC$201,MATCH($A73,Items!$AB$2:$AB$201,0)))</f>
        <v/>
      </c>
      <c r="F73" s="37">
        <f>IF($A73="","",INDEX(Items!$AN$2:$AN$201,MATCH($A73,Items!$AB$2:$AB$201,0)))</f>
        <v/>
      </c>
      <c r="G73" s="60" t="n"/>
      <c r="H73" s="61" t="n"/>
    </row>
    <row r="74">
      <c r="A74" s="36">
        <f>IF(ISNUMBER(MATCH(71,Items!$AB$2:$AB$201,0)),71,"")</f>
        <v/>
      </c>
      <c r="B74" s="37">
        <f>IF($A74="","",INDEX(Items!$AK$2:$AK$201,MATCH($A74,Items!$AB$2:$AB$201,0)))</f>
        <v/>
      </c>
      <c r="C74" s="37">
        <f>IF($A74="","",INDEX(Items!$AL$2:$AL$201,MATCH($A74,Items!$AB$2:$AB$201,0)))</f>
        <v/>
      </c>
      <c r="D74" s="37">
        <f>IF($A74="","",INDEX(Items!$AM$2:$AM$201,MATCH($A74,Items!$AB$2:$AB$201,0)))</f>
        <v/>
      </c>
      <c r="E74" s="37">
        <f>IF($A74="","",INDEX(Items!$AC$2:$AC$201,MATCH($A74,Items!$AB$2:$AB$201,0)))</f>
        <v/>
      </c>
      <c r="F74" s="37">
        <f>IF($A74="","",INDEX(Items!$AN$2:$AN$201,MATCH($A74,Items!$AB$2:$AB$201,0)))</f>
        <v/>
      </c>
      <c r="G74" s="60" t="n"/>
      <c r="H74" s="61" t="n"/>
    </row>
    <row r="75">
      <c r="A75" s="36">
        <f>IF(ISNUMBER(MATCH(72,Items!$AB$2:$AB$201,0)),72,"")</f>
        <v/>
      </c>
      <c r="B75" s="37">
        <f>IF($A75="","",INDEX(Items!$AK$2:$AK$201,MATCH($A75,Items!$AB$2:$AB$201,0)))</f>
        <v/>
      </c>
      <c r="C75" s="37">
        <f>IF($A75="","",INDEX(Items!$AL$2:$AL$201,MATCH($A75,Items!$AB$2:$AB$201,0)))</f>
        <v/>
      </c>
      <c r="D75" s="37">
        <f>IF($A75="","",INDEX(Items!$AM$2:$AM$201,MATCH($A75,Items!$AB$2:$AB$201,0)))</f>
        <v/>
      </c>
      <c r="E75" s="37">
        <f>IF($A75="","",INDEX(Items!$AC$2:$AC$201,MATCH($A75,Items!$AB$2:$AB$201,0)))</f>
        <v/>
      </c>
      <c r="F75" s="37">
        <f>IF($A75="","",INDEX(Items!$AN$2:$AN$201,MATCH($A75,Items!$AB$2:$AB$201,0)))</f>
        <v/>
      </c>
      <c r="G75" s="60" t="n"/>
      <c r="H75" s="61" t="n"/>
    </row>
    <row r="76">
      <c r="A76" s="36">
        <f>IF(ISNUMBER(MATCH(73,Items!$AB$2:$AB$201,0)),73,"")</f>
        <v/>
      </c>
      <c r="B76" s="37">
        <f>IF($A76="","",INDEX(Items!$AK$2:$AK$201,MATCH($A76,Items!$AB$2:$AB$201,0)))</f>
        <v/>
      </c>
      <c r="C76" s="37">
        <f>IF($A76="","",INDEX(Items!$AL$2:$AL$201,MATCH($A76,Items!$AB$2:$AB$201,0)))</f>
        <v/>
      </c>
      <c r="D76" s="37">
        <f>IF($A76="","",INDEX(Items!$AM$2:$AM$201,MATCH($A76,Items!$AB$2:$AB$201,0)))</f>
        <v/>
      </c>
      <c r="E76" s="37">
        <f>IF($A76="","",INDEX(Items!$AC$2:$AC$201,MATCH($A76,Items!$AB$2:$AB$201,0)))</f>
        <v/>
      </c>
      <c r="F76" s="37">
        <f>IF($A76="","",INDEX(Items!$AN$2:$AN$201,MATCH($A76,Items!$AB$2:$AB$201,0)))</f>
        <v/>
      </c>
      <c r="G76" s="60" t="n"/>
      <c r="H76" s="61" t="n"/>
    </row>
    <row r="77">
      <c r="A77" s="36">
        <f>IF(ISNUMBER(MATCH(74,Items!$AB$2:$AB$201,0)),74,"")</f>
        <v/>
      </c>
      <c r="B77" s="37">
        <f>IF($A77="","",INDEX(Items!$AK$2:$AK$201,MATCH($A77,Items!$AB$2:$AB$201,0)))</f>
        <v/>
      </c>
      <c r="C77" s="37">
        <f>IF($A77="","",INDEX(Items!$AL$2:$AL$201,MATCH($A77,Items!$AB$2:$AB$201,0)))</f>
        <v/>
      </c>
      <c r="D77" s="37">
        <f>IF($A77="","",INDEX(Items!$AM$2:$AM$201,MATCH($A77,Items!$AB$2:$AB$201,0)))</f>
        <v/>
      </c>
      <c r="E77" s="37">
        <f>IF($A77="","",INDEX(Items!$AC$2:$AC$201,MATCH($A77,Items!$AB$2:$AB$201,0)))</f>
        <v/>
      </c>
      <c r="F77" s="37">
        <f>IF($A77="","",INDEX(Items!$AN$2:$AN$201,MATCH($A77,Items!$AB$2:$AB$201,0)))</f>
        <v/>
      </c>
      <c r="G77" s="60" t="n"/>
      <c r="H77" s="61" t="n"/>
    </row>
    <row r="78">
      <c r="A78" s="36">
        <f>IF(ISNUMBER(MATCH(75,Items!$AB$2:$AB$201,0)),75,"")</f>
        <v/>
      </c>
      <c r="B78" s="37">
        <f>IF($A78="","",INDEX(Items!$AK$2:$AK$201,MATCH($A78,Items!$AB$2:$AB$201,0)))</f>
        <v/>
      </c>
      <c r="C78" s="37">
        <f>IF($A78="","",INDEX(Items!$AL$2:$AL$201,MATCH($A78,Items!$AB$2:$AB$201,0)))</f>
        <v/>
      </c>
      <c r="D78" s="37">
        <f>IF($A78="","",INDEX(Items!$AM$2:$AM$201,MATCH($A78,Items!$AB$2:$AB$201,0)))</f>
        <v/>
      </c>
      <c r="E78" s="37">
        <f>IF($A78="","",INDEX(Items!$AC$2:$AC$201,MATCH($A78,Items!$AB$2:$AB$201,0)))</f>
        <v/>
      </c>
      <c r="F78" s="37">
        <f>IF($A78="","",INDEX(Items!$AN$2:$AN$201,MATCH($A78,Items!$AB$2:$AB$201,0)))</f>
        <v/>
      </c>
      <c r="G78" s="60" t="n"/>
      <c r="H78" s="61" t="n"/>
    </row>
    <row r="79">
      <c r="A79" s="36">
        <f>IF(ISNUMBER(MATCH(76,Items!$AB$2:$AB$201,0)),76,"")</f>
        <v/>
      </c>
      <c r="B79" s="37">
        <f>IF($A79="","",INDEX(Items!$AK$2:$AK$201,MATCH($A79,Items!$AB$2:$AB$201,0)))</f>
        <v/>
      </c>
      <c r="C79" s="37">
        <f>IF($A79="","",INDEX(Items!$AL$2:$AL$201,MATCH($A79,Items!$AB$2:$AB$201,0)))</f>
        <v/>
      </c>
      <c r="D79" s="37">
        <f>IF($A79="","",INDEX(Items!$AM$2:$AM$201,MATCH($A79,Items!$AB$2:$AB$201,0)))</f>
        <v/>
      </c>
      <c r="E79" s="37">
        <f>IF($A79="","",INDEX(Items!$AC$2:$AC$201,MATCH($A79,Items!$AB$2:$AB$201,0)))</f>
        <v/>
      </c>
      <c r="F79" s="37">
        <f>IF($A79="","",INDEX(Items!$AN$2:$AN$201,MATCH($A79,Items!$AB$2:$AB$201,0)))</f>
        <v/>
      </c>
      <c r="G79" s="60" t="n"/>
      <c r="H79" s="61" t="n"/>
    </row>
    <row r="80">
      <c r="A80" s="36">
        <f>IF(ISNUMBER(MATCH(77,Items!$AB$2:$AB$201,0)),77,"")</f>
        <v/>
      </c>
      <c r="B80" s="37">
        <f>IF($A80="","",INDEX(Items!$AK$2:$AK$201,MATCH($A80,Items!$AB$2:$AB$201,0)))</f>
        <v/>
      </c>
      <c r="C80" s="37">
        <f>IF($A80="","",INDEX(Items!$AL$2:$AL$201,MATCH($A80,Items!$AB$2:$AB$201,0)))</f>
        <v/>
      </c>
      <c r="D80" s="37">
        <f>IF($A80="","",INDEX(Items!$AM$2:$AM$201,MATCH($A80,Items!$AB$2:$AB$201,0)))</f>
        <v/>
      </c>
      <c r="E80" s="37">
        <f>IF($A80="","",INDEX(Items!$AC$2:$AC$201,MATCH($A80,Items!$AB$2:$AB$201,0)))</f>
        <v/>
      </c>
      <c r="F80" s="37">
        <f>IF($A80="","",INDEX(Items!$AN$2:$AN$201,MATCH($A80,Items!$AB$2:$AB$201,0)))</f>
        <v/>
      </c>
      <c r="G80" s="60" t="n"/>
      <c r="H80" s="61" t="n"/>
    </row>
    <row r="81">
      <c r="A81" s="36">
        <f>IF(ISNUMBER(MATCH(78,Items!$AB$2:$AB$201,0)),78,"")</f>
        <v/>
      </c>
      <c r="B81" s="37">
        <f>IF($A81="","",INDEX(Items!$AK$2:$AK$201,MATCH($A81,Items!$AB$2:$AB$201,0)))</f>
        <v/>
      </c>
      <c r="C81" s="37">
        <f>IF($A81="","",INDEX(Items!$AL$2:$AL$201,MATCH($A81,Items!$AB$2:$AB$201,0)))</f>
        <v/>
      </c>
      <c r="D81" s="37">
        <f>IF($A81="","",INDEX(Items!$AM$2:$AM$201,MATCH($A81,Items!$AB$2:$AB$201,0)))</f>
        <v/>
      </c>
      <c r="E81" s="37">
        <f>IF($A81="","",INDEX(Items!$AC$2:$AC$201,MATCH($A81,Items!$AB$2:$AB$201,0)))</f>
        <v/>
      </c>
      <c r="F81" s="37">
        <f>IF($A81="","",INDEX(Items!$AN$2:$AN$201,MATCH($A81,Items!$AB$2:$AB$201,0)))</f>
        <v/>
      </c>
      <c r="G81" s="60" t="n"/>
      <c r="H81" s="61" t="n"/>
    </row>
    <row r="82">
      <c r="A82" s="36">
        <f>IF(ISNUMBER(MATCH(79,Items!$AB$2:$AB$201,0)),79,"")</f>
        <v/>
      </c>
      <c r="B82" s="37">
        <f>IF($A82="","",INDEX(Items!$AK$2:$AK$201,MATCH($A82,Items!$AB$2:$AB$201,0)))</f>
        <v/>
      </c>
      <c r="C82" s="37">
        <f>IF($A82="","",INDEX(Items!$AL$2:$AL$201,MATCH($A82,Items!$AB$2:$AB$201,0)))</f>
        <v/>
      </c>
      <c r="D82" s="37">
        <f>IF($A82="","",INDEX(Items!$AM$2:$AM$201,MATCH($A82,Items!$AB$2:$AB$201,0)))</f>
        <v/>
      </c>
      <c r="E82" s="37">
        <f>IF($A82="","",INDEX(Items!$AC$2:$AC$201,MATCH($A82,Items!$AB$2:$AB$201,0)))</f>
        <v/>
      </c>
      <c r="F82" s="37">
        <f>IF($A82="","",INDEX(Items!$AN$2:$AN$201,MATCH($A82,Items!$AB$2:$AB$201,0)))</f>
        <v/>
      </c>
      <c r="G82" s="60" t="n"/>
      <c r="H82" s="61" t="n"/>
    </row>
    <row r="83">
      <c r="A83" s="36">
        <f>IF(ISNUMBER(MATCH(80,Items!$AB$2:$AB$201,0)),80,"")</f>
        <v/>
      </c>
      <c r="B83" s="37">
        <f>IF($A83="","",INDEX(Items!$AK$2:$AK$201,MATCH($A83,Items!$AB$2:$AB$201,0)))</f>
        <v/>
      </c>
      <c r="C83" s="37">
        <f>IF($A83="","",INDEX(Items!$AL$2:$AL$201,MATCH($A83,Items!$AB$2:$AB$201,0)))</f>
        <v/>
      </c>
      <c r="D83" s="37">
        <f>IF($A83="","",INDEX(Items!$AM$2:$AM$201,MATCH($A83,Items!$AB$2:$AB$201,0)))</f>
        <v/>
      </c>
      <c r="E83" s="37">
        <f>IF($A83="","",INDEX(Items!$AC$2:$AC$201,MATCH($A83,Items!$AB$2:$AB$201,0)))</f>
        <v/>
      </c>
      <c r="F83" s="37">
        <f>IF($A83="","",INDEX(Items!$AN$2:$AN$201,MATCH($A83,Items!$AB$2:$AB$201,0)))</f>
        <v/>
      </c>
      <c r="G83" s="60" t="n"/>
      <c r="H83" s="61" t="n"/>
    </row>
    <row r="84">
      <c r="A84" s="36">
        <f>IF(ISNUMBER(MATCH(81,Items!$AB$2:$AB$201,0)),81,"")</f>
        <v/>
      </c>
      <c r="B84" s="37">
        <f>IF($A84="","",INDEX(Items!$AK$2:$AK$201,MATCH($A84,Items!$AB$2:$AB$201,0)))</f>
        <v/>
      </c>
      <c r="C84" s="37">
        <f>IF($A84="","",INDEX(Items!$AL$2:$AL$201,MATCH($A84,Items!$AB$2:$AB$201,0)))</f>
        <v/>
      </c>
      <c r="D84" s="37">
        <f>IF($A84="","",INDEX(Items!$AM$2:$AM$201,MATCH($A84,Items!$AB$2:$AB$201,0)))</f>
        <v/>
      </c>
      <c r="E84" s="37">
        <f>IF($A84="","",INDEX(Items!$AC$2:$AC$201,MATCH($A84,Items!$AB$2:$AB$201,0)))</f>
        <v/>
      </c>
      <c r="F84" s="37">
        <f>IF($A84="","",INDEX(Items!$AN$2:$AN$201,MATCH($A84,Items!$AB$2:$AB$201,0)))</f>
        <v/>
      </c>
      <c r="G84" s="60" t="n"/>
      <c r="H84" s="61" t="n"/>
    </row>
    <row r="85">
      <c r="A85" s="36">
        <f>IF(ISNUMBER(MATCH(82,Items!$AB$2:$AB$201,0)),82,"")</f>
        <v/>
      </c>
      <c r="B85" s="37">
        <f>IF($A85="","",INDEX(Items!$AK$2:$AK$201,MATCH($A85,Items!$AB$2:$AB$201,0)))</f>
        <v/>
      </c>
      <c r="C85" s="37">
        <f>IF($A85="","",INDEX(Items!$AL$2:$AL$201,MATCH($A85,Items!$AB$2:$AB$201,0)))</f>
        <v/>
      </c>
      <c r="D85" s="37">
        <f>IF($A85="","",INDEX(Items!$AM$2:$AM$201,MATCH($A85,Items!$AB$2:$AB$201,0)))</f>
        <v/>
      </c>
      <c r="E85" s="37">
        <f>IF($A85="","",INDEX(Items!$AC$2:$AC$201,MATCH($A85,Items!$AB$2:$AB$201,0)))</f>
        <v/>
      </c>
      <c r="F85" s="37">
        <f>IF($A85="","",INDEX(Items!$AN$2:$AN$201,MATCH($A85,Items!$AB$2:$AB$201,0)))</f>
        <v/>
      </c>
      <c r="G85" s="60" t="n"/>
      <c r="H85" s="61" t="n"/>
    </row>
    <row r="86">
      <c r="A86" s="36">
        <f>IF(ISNUMBER(MATCH(83,Items!$AB$2:$AB$201,0)),83,"")</f>
        <v/>
      </c>
      <c r="B86" s="37">
        <f>IF($A86="","",INDEX(Items!$AK$2:$AK$201,MATCH($A86,Items!$AB$2:$AB$201,0)))</f>
        <v/>
      </c>
      <c r="C86" s="37">
        <f>IF($A86="","",INDEX(Items!$AL$2:$AL$201,MATCH($A86,Items!$AB$2:$AB$201,0)))</f>
        <v/>
      </c>
      <c r="D86" s="37">
        <f>IF($A86="","",INDEX(Items!$AM$2:$AM$201,MATCH($A86,Items!$AB$2:$AB$201,0)))</f>
        <v/>
      </c>
      <c r="E86" s="37">
        <f>IF($A86="","",INDEX(Items!$AC$2:$AC$201,MATCH($A86,Items!$AB$2:$AB$201,0)))</f>
        <v/>
      </c>
      <c r="F86" s="37">
        <f>IF($A86="","",INDEX(Items!$AN$2:$AN$201,MATCH($A86,Items!$AB$2:$AB$201,0)))</f>
        <v/>
      </c>
      <c r="G86" s="60" t="n"/>
      <c r="H86" s="61" t="n"/>
    </row>
    <row r="87">
      <c r="A87" s="36">
        <f>IF(ISNUMBER(MATCH(84,Items!$AB$2:$AB$201,0)),84,"")</f>
        <v/>
      </c>
      <c r="B87" s="37">
        <f>IF($A87="","",INDEX(Items!$AK$2:$AK$201,MATCH($A87,Items!$AB$2:$AB$201,0)))</f>
        <v/>
      </c>
      <c r="C87" s="37">
        <f>IF($A87="","",INDEX(Items!$AL$2:$AL$201,MATCH($A87,Items!$AB$2:$AB$201,0)))</f>
        <v/>
      </c>
      <c r="D87" s="37">
        <f>IF($A87="","",INDEX(Items!$AM$2:$AM$201,MATCH($A87,Items!$AB$2:$AB$201,0)))</f>
        <v/>
      </c>
      <c r="E87" s="37">
        <f>IF($A87="","",INDEX(Items!$AC$2:$AC$201,MATCH($A87,Items!$AB$2:$AB$201,0)))</f>
        <v/>
      </c>
      <c r="F87" s="37">
        <f>IF($A87="","",INDEX(Items!$AN$2:$AN$201,MATCH($A87,Items!$AB$2:$AB$201,0)))</f>
        <v/>
      </c>
      <c r="G87" s="60" t="n"/>
      <c r="H87" s="61" t="n"/>
    </row>
    <row r="88">
      <c r="A88" s="36">
        <f>IF(ISNUMBER(MATCH(85,Items!$AB$2:$AB$201,0)),85,"")</f>
        <v/>
      </c>
      <c r="B88" s="37">
        <f>IF($A88="","",INDEX(Items!$AK$2:$AK$201,MATCH($A88,Items!$AB$2:$AB$201,0)))</f>
        <v/>
      </c>
      <c r="C88" s="37">
        <f>IF($A88="","",INDEX(Items!$AL$2:$AL$201,MATCH($A88,Items!$AB$2:$AB$201,0)))</f>
        <v/>
      </c>
      <c r="D88" s="37">
        <f>IF($A88="","",INDEX(Items!$AM$2:$AM$201,MATCH($A88,Items!$AB$2:$AB$201,0)))</f>
        <v/>
      </c>
      <c r="E88" s="37">
        <f>IF($A88="","",INDEX(Items!$AC$2:$AC$201,MATCH($A88,Items!$AB$2:$AB$201,0)))</f>
        <v/>
      </c>
      <c r="F88" s="37">
        <f>IF($A88="","",INDEX(Items!$AN$2:$AN$201,MATCH($A88,Items!$AB$2:$AB$201,0)))</f>
        <v/>
      </c>
      <c r="G88" s="60" t="n"/>
      <c r="H88" s="61" t="n"/>
    </row>
    <row r="89">
      <c r="A89" s="36">
        <f>IF(ISNUMBER(MATCH(86,Items!$AB$2:$AB$201,0)),86,"")</f>
        <v/>
      </c>
      <c r="B89" s="37">
        <f>IF($A89="","",INDEX(Items!$AK$2:$AK$201,MATCH($A89,Items!$AB$2:$AB$201,0)))</f>
        <v/>
      </c>
      <c r="C89" s="37">
        <f>IF($A89="","",INDEX(Items!$AL$2:$AL$201,MATCH($A89,Items!$AB$2:$AB$201,0)))</f>
        <v/>
      </c>
      <c r="D89" s="37">
        <f>IF($A89="","",INDEX(Items!$AM$2:$AM$201,MATCH($A89,Items!$AB$2:$AB$201,0)))</f>
        <v/>
      </c>
      <c r="E89" s="37">
        <f>IF($A89="","",INDEX(Items!$AC$2:$AC$201,MATCH($A89,Items!$AB$2:$AB$201,0)))</f>
        <v/>
      </c>
      <c r="F89" s="37">
        <f>IF($A89="","",INDEX(Items!$AN$2:$AN$201,MATCH($A89,Items!$AB$2:$AB$201,0)))</f>
        <v/>
      </c>
      <c r="G89" s="60" t="n"/>
      <c r="H89" s="61" t="n"/>
    </row>
    <row r="90">
      <c r="A90" s="36">
        <f>IF(ISNUMBER(MATCH(87,Items!$AB$2:$AB$201,0)),87,"")</f>
        <v/>
      </c>
      <c r="B90" s="37">
        <f>IF($A90="","",INDEX(Items!$AK$2:$AK$201,MATCH($A90,Items!$AB$2:$AB$201,0)))</f>
        <v/>
      </c>
      <c r="C90" s="37">
        <f>IF($A90="","",INDEX(Items!$AL$2:$AL$201,MATCH($A90,Items!$AB$2:$AB$201,0)))</f>
        <v/>
      </c>
      <c r="D90" s="37">
        <f>IF($A90="","",INDEX(Items!$AM$2:$AM$201,MATCH($A90,Items!$AB$2:$AB$201,0)))</f>
        <v/>
      </c>
      <c r="E90" s="37">
        <f>IF($A90="","",INDEX(Items!$AC$2:$AC$201,MATCH($A90,Items!$AB$2:$AB$201,0)))</f>
        <v/>
      </c>
      <c r="F90" s="37">
        <f>IF($A90="","",INDEX(Items!$AN$2:$AN$201,MATCH($A90,Items!$AB$2:$AB$201,0)))</f>
        <v/>
      </c>
      <c r="G90" s="60" t="n"/>
      <c r="H90" s="61" t="n"/>
    </row>
    <row r="91">
      <c r="A91" s="36">
        <f>IF(ISNUMBER(MATCH(88,Items!$AB$2:$AB$201,0)),88,"")</f>
        <v/>
      </c>
      <c r="B91" s="37">
        <f>IF($A91="","",INDEX(Items!$AK$2:$AK$201,MATCH($A91,Items!$AB$2:$AB$201,0)))</f>
        <v/>
      </c>
      <c r="C91" s="37">
        <f>IF($A91="","",INDEX(Items!$AL$2:$AL$201,MATCH($A91,Items!$AB$2:$AB$201,0)))</f>
        <v/>
      </c>
      <c r="D91" s="37">
        <f>IF($A91="","",INDEX(Items!$AM$2:$AM$201,MATCH($A91,Items!$AB$2:$AB$201,0)))</f>
        <v/>
      </c>
      <c r="E91" s="37">
        <f>IF($A91="","",INDEX(Items!$AC$2:$AC$201,MATCH($A91,Items!$AB$2:$AB$201,0)))</f>
        <v/>
      </c>
      <c r="F91" s="37">
        <f>IF($A91="","",INDEX(Items!$AN$2:$AN$201,MATCH($A91,Items!$AB$2:$AB$201,0)))</f>
        <v/>
      </c>
      <c r="G91" s="60" t="n"/>
      <c r="H91" s="61" t="n"/>
    </row>
    <row r="92">
      <c r="A92" s="36">
        <f>IF(ISNUMBER(MATCH(89,Items!$AB$2:$AB$201,0)),89,"")</f>
        <v/>
      </c>
      <c r="B92" s="37">
        <f>IF($A92="","",INDEX(Items!$AK$2:$AK$201,MATCH($A92,Items!$AB$2:$AB$201,0)))</f>
        <v/>
      </c>
      <c r="C92" s="37">
        <f>IF($A92="","",INDEX(Items!$AL$2:$AL$201,MATCH($A92,Items!$AB$2:$AB$201,0)))</f>
        <v/>
      </c>
      <c r="D92" s="37">
        <f>IF($A92="","",INDEX(Items!$AM$2:$AM$201,MATCH($A92,Items!$AB$2:$AB$201,0)))</f>
        <v/>
      </c>
      <c r="E92" s="37">
        <f>IF($A92="","",INDEX(Items!$AC$2:$AC$201,MATCH($A92,Items!$AB$2:$AB$201,0)))</f>
        <v/>
      </c>
      <c r="F92" s="37">
        <f>IF($A92="","",INDEX(Items!$AN$2:$AN$201,MATCH($A92,Items!$AB$2:$AB$201,0)))</f>
        <v/>
      </c>
      <c r="G92" s="60" t="n"/>
      <c r="H92" s="61" t="n"/>
    </row>
    <row r="93">
      <c r="A93" s="36">
        <f>IF(ISNUMBER(MATCH(90,Items!$AB$2:$AB$201,0)),90,"")</f>
        <v/>
      </c>
      <c r="B93" s="37">
        <f>IF($A93="","",INDEX(Items!$AK$2:$AK$201,MATCH($A93,Items!$AB$2:$AB$201,0)))</f>
        <v/>
      </c>
      <c r="C93" s="37">
        <f>IF($A93="","",INDEX(Items!$AL$2:$AL$201,MATCH($A93,Items!$AB$2:$AB$201,0)))</f>
        <v/>
      </c>
      <c r="D93" s="37">
        <f>IF($A93="","",INDEX(Items!$AM$2:$AM$201,MATCH($A93,Items!$AB$2:$AB$201,0)))</f>
        <v/>
      </c>
      <c r="E93" s="37">
        <f>IF($A93="","",INDEX(Items!$AC$2:$AC$201,MATCH($A93,Items!$AB$2:$AB$201,0)))</f>
        <v/>
      </c>
      <c r="F93" s="37">
        <f>IF($A93="","",INDEX(Items!$AN$2:$AN$201,MATCH($A93,Items!$AB$2:$AB$201,0)))</f>
        <v/>
      </c>
      <c r="G93" s="60" t="n"/>
      <c r="H93" s="61" t="n"/>
    </row>
    <row r="94">
      <c r="A94" s="36">
        <f>IF(ISNUMBER(MATCH(91,Items!$AB$2:$AB$201,0)),91,"")</f>
        <v/>
      </c>
      <c r="B94" s="37">
        <f>IF($A94="","",INDEX(Items!$AK$2:$AK$201,MATCH($A94,Items!$AB$2:$AB$201,0)))</f>
        <v/>
      </c>
      <c r="C94" s="37">
        <f>IF($A94="","",INDEX(Items!$AL$2:$AL$201,MATCH($A94,Items!$AB$2:$AB$201,0)))</f>
        <v/>
      </c>
      <c r="D94" s="37">
        <f>IF($A94="","",INDEX(Items!$AM$2:$AM$201,MATCH($A94,Items!$AB$2:$AB$201,0)))</f>
        <v/>
      </c>
      <c r="E94" s="37">
        <f>IF($A94="","",INDEX(Items!$AC$2:$AC$201,MATCH($A94,Items!$AB$2:$AB$201,0)))</f>
        <v/>
      </c>
      <c r="F94" s="37">
        <f>IF($A94="","",INDEX(Items!$AN$2:$AN$201,MATCH($A94,Items!$AB$2:$AB$201,0)))</f>
        <v/>
      </c>
      <c r="G94" s="60" t="n"/>
      <c r="H94" s="61" t="n"/>
    </row>
    <row r="95">
      <c r="A95" s="36">
        <f>IF(ISNUMBER(MATCH(92,Items!$AB$2:$AB$201,0)),92,"")</f>
        <v/>
      </c>
      <c r="B95" s="37">
        <f>IF($A95="","",INDEX(Items!$AK$2:$AK$201,MATCH($A95,Items!$AB$2:$AB$201,0)))</f>
        <v/>
      </c>
      <c r="C95" s="37">
        <f>IF($A95="","",INDEX(Items!$AL$2:$AL$201,MATCH($A95,Items!$AB$2:$AB$201,0)))</f>
        <v/>
      </c>
      <c r="D95" s="37">
        <f>IF($A95="","",INDEX(Items!$AM$2:$AM$201,MATCH($A95,Items!$AB$2:$AB$201,0)))</f>
        <v/>
      </c>
      <c r="E95" s="37">
        <f>IF($A95="","",INDEX(Items!$AC$2:$AC$201,MATCH($A95,Items!$AB$2:$AB$201,0)))</f>
        <v/>
      </c>
      <c r="F95" s="37">
        <f>IF($A95="","",INDEX(Items!$AN$2:$AN$201,MATCH($A95,Items!$AB$2:$AB$201,0)))</f>
        <v/>
      </c>
      <c r="G95" s="60" t="n"/>
      <c r="H95" s="61" t="n"/>
    </row>
    <row r="96">
      <c r="A96" s="36">
        <f>IF(ISNUMBER(MATCH(93,Items!$AB$2:$AB$201,0)),93,"")</f>
        <v/>
      </c>
      <c r="B96" s="37">
        <f>IF($A96="","",INDEX(Items!$AK$2:$AK$201,MATCH($A96,Items!$AB$2:$AB$201,0)))</f>
        <v/>
      </c>
      <c r="C96" s="37">
        <f>IF($A96="","",INDEX(Items!$AL$2:$AL$201,MATCH($A96,Items!$AB$2:$AB$201,0)))</f>
        <v/>
      </c>
      <c r="D96" s="37">
        <f>IF($A96="","",INDEX(Items!$AM$2:$AM$201,MATCH($A96,Items!$AB$2:$AB$201,0)))</f>
        <v/>
      </c>
      <c r="E96" s="37">
        <f>IF($A96="","",INDEX(Items!$AC$2:$AC$201,MATCH($A96,Items!$AB$2:$AB$201,0)))</f>
        <v/>
      </c>
      <c r="F96" s="37">
        <f>IF($A96="","",INDEX(Items!$AN$2:$AN$201,MATCH($A96,Items!$AB$2:$AB$201,0)))</f>
        <v/>
      </c>
      <c r="G96" s="60" t="n"/>
      <c r="H96" s="61" t="n"/>
    </row>
    <row r="97">
      <c r="A97" s="36">
        <f>IF(ISNUMBER(MATCH(94,Items!$AB$2:$AB$201,0)),94,"")</f>
        <v/>
      </c>
      <c r="B97" s="37">
        <f>IF($A97="","",INDEX(Items!$AK$2:$AK$201,MATCH($A97,Items!$AB$2:$AB$201,0)))</f>
        <v/>
      </c>
      <c r="C97" s="37">
        <f>IF($A97="","",INDEX(Items!$AL$2:$AL$201,MATCH($A97,Items!$AB$2:$AB$201,0)))</f>
        <v/>
      </c>
      <c r="D97" s="37">
        <f>IF($A97="","",INDEX(Items!$AM$2:$AM$201,MATCH($A97,Items!$AB$2:$AB$201,0)))</f>
        <v/>
      </c>
      <c r="E97" s="37">
        <f>IF($A97="","",INDEX(Items!$AC$2:$AC$201,MATCH($A97,Items!$AB$2:$AB$201,0)))</f>
        <v/>
      </c>
      <c r="F97" s="37">
        <f>IF($A97="","",INDEX(Items!$AN$2:$AN$201,MATCH($A97,Items!$AB$2:$AB$201,0)))</f>
        <v/>
      </c>
      <c r="G97" s="60" t="n"/>
      <c r="H97" s="61" t="n"/>
    </row>
    <row r="98">
      <c r="A98" s="36">
        <f>IF(ISNUMBER(MATCH(95,Items!$AB$2:$AB$201,0)),95,"")</f>
        <v/>
      </c>
      <c r="B98" s="37">
        <f>IF($A98="","",INDEX(Items!$AK$2:$AK$201,MATCH($A98,Items!$AB$2:$AB$201,0)))</f>
        <v/>
      </c>
      <c r="C98" s="37">
        <f>IF($A98="","",INDEX(Items!$AL$2:$AL$201,MATCH($A98,Items!$AB$2:$AB$201,0)))</f>
        <v/>
      </c>
      <c r="D98" s="37">
        <f>IF($A98="","",INDEX(Items!$AM$2:$AM$201,MATCH($A98,Items!$AB$2:$AB$201,0)))</f>
        <v/>
      </c>
      <c r="E98" s="37">
        <f>IF($A98="","",INDEX(Items!$AC$2:$AC$201,MATCH($A98,Items!$AB$2:$AB$201,0)))</f>
        <v/>
      </c>
      <c r="F98" s="37">
        <f>IF($A98="","",INDEX(Items!$AN$2:$AN$201,MATCH($A98,Items!$AB$2:$AB$201,0)))</f>
        <v/>
      </c>
      <c r="G98" s="60" t="n"/>
      <c r="H98" s="61" t="n"/>
    </row>
    <row r="99">
      <c r="A99" s="36">
        <f>IF(ISNUMBER(MATCH(96,Items!$AB$2:$AB$201,0)),96,"")</f>
        <v/>
      </c>
      <c r="B99" s="37">
        <f>IF($A99="","",INDEX(Items!$AK$2:$AK$201,MATCH($A99,Items!$AB$2:$AB$201,0)))</f>
        <v/>
      </c>
      <c r="C99" s="37">
        <f>IF($A99="","",INDEX(Items!$AL$2:$AL$201,MATCH($A99,Items!$AB$2:$AB$201,0)))</f>
        <v/>
      </c>
      <c r="D99" s="37">
        <f>IF($A99="","",INDEX(Items!$AM$2:$AM$201,MATCH($A99,Items!$AB$2:$AB$201,0)))</f>
        <v/>
      </c>
      <c r="E99" s="37">
        <f>IF($A99="","",INDEX(Items!$AC$2:$AC$201,MATCH($A99,Items!$AB$2:$AB$201,0)))</f>
        <v/>
      </c>
      <c r="F99" s="37">
        <f>IF($A99="","",INDEX(Items!$AN$2:$AN$201,MATCH($A99,Items!$AB$2:$AB$201,0)))</f>
        <v/>
      </c>
      <c r="G99" s="60" t="n"/>
      <c r="H99" s="61" t="n"/>
    </row>
    <row r="100">
      <c r="A100" s="36">
        <f>IF(ISNUMBER(MATCH(97,Items!$AB$2:$AB$201,0)),97,"")</f>
        <v/>
      </c>
      <c r="B100" s="37">
        <f>IF($A100="","",INDEX(Items!$AK$2:$AK$201,MATCH($A100,Items!$AB$2:$AB$201,0)))</f>
        <v/>
      </c>
      <c r="C100" s="37">
        <f>IF($A100="","",INDEX(Items!$AL$2:$AL$201,MATCH($A100,Items!$AB$2:$AB$201,0)))</f>
        <v/>
      </c>
      <c r="D100" s="37">
        <f>IF($A100="","",INDEX(Items!$AM$2:$AM$201,MATCH($A100,Items!$AB$2:$AB$201,0)))</f>
        <v/>
      </c>
      <c r="E100" s="37">
        <f>IF($A100="","",INDEX(Items!$AC$2:$AC$201,MATCH($A100,Items!$AB$2:$AB$201,0)))</f>
        <v/>
      </c>
      <c r="F100" s="37">
        <f>IF($A100="","",INDEX(Items!$AN$2:$AN$201,MATCH($A100,Items!$AB$2:$AB$201,0)))</f>
        <v/>
      </c>
      <c r="G100" s="60" t="n"/>
      <c r="H100" s="61" t="n"/>
    </row>
    <row r="101">
      <c r="A101" s="36">
        <f>IF(ISNUMBER(MATCH(98,Items!$AB$2:$AB$201,0)),98,"")</f>
        <v/>
      </c>
      <c r="B101" s="37">
        <f>IF($A101="","",INDEX(Items!$AK$2:$AK$201,MATCH($A101,Items!$AB$2:$AB$201,0)))</f>
        <v/>
      </c>
      <c r="C101" s="37">
        <f>IF($A101="","",INDEX(Items!$AL$2:$AL$201,MATCH($A101,Items!$AB$2:$AB$201,0)))</f>
        <v/>
      </c>
      <c r="D101" s="37">
        <f>IF($A101="","",INDEX(Items!$AM$2:$AM$201,MATCH($A101,Items!$AB$2:$AB$201,0)))</f>
        <v/>
      </c>
      <c r="E101" s="37">
        <f>IF($A101="","",INDEX(Items!$AC$2:$AC$201,MATCH($A101,Items!$AB$2:$AB$201,0)))</f>
        <v/>
      </c>
      <c r="F101" s="37">
        <f>IF($A101="","",INDEX(Items!$AN$2:$AN$201,MATCH($A101,Items!$AB$2:$AB$201,0)))</f>
        <v/>
      </c>
      <c r="G101" s="60" t="n"/>
      <c r="H101" s="61" t="n"/>
    </row>
    <row r="102">
      <c r="A102" s="36">
        <f>IF(ISNUMBER(MATCH(99,Items!$AB$2:$AB$201,0)),99,"")</f>
        <v/>
      </c>
      <c r="B102" s="37">
        <f>IF($A102="","",INDEX(Items!$AK$2:$AK$201,MATCH($A102,Items!$AB$2:$AB$201,0)))</f>
        <v/>
      </c>
      <c r="C102" s="37">
        <f>IF($A102="","",INDEX(Items!$AL$2:$AL$201,MATCH($A102,Items!$AB$2:$AB$201,0)))</f>
        <v/>
      </c>
      <c r="D102" s="37">
        <f>IF($A102="","",INDEX(Items!$AM$2:$AM$201,MATCH($A102,Items!$AB$2:$AB$201,0)))</f>
        <v/>
      </c>
      <c r="E102" s="37">
        <f>IF($A102="","",INDEX(Items!$AC$2:$AC$201,MATCH($A102,Items!$AB$2:$AB$201,0)))</f>
        <v/>
      </c>
      <c r="F102" s="37">
        <f>IF($A102="","",INDEX(Items!$AN$2:$AN$201,MATCH($A102,Items!$AB$2:$AB$201,0)))</f>
        <v/>
      </c>
      <c r="G102" s="60" t="n"/>
      <c r="H102" s="61" t="n"/>
    </row>
    <row r="103">
      <c r="A103" s="36">
        <f>IF(ISNUMBER(MATCH(100,Items!$AB$2:$AB$201,0)),100,"")</f>
        <v/>
      </c>
      <c r="B103" s="37">
        <f>IF($A103="","",INDEX(Items!$AK$2:$AK$201,MATCH($A103,Items!$AB$2:$AB$201,0)))</f>
        <v/>
      </c>
      <c r="C103" s="37">
        <f>IF($A103="","",INDEX(Items!$AL$2:$AL$201,MATCH($A103,Items!$AB$2:$AB$201,0)))</f>
        <v/>
      </c>
      <c r="D103" s="37">
        <f>IF($A103="","",INDEX(Items!$AM$2:$AM$201,MATCH($A103,Items!$AB$2:$AB$201,0)))</f>
        <v/>
      </c>
      <c r="E103" s="37">
        <f>IF($A103="","",INDEX(Items!$AC$2:$AC$201,MATCH($A103,Items!$AB$2:$AB$201,0)))</f>
        <v/>
      </c>
      <c r="F103" s="37">
        <f>IF($A103="","",INDEX(Items!$AN$2:$AN$201,MATCH($A103,Items!$AB$2:$AB$201,0)))</f>
        <v/>
      </c>
      <c r="G103" s="60" t="n"/>
      <c r="H103" s="61" t="n"/>
    </row>
    <row r="104">
      <c r="A104" s="36">
        <f>IF(ISNUMBER(MATCH(101,Items!$AB$2:$AB$201,0)),101,"")</f>
        <v/>
      </c>
      <c r="B104" s="37">
        <f>IF($A104="","",INDEX(Items!$AK$2:$AK$201,MATCH($A104,Items!$AB$2:$AB$201,0)))</f>
        <v/>
      </c>
      <c r="C104" s="37">
        <f>IF($A104="","",INDEX(Items!$AL$2:$AL$201,MATCH($A104,Items!$AB$2:$AB$201,0)))</f>
        <v/>
      </c>
      <c r="D104" s="37">
        <f>IF($A104="","",INDEX(Items!$AM$2:$AM$201,MATCH($A104,Items!$AB$2:$AB$201,0)))</f>
        <v/>
      </c>
      <c r="E104" s="37">
        <f>IF($A104="","",INDEX(Items!$AC$2:$AC$201,MATCH($A104,Items!$AB$2:$AB$201,0)))</f>
        <v/>
      </c>
      <c r="F104" s="37">
        <f>IF($A104="","",INDEX(Items!$AN$2:$AN$201,MATCH($A104,Items!$AB$2:$AB$201,0)))</f>
        <v/>
      </c>
      <c r="G104" s="60" t="n"/>
      <c r="H104" s="61" t="n"/>
    </row>
    <row r="105">
      <c r="A105" s="36">
        <f>IF(ISNUMBER(MATCH(102,Items!$AB$2:$AB$201,0)),102,"")</f>
        <v/>
      </c>
      <c r="B105" s="37">
        <f>IF($A105="","",INDEX(Items!$AK$2:$AK$201,MATCH($A105,Items!$AB$2:$AB$201,0)))</f>
        <v/>
      </c>
      <c r="C105" s="37">
        <f>IF($A105="","",INDEX(Items!$AL$2:$AL$201,MATCH($A105,Items!$AB$2:$AB$201,0)))</f>
        <v/>
      </c>
      <c r="D105" s="37">
        <f>IF($A105="","",INDEX(Items!$AM$2:$AM$201,MATCH($A105,Items!$AB$2:$AB$201,0)))</f>
        <v/>
      </c>
      <c r="E105" s="37">
        <f>IF($A105="","",INDEX(Items!$AC$2:$AC$201,MATCH($A105,Items!$AB$2:$AB$201,0)))</f>
        <v/>
      </c>
      <c r="F105" s="37">
        <f>IF($A105="","",INDEX(Items!$AN$2:$AN$201,MATCH($A105,Items!$AB$2:$AB$201,0)))</f>
        <v/>
      </c>
      <c r="G105" s="60" t="n"/>
      <c r="H105" s="61" t="n"/>
    </row>
    <row r="106">
      <c r="A106" s="36">
        <f>IF(ISNUMBER(MATCH(103,Items!$AB$2:$AB$201,0)),103,"")</f>
        <v/>
      </c>
      <c r="B106" s="37">
        <f>IF($A106="","",INDEX(Items!$AK$2:$AK$201,MATCH($A106,Items!$AB$2:$AB$201,0)))</f>
        <v/>
      </c>
      <c r="C106" s="37">
        <f>IF($A106="","",INDEX(Items!$AL$2:$AL$201,MATCH($A106,Items!$AB$2:$AB$201,0)))</f>
        <v/>
      </c>
      <c r="D106" s="37">
        <f>IF($A106="","",INDEX(Items!$AM$2:$AM$201,MATCH($A106,Items!$AB$2:$AB$201,0)))</f>
        <v/>
      </c>
      <c r="E106" s="37">
        <f>IF($A106="","",INDEX(Items!$AC$2:$AC$201,MATCH($A106,Items!$AB$2:$AB$201,0)))</f>
        <v/>
      </c>
      <c r="F106" s="37">
        <f>IF($A106="","",INDEX(Items!$AN$2:$AN$201,MATCH($A106,Items!$AB$2:$AB$201,0)))</f>
        <v/>
      </c>
      <c r="G106" s="60" t="n"/>
      <c r="H106" s="61" t="n"/>
    </row>
    <row r="107">
      <c r="A107" s="36">
        <f>IF(ISNUMBER(MATCH(104,Items!$AB$2:$AB$201,0)),104,"")</f>
        <v/>
      </c>
      <c r="B107" s="37">
        <f>IF($A107="","",INDEX(Items!$AK$2:$AK$201,MATCH($A107,Items!$AB$2:$AB$201,0)))</f>
        <v/>
      </c>
      <c r="C107" s="37">
        <f>IF($A107="","",INDEX(Items!$AL$2:$AL$201,MATCH($A107,Items!$AB$2:$AB$201,0)))</f>
        <v/>
      </c>
      <c r="D107" s="37">
        <f>IF($A107="","",INDEX(Items!$AM$2:$AM$201,MATCH($A107,Items!$AB$2:$AB$201,0)))</f>
        <v/>
      </c>
      <c r="E107" s="37">
        <f>IF($A107="","",INDEX(Items!$AC$2:$AC$201,MATCH($A107,Items!$AB$2:$AB$201,0)))</f>
        <v/>
      </c>
      <c r="F107" s="37">
        <f>IF($A107="","",INDEX(Items!$AN$2:$AN$201,MATCH($A107,Items!$AB$2:$AB$201,0)))</f>
        <v/>
      </c>
      <c r="G107" s="60" t="n"/>
      <c r="H107" s="61" t="n"/>
    </row>
    <row r="108">
      <c r="A108" s="36">
        <f>IF(ISNUMBER(MATCH(105,Items!$AB$2:$AB$201,0)),105,"")</f>
        <v/>
      </c>
      <c r="B108" s="37">
        <f>IF($A108="","",INDEX(Items!$AK$2:$AK$201,MATCH($A108,Items!$AB$2:$AB$201,0)))</f>
        <v/>
      </c>
      <c r="C108" s="37">
        <f>IF($A108="","",INDEX(Items!$AL$2:$AL$201,MATCH($A108,Items!$AB$2:$AB$201,0)))</f>
        <v/>
      </c>
      <c r="D108" s="37">
        <f>IF($A108="","",INDEX(Items!$AM$2:$AM$201,MATCH($A108,Items!$AB$2:$AB$201,0)))</f>
        <v/>
      </c>
      <c r="E108" s="37">
        <f>IF($A108="","",INDEX(Items!$AC$2:$AC$201,MATCH($A108,Items!$AB$2:$AB$201,0)))</f>
        <v/>
      </c>
      <c r="F108" s="37">
        <f>IF($A108="","",INDEX(Items!$AN$2:$AN$201,MATCH($A108,Items!$AB$2:$AB$201,0)))</f>
        <v/>
      </c>
      <c r="G108" s="60" t="n"/>
      <c r="H108" s="61" t="n"/>
    </row>
    <row r="109">
      <c r="A109" s="36">
        <f>IF(ISNUMBER(MATCH(106,Items!$AB$2:$AB$201,0)),106,"")</f>
        <v/>
      </c>
      <c r="B109" s="37">
        <f>IF($A109="","",INDEX(Items!$AK$2:$AK$201,MATCH($A109,Items!$AB$2:$AB$201,0)))</f>
        <v/>
      </c>
      <c r="C109" s="37">
        <f>IF($A109="","",INDEX(Items!$AL$2:$AL$201,MATCH($A109,Items!$AB$2:$AB$201,0)))</f>
        <v/>
      </c>
      <c r="D109" s="37">
        <f>IF($A109="","",INDEX(Items!$AM$2:$AM$201,MATCH($A109,Items!$AB$2:$AB$201,0)))</f>
        <v/>
      </c>
      <c r="E109" s="37">
        <f>IF($A109="","",INDEX(Items!$AC$2:$AC$201,MATCH($A109,Items!$AB$2:$AB$201,0)))</f>
        <v/>
      </c>
      <c r="F109" s="37">
        <f>IF($A109="","",INDEX(Items!$AN$2:$AN$201,MATCH($A109,Items!$AB$2:$AB$201,0)))</f>
        <v/>
      </c>
      <c r="G109" s="60" t="n"/>
      <c r="H109" s="61" t="n"/>
    </row>
    <row r="110">
      <c r="A110" s="36">
        <f>IF(ISNUMBER(MATCH(107,Items!$AB$2:$AB$201,0)),107,"")</f>
        <v/>
      </c>
      <c r="B110" s="37">
        <f>IF($A110="","",INDEX(Items!$AK$2:$AK$201,MATCH($A110,Items!$AB$2:$AB$201,0)))</f>
        <v/>
      </c>
      <c r="C110" s="37">
        <f>IF($A110="","",INDEX(Items!$AL$2:$AL$201,MATCH($A110,Items!$AB$2:$AB$201,0)))</f>
        <v/>
      </c>
      <c r="D110" s="37">
        <f>IF($A110="","",INDEX(Items!$AM$2:$AM$201,MATCH($A110,Items!$AB$2:$AB$201,0)))</f>
        <v/>
      </c>
      <c r="E110" s="37">
        <f>IF($A110="","",INDEX(Items!$AC$2:$AC$201,MATCH($A110,Items!$AB$2:$AB$201,0)))</f>
        <v/>
      </c>
      <c r="F110" s="37">
        <f>IF($A110="","",INDEX(Items!$AN$2:$AN$201,MATCH($A110,Items!$AB$2:$AB$201,0)))</f>
        <v/>
      </c>
      <c r="G110" s="60" t="n"/>
      <c r="H110" s="61" t="n"/>
    </row>
    <row r="111">
      <c r="A111" s="36">
        <f>IF(ISNUMBER(MATCH(108,Items!$AB$2:$AB$201,0)),108,"")</f>
        <v/>
      </c>
      <c r="B111" s="37">
        <f>IF($A111="","",INDEX(Items!$AK$2:$AK$201,MATCH($A111,Items!$AB$2:$AB$201,0)))</f>
        <v/>
      </c>
      <c r="C111" s="37">
        <f>IF($A111="","",INDEX(Items!$AL$2:$AL$201,MATCH($A111,Items!$AB$2:$AB$201,0)))</f>
        <v/>
      </c>
      <c r="D111" s="37">
        <f>IF($A111="","",INDEX(Items!$AM$2:$AM$201,MATCH($A111,Items!$AB$2:$AB$201,0)))</f>
        <v/>
      </c>
      <c r="E111" s="37">
        <f>IF($A111="","",INDEX(Items!$AC$2:$AC$201,MATCH($A111,Items!$AB$2:$AB$201,0)))</f>
        <v/>
      </c>
      <c r="F111" s="37">
        <f>IF($A111="","",INDEX(Items!$AN$2:$AN$201,MATCH($A111,Items!$AB$2:$AB$201,0)))</f>
        <v/>
      </c>
      <c r="G111" s="60" t="n"/>
      <c r="H111" s="61" t="n"/>
    </row>
    <row r="112">
      <c r="A112" s="36">
        <f>IF(ISNUMBER(MATCH(109,Items!$AB$2:$AB$201,0)),109,"")</f>
        <v/>
      </c>
      <c r="B112" s="37">
        <f>IF($A112="","",INDEX(Items!$AK$2:$AK$201,MATCH($A112,Items!$AB$2:$AB$201,0)))</f>
        <v/>
      </c>
      <c r="C112" s="37">
        <f>IF($A112="","",INDEX(Items!$AL$2:$AL$201,MATCH($A112,Items!$AB$2:$AB$201,0)))</f>
        <v/>
      </c>
      <c r="D112" s="37">
        <f>IF($A112="","",INDEX(Items!$AM$2:$AM$201,MATCH($A112,Items!$AB$2:$AB$201,0)))</f>
        <v/>
      </c>
      <c r="E112" s="37">
        <f>IF($A112="","",INDEX(Items!$AC$2:$AC$201,MATCH($A112,Items!$AB$2:$AB$201,0)))</f>
        <v/>
      </c>
      <c r="F112" s="37">
        <f>IF($A112="","",INDEX(Items!$AN$2:$AN$201,MATCH($A112,Items!$AB$2:$AB$201,0)))</f>
        <v/>
      </c>
      <c r="G112" s="60" t="n"/>
      <c r="H112" s="61" t="n"/>
    </row>
    <row r="113">
      <c r="A113" s="36">
        <f>IF(ISNUMBER(MATCH(110,Items!$AB$2:$AB$201,0)),110,"")</f>
        <v/>
      </c>
      <c r="B113" s="37">
        <f>IF($A113="","",INDEX(Items!$AK$2:$AK$201,MATCH($A113,Items!$AB$2:$AB$201,0)))</f>
        <v/>
      </c>
      <c r="C113" s="37">
        <f>IF($A113="","",INDEX(Items!$AL$2:$AL$201,MATCH($A113,Items!$AB$2:$AB$201,0)))</f>
        <v/>
      </c>
      <c r="D113" s="37">
        <f>IF($A113="","",INDEX(Items!$AM$2:$AM$201,MATCH($A113,Items!$AB$2:$AB$201,0)))</f>
        <v/>
      </c>
      <c r="E113" s="37">
        <f>IF($A113="","",INDEX(Items!$AC$2:$AC$201,MATCH($A113,Items!$AB$2:$AB$201,0)))</f>
        <v/>
      </c>
      <c r="F113" s="37">
        <f>IF($A113="","",INDEX(Items!$AN$2:$AN$201,MATCH($A113,Items!$AB$2:$AB$201,0)))</f>
        <v/>
      </c>
      <c r="G113" s="60" t="n"/>
      <c r="H113" s="61" t="n"/>
    </row>
    <row r="114">
      <c r="A114" s="36">
        <f>IF(ISNUMBER(MATCH(111,Items!$AB$2:$AB$201,0)),111,"")</f>
        <v/>
      </c>
      <c r="B114" s="37">
        <f>IF($A114="","",INDEX(Items!$AK$2:$AK$201,MATCH($A114,Items!$AB$2:$AB$201,0)))</f>
        <v/>
      </c>
      <c r="C114" s="37">
        <f>IF($A114="","",INDEX(Items!$AL$2:$AL$201,MATCH($A114,Items!$AB$2:$AB$201,0)))</f>
        <v/>
      </c>
      <c r="D114" s="37">
        <f>IF($A114="","",INDEX(Items!$AM$2:$AM$201,MATCH($A114,Items!$AB$2:$AB$201,0)))</f>
        <v/>
      </c>
      <c r="E114" s="37">
        <f>IF($A114="","",INDEX(Items!$AC$2:$AC$201,MATCH($A114,Items!$AB$2:$AB$201,0)))</f>
        <v/>
      </c>
      <c r="F114" s="37">
        <f>IF($A114="","",INDEX(Items!$AN$2:$AN$201,MATCH($A114,Items!$AB$2:$AB$201,0)))</f>
        <v/>
      </c>
      <c r="G114" s="60" t="n"/>
      <c r="H114" s="61" t="n"/>
    </row>
    <row r="115">
      <c r="A115" s="36">
        <f>IF(ISNUMBER(MATCH(112,Items!$AB$2:$AB$201,0)),112,"")</f>
        <v/>
      </c>
      <c r="B115" s="37">
        <f>IF($A115="","",INDEX(Items!$AK$2:$AK$201,MATCH($A115,Items!$AB$2:$AB$201,0)))</f>
        <v/>
      </c>
      <c r="C115" s="37">
        <f>IF($A115="","",INDEX(Items!$AL$2:$AL$201,MATCH($A115,Items!$AB$2:$AB$201,0)))</f>
        <v/>
      </c>
      <c r="D115" s="37">
        <f>IF($A115="","",INDEX(Items!$AM$2:$AM$201,MATCH($A115,Items!$AB$2:$AB$201,0)))</f>
        <v/>
      </c>
      <c r="E115" s="37">
        <f>IF($A115="","",INDEX(Items!$AC$2:$AC$201,MATCH($A115,Items!$AB$2:$AB$201,0)))</f>
        <v/>
      </c>
      <c r="F115" s="37">
        <f>IF($A115="","",INDEX(Items!$AN$2:$AN$201,MATCH($A115,Items!$AB$2:$AB$201,0)))</f>
        <v/>
      </c>
      <c r="G115" s="60" t="n"/>
      <c r="H115" s="61" t="n"/>
    </row>
    <row r="116">
      <c r="A116" s="36">
        <f>IF(ISNUMBER(MATCH(113,Items!$AB$2:$AB$201,0)),113,"")</f>
        <v/>
      </c>
      <c r="B116" s="37">
        <f>IF($A116="","",INDEX(Items!$AK$2:$AK$201,MATCH($A116,Items!$AB$2:$AB$201,0)))</f>
        <v/>
      </c>
      <c r="C116" s="37">
        <f>IF($A116="","",INDEX(Items!$AL$2:$AL$201,MATCH($A116,Items!$AB$2:$AB$201,0)))</f>
        <v/>
      </c>
      <c r="D116" s="37">
        <f>IF($A116="","",INDEX(Items!$AM$2:$AM$201,MATCH($A116,Items!$AB$2:$AB$201,0)))</f>
        <v/>
      </c>
      <c r="E116" s="37">
        <f>IF($A116="","",INDEX(Items!$AC$2:$AC$201,MATCH($A116,Items!$AB$2:$AB$201,0)))</f>
        <v/>
      </c>
      <c r="F116" s="37">
        <f>IF($A116="","",INDEX(Items!$AN$2:$AN$201,MATCH($A116,Items!$AB$2:$AB$201,0)))</f>
        <v/>
      </c>
      <c r="G116" s="60" t="n"/>
      <c r="H116" s="61" t="n"/>
    </row>
    <row r="117">
      <c r="A117" s="36">
        <f>IF(ISNUMBER(MATCH(114,Items!$AB$2:$AB$201,0)),114,"")</f>
        <v/>
      </c>
      <c r="B117" s="37">
        <f>IF($A117="","",INDEX(Items!$AK$2:$AK$201,MATCH($A117,Items!$AB$2:$AB$201,0)))</f>
        <v/>
      </c>
      <c r="C117" s="37">
        <f>IF($A117="","",INDEX(Items!$AL$2:$AL$201,MATCH($A117,Items!$AB$2:$AB$201,0)))</f>
        <v/>
      </c>
      <c r="D117" s="37">
        <f>IF($A117="","",INDEX(Items!$AM$2:$AM$201,MATCH($A117,Items!$AB$2:$AB$201,0)))</f>
        <v/>
      </c>
      <c r="E117" s="37">
        <f>IF($A117="","",INDEX(Items!$AC$2:$AC$201,MATCH($A117,Items!$AB$2:$AB$201,0)))</f>
        <v/>
      </c>
      <c r="F117" s="37">
        <f>IF($A117="","",INDEX(Items!$AN$2:$AN$201,MATCH($A117,Items!$AB$2:$AB$201,0)))</f>
        <v/>
      </c>
      <c r="G117" s="60" t="n"/>
      <c r="H117" s="61" t="n"/>
    </row>
    <row r="118">
      <c r="A118" s="36">
        <f>IF(ISNUMBER(MATCH(115,Items!$AB$2:$AB$201,0)),115,"")</f>
        <v/>
      </c>
      <c r="B118" s="37">
        <f>IF($A118="","",INDEX(Items!$AK$2:$AK$201,MATCH($A118,Items!$AB$2:$AB$201,0)))</f>
        <v/>
      </c>
      <c r="C118" s="37">
        <f>IF($A118="","",INDEX(Items!$AL$2:$AL$201,MATCH($A118,Items!$AB$2:$AB$201,0)))</f>
        <v/>
      </c>
      <c r="D118" s="37">
        <f>IF($A118="","",INDEX(Items!$AM$2:$AM$201,MATCH($A118,Items!$AB$2:$AB$201,0)))</f>
        <v/>
      </c>
      <c r="E118" s="37">
        <f>IF($A118="","",INDEX(Items!$AC$2:$AC$201,MATCH($A118,Items!$AB$2:$AB$201,0)))</f>
        <v/>
      </c>
      <c r="F118" s="37">
        <f>IF($A118="","",INDEX(Items!$AN$2:$AN$201,MATCH($A118,Items!$AB$2:$AB$201,0)))</f>
        <v/>
      </c>
      <c r="G118" s="60" t="n"/>
      <c r="H118" s="61" t="n"/>
    </row>
    <row r="119">
      <c r="A119" s="36">
        <f>IF(ISNUMBER(MATCH(116,Items!$AB$2:$AB$201,0)),116,"")</f>
        <v/>
      </c>
      <c r="B119" s="37">
        <f>IF($A119="","",INDEX(Items!$AK$2:$AK$201,MATCH($A119,Items!$AB$2:$AB$201,0)))</f>
        <v/>
      </c>
      <c r="C119" s="37">
        <f>IF($A119="","",INDEX(Items!$AL$2:$AL$201,MATCH($A119,Items!$AB$2:$AB$201,0)))</f>
        <v/>
      </c>
      <c r="D119" s="37">
        <f>IF($A119="","",INDEX(Items!$AM$2:$AM$201,MATCH($A119,Items!$AB$2:$AB$201,0)))</f>
        <v/>
      </c>
      <c r="E119" s="37">
        <f>IF($A119="","",INDEX(Items!$AC$2:$AC$201,MATCH($A119,Items!$AB$2:$AB$201,0)))</f>
        <v/>
      </c>
      <c r="F119" s="37">
        <f>IF($A119="","",INDEX(Items!$AN$2:$AN$201,MATCH($A119,Items!$AB$2:$AB$201,0)))</f>
        <v/>
      </c>
      <c r="G119" s="60" t="n"/>
      <c r="H119" s="61" t="n"/>
    </row>
    <row r="120">
      <c r="A120" s="36">
        <f>IF(ISNUMBER(MATCH(117,Items!$AB$2:$AB$201,0)),117,"")</f>
        <v/>
      </c>
      <c r="B120" s="37">
        <f>IF($A120="","",INDEX(Items!$AK$2:$AK$201,MATCH($A120,Items!$AB$2:$AB$201,0)))</f>
        <v/>
      </c>
      <c r="C120" s="37">
        <f>IF($A120="","",INDEX(Items!$AL$2:$AL$201,MATCH($A120,Items!$AB$2:$AB$201,0)))</f>
        <v/>
      </c>
      <c r="D120" s="37">
        <f>IF($A120="","",INDEX(Items!$AM$2:$AM$201,MATCH($A120,Items!$AB$2:$AB$201,0)))</f>
        <v/>
      </c>
      <c r="E120" s="37">
        <f>IF($A120="","",INDEX(Items!$AC$2:$AC$201,MATCH($A120,Items!$AB$2:$AB$201,0)))</f>
        <v/>
      </c>
      <c r="F120" s="37">
        <f>IF($A120="","",INDEX(Items!$AN$2:$AN$201,MATCH($A120,Items!$AB$2:$AB$201,0)))</f>
        <v/>
      </c>
      <c r="G120" s="60" t="n"/>
      <c r="H120" s="61" t="n"/>
    </row>
    <row r="121">
      <c r="A121" s="36">
        <f>IF(ISNUMBER(MATCH(118,Items!$AB$2:$AB$201,0)),118,"")</f>
        <v/>
      </c>
      <c r="B121" s="37">
        <f>IF($A121="","",INDEX(Items!$AK$2:$AK$201,MATCH($A121,Items!$AB$2:$AB$201,0)))</f>
        <v/>
      </c>
      <c r="C121" s="37">
        <f>IF($A121="","",INDEX(Items!$AL$2:$AL$201,MATCH($A121,Items!$AB$2:$AB$201,0)))</f>
        <v/>
      </c>
      <c r="D121" s="37">
        <f>IF($A121="","",INDEX(Items!$AM$2:$AM$201,MATCH($A121,Items!$AB$2:$AB$201,0)))</f>
        <v/>
      </c>
      <c r="E121" s="37">
        <f>IF($A121="","",INDEX(Items!$AC$2:$AC$201,MATCH($A121,Items!$AB$2:$AB$201,0)))</f>
        <v/>
      </c>
      <c r="F121" s="37">
        <f>IF($A121="","",INDEX(Items!$AN$2:$AN$201,MATCH($A121,Items!$AB$2:$AB$201,0)))</f>
        <v/>
      </c>
      <c r="G121" s="60" t="n"/>
      <c r="H121" s="61" t="n"/>
    </row>
    <row r="122">
      <c r="A122" s="36">
        <f>IF(ISNUMBER(MATCH(119,Items!$AB$2:$AB$201,0)),119,"")</f>
        <v/>
      </c>
      <c r="B122" s="37">
        <f>IF($A122="","",INDEX(Items!$AK$2:$AK$201,MATCH($A122,Items!$AB$2:$AB$201,0)))</f>
        <v/>
      </c>
      <c r="C122" s="37">
        <f>IF($A122="","",INDEX(Items!$AL$2:$AL$201,MATCH($A122,Items!$AB$2:$AB$201,0)))</f>
        <v/>
      </c>
      <c r="D122" s="37">
        <f>IF($A122="","",INDEX(Items!$AM$2:$AM$201,MATCH($A122,Items!$AB$2:$AB$201,0)))</f>
        <v/>
      </c>
      <c r="E122" s="37">
        <f>IF($A122="","",INDEX(Items!$AC$2:$AC$201,MATCH($A122,Items!$AB$2:$AB$201,0)))</f>
        <v/>
      </c>
      <c r="F122" s="37">
        <f>IF($A122="","",INDEX(Items!$AN$2:$AN$201,MATCH($A122,Items!$AB$2:$AB$201,0)))</f>
        <v/>
      </c>
      <c r="G122" s="60" t="n"/>
      <c r="H122" s="61" t="n"/>
    </row>
    <row r="123">
      <c r="A123" s="36">
        <f>IF(ISNUMBER(MATCH(120,Items!$AB$2:$AB$201,0)),120,"")</f>
        <v/>
      </c>
      <c r="B123" s="37">
        <f>IF($A123="","",INDEX(Items!$AK$2:$AK$201,MATCH($A123,Items!$AB$2:$AB$201,0)))</f>
        <v/>
      </c>
      <c r="C123" s="37">
        <f>IF($A123="","",INDEX(Items!$AL$2:$AL$201,MATCH($A123,Items!$AB$2:$AB$201,0)))</f>
        <v/>
      </c>
      <c r="D123" s="37">
        <f>IF($A123="","",INDEX(Items!$AM$2:$AM$201,MATCH($A123,Items!$AB$2:$AB$201,0)))</f>
        <v/>
      </c>
      <c r="E123" s="37">
        <f>IF($A123="","",INDEX(Items!$AC$2:$AC$201,MATCH($A123,Items!$AB$2:$AB$201,0)))</f>
        <v/>
      </c>
      <c r="F123" s="37">
        <f>IF($A123="","",INDEX(Items!$AN$2:$AN$201,MATCH($A123,Items!$AB$2:$AB$201,0)))</f>
        <v/>
      </c>
      <c r="G123" s="60" t="n"/>
      <c r="H123" s="61" t="n"/>
    </row>
    <row r="124">
      <c r="A124" s="36">
        <f>IF(ISNUMBER(MATCH(121,Items!$AB$2:$AB$201,0)),121,"")</f>
        <v/>
      </c>
      <c r="B124" s="37">
        <f>IF($A124="","",INDEX(Items!$AK$2:$AK$201,MATCH($A124,Items!$AB$2:$AB$201,0)))</f>
        <v/>
      </c>
      <c r="C124" s="37">
        <f>IF($A124="","",INDEX(Items!$AL$2:$AL$201,MATCH($A124,Items!$AB$2:$AB$201,0)))</f>
        <v/>
      </c>
      <c r="D124" s="37">
        <f>IF($A124="","",INDEX(Items!$AM$2:$AM$201,MATCH($A124,Items!$AB$2:$AB$201,0)))</f>
        <v/>
      </c>
      <c r="E124" s="37">
        <f>IF($A124="","",INDEX(Items!$AC$2:$AC$201,MATCH($A124,Items!$AB$2:$AB$201,0)))</f>
        <v/>
      </c>
      <c r="F124" s="37">
        <f>IF($A124="","",INDEX(Items!$AN$2:$AN$201,MATCH($A124,Items!$AB$2:$AB$201,0)))</f>
        <v/>
      </c>
      <c r="G124" s="60" t="n"/>
      <c r="H124" s="61" t="n"/>
    </row>
    <row r="125">
      <c r="A125" s="36">
        <f>IF(ISNUMBER(MATCH(122,Items!$AB$2:$AB$201,0)),122,"")</f>
        <v/>
      </c>
      <c r="B125" s="37">
        <f>IF($A125="","",INDEX(Items!$AK$2:$AK$201,MATCH($A125,Items!$AB$2:$AB$201,0)))</f>
        <v/>
      </c>
      <c r="C125" s="37">
        <f>IF($A125="","",INDEX(Items!$AL$2:$AL$201,MATCH($A125,Items!$AB$2:$AB$201,0)))</f>
        <v/>
      </c>
      <c r="D125" s="37">
        <f>IF($A125="","",INDEX(Items!$AM$2:$AM$201,MATCH($A125,Items!$AB$2:$AB$201,0)))</f>
        <v/>
      </c>
      <c r="E125" s="37">
        <f>IF($A125="","",INDEX(Items!$AC$2:$AC$201,MATCH($A125,Items!$AB$2:$AB$201,0)))</f>
        <v/>
      </c>
      <c r="F125" s="37">
        <f>IF($A125="","",INDEX(Items!$AN$2:$AN$201,MATCH($A125,Items!$AB$2:$AB$201,0)))</f>
        <v/>
      </c>
      <c r="G125" s="60" t="n"/>
      <c r="H125" s="61" t="n"/>
    </row>
    <row r="126">
      <c r="A126" s="36">
        <f>IF(ISNUMBER(MATCH(123,Items!$AB$2:$AB$201,0)),123,"")</f>
        <v/>
      </c>
      <c r="B126" s="37">
        <f>IF($A126="","",INDEX(Items!$AK$2:$AK$201,MATCH($A126,Items!$AB$2:$AB$201,0)))</f>
        <v/>
      </c>
      <c r="C126" s="37">
        <f>IF($A126="","",INDEX(Items!$AL$2:$AL$201,MATCH($A126,Items!$AB$2:$AB$201,0)))</f>
        <v/>
      </c>
      <c r="D126" s="37">
        <f>IF($A126="","",INDEX(Items!$AM$2:$AM$201,MATCH($A126,Items!$AB$2:$AB$201,0)))</f>
        <v/>
      </c>
      <c r="E126" s="37">
        <f>IF($A126="","",INDEX(Items!$AC$2:$AC$201,MATCH($A126,Items!$AB$2:$AB$201,0)))</f>
        <v/>
      </c>
      <c r="F126" s="37">
        <f>IF($A126="","",INDEX(Items!$AN$2:$AN$201,MATCH($A126,Items!$AB$2:$AB$201,0)))</f>
        <v/>
      </c>
      <c r="G126" s="60" t="n"/>
      <c r="H126" s="61" t="n"/>
    </row>
    <row r="127">
      <c r="A127" s="36">
        <f>IF(ISNUMBER(MATCH(124,Items!$AB$2:$AB$201,0)),124,"")</f>
        <v/>
      </c>
      <c r="B127" s="37">
        <f>IF($A127="","",INDEX(Items!$AK$2:$AK$201,MATCH($A127,Items!$AB$2:$AB$201,0)))</f>
        <v/>
      </c>
      <c r="C127" s="37">
        <f>IF($A127="","",INDEX(Items!$AL$2:$AL$201,MATCH($A127,Items!$AB$2:$AB$201,0)))</f>
        <v/>
      </c>
      <c r="D127" s="37">
        <f>IF($A127="","",INDEX(Items!$AM$2:$AM$201,MATCH($A127,Items!$AB$2:$AB$201,0)))</f>
        <v/>
      </c>
      <c r="E127" s="37">
        <f>IF($A127="","",INDEX(Items!$AC$2:$AC$201,MATCH($A127,Items!$AB$2:$AB$201,0)))</f>
        <v/>
      </c>
      <c r="F127" s="37">
        <f>IF($A127="","",INDEX(Items!$AN$2:$AN$201,MATCH($A127,Items!$AB$2:$AB$201,0)))</f>
        <v/>
      </c>
      <c r="G127" s="60" t="n"/>
      <c r="H127" s="61" t="n"/>
    </row>
    <row r="128">
      <c r="A128" s="36">
        <f>IF(ISNUMBER(MATCH(125,Items!$AB$2:$AB$201,0)),125,"")</f>
        <v/>
      </c>
      <c r="B128" s="37">
        <f>IF($A128="","",INDEX(Items!$AK$2:$AK$201,MATCH($A128,Items!$AB$2:$AB$201,0)))</f>
        <v/>
      </c>
      <c r="C128" s="37">
        <f>IF($A128="","",INDEX(Items!$AL$2:$AL$201,MATCH($A128,Items!$AB$2:$AB$201,0)))</f>
        <v/>
      </c>
      <c r="D128" s="37">
        <f>IF($A128="","",INDEX(Items!$AM$2:$AM$201,MATCH($A128,Items!$AB$2:$AB$201,0)))</f>
        <v/>
      </c>
      <c r="E128" s="37">
        <f>IF($A128="","",INDEX(Items!$AC$2:$AC$201,MATCH($A128,Items!$AB$2:$AB$201,0)))</f>
        <v/>
      </c>
      <c r="F128" s="37">
        <f>IF($A128="","",INDEX(Items!$AN$2:$AN$201,MATCH($A128,Items!$AB$2:$AB$201,0)))</f>
        <v/>
      </c>
      <c r="G128" s="60" t="n"/>
      <c r="H128" s="61" t="n"/>
    </row>
    <row r="129">
      <c r="A129" s="36">
        <f>IF(ISNUMBER(MATCH(126,Items!$AB$2:$AB$201,0)),126,"")</f>
        <v/>
      </c>
      <c r="B129" s="37">
        <f>IF($A129="","",INDEX(Items!$AK$2:$AK$201,MATCH($A129,Items!$AB$2:$AB$201,0)))</f>
        <v/>
      </c>
      <c r="C129" s="37">
        <f>IF($A129="","",INDEX(Items!$AL$2:$AL$201,MATCH($A129,Items!$AB$2:$AB$201,0)))</f>
        <v/>
      </c>
      <c r="D129" s="37">
        <f>IF($A129="","",INDEX(Items!$AM$2:$AM$201,MATCH($A129,Items!$AB$2:$AB$201,0)))</f>
        <v/>
      </c>
      <c r="E129" s="37">
        <f>IF($A129="","",INDEX(Items!$AC$2:$AC$201,MATCH($A129,Items!$AB$2:$AB$201,0)))</f>
        <v/>
      </c>
      <c r="F129" s="37">
        <f>IF($A129="","",INDEX(Items!$AN$2:$AN$201,MATCH($A129,Items!$AB$2:$AB$201,0)))</f>
        <v/>
      </c>
      <c r="G129" s="60" t="n"/>
      <c r="H129" s="61" t="n"/>
    </row>
    <row r="130">
      <c r="A130" s="36">
        <f>IF(ISNUMBER(MATCH(127,Items!$AB$2:$AB$201,0)),127,"")</f>
        <v/>
      </c>
      <c r="B130" s="37">
        <f>IF($A130="","",INDEX(Items!$AK$2:$AK$201,MATCH($A130,Items!$AB$2:$AB$201,0)))</f>
        <v/>
      </c>
      <c r="C130" s="37">
        <f>IF($A130="","",INDEX(Items!$AL$2:$AL$201,MATCH($A130,Items!$AB$2:$AB$201,0)))</f>
        <v/>
      </c>
      <c r="D130" s="37">
        <f>IF($A130="","",INDEX(Items!$AM$2:$AM$201,MATCH($A130,Items!$AB$2:$AB$201,0)))</f>
        <v/>
      </c>
      <c r="E130" s="37">
        <f>IF($A130="","",INDEX(Items!$AC$2:$AC$201,MATCH($A130,Items!$AB$2:$AB$201,0)))</f>
        <v/>
      </c>
      <c r="F130" s="37">
        <f>IF($A130="","",INDEX(Items!$AN$2:$AN$201,MATCH($A130,Items!$AB$2:$AB$201,0)))</f>
        <v/>
      </c>
      <c r="G130" s="60" t="n"/>
      <c r="H130" s="61" t="n"/>
    </row>
    <row r="131">
      <c r="A131" s="36">
        <f>IF(ISNUMBER(MATCH(128,Items!$AB$2:$AB$201,0)),128,"")</f>
        <v/>
      </c>
      <c r="B131" s="37">
        <f>IF($A131="","",INDEX(Items!$AK$2:$AK$201,MATCH($A131,Items!$AB$2:$AB$201,0)))</f>
        <v/>
      </c>
      <c r="C131" s="37">
        <f>IF($A131="","",INDEX(Items!$AL$2:$AL$201,MATCH($A131,Items!$AB$2:$AB$201,0)))</f>
        <v/>
      </c>
      <c r="D131" s="37">
        <f>IF($A131="","",INDEX(Items!$AM$2:$AM$201,MATCH($A131,Items!$AB$2:$AB$201,0)))</f>
        <v/>
      </c>
      <c r="E131" s="37">
        <f>IF($A131="","",INDEX(Items!$AC$2:$AC$201,MATCH($A131,Items!$AB$2:$AB$201,0)))</f>
        <v/>
      </c>
      <c r="F131" s="37">
        <f>IF($A131="","",INDEX(Items!$AN$2:$AN$201,MATCH($A131,Items!$AB$2:$AB$201,0)))</f>
        <v/>
      </c>
      <c r="G131" s="60" t="n"/>
      <c r="H131" s="61" t="n"/>
    </row>
    <row r="132">
      <c r="A132" s="36">
        <f>IF(ISNUMBER(MATCH(129,Items!$AB$2:$AB$201,0)),129,"")</f>
        <v/>
      </c>
      <c r="B132" s="37">
        <f>IF($A132="","",INDEX(Items!$AK$2:$AK$201,MATCH($A132,Items!$AB$2:$AB$201,0)))</f>
        <v/>
      </c>
      <c r="C132" s="37">
        <f>IF($A132="","",INDEX(Items!$AL$2:$AL$201,MATCH($A132,Items!$AB$2:$AB$201,0)))</f>
        <v/>
      </c>
      <c r="D132" s="37">
        <f>IF($A132="","",INDEX(Items!$AM$2:$AM$201,MATCH($A132,Items!$AB$2:$AB$201,0)))</f>
        <v/>
      </c>
      <c r="E132" s="37">
        <f>IF($A132="","",INDEX(Items!$AC$2:$AC$201,MATCH($A132,Items!$AB$2:$AB$201,0)))</f>
        <v/>
      </c>
      <c r="F132" s="37">
        <f>IF($A132="","",INDEX(Items!$AN$2:$AN$201,MATCH($A132,Items!$AB$2:$AB$201,0)))</f>
        <v/>
      </c>
      <c r="G132" s="60" t="n"/>
      <c r="H132" s="61" t="n"/>
    </row>
    <row r="133">
      <c r="A133" s="36">
        <f>IF(ISNUMBER(MATCH(130,Items!$AB$2:$AB$201,0)),130,"")</f>
        <v/>
      </c>
      <c r="B133" s="37">
        <f>IF($A133="","",INDEX(Items!$AK$2:$AK$201,MATCH($A133,Items!$AB$2:$AB$201,0)))</f>
        <v/>
      </c>
      <c r="C133" s="37">
        <f>IF($A133="","",INDEX(Items!$AL$2:$AL$201,MATCH($A133,Items!$AB$2:$AB$201,0)))</f>
        <v/>
      </c>
      <c r="D133" s="37">
        <f>IF($A133="","",INDEX(Items!$AM$2:$AM$201,MATCH($A133,Items!$AB$2:$AB$201,0)))</f>
        <v/>
      </c>
      <c r="E133" s="37">
        <f>IF($A133="","",INDEX(Items!$AC$2:$AC$201,MATCH($A133,Items!$AB$2:$AB$201,0)))</f>
        <v/>
      </c>
      <c r="F133" s="37">
        <f>IF($A133="","",INDEX(Items!$AN$2:$AN$201,MATCH($A133,Items!$AB$2:$AB$201,0)))</f>
        <v/>
      </c>
      <c r="G133" s="60" t="n"/>
      <c r="H133" s="61" t="n"/>
    </row>
    <row r="134">
      <c r="A134" s="36">
        <f>IF(ISNUMBER(MATCH(131,Items!$AB$2:$AB$201,0)),131,"")</f>
        <v/>
      </c>
      <c r="B134" s="37">
        <f>IF($A134="","",INDEX(Items!$AK$2:$AK$201,MATCH($A134,Items!$AB$2:$AB$201,0)))</f>
        <v/>
      </c>
      <c r="C134" s="37">
        <f>IF($A134="","",INDEX(Items!$AL$2:$AL$201,MATCH($A134,Items!$AB$2:$AB$201,0)))</f>
        <v/>
      </c>
      <c r="D134" s="37">
        <f>IF($A134="","",INDEX(Items!$AM$2:$AM$201,MATCH($A134,Items!$AB$2:$AB$201,0)))</f>
        <v/>
      </c>
      <c r="E134" s="37">
        <f>IF($A134="","",INDEX(Items!$AC$2:$AC$201,MATCH($A134,Items!$AB$2:$AB$201,0)))</f>
        <v/>
      </c>
      <c r="F134" s="37">
        <f>IF($A134="","",INDEX(Items!$AN$2:$AN$201,MATCH($A134,Items!$AB$2:$AB$201,0)))</f>
        <v/>
      </c>
      <c r="G134" s="60" t="n"/>
      <c r="H134" s="61" t="n"/>
    </row>
    <row r="135">
      <c r="A135" s="36">
        <f>IF(ISNUMBER(MATCH(132,Items!$AB$2:$AB$201,0)),132,"")</f>
        <v/>
      </c>
      <c r="B135" s="37">
        <f>IF($A135="","",INDEX(Items!$AK$2:$AK$201,MATCH($A135,Items!$AB$2:$AB$201,0)))</f>
        <v/>
      </c>
      <c r="C135" s="37">
        <f>IF($A135="","",INDEX(Items!$AL$2:$AL$201,MATCH($A135,Items!$AB$2:$AB$201,0)))</f>
        <v/>
      </c>
      <c r="D135" s="37">
        <f>IF($A135="","",INDEX(Items!$AM$2:$AM$201,MATCH($A135,Items!$AB$2:$AB$201,0)))</f>
        <v/>
      </c>
      <c r="E135" s="37">
        <f>IF($A135="","",INDEX(Items!$AC$2:$AC$201,MATCH($A135,Items!$AB$2:$AB$201,0)))</f>
        <v/>
      </c>
      <c r="F135" s="37">
        <f>IF($A135="","",INDEX(Items!$AN$2:$AN$201,MATCH($A135,Items!$AB$2:$AB$201,0)))</f>
        <v/>
      </c>
      <c r="G135" s="60" t="n"/>
      <c r="H135" s="61" t="n"/>
    </row>
    <row r="136">
      <c r="A136" s="36">
        <f>IF(ISNUMBER(MATCH(133,Items!$AB$2:$AB$201,0)),133,"")</f>
        <v/>
      </c>
      <c r="B136" s="37">
        <f>IF($A136="","",INDEX(Items!$AK$2:$AK$201,MATCH($A136,Items!$AB$2:$AB$201,0)))</f>
        <v/>
      </c>
      <c r="C136" s="37">
        <f>IF($A136="","",INDEX(Items!$AL$2:$AL$201,MATCH($A136,Items!$AB$2:$AB$201,0)))</f>
        <v/>
      </c>
      <c r="D136" s="37">
        <f>IF($A136="","",INDEX(Items!$AM$2:$AM$201,MATCH($A136,Items!$AB$2:$AB$201,0)))</f>
        <v/>
      </c>
      <c r="E136" s="37">
        <f>IF($A136="","",INDEX(Items!$AC$2:$AC$201,MATCH($A136,Items!$AB$2:$AB$201,0)))</f>
        <v/>
      </c>
      <c r="F136" s="37">
        <f>IF($A136="","",INDEX(Items!$AN$2:$AN$201,MATCH($A136,Items!$AB$2:$AB$201,0)))</f>
        <v/>
      </c>
      <c r="G136" s="60" t="n"/>
      <c r="H136" s="61" t="n"/>
    </row>
    <row r="137">
      <c r="A137" s="36">
        <f>IF(ISNUMBER(MATCH(134,Items!$AB$2:$AB$201,0)),134,"")</f>
        <v/>
      </c>
      <c r="B137" s="37">
        <f>IF($A137="","",INDEX(Items!$AK$2:$AK$201,MATCH($A137,Items!$AB$2:$AB$201,0)))</f>
        <v/>
      </c>
      <c r="C137" s="37">
        <f>IF($A137="","",INDEX(Items!$AL$2:$AL$201,MATCH($A137,Items!$AB$2:$AB$201,0)))</f>
        <v/>
      </c>
      <c r="D137" s="37">
        <f>IF($A137="","",INDEX(Items!$AM$2:$AM$201,MATCH($A137,Items!$AB$2:$AB$201,0)))</f>
        <v/>
      </c>
      <c r="E137" s="37">
        <f>IF($A137="","",INDEX(Items!$AC$2:$AC$201,MATCH($A137,Items!$AB$2:$AB$201,0)))</f>
        <v/>
      </c>
      <c r="F137" s="37">
        <f>IF($A137="","",INDEX(Items!$AN$2:$AN$201,MATCH($A137,Items!$AB$2:$AB$201,0)))</f>
        <v/>
      </c>
      <c r="G137" s="60" t="n"/>
      <c r="H137" s="61" t="n"/>
    </row>
    <row r="138">
      <c r="A138" s="36">
        <f>IF(ISNUMBER(MATCH(135,Items!$AB$2:$AB$201,0)),135,"")</f>
        <v/>
      </c>
      <c r="B138" s="37">
        <f>IF($A138="","",INDEX(Items!$AK$2:$AK$201,MATCH($A138,Items!$AB$2:$AB$201,0)))</f>
        <v/>
      </c>
      <c r="C138" s="37">
        <f>IF($A138="","",INDEX(Items!$AL$2:$AL$201,MATCH($A138,Items!$AB$2:$AB$201,0)))</f>
        <v/>
      </c>
      <c r="D138" s="37">
        <f>IF($A138="","",INDEX(Items!$AM$2:$AM$201,MATCH($A138,Items!$AB$2:$AB$201,0)))</f>
        <v/>
      </c>
      <c r="E138" s="37">
        <f>IF($A138="","",INDEX(Items!$AC$2:$AC$201,MATCH($A138,Items!$AB$2:$AB$201,0)))</f>
        <v/>
      </c>
      <c r="F138" s="37">
        <f>IF($A138="","",INDEX(Items!$AN$2:$AN$201,MATCH($A138,Items!$AB$2:$AB$201,0)))</f>
        <v/>
      </c>
      <c r="G138" s="60" t="n"/>
      <c r="H138" s="61" t="n"/>
    </row>
    <row r="139">
      <c r="A139" s="36">
        <f>IF(ISNUMBER(MATCH(136,Items!$AB$2:$AB$201,0)),136,"")</f>
        <v/>
      </c>
      <c r="B139" s="37">
        <f>IF($A139="","",INDEX(Items!$AK$2:$AK$201,MATCH($A139,Items!$AB$2:$AB$201,0)))</f>
        <v/>
      </c>
      <c r="C139" s="37">
        <f>IF($A139="","",INDEX(Items!$AL$2:$AL$201,MATCH($A139,Items!$AB$2:$AB$201,0)))</f>
        <v/>
      </c>
      <c r="D139" s="37">
        <f>IF($A139="","",INDEX(Items!$AM$2:$AM$201,MATCH($A139,Items!$AB$2:$AB$201,0)))</f>
        <v/>
      </c>
      <c r="E139" s="37">
        <f>IF($A139="","",INDEX(Items!$AC$2:$AC$201,MATCH($A139,Items!$AB$2:$AB$201,0)))</f>
        <v/>
      </c>
      <c r="F139" s="37">
        <f>IF($A139="","",INDEX(Items!$AN$2:$AN$201,MATCH($A139,Items!$AB$2:$AB$201,0)))</f>
        <v/>
      </c>
      <c r="G139" s="60" t="n"/>
      <c r="H139" s="61" t="n"/>
    </row>
    <row r="140">
      <c r="A140" s="36">
        <f>IF(ISNUMBER(MATCH(137,Items!$AB$2:$AB$201,0)),137,"")</f>
        <v/>
      </c>
      <c r="B140" s="37">
        <f>IF($A140="","",INDEX(Items!$AK$2:$AK$201,MATCH($A140,Items!$AB$2:$AB$201,0)))</f>
        <v/>
      </c>
      <c r="C140" s="37">
        <f>IF($A140="","",INDEX(Items!$AL$2:$AL$201,MATCH($A140,Items!$AB$2:$AB$201,0)))</f>
        <v/>
      </c>
      <c r="D140" s="37">
        <f>IF($A140="","",INDEX(Items!$AM$2:$AM$201,MATCH($A140,Items!$AB$2:$AB$201,0)))</f>
        <v/>
      </c>
      <c r="E140" s="37">
        <f>IF($A140="","",INDEX(Items!$AC$2:$AC$201,MATCH($A140,Items!$AB$2:$AB$201,0)))</f>
        <v/>
      </c>
      <c r="F140" s="37">
        <f>IF($A140="","",INDEX(Items!$AN$2:$AN$201,MATCH($A140,Items!$AB$2:$AB$201,0)))</f>
        <v/>
      </c>
      <c r="G140" s="60" t="n"/>
      <c r="H140" s="61" t="n"/>
    </row>
    <row r="141">
      <c r="A141" s="36">
        <f>IF(ISNUMBER(MATCH(138,Items!$AB$2:$AB$201,0)),138,"")</f>
        <v/>
      </c>
      <c r="B141" s="37">
        <f>IF($A141="","",INDEX(Items!$AK$2:$AK$201,MATCH($A141,Items!$AB$2:$AB$201,0)))</f>
        <v/>
      </c>
      <c r="C141" s="37">
        <f>IF($A141="","",INDEX(Items!$AL$2:$AL$201,MATCH($A141,Items!$AB$2:$AB$201,0)))</f>
        <v/>
      </c>
      <c r="D141" s="37">
        <f>IF($A141="","",INDEX(Items!$AM$2:$AM$201,MATCH($A141,Items!$AB$2:$AB$201,0)))</f>
        <v/>
      </c>
      <c r="E141" s="37">
        <f>IF($A141="","",INDEX(Items!$AC$2:$AC$201,MATCH($A141,Items!$AB$2:$AB$201,0)))</f>
        <v/>
      </c>
      <c r="F141" s="37">
        <f>IF($A141="","",INDEX(Items!$AN$2:$AN$201,MATCH($A141,Items!$AB$2:$AB$201,0)))</f>
        <v/>
      </c>
      <c r="G141" s="60" t="n"/>
      <c r="H141" s="61" t="n"/>
    </row>
    <row r="142">
      <c r="A142" s="36">
        <f>IF(ISNUMBER(MATCH(139,Items!$AB$2:$AB$201,0)),139,"")</f>
        <v/>
      </c>
      <c r="B142" s="37">
        <f>IF($A142="","",INDEX(Items!$AK$2:$AK$201,MATCH($A142,Items!$AB$2:$AB$201,0)))</f>
        <v/>
      </c>
      <c r="C142" s="37">
        <f>IF($A142="","",INDEX(Items!$AL$2:$AL$201,MATCH($A142,Items!$AB$2:$AB$201,0)))</f>
        <v/>
      </c>
      <c r="D142" s="37">
        <f>IF($A142="","",INDEX(Items!$AM$2:$AM$201,MATCH($A142,Items!$AB$2:$AB$201,0)))</f>
        <v/>
      </c>
      <c r="E142" s="37">
        <f>IF($A142="","",INDEX(Items!$AC$2:$AC$201,MATCH($A142,Items!$AB$2:$AB$201,0)))</f>
        <v/>
      </c>
      <c r="F142" s="37">
        <f>IF($A142="","",INDEX(Items!$AN$2:$AN$201,MATCH($A142,Items!$AB$2:$AB$201,0)))</f>
        <v/>
      </c>
      <c r="G142" s="60" t="n"/>
      <c r="H142" s="61" t="n"/>
    </row>
    <row r="143">
      <c r="A143" s="36">
        <f>IF(ISNUMBER(MATCH(140,Items!$AB$2:$AB$201,0)),140,"")</f>
        <v/>
      </c>
      <c r="B143" s="37">
        <f>IF($A143="","",INDEX(Items!$AK$2:$AK$201,MATCH($A143,Items!$AB$2:$AB$201,0)))</f>
        <v/>
      </c>
      <c r="C143" s="37">
        <f>IF($A143="","",INDEX(Items!$AL$2:$AL$201,MATCH($A143,Items!$AB$2:$AB$201,0)))</f>
        <v/>
      </c>
      <c r="D143" s="37">
        <f>IF($A143="","",INDEX(Items!$AM$2:$AM$201,MATCH($A143,Items!$AB$2:$AB$201,0)))</f>
        <v/>
      </c>
      <c r="E143" s="37">
        <f>IF($A143="","",INDEX(Items!$AC$2:$AC$201,MATCH($A143,Items!$AB$2:$AB$201,0)))</f>
        <v/>
      </c>
      <c r="F143" s="37">
        <f>IF($A143="","",INDEX(Items!$AN$2:$AN$201,MATCH($A143,Items!$AB$2:$AB$201,0)))</f>
        <v/>
      </c>
      <c r="G143" s="60" t="n"/>
      <c r="H143" s="61" t="n"/>
    </row>
    <row r="144">
      <c r="A144" s="36">
        <f>IF(ISNUMBER(MATCH(141,Items!$AB$2:$AB$201,0)),141,"")</f>
        <v/>
      </c>
      <c r="B144" s="37">
        <f>IF($A144="","",INDEX(Items!$AK$2:$AK$201,MATCH($A144,Items!$AB$2:$AB$201,0)))</f>
        <v/>
      </c>
      <c r="C144" s="37">
        <f>IF($A144="","",INDEX(Items!$AL$2:$AL$201,MATCH($A144,Items!$AB$2:$AB$201,0)))</f>
        <v/>
      </c>
      <c r="D144" s="37">
        <f>IF($A144="","",INDEX(Items!$AM$2:$AM$201,MATCH($A144,Items!$AB$2:$AB$201,0)))</f>
        <v/>
      </c>
      <c r="E144" s="37">
        <f>IF($A144="","",INDEX(Items!$AC$2:$AC$201,MATCH($A144,Items!$AB$2:$AB$201,0)))</f>
        <v/>
      </c>
      <c r="F144" s="37">
        <f>IF($A144="","",INDEX(Items!$AN$2:$AN$201,MATCH($A144,Items!$AB$2:$AB$201,0)))</f>
        <v/>
      </c>
      <c r="G144" s="60" t="n"/>
      <c r="H144" s="61" t="n"/>
    </row>
    <row r="145">
      <c r="A145" s="36">
        <f>IF(ISNUMBER(MATCH(142,Items!$AB$2:$AB$201,0)),142,"")</f>
        <v/>
      </c>
      <c r="B145" s="37">
        <f>IF($A145="","",INDEX(Items!$AK$2:$AK$201,MATCH($A145,Items!$AB$2:$AB$201,0)))</f>
        <v/>
      </c>
      <c r="C145" s="37">
        <f>IF($A145="","",INDEX(Items!$AL$2:$AL$201,MATCH($A145,Items!$AB$2:$AB$201,0)))</f>
        <v/>
      </c>
      <c r="D145" s="37">
        <f>IF($A145="","",INDEX(Items!$AM$2:$AM$201,MATCH($A145,Items!$AB$2:$AB$201,0)))</f>
        <v/>
      </c>
      <c r="E145" s="37">
        <f>IF($A145="","",INDEX(Items!$AC$2:$AC$201,MATCH($A145,Items!$AB$2:$AB$201,0)))</f>
        <v/>
      </c>
      <c r="F145" s="37">
        <f>IF($A145="","",INDEX(Items!$AN$2:$AN$201,MATCH($A145,Items!$AB$2:$AB$201,0)))</f>
        <v/>
      </c>
      <c r="G145" s="60" t="n"/>
      <c r="H145" s="61" t="n"/>
    </row>
    <row r="146">
      <c r="A146" s="36">
        <f>IF(ISNUMBER(MATCH(143,Items!$AB$2:$AB$201,0)),143,"")</f>
        <v/>
      </c>
      <c r="B146" s="37">
        <f>IF($A146="","",INDEX(Items!$AK$2:$AK$201,MATCH($A146,Items!$AB$2:$AB$201,0)))</f>
        <v/>
      </c>
      <c r="C146" s="37">
        <f>IF($A146="","",INDEX(Items!$AL$2:$AL$201,MATCH($A146,Items!$AB$2:$AB$201,0)))</f>
        <v/>
      </c>
      <c r="D146" s="37">
        <f>IF($A146="","",INDEX(Items!$AM$2:$AM$201,MATCH($A146,Items!$AB$2:$AB$201,0)))</f>
        <v/>
      </c>
      <c r="E146" s="37">
        <f>IF($A146="","",INDEX(Items!$AC$2:$AC$201,MATCH($A146,Items!$AB$2:$AB$201,0)))</f>
        <v/>
      </c>
      <c r="F146" s="37">
        <f>IF($A146="","",INDEX(Items!$AN$2:$AN$201,MATCH($A146,Items!$AB$2:$AB$201,0)))</f>
        <v/>
      </c>
      <c r="G146" s="60" t="n"/>
      <c r="H146" s="61" t="n"/>
    </row>
    <row r="147">
      <c r="A147" s="36">
        <f>IF(ISNUMBER(MATCH(144,Items!$AB$2:$AB$201,0)),144,"")</f>
        <v/>
      </c>
      <c r="B147" s="37">
        <f>IF($A147="","",INDEX(Items!$AK$2:$AK$201,MATCH($A147,Items!$AB$2:$AB$201,0)))</f>
        <v/>
      </c>
      <c r="C147" s="37">
        <f>IF($A147="","",INDEX(Items!$AL$2:$AL$201,MATCH($A147,Items!$AB$2:$AB$201,0)))</f>
        <v/>
      </c>
      <c r="D147" s="37">
        <f>IF($A147="","",INDEX(Items!$AM$2:$AM$201,MATCH($A147,Items!$AB$2:$AB$201,0)))</f>
        <v/>
      </c>
      <c r="E147" s="37">
        <f>IF($A147="","",INDEX(Items!$AC$2:$AC$201,MATCH($A147,Items!$AB$2:$AB$201,0)))</f>
        <v/>
      </c>
      <c r="F147" s="37">
        <f>IF($A147="","",INDEX(Items!$AN$2:$AN$201,MATCH($A147,Items!$AB$2:$AB$201,0)))</f>
        <v/>
      </c>
      <c r="G147" s="60" t="n"/>
      <c r="H147" s="61" t="n"/>
    </row>
    <row r="148">
      <c r="A148" s="36">
        <f>IF(ISNUMBER(MATCH(145,Items!$AB$2:$AB$201,0)),145,"")</f>
        <v/>
      </c>
      <c r="B148" s="37">
        <f>IF($A148="","",INDEX(Items!$AK$2:$AK$201,MATCH($A148,Items!$AB$2:$AB$201,0)))</f>
        <v/>
      </c>
      <c r="C148" s="37">
        <f>IF($A148="","",INDEX(Items!$AL$2:$AL$201,MATCH($A148,Items!$AB$2:$AB$201,0)))</f>
        <v/>
      </c>
      <c r="D148" s="37">
        <f>IF($A148="","",INDEX(Items!$AM$2:$AM$201,MATCH($A148,Items!$AB$2:$AB$201,0)))</f>
        <v/>
      </c>
      <c r="E148" s="37">
        <f>IF($A148="","",INDEX(Items!$AC$2:$AC$201,MATCH($A148,Items!$AB$2:$AB$201,0)))</f>
        <v/>
      </c>
      <c r="F148" s="37">
        <f>IF($A148="","",INDEX(Items!$AN$2:$AN$201,MATCH($A148,Items!$AB$2:$AB$201,0)))</f>
        <v/>
      </c>
      <c r="G148" s="60" t="n"/>
      <c r="H148" s="61" t="n"/>
    </row>
    <row r="149">
      <c r="A149" s="36">
        <f>IF(ISNUMBER(MATCH(146,Items!$AB$2:$AB$201,0)),146,"")</f>
        <v/>
      </c>
      <c r="B149" s="37">
        <f>IF($A149="","",INDEX(Items!$AK$2:$AK$201,MATCH($A149,Items!$AB$2:$AB$201,0)))</f>
        <v/>
      </c>
      <c r="C149" s="37">
        <f>IF($A149="","",INDEX(Items!$AL$2:$AL$201,MATCH($A149,Items!$AB$2:$AB$201,0)))</f>
        <v/>
      </c>
      <c r="D149" s="37">
        <f>IF($A149="","",INDEX(Items!$AM$2:$AM$201,MATCH($A149,Items!$AB$2:$AB$201,0)))</f>
        <v/>
      </c>
      <c r="E149" s="37">
        <f>IF($A149="","",INDEX(Items!$AC$2:$AC$201,MATCH($A149,Items!$AB$2:$AB$201,0)))</f>
        <v/>
      </c>
      <c r="F149" s="37">
        <f>IF($A149="","",INDEX(Items!$AN$2:$AN$201,MATCH($A149,Items!$AB$2:$AB$201,0)))</f>
        <v/>
      </c>
      <c r="G149" s="60" t="n"/>
      <c r="H149" s="61" t="n"/>
    </row>
    <row r="150">
      <c r="A150" s="36">
        <f>IF(ISNUMBER(MATCH(147,Items!$AB$2:$AB$201,0)),147,"")</f>
        <v/>
      </c>
      <c r="B150" s="37">
        <f>IF($A150="","",INDEX(Items!$AK$2:$AK$201,MATCH($A150,Items!$AB$2:$AB$201,0)))</f>
        <v/>
      </c>
      <c r="C150" s="37">
        <f>IF($A150="","",INDEX(Items!$AL$2:$AL$201,MATCH($A150,Items!$AB$2:$AB$201,0)))</f>
        <v/>
      </c>
      <c r="D150" s="37">
        <f>IF($A150="","",INDEX(Items!$AM$2:$AM$201,MATCH($A150,Items!$AB$2:$AB$201,0)))</f>
        <v/>
      </c>
      <c r="E150" s="37">
        <f>IF($A150="","",INDEX(Items!$AC$2:$AC$201,MATCH($A150,Items!$AB$2:$AB$201,0)))</f>
        <v/>
      </c>
      <c r="F150" s="37">
        <f>IF($A150="","",INDEX(Items!$AN$2:$AN$201,MATCH($A150,Items!$AB$2:$AB$201,0)))</f>
        <v/>
      </c>
      <c r="G150" s="60" t="n"/>
      <c r="H150" s="61" t="n"/>
    </row>
    <row r="151">
      <c r="A151" s="36">
        <f>IF(ISNUMBER(MATCH(148,Items!$AB$2:$AB$201,0)),148,"")</f>
        <v/>
      </c>
      <c r="B151" s="37">
        <f>IF($A151="","",INDEX(Items!$AK$2:$AK$201,MATCH($A151,Items!$AB$2:$AB$201,0)))</f>
        <v/>
      </c>
      <c r="C151" s="37">
        <f>IF($A151="","",INDEX(Items!$AL$2:$AL$201,MATCH($A151,Items!$AB$2:$AB$201,0)))</f>
        <v/>
      </c>
      <c r="D151" s="37">
        <f>IF($A151="","",INDEX(Items!$AM$2:$AM$201,MATCH($A151,Items!$AB$2:$AB$201,0)))</f>
        <v/>
      </c>
      <c r="E151" s="37">
        <f>IF($A151="","",INDEX(Items!$AC$2:$AC$201,MATCH($A151,Items!$AB$2:$AB$201,0)))</f>
        <v/>
      </c>
      <c r="F151" s="37">
        <f>IF($A151="","",INDEX(Items!$AN$2:$AN$201,MATCH($A151,Items!$AB$2:$AB$201,0)))</f>
        <v/>
      </c>
      <c r="G151" s="60" t="n"/>
      <c r="H151" s="61" t="n"/>
    </row>
    <row r="152">
      <c r="A152" s="36">
        <f>IF(ISNUMBER(MATCH(149,Items!$AB$2:$AB$201,0)),149,"")</f>
        <v/>
      </c>
      <c r="B152" s="37">
        <f>IF($A152="","",INDEX(Items!$AK$2:$AK$201,MATCH($A152,Items!$AB$2:$AB$201,0)))</f>
        <v/>
      </c>
      <c r="C152" s="37">
        <f>IF($A152="","",INDEX(Items!$AL$2:$AL$201,MATCH($A152,Items!$AB$2:$AB$201,0)))</f>
        <v/>
      </c>
      <c r="D152" s="37">
        <f>IF($A152="","",INDEX(Items!$AM$2:$AM$201,MATCH($A152,Items!$AB$2:$AB$201,0)))</f>
        <v/>
      </c>
      <c r="E152" s="37">
        <f>IF($A152="","",INDEX(Items!$AC$2:$AC$201,MATCH($A152,Items!$AB$2:$AB$201,0)))</f>
        <v/>
      </c>
      <c r="F152" s="37">
        <f>IF($A152="","",INDEX(Items!$AN$2:$AN$201,MATCH($A152,Items!$AB$2:$AB$201,0)))</f>
        <v/>
      </c>
      <c r="G152" s="60" t="n"/>
      <c r="H152" s="61" t="n"/>
    </row>
    <row r="153">
      <c r="A153" s="36">
        <f>IF(ISNUMBER(MATCH(150,Items!$AB$2:$AB$201,0)),150,"")</f>
        <v/>
      </c>
      <c r="B153" s="37">
        <f>IF($A153="","",INDEX(Items!$AK$2:$AK$201,MATCH($A153,Items!$AB$2:$AB$201,0)))</f>
        <v/>
      </c>
      <c r="C153" s="37">
        <f>IF($A153="","",INDEX(Items!$AL$2:$AL$201,MATCH($A153,Items!$AB$2:$AB$201,0)))</f>
        <v/>
      </c>
      <c r="D153" s="37">
        <f>IF($A153="","",INDEX(Items!$AM$2:$AM$201,MATCH($A153,Items!$AB$2:$AB$201,0)))</f>
        <v/>
      </c>
      <c r="E153" s="37">
        <f>IF($A153="","",INDEX(Items!$AC$2:$AC$201,MATCH($A153,Items!$AB$2:$AB$201,0)))</f>
        <v/>
      </c>
      <c r="F153" s="37">
        <f>IF($A153="","",INDEX(Items!$AN$2:$AN$201,MATCH($A153,Items!$AB$2:$AB$201,0)))</f>
        <v/>
      </c>
      <c r="G153" s="60" t="n"/>
      <c r="H153" s="61" t="n"/>
    </row>
    <row r="154">
      <c r="A154" s="36">
        <f>IF(ISNUMBER(MATCH(151,Items!$AB$2:$AB$201,0)),151,"")</f>
        <v/>
      </c>
      <c r="B154" s="37">
        <f>IF($A154="","",INDEX(Items!$AK$2:$AK$201,MATCH($A154,Items!$AB$2:$AB$201,0)))</f>
        <v/>
      </c>
      <c r="C154" s="37">
        <f>IF($A154="","",INDEX(Items!$AL$2:$AL$201,MATCH($A154,Items!$AB$2:$AB$201,0)))</f>
        <v/>
      </c>
      <c r="D154" s="37">
        <f>IF($A154="","",INDEX(Items!$AM$2:$AM$201,MATCH($A154,Items!$AB$2:$AB$201,0)))</f>
        <v/>
      </c>
      <c r="E154" s="37">
        <f>IF($A154="","",INDEX(Items!$AC$2:$AC$201,MATCH($A154,Items!$AB$2:$AB$201,0)))</f>
        <v/>
      </c>
      <c r="F154" s="37">
        <f>IF($A154="","",INDEX(Items!$AN$2:$AN$201,MATCH($A154,Items!$AB$2:$AB$201,0)))</f>
        <v/>
      </c>
      <c r="G154" s="60" t="n"/>
      <c r="H154" s="61" t="n"/>
    </row>
    <row r="155">
      <c r="A155" s="36">
        <f>IF(ISNUMBER(MATCH(152,Items!$AB$2:$AB$201,0)),152,"")</f>
        <v/>
      </c>
      <c r="B155" s="37">
        <f>IF($A155="","",INDEX(Items!$AK$2:$AK$201,MATCH($A155,Items!$AB$2:$AB$201,0)))</f>
        <v/>
      </c>
      <c r="C155" s="37">
        <f>IF($A155="","",INDEX(Items!$AL$2:$AL$201,MATCH($A155,Items!$AB$2:$AB$201,0)))</f>
        <v/>
      </c>
      <c r="D155" s="37">
        <f>IF($A155="","",INDEX(Items!$AM$2:$AM$201,MATCH($A155,Items!$AB$2:$AB$201,0)))</f>
        <v/>
      </c>
      <c r="E155" s="37">
        <f>IF($A155="","",INDEX(Items!$AC$2:$AC$201,MATCH($A155,Items!$AB$2:$AB$201,0)))</f>
        <v/>
      </c>
      <c r="F155" s="37">
        <f>IF($A155="","",INDEX(Items!$AN$2:$AN$201,MATCH($A155,Items!$AB$2:$AB$201,0)))</f>
        <v/>
      </c>
      <c r="G155" s="60" t="n"/>
      <c r="H155" s="61" t="n"/>
    </row>
    <row r="156">
      <c r="A156" s="36">
        <f>IF(ISNUMBER(MATCH(153,Items!$AB$2:$AB$201,0)),153,"")</f>
        <v/>
      </c>
      <c r="B156" s="37">
        <f>IF($A156="","",INDEX(Items!$AK$2:$AK$201,MATCH($A156,Items!$AB$2:$AB$201,0)))</f>
        <v/>
      </c>
      <c r="C156" s="37">
        <f>IF($A156="","",INDEX(Items!$AL$2:$AL$201,MATCH($A156,Items!$AB$2:$AB$201,0)))</f>
        <v/>
      </c>
      <c r="D156" s="37">
        <f>IF($A156="","",INDEX(Items!$AM$2:$AM$201,MATCH($A156,Items!$AB$2:$AB$201,0)))</f>
        <v/>
      </c>
      <c r="E156" s="37">
        <f>IF($A156="","",INDEX(Items!$AC$2:$AC$201,MATCH($A156,Items!$AB$2:$AB$201,0)))</f>
        <v/>
      </c>
      <c r="F156" s="37">
        <f>IF($A156="","",INDEX(Items!$AN$2:$AN$201,MATCH($A156,Items!$AB$2:$AB$201,0)))</f>
        <v/>
      </c>
      <c r="G156" s="60" t="n"/>
      <c r="H156" s="61" t="n"/>
    </row>
    <row r="157">
      <c r="A157" s="36">
        <f>IF(ISNUMBER(MATCH(154,Items!$AB$2:$AB$201,0)),154,"")</f>
        <v/>
      </c>
      <c r="B157" s="37">
        <f>IF($A157="","",INDEX(Items!$AK$2:$AK$201,MATCH($A157,Items!$AB$2:$AB$201,0)))</f>
        <v/>
      </c>
      <c r="C157" s="37">
        <f>IF($A157="","",INDEX(Items!$AL$2:$AL$201,MATCH($A157,Items!$AB$2:$AB$201,0)))</f>
        <v/>
      </c>
      <c r="D157" s="37">
        <f>IF($A157="","",INDEX(Items!$AM$2:$AM$201,MATCH($A157,Items!$AB$2:$AB$201,0)))</f>
        <v/>
      </c>
      <c r="E157" s="37">
        <f>IF($A157="","",INDEX(Items!$AC$2:$AC$201,MATCH($A157,Items!$AB$2:$AB$201,0)))</f>
        <v/>
      </c>
      <c r="F157" s="37">
        <f>IF($A157="","",INDEX(Items!$AN$2:$AN$201,MATCH($A157,Items!$AB$2:$AB$201,0)))</f>
        <v/>
      </c>
      <c r="G157" s="60" t="n"/>
      <c r="H157" s="61" t="n"/>
    </row>
    <row r="158">
      <c r="A158" s="36">
        <f>IF(ISNUMBER(MATCH(155,Items!$AB$2:$AB$201,0)),155,"")</f>
        <v/>
      </c>
      <c r="B158" s="37">
        <f>IF($A158="","",INDEX(Items!$AK$2:$AK$201,MATCH($A158,Items!$AB$2:$AB$201,0)))</f>
        <v/>
      </c>
      <c r="C158" s="37">
        <f>IF($A158="","",INDEX(Items!$AL$2:$AL$201,MATCH($A158,Items!$AB$2:$AB$201,0)))</f>
        <v/>
      </c>
      <c r="D158" s="37">
        <f>IF($A158="","",INDEX(Items!$AM$2:$AM$201,MATCH($A158,Items!$AB$2:$AB$201,0)))</f>
        <v/>
      </c>
      <c r="E158" s="37">
        <f>IF($A158="","",INDEX(Items!$AC$2:$AC$201,MATCH($A158,Items!$AB$2:$AB$201,0)))</f>
        <v/>
      </c>
      <c r="F158" s="37">
        <f>IF($A158="","",INDEX(Items!$AN$2:$AN$201,MATCH($A158,Items!$AB$2:$AB$201,0)))</f>
        <v/>
      </c>
      <c r="G158" s="60" t="n"/>
      <c r="H158" s="61" t="n"/>
    </row>
    <row r="159">
      <c r="A159" s="36">
        <f>IF(ISNUMBER(MATCH(156,Items!$AB$2:$AB$201,0)),156,"")</f>
        <v/>
      </c>
      <c r="B159" s="37">
        <f>IF($A159="","",INDEX(Items!$AK$2:$AK$201,MATCH($A159,Items!$AB$2:$AB$201,0)))</f>
        <v/>
      </c>
      <c r="C159" s="37">
        <f>IF($A159="","",INDEX(Items!$AL$2:$AL$201,MATCH($A159,Items!$AB$2:$AB$201,0)))</f>
        <v/>
      </c>
      <c r="D159" s="37">
        <f>IF($A159="","",INDEX(Items!$AM$2:$AM$201,MATCH($A159,Items!$AB$2:$AB$201,0)))</f>
        <v/>
      </c>
      <c r="E159" s="37">
        <f>IF($A159="","",INDEX(Items!$AC$2:$AC$201,MATCH($A159,Items!$AB$2:$AB$201,0)))</f>
        <v/>
      </c>
      <c r="F159" s="37">
        <f>IF($A159="","",INDEX(Items!$AN$2:$AN$201,MATCH($A159,Items!$AB$2:$AB$201,0)))</f>
        <v/>
      </c>
      <c r="G159" s="60" t="n"/>
      <c r="H159" s="61" t="n"/>
    </row>
    <row r="160">
      <c r="A160" s="36">
        <f>IF(ISNUMBER(MATCH(157,Items!$AB$2:$AB$201,0)),157,"")</f>
        <v/>
      </c>
      <c r="B160" s="37">
        <f>IF($A160="","",INDEX(Items!$AK$2:$AK$201,MATCH($A160,Items!$AB$2:$AB$201,0)))</f>
        <v/>
      </c>
      <c r="C160" s="37">
        <f>IF($A160="","",INDEX(Items!$AL$2:$AL$201,MATCH($A160,Items!$AB$2:$AB$201,0)))</f>
        <v/>
      </c>
      <c r="D160" s="37">
        <f>IF($A160="","",INDEX(Items!$AM$2:$AM$201,MATCH($A160,Items!$AB$2:$AB$201,0)))</f>
        <v/>
      </c>
      <c r="E160" s="37">
        <f>IF($A160="","",INDEX(Items!$AC$2:$AC$201,MATCH($A160,Items!$AB$2:$AB$201,0)))</f>
        <v/>
      </c>
      <c r="F160" s="37">
        <f>IF($A160="","",INDEX(Items!$AN$2:$AN$201,MATCH($A160,Items!$AB$2:$AB$201,0)))</f>
        <v/>
      </c>
      <c r="G160" s="60" t="n"/>
      <c r="H160" s="61" t="n"/>
    </row>
    <row r="161">
      <c r="A161" s="36">
        <f>IF(ISNUMBER(MATCH(158,Items!$AB$2:$AB$201,0)),158,"")</f>
        <v/>
      </c>
      <c r="B161" s="37">
        <f>IF($A161="","",INDEX(Items!$AK$2:$AK$201,MATCH($A161,Items!$AB$2:$AB$201,0)))</f>
        <v/>
      </c>
      <c r="C161" s="37">
        <f>IF($A161="","",INDEX(Items!$AL$2:$AL$201,MATCH($A161,Items!$AB$2:$AB$201,0)))</f>
        <v/>
      </c>
      <c r="D161" s="37">
        <f>IF($A161="","",INDEX(Items!$AM$2:$AM$201,MATCH($A161,Items!$AB$2:$AB$201,0)))</f>
        <v/>
      </c>
      <c r="E161" s="37">
        <f>IF($A161="","",INDEX(Items!$AC$2:$AC$201,MATCH($A161,Items!$AB$2:$AB$201,0)))</f>
        <v/>
      </c>
      <c r="F161" s="37">
        <f>IF($A161="","",INDEX(Items!$AN$2:$AN$201,MATCH($A161,Items!$AB$2:$AB$201,0)))</f>
        <v/>
      </c>
      <c r="G161" s="60" t="n"/>
      <c r="H161" s="61" t="n"/>
    </row>
    <row r="162">
      <c r="A162" s="36">
        <f>IF(ISNUMBER(MATCH(159,Items!$AB$2:$AB$201,0)),159,"")</f>
        <v/>
      </c>
      <c r="B162" s="37">
        <f>IF($A162="","",INDEX(Items!$AK$2:$AK$201,MATCH($A162,Items!$AB$2:$AB$201,0)))</f>
        <v/>
      </c>
      <c r="C162" s="37">
        <f>IF($A162="","",INDEX(Items!$AL$2:$AL$201,MATCH($A162,Items!$AB$2:$AB$201,0)))</f>
        <v/>
      </c>
      <c r="D162" s="37">
        <f>IF($A162="","",INDEX(Items!$AM$2:$AM$201,MATCH($A162,Items!$AB$2:$AB$201,0)))</f>
        <v/>
      </c>
      <c r="E162" s="37">
        <f>IF($A162="","",INDEX(Items!$AC$2:$AC$201,MATCH($A162,Items!$AB$2:$AB$201,0)))</f>
        <v/>
      </c>
      <c r="F162" s="37">
        <f>IF($A162="","",INDEX(Items!$AN$2:$AN$201,MATCH($A162,Items!$AB$2:$AB$201,0)))</f>
        <v/>
      </c>
      <c r="G162" s="60" t="n"/>
      <c r="H162" s="61" t="n"/>
    </row>
    <row r="163">
      <c r="A163" s="36">
        <f>IF(ISNUMBER(MATCH(160,Items!$AB$2:$AB$201,0)),160,"")</f>
        <v/>
      </c>
      <c r="B163" s="37">
        <f>IF($A163="","",INDEX(Items!$AK$2:$AK$201,MATCH($A163,Items!$AB$2:$AB$201,0)))</f>
        <v/>
      </c>
      <c r="C163" s="37">
        <f>IF($A163="","",INDEX(Items!$AL$2:$AL$201,MATCH($A163,Items!$AB$2:$AB$201,0)))</f>
        <v/>
      </c>
      <c r="D163" s="37">
        <f>IF($A163="","",INDEX(Items!$AM$2:$AM$201,MATCH($A163,Items!$AB$2:$AB$201,0)))</f>
        <v/>
      </c>
      <c r="E163" s="37">
        <f>IF($A163="","",INDEX(Items!$AC$2:$AC$201,MATCH($A163,Items!$AB$2:$AB$201,0)))</f>
        <v/>
      </c>
      <c r="F163" s="37">
        <f>IF($A163="","",INDEX(Items!$AN$2:$AN$201,MATCH($A163,Items!$AB$2:$AB$201,0)))</f>
        <v/>
      </c>
      <c r="G163" s="60" t="n"/>
      <c r="H163" s="61" t="n"/>
    </row>
    <row r="164">
      <c r="A164" s="36">
        <f>IF(ISNUMBER(MATCH(161,Items!$AB$2:$AB$201,0)),161,"")</f>
        <v/>
      </c>
      <c r="B164" s="37">
        <f>IF($A164="","",INDEX(Items!$AK$2:$AK$201,MATCH($A164,Items!$AB$2:$AB$201,0)))</f>
        <v/>
      </c>
      <c r="C164" s="37">
        <f>IF($A164="","",INDEX(Items!$AL$2:$AL$201,MATCH($A164,Items!$AB$2:$AB$201,0)))</f>
        <v/>
      </c>
      <c r="D164" s="37">
        <f>IF($A164="","",INDEX(Items!$AM$2:$AM$201,MATCH($A164,Items!$AB$2:$AB$201,0)))</f>
        <v/>
      </c>
      <c r="E164" s="37">
        <f>IF($A164="","",INDEX(Items!$AC$2:$AC$201,MATCH($A164,Items!$AB$2:$AB$201,0)))</f>
        <v/>
      </c>
      <c r="F164" s="37">
        <f>IF($A164="","",INDEX(Items!$AN$2:$AN$201,MATCH($A164,Items!$AB$2:$AB$201,0)))</f>
        <v/>
      </c>
      <c r="G164" s="60" t="n"/>
      <c r="H164" s="61" t="n"/>
    </row>
    <row r="165">
      <c r="A165" s="36">
        <f>IF(ISNUMBER(MATCH(162,Items!$AB$2:$AB$201,0)),162,"")</f>
        <v/>
      </c>
      <c r="B165" s="37">
        <f>IF($A165="","",INDEX(Items!$AK$2:$AK$201,MATCH($A165,Items!$AB$2:$AB$201,0)))</f>
        <v/>
      </c>
      <c r="C165" s="37">
        <f>IF($A165="","",INDEX(Items!$AL$2:$AL$201,MATCH($A165,Items!$AB$2:$AB$201,0)))</f>
        <v/>
      </c>
      <c r="D165" s="37">
        <f>IF($A165="","",INDEX(Items!$AM$2:$AM$201,MATCH($A165,Items!$AB$2:$AB$201,0)))</f>
        <v/>
      </c>
      <c r="E165" s="37">
        <f>IF($A165="","",INDEX(Items!$AC$2:$AC$201,MATCH($A165,Items!$AB$2:$AB$201,0)))</f>
        <v/>
      </c>
      <c r="F165" s="37">
        <f>IF($A165="","",INDEX(Items!$AN$2:$AN$201,MATCH($A165,Items!$AB$2:$AB$201,0)))</f>
        <v/>
      </c>
      <c r="G165" s="60" t="n"/>
      <c r="H165" s="61" t="n"/>
    </row>
    <row r="166">
      <c r="A166" s="36">
        <f>IF(ISNUMBER(MATCH(163,Items!$AB$2:$AB$201,0)),163,"")</f>
        <v/>
      </c>
      <c r="B166" s="37">
        <f>IF($A166="","",INDEX(Items!$AK$2:$AK$201,MATCH($A166,Items!$AB$2:$AB$201,0)))</f>
        <v/>
      </c>
      <c r="C166" s="37">
        <f>IF($A166="","",INDEX(Items!$AL$2:$AL$201,MATCH($A166,Items!$AB$2:$AB$201,0)))</f>
        <v/>
      </c>
      <c r="D166" s="37">
        <f>IF($A166="","",INDEX(Items!$AM$2:$AM$201,MATCH($A166,Items!$AB$2:$AB$201,0)))</f>
        <v/>
      </c>
      <c r="E166" s="37">
        <f>IF($A166="","",INDEX(Items!$AC$2:$AC$201,MATCH($A166,Items!$AB$2:$AB$201,0)))</f>
        <v/>
      </c>
      <c r="F166" s="37">
        <f>IF($A166="","",INDEX(Items!$AN$2:$AN$201,MATCH($A166,Items!$AB$2:$AB$201,0)))</f>
        <v/>
      </c>
      <c r="G166" s="60" t="n"/>
      <c r="H166" s="61" t="n"/>
    </row>
    <row r="167">
      <c r="A167" s="36">
        <f>IF(ISNUMBER(MATCH(164,Items!$AB$2:$AB$201,0)),164,"")</f>
        <v/>
      </c>
      <c r="B167" s="37">
        <f>IF($A167="","",INDEX(Items!$AK$2:$AK$201,MATCH($A167,Items!$AB$2:$AB$201,0)))</f>
        <v/>
      </c>
      <c r="C167" s="37">
        <f>IF($A167="","",INDEX(Items!$AL$2:$AL$201,MATCH($A167,Items!$AB$2:$AB$201,0)))</f>
        <v/>
      </c>
      <c r="D167" s="37">
        <f>IF($A167="","",INDEX(Items!$AM$2:$AM$201,MATCH($A167,Items!$AB$2:$AB$201,0)))</f>
        <v/>
      </c>
      <c r="E167" s="37">
        <f>IF($A167="","",INDEX(Items!$AC$2:$AC$201,MATCH($A167,Items!$AB$2:$AB$201,0)))</f>
        <v/>
      </c>
      <c r="F167" s="37">
        <f>IF($A167="","",INDEX(Items!$AN$2:$AN$201,MATCH($A167,Items!$AB$2:$AB$201,0)))</f>
        <v/>
      </c>
      <c r="G167" s="60" t="n"/>
      <c r="H167" s="61" t="n"/>
    </row>
    <row r="168">
      <c r="A168" s="36">
        <f>IF(ISNUMBER(MATCH(165,Items!$AB$2:$AB$201,0)),165,"")</f>
        <v/>
      </c>
      <c r="B168" s="37">
        <f>IF($A168="","",INDEX(Items!$AK$2:$AK$201,MATCH($A168,Items!$AB$2:$AB$201,0)))</f>
        <v/>
      </c>
      <c r="C168" s="37">
        <f>IF($A168="","",INDEX(Items!$AL$2:$AL$201,MATCH($A168,Items!$AB$2:$AB$201,0)))</f>
        <v/>
      </c>
      <c r="D168" s="37">
        <f>IF($A168="","",INDEX(Items!$AM$2:$AM$201,MATCH($A168,Items!$AB$2:$AB$201,0)))</f>
        <v/>
      </c>
      <c r="E168" s="37">
        <f>IF($A168="","",INDEX(Items!$AC$2:$AC$201,MATCH($A168,Items!$AB$2:$AB$201,0)))</f>
        <v/>
      </c>
      <c r="F168" s="37">
        <f>IF($A168="","",INDEX(Items!$AN$2:$AN$201,MATCH($A168,Items!$AB$2:$AB$201,0)))</f>
        <v/>
      </c>
      <c r="G168" s="60" t="n"/>
      <c r="H168" s="61" t="n"/>
    </row>
    <row r="169">
      <c r="A169" s="36">
        <f>IF(ISNUMBER(MATCH(166,Items!$AB$2:$AB$201,0)),166,"")</f>
        <v/>
      </c>
      <c r="B169" s="37">
        <f>IF($A169="","",INDEX(Items!$AK$2:$AK$201,MATCH($A169,Items!$AB$2:$AB$201,0)))</f>
        <v/>
      </c>
      <c r="C169" s="37">
        <f>IF($A169="","",INDEX(Items!$AL$2:$AL$201,MATCH($A169,Items!$AB$2:$AB$201,0)))</f>
        <v/>
      </c>
      <c r="D169" s="37">
        <f>IF($A169="","",INDEX(Items!$AM$2:$AM$201,MATCH($A169,Items!$AB$2:$AB$201,0)))</f>
        <v/>
      </c>
      <c r="E169" s="37">
        <f>IF($A169="","",INDEX(Items!$AC$2:$AC$201,MATCH($A169,Items!$AB$2:$AB$201,0)))</f>
        <v/>
      </c>
      <c r="F169" s="37">
        <f>IF($A169="","",INDEX(Items!$AN$2:$AN$201,MATCH($A169,Items!$AB$2:$AB$201,0)))</f>
        <v/>
      </c>
      <c r="G169" s="60" t="n"/>
      <c r="H169" s="61" t="n"/>
    </row>
    <row r="170">
      <c r="A170" s="36">
        <f>IF(ISNUMBER(MATCH(167,Items!$AB$2:$AB$201,0)),167,"")</f>
        <v/>
      </c>
      <c r="B170" s="37">
        <f>IF($A170="","",INDEX(Items!$AK$2:$AK$201,MATCH($A170,Items!$AB$2:$AB$201,0)))</f>
        <v/>
      </c>
      <c r="C170" s="37">
        <f>IF($A170="","",INDEX(Items!$AL$2:$AL$201,MATCH($A170,Items!$AB$2:$AB$201,0)))</f>
        <v/>
      </c>
      <c r="D170" s="37">
        <f>IF($A170="","",INDEX(Items!$AM$2:$AM$201,MATCH($A170,Items!$AB$2:$AB$201,0)))</f>
        <v/>
      </c>
      <c r="E170" s="37">
        <f>IF($A170="","",INDEX(Items!$AC$2:$AC$201,MATCH($A170,Items!$AB$2:$AB$201,0)))</f>
        <v/>
      </c>
      <c r="F170" s="37">
        <f>IF($A170="","",INDEX(Items!$AN$2:$AN$201,MATCH($A170,Items!$AB$2:$AB$201,0)))</f>
        <v/>
      </c>
      <c r="G170" s="60" t="n"/>
      <c r="H170" s="61" t="n"/>
    </row>
    <row r="171">
      <c r="A171" s="36">
        <f>IF(ISNUMBER(MATCH(168,Items!$AB$2:$AB$201,0)),168,"")</f>
        <v/>
      </c>
      <c r="B171" s="37">
        <f>IF($A171="","",INDEX(Items!$AK$2:$AK$201,MATCH($A171,Items!$AB$2:$AB$201,0)))</f>
        <v/>
      </c>
      <c r="C171" s="37">
        <f>IF($A171="","",INDEX(Items!$AL$2:$AL$201,MATCH($A171,Items!$AB$2:$AB$201,0)))</f>
        <v/>
      </c>
      <c r="D171" s="37">
        <f>IF($A171="","",INDEX(Items!$AM$2:$AM$201,MATCH($A171,Items!$AB$2:$AB$201,0)))</f>
        <v/>
      </c>
      <c r="E171" s="37">
        <f>IF($A171="","",INDEX(Items!$AC$2:$AC$201,MATCH($A171,Items!$AB$2:$AB$201,0)))</f>
        <v/>
      </c>
      <c r="F171" s="37">
        <f>IF($A171="","",INDEX(Items!$AN$2:$AN$201,MATCH($A171,Items!$AB$2:$AB$201,0)))</f>
        <v/>
      </c>
      <c r="G171" s="60" t="n"/>
      <c r="H171" s="61" t="n"/>
    </row>
    <row r="172">
      <c r="A172" s="36">
        <f>IF(ISNUMBER(MATCH(169,Items!$AB$2:$AB$201,0)),169,"")</f>
        <v/>
      </c>
      <c r="B172" s="37">
        <f>IF($A172="","",INDEX(Items!$AK$2:$AK$201,MATCH($A172,Items!$AB$2:$AB$201,0)))</f>
        <v/>
      </c>
      <c r="C172" s="37">
        <f>IF($A172="","",INDEX(Items!$AL$2:$AL$201,MATCH($A172,Items!$AB$2:$AB$201,0)))</f>
        <v/>
      </c>
      <c r="D172" s="37">
        <f>IF($A172="","",INDEX(Items!$AM$2:$AM$201,MATCH($A172,Items!$AB$2:$AB$201,0)))</f>
        <v/>
      </c>
      <c r="E172" s="37">
        <f>IF($A172="","",INDEX(Items!$AC$2:$AC$201,MATCH($A172,Items!$AB$2:$AB$201,0)))</f>
        <v/>
      </c>
      <c r="F172" s="37">
        <f>IF($A172="","",INDEX(Items!$AN$2:$AN$201,MATCH($A172,Items!$AB$2:$AB$201,0)))</f>
        <v/>
      </c>
      <c r="G172" s="60" t="n"/>
      <c r="H172" s="61" t="n"/>
    </row>
    <row r="173">
      <c r="A173" s="36">
        <f>IF(ISNUMBER(MATCH(170,Items!$AB$2:$AB$201,0)),170,"")</f>
        <v/>
      </c>
      <c r="B173" s="37">
        <f>IF($A173="","",INDEX(Items!$AK$2:$AK$201,MATCH($A173,Items!$AB$2:$AB$201,0)))</f>
        <v/>
      </c>
      <c r="C173" s="37">
        <f>IF($A173="","",INDEX(Items!$AL$2:$AL$201,MATCH($A173,Items!$AB$2:$AB$201,0)))</f>
        <v/>
      </c>
      <c r="D173" s="37">
        <f>IF($A173="","",INDEX(Items!$AM$2:$AM$201,MATCH($A173,Items!$AB$2:$AB$201,0)))</f>
        <v/>
      </c>
      <c r="E173" s="37">
        <f>IF($A173="","",INDEX(Items!$AC$2:$AC$201,MATCH($A173,Items!$AB$2:$AB$201,0)))</f>
        <v/>
      </c>
      <c r="F173" s="37">
        <f>IF($A173="","",INDEX(Items!$AN$2:$AN$201,MATCH($A173,Items!$AB$2:$AB$201,0)))</f>
        <v/>
      </c>
      <c r="G173" s="60" t="n"/>
      <c r="H173" s="61" t="n"/>
    </row>
    <row r="174">
      <c r="A174" s="36">
        <f>IF(ISNUMBER(MATCH(171,Items!$AB$2:$AB$201,0)),171,"")</f>
        <v/>
      </c>
      <c r="B174" s="37">
        <f>IF($A174="","",INDEX(Items!$AK$2:$AK$201,MATCH($A174,Items!$AB$2:$AB$201,0)))</f>
        <v/>
      </c>
      <c r="C174" s="37">
        <f>IF($A174="","",INDEX(Items!$AL$2:$AL$201,MATCH($A174,Items!$AB$2:$AB$201,0)))</f>
        <v/>
      </c>
      <c r="D174" s="37">
        <f>IF($A174="","",INDEX(Items!$AM$2:$AM$201,MATCH($A174,Items!$AB$2:$AB$201,0)))</f>
        <v/>
      </c>
      <c r="E174" s="37">
        <f>IF($A174="","",INDEX(Items!$AC$2:$AC$201,MATCH($A174,Items!$AB$2:$AB$201,0)))</f>
        <v/>
      </c>
      <c r="F174" s="37">
        <f>IF($A174="","",INDEX(Items!$AN$2:$AN$201,MATCH($A174,Items!$AB$2:$AB$201,0)))</f>
        <v/>
      </c>
      <c r="G174" s="60" t="n"/>
      <c r="H174" s="61" t="n"/>
    </row>
    <row r="175">
      <c r="A175" s="36">
        <f>IF(ISNUMBER(MATCH(172,Items!$AB$2:$AB$201,0)),172,"")</f>
        <v/>
      </c>
      <c r="B175" s="37">
        <f>IF($A175="","",INDEX(Items!$AK$2:$AK$201,MATCH($A175,Items!$AB$2:$AB$201,0)))</f>
        <v/>
      </c>
      <c r="C175" s="37">
        <f>IF($A175="","",INDEX(Items!$AL$2:$AL$201,MATCH($A175,Items!$AB$2:$AB$201,0)))</f>
        <v/>
      </c>
      <c r="D175" s="37">
        <f>IF($A175="","",INDEX(Items!$AM$2:$AM$201,MATCH($A175,Items!$AB$2:$AB$201,0)))</f>
        <v/>
      </c>
      <c r="E175" s="37">
        <f>IF($A175="","",INDEX(Items!$AC$2:$AC$201,MATCH($A175,Items!$AB$2:$AB$201,0)))</f>
        <v/>
      </c>
      <c r="F175" s="37">
        <f>IF($A175="","",INDEX(Items!$AN$2:$AN$201,MATCH($A175,Items!$AB$2:$AB$201,0)))</f>
        <v/>
      </c>
      <c r="G175" s="60" t="n"/>
      <c r="H175" s="61" t="n"/>
    </row>
    <row r="176">
      <c r="A176" s="36">
        <f>IF(ISNUMBER(MATCH(173,Items!$AB$2:$AB$201,0)),173,"")</f>
        <v/>
      </c>
      <c r="B176" s="37">
        <f>IF($A176="","",INDEX(Items!$AK$2:$AK$201,MATCH($A176,Items!$AB$2:$AB$201,0)))</f>
        <v/>
      </c>
      <c r="C176" s="37">
        <f>IF($A176="","",INDEX(Items!$AL$2:$AL$201,MATCH($A176,Items!$AB$2:$AB$201,0)))</f>
        <v/>
      </c>
      <c r="D176" s="37">
        <f>IF($A176="","",INDEX(Items!$AM$2:$AM$201,MATCH($A176,Items!$AB$2:$AB$201,0)))</f>
        <v/>
      </c>
      <c r="E176" s="37">
        <f>IF($A176="","",INDEX(Items!$AC$2:$AC$201,MATCH($A176,Items!$AB$2:$AB$201,0)))</f>
        <v/>
      </c>
      <c r="F176" s="37">
        <f>IF($A176="","",INDEX(Items!$AN$2:$AN$201,MATCH($A176,Items!$AB$2:$AB$201,0)))</f>
        <v/>
      </c>
      <c r="G176" s="60" t="n"/>
      <c r="H176" s="61" t="n"/>
    </row>
    <row r="177">
      <c r="A177" s="36">
        <f>IF(ISNUMBER(MATCH(174,Items!$AB$2:$AB$201,0)),174,"")</f>
        <v/>
      </c>
      <c r="B177" s="37">
        <f>IF($A177="","",INDEX(Items!$AK$2:$AK$201,MATCH($A177,Items!$AB$2:$AB$201,0)))</f>
        <v/>
      </c>
      <c r="C177" s="37">
        <f>IF($A177="","",INDEX(Items!$AL$2:$AL$201,MATCH($A177,Items!$AB$2:$AB$201,0)))</f>
        <v/>
      </c>
      <c r="D177" s="37">
        <f>IF($A177="","",INDEX(Items!$AM$2:$AM$201,MATCH($A177,Items!$AB$2:$AB$201,0)))</f>
        <v/>
      </c>
      <c r="E177" s="37">
        <f>IF($A177="","",INDEX(Items!$AC$2:$AC$201,MATCH($A177,Items!$AB$2:$AB$201,0)))</f>
        <v/>
      </c>
      <c r="F177" s="37">
        <f>IF($A177="","",INDEX(Items!$AN$2:$AN$201,MATCH($A177,Items!$AB$2:$AB$201,0)))</f>
        <v/>
      </c>
      <c r="G177" s="60" t="n"/>
      <c r="H177" s="61" t="n"/>
    </row>
    <row r="178">
      <c r="A178" s="36">
        <f>IF(ISNUMBER(MATCH(175,Items!$AB$2:$AB$201,0)),175,"")</f>
        <v/>
      </c>
      <c r="B178" s="37">
        <f>IF($A178="","",INDEX(Items!$AK$2:$AK$201,MATCH($A178,Items!$AB$2:$AB$201,0)))</f>
        <v/>
      </c>
      <c r="C178" s="37">
        <f>IF($A178="","",INDEX(Items!$AL$2:$AL$201,MATCH($A178,Items!$AB$2:$AB$201,0)))</f>
        <v/>
      </c>
      <c r="D178" s="37">
        <f>IF($A178="","",INDEX(Items!$AM$2:$AM$201,MATCH($A178,Items!$AB$2:$AB$201,0)))</f>
        <v/>
      </c>
      <c r="E178" s="37">
        <f>IF($A178="","",INDEX(Items!$AC$2:$AC$201,MATCH($A178,Items!$AB$2:$AB$201,0)))</f>
        <v/>
      </c>
      <c r="F178" s="37">
        <f>IF($A178="","",INDEX(Items!$AN$2:$AN$201,MATCH($A178,Items!$AB$2:$AB$201,0)))</f>
        <v/>
      </c>
      <c r="G178" s="60" t="n"/>
      <c r="H178" s="61" t="n"/>
    </row>
    <row r="179">
      <c r="A179" s="36">
        <f>IF(ISNUMBER(MATCH(176,Items!$AB$2:$AB$201,0)),176,"")</f>
        <v/>
      </c>
      <c r="B179" s="37">
        <f>IF($A179="","",INDEX(Items!$AK$2:$AK$201,MATCH($A179,Items!$AB$2:$AB$201,0)))</f>
        <v/>
      </c>
      <c r="C179" s="37">
        <f>IF($A179="","",INDEX(Items!$AL$2:$AL$201,MATCH($A179,Items!$AB$2:$AB$201,0)))</f>
        <v/>
      </c>
      <c r="D179" s="37">
        <f>IF($A179="","",INDEX(Items!$AM$2:$AM$201,MATCH($A179,Items!$AB$2:$AB$201,0)))</f>
        <v/>
      </c>
      <c r="E179" s="37">
        <f>IF($A179="","",INDEX(Items!$AC$2:$AC$201,MATCH($A179,Items!$AB$2:$AB$201,0)))</f>
        <v/>
      </c>
      <c r="F179" s="37">
        <f>IF($A179="","",INDEX(Items!$AN$2:$AN$201,MATCH($A179,Items!$AB$2:$AB$201,0)))</f>
        <v/>
      </c>
      <c r="G179" s="60" t="n"/>
      <c r="H179" s="61" t="n"/>
    </row>
    <row r="180">
      <c r="A180" s="36">
        <f>IF(ISNUMBER(MATCH(177,Items!$AB$2:$AB$201,0)),177,"")</f>
        <v/>
      </c>
      <c r="B180" s="37">
        <f>IF($A180="","",INDEX(Items!$AK$2:$AK$201,MATCH($A180,Items!$AB$2:$AB$201,0)))</f>
        <v/>
      </c>
      <c r="C180" s="37">
        <f>IF($A180="","",INDEX(Items!$AL$2:$AL$201,MATCH($A180,Items!$AB$2:$AB$201,0)))</f>
        <v/>
      </c>
      <c r="D180" s="37">
        <f>IF($A180="","",INDEX(Items!$AM$2:$AM$201,MATCH($A180,Items!$AB$2:$AB$201,0)))</f>
        <v/>
      </c>
      <c r="E180" s="37">
        <f>IF($A180="","",INDEX(Items!$AC$2:$AC$201,MATCH($A180,Items!$AB$2:$AB$201,0)))</f>
        <v/>
      </c>
      <c r="F180" s="37">
        <f>IF($A180="","",INDEX(Items!$AN$2:$AN$201,MATCH($A180,Items!$AB$2:$AB$201,0)))</f>
        <v/>
      </c>
      <c r="G180" s="60" t="n"/>
      <c r="H180" s="61" t="n"/>
    </row>
    <row r="181">
      <c r="A181" s="36">
        <f>IF(ISNUMBER(MATCH(178,Items!$AB$2:$AB$201,0)),178,"")</f>
        <v/>
      </c>
      <c r="B181" s="37">
        <f>IF($A181="","",INDEX(Items!$AK$2:$AK$201,MATCH($A181,Items!$AB$2:$AB$201,0)))</f>
        <v/>
      </c>
      <c r="C181" s="37">
        <f>IF($A181="","",INDEX(Items!$AL$2:$AL$201,MATCH($A181,Items!$AB$2:$AB$201,0)))</f>
        <v/>
      </c>
      <c r="D181" s="37">
        <f>IF($A181="","",INDEX(Items!$AM$2:$AM$201,MATCH($A181,Items!$AB$2:$AB$201,0)))</f>
        <v/>
      </c>
      <c r="E181" s="37">
        <f>IF($A181="","",INDEX(Items!$AC$2:$AC$201,MATCH($A181,Items!$AB$2:$AB$201,0)))</f>
        <v/>
      </c>
      <c r="F181" s="37">
        <f>IF($A181="","",INDEX(Items!$AN$2:$AN$201,MATCH($A181,Items!$AB$2:$AB$201,0)))</f>
        <v/>
      </c>
      <c r="G181" s="60" t="n"/>
      <c r="H181" s="61" t="n"/>
    </row>
    <row r="182">
      <c r="A182" s="36">
        <f>IF(ISNUMBER(MATCH(179,Items!$AB$2:$AB$201,0)),179,"")</f>
        <v/>
      </c>
      <c r="B182" s="37">
        <f>IF($A182="","",INDEX(Items!$AK$2:$AK$201,MATCH($A182,Items!$AB$2:$AB$201,0)))</f>
        <v/>
      </c>
      <c r="C182" s="37">
        <f>IF($A182="","",INDEX(Items!$AL$2:$AL$201,MATCH($A182,Items!$AB$2:$AB$201,0)))</f>
        <v/>
      </c>
      <c r="D182" s="37">
        <f>IF($A182="","",INDEX(Items!$AM$2:$AM$201,MATCH($A182,Items!$AB$2:$AB$201,0)))</f>
        <v/>
      </c>
      <c r="E182" s="37">
        <f>IF($A182="","",INDEX(Items!$AC$2:$AC$201,MATCH($A182,Items!$AB$2:$AB$201,0)))</f>
        <v/>
      </c>
      <c r="F182" s="37">
        <f>IF($A182="","",INDEX(Items!$AN$2:$AN$201,MATCH($A182,Items!$AB$2:$AB$201,0)))</f>
        <v/>
      </c>
      <c r="G182" s="60" t="n"/>
      <c r="H182" s="61" t="n"/>
    </row>
    <row r="183">
      <c r="A183" s="36">
        <f>IF(ISNUMBER(MATCH(180,Items!$AB$2:$AB$201,0)),180,"")</f>
        <v/>
      </c>
      <c r="B183" s="37">
        <f>IF($A183="","",INDEX(Items!$AK$2:$AK$201,MATCH($A183,Items!$AB$2:$AB$201,0)))</f>
        <v/>
      </c>
      <c r="C183" s="37">
        <f>IF($A183="","",INDEX(Items!$AL$2:$AL$201,MATCH($A183,Items!$AB$2:$AB$201,0)))</f>
        <v/>
      </c>
      <c r="D183" s="37">
        <f>IF($A183="","",INDEX(Items!$AM$2:$AM$201,MATCH($A183,Items!$AB$2:$AB$201,0)))</f>
        <v/>
      </c>
      <c r="E183" s="37">
        <f>IF($A183="","",INDEX(Items!$AC$2:$AC$201,MATCH($A183,Items!$AB$2:$AB$201,0)))</f>
        <v/>
      </c>
      <c r="F183" s="37">
        <f>IF($A183="","",INDEX(Items!$AN$2:$AN$201,MATCH($A183,Items!$AB$2:$AB$201,0)))</f>
        <v/>
      </c>
      <c r="G183" s="60" t="n"/>
      <c r="H183" s="61" t="n"/>
    </row>
    <row r="184">
      <c r="A184" s="36">
        <f>IF(ISNUMBER(MATCH(181,Items!$AB$2:$AB$201,0)),181,"")</f>
        <v/>
      </c>
      <c r="B184" s="37">
        <f>IF($A184="","",INDEX(Items!$AK$2:$AK$201,MATCH($A184,Items!$AB$2:$AB$201,0)))</f>
        <v/>
      </c>
      <c r="C184" s="37">
        <f>IF($A184="","",INDEX(Items!$AL$2:$AL$201,MATCH($A184,Items!$AB$2:$AB$201,0)))</f>
        <v/>
      </c>
      <c r="D184" s="37">
        <f>IF($A184="","",INDEX(Items!$AM$2:$AM$201,MATCH($A184,Items!$AB$2:$AB$201,0)))</f>
        <v/>
      </c>
      <c r="E184" s="37">
        <f>IF($A184="","",INDEX(Items!$AC$2:$AC$201,MATCH($A184,Items!$AB$2:$AB$201,0)))</f>
        <v/>
      </c>
      <c r="F184" s="37">
        <f>IF($A184="","",INDEX(Items!$AN$2:$AN$201,MATCH($A184,Items!$AB$2:$AB$201,0)))</f>
        <v/>
      </c>
      <c r="G184" s="60" t="n"/>
      <c r="H184" s="61" t="n"/>
    </row>
    <row r="185">
      <c r="A185" s="36">
        <f>IF(ISNUMBER(MATCH(182,Items!$AB$2:$AB$201,0)),182,"")</f>
        <v/>
      </c>
      <c r="B185" s="37">
        <f>IF($A185="","",INDEX(Items!$AK$2:$AK$201,MATCH($A185,Items!$AB$2:$AB$201,0)))</f>
        <v/>
      </c>
      <c r="C185" s="37">
        <f>IF($A185="","",INDEX(Items!$AL$2:$AL$201,MATCH($A185,Items!$AB$2:$AB$201,0)))</f>
        <v/>
      </c>
      <c r="D185" s="37">
        <f>IF($A185="","",INDEX(Items!$AM$2:$AM$201,MATCH($A185,Items!$AB$2:$AB$201,0)))</f>
        <v/>
      </c>
      <c r="E185" s="37">
        <f>IF($A185="","",INDEX(Items!$AC$2:$AC$201,MATCH($A185,Items!$AB$2:$AB$201,0)))</f>
        <v/>
      </c>
      <c r="F185" s="37">
        <f>IF($A185="","",INDEX(Items!$AN$2:$AN$201,MATCH($A185,Items!$AB$2:$AB$201,0)))</f>
        <v/>
      </c>
      <c r="G185" s="60" t="n"/>
      <c r="H185" s="61" t="n"/>
    </row>
    <row r="186">
      <c r="A186" s="36">
        <f>IF(ISNUMBER(MATCH(183,Items!$AB$2:$AB$201,0)),183,"")</f>
        <v/>
      </c>
      <c r="B186" s="37">
        <f>IF($A186="","",INDEX(Items!$AK$2:$AK$201,MATCH($A186,Items!$AB$2:$AB$201,0)))</f>
        <v/>
      </c>
      <c r="C186" s="37">
        <f>IF($A186="","",INDEX(Items!$AL$2:$AL$201,MATCH($A186,Items!$AB$2:$AB$201,0)))</f>
        <v/>
      </c>
      <c r="D186" s="37">
        <f>IF($A186="","",INDEX(Items!$AM$2:$AM$201,MATCH($A186,Items!$AB$2:$AB$201,0)))</f>
        <v/>
      </c>
      <c r="E186" s="37">
        <f>IF($A186="","",INDEX(Items!$AC$2:$AC$201,MATCH($A186,Items!$AB$2:$AB$201,0)))</f>
        <v/>
      </c>
      <c r="F186" s="37">
        <f>IF($A186="","",INDEX(Items!$AN$2:$AN$201,MATCH($A186,Items!$AB$2:$AB$201,0)))</f>
        <v/>
      </c>
      <c r="G186" s="60" t="n"/>
      <c r="H186" s="61" t="n"/>
    </row>
    <row r="187">
      <c r="A187" s="36">
        <f>IF(ISNUMBER(MATCH(184,Items!$AB$2:$AB$201,0)),184,"")</f>
        <v/>
      </c>
      <c r="B187" s="37">
        <f>IF($A187="","",INDEX(Items!$AK$2:$AK$201,MATCH($A187,Items!$AB$2:$AB$201,0)))</f>
        <v/>
      </c>
      <c r="C187" s="37">
        <f>IF($A187="","",INDEX(Items!$AL$2:$AL$201,MATCH($A187,Items!$AB$2:$AB$201,0)))</f>
        <v/>
      </c>
      <c r="D187" s="37">
        <f>IF($A187="","",INDEX(Items!$AM$2:$AM$201,MATCH($A187,Items!$AB$2:$AB$201,0)))</f>
        <v/>
      </c>
      <c r="E187" s="37">
        <f>IF($A187="","",INDEX(Items!$AC$2:$AC$201,MATCH($A187,Items!$AB$2:$AB$201,0)))</f>
        <v/>
      </c>
      <c r="F187" s="37">
        <f>IF($A187="","",INDEX(Items!$AN$2:$AN$201,MATCH($A187,Items!$AB$2:$AB$201,0)))</f>
        <v/>
      </c>
      <c r="G187" s="60" t="n"/>
      <c r="H187" s="61" t="n"/>
    </row>
    <row r="188">
      <c r="A188" s="36">
        <f>IF(ISNUMBER(MATCH(185,Items!$AB$2:$AB$201,0)),185,"")</f>
        <v/>
      </c>
      <c r="B188" s="37">
        <f>IF($A188="","",INDEX(Items!$AK$2:$AK$201,MATCH($A188,Items!$AB$2:$AB$201,0)))</f>
        <v/>
      </c>
      <c r="C188" s="37">
        <f>IF($A188="","",INDEX(Items!$AL$2:$AL$201,MATCH($A188,Items!$AB$2:$AB$201,0)))</f>
        <v/>
      </c>
      <c r="D188" s="37">
        <f>IF($A188="","",INDEX(Items!$AM$2:$AM$201,MATCH($A188,Items!$AB$2:$AB$201,0)))</f>
        <v/>
      </c>
      <c r="E188" s="37">
        <f>IF($A188="","",INDEX(Items!$AC$2:$AC$201,MATCH($A188,Items!$AB$2:$AB$201,0)))</f>
        <v/>
      </c>
      <c r="F188" s="37">
        <f>IF($A188="","",INDEX(Items!$AN$2:$AN$201,MATCH($A188,Items!$AB$2:$AB$201,0)))</f>
        <v/>
      </c>
      <c r="G188" s="60" t="n"/>
      <c r="H188" s="61" t="n"/>
    </row>
    <row r="189">
      <c r="A189" s="36">
        <f>IF(ISNUMBER(MATCH(186,Items!$AB$2:$AB$201,0)),186,"")</f>
        <v/>
      </c>
      <c r="B189" s="37">
        <f>IF($A189="","",INDEX(Items!$AK$2:$AK$201,MATCH($A189,Items!$AB$2:$AB$201,0)))</f>
        <v/>
      </c>
      <c r="C189" s="37">
        <f>IF($A189="","",INDEX(Items!$AL$2:$AL$201,MATCH($A189,Items!$AB$2:$AB$201,0)))</f>
        <v/>
      </c>
      <c r="D189" s="37">
        <f>IF($A189="","",INDEX(Items!$AM$2:$AM$201,MATCH($A189,Items!$AB$2:$AB$201,0)))</f>
        <v/>
      </c>
      <c r="E189" s="37">
        <f>IF($A189="","",INDEX(Items!$AC$2:$AC$201,MATCH($A189,Items!$AB$2:$AB$201,0)))</f>
        <v/>
      </c>
      <c r="F189" s="37">
        <f>IF($A189="","",INDEX(Items!$AN$2:$AN$201,MATCH($A189,Items!$AB$2:$AB$201,0)))</f>
        <v/>
      </c>
      <c r="G189" s="60" t="n"/>
      <c r="H189" s="61" t="n"/>
    </row>
    <row r="190">
      <c r="A190" s="36">
        <f>IF(ISNUMBER(MATCH(187,Items!$AB$2:$AB$201,0)),187,"")</f>
        <v/>
      </c>
      <c r="B190" s="37">
        <f>IF($A190="","",INDEX(Items!$AK$2:$AK$201,MATCH($A190,Items!$AB$2:$AB$201,0)))</f>
        <v/>
      </c>
      <c r="C190" s="37">
        <f>IF($A190="","",INDEX(Items!$AL$2:$AL$201,MATCH($A190,Items!$AB$2:$AB$201,0)))</f>
        <v/>
      </c>
      <c r="D190" s="37">
        <f>IF($A190="","",INDEX(Items!$AM$2:$AM$201,MATCH($A190,Items!$AB$2:$AB$201,0)))</f>
        <v/>
      </c>
      <c r="E190" s="37">
        <f>IF($A190="","",INDEX(Items!$AC$2:$AC$201,MATCH($A190,Items!$AB$2:$AB$201,0)))</f>
        <v/>
      </c>
      <c r="F190" s="37">
        <f>IF($A190="","",INDEX(Items!$AN$2:$AN$201,MATCH($A190,Items!$AB$2:$AB$201,0)))</f>
        <v/>
      </c>
      <c r="G190" s="60" t="n"/>
      <c r="H190" s="61" t="n"/>
    </row>
    <row r="191">
      <c r="A191" s="36">
        <f>IF(ISNUMBER(MATCH(188,Items!$AB$2:$AB$201,0)),188,"")</f>
        <v/>
      </c>
      <c r="B191" s="37">
        <f>IF($A191="","",INDEX(Items!$AK$2:$AK$201,MATCH($A191,Items!$AB$2:$AB$201,0)))</f>
        <v/>
      </c>
      <c r="C191" s="37">
        <f>IF($A191="","",INDEX(Items!$AL$2:$AL$201,MATCH($A191,Items!$AB$2:$AB$201,0)))</f>
        <v/>
      </c>
      <c r="D191" s="37">
        <f>IF($A191="","",INDEX(Items!$AM$2:$AM$201,MATCH($A191,Items!$AB$2:$AB$201,0)))</f>
        <v/>
      </c>
      <c r="E191" s="37">
        <f>IF($A191="","",INDEX(Items!$AC$2:$AC$201,MATCH($A191,Items!$AB$2:$AB$201,0)))</f>
        <v/>
      </c>
      <c r="F191" s="37">
        <f>IF($A191="","",INDEX(Items!$AN$2:$AN$201,MATCH($A191,Items!$AB$2:$AB$201,0)))</f>
        <v/>
      </c>
      <c r="G191" s="60" t="n"/>
      <c r="H191" s="61" t="n"/>
    </row>
    <row r="192">
      <c r="A192" s="36">
        <f>IF(ISNUMBER(MATCH(189,Items!$AB$2:$AB$201,0)),189,"")</f>
        <v/>
      </c>
      <c r="B192" s="37">
        <f>IF($A192="","",INDEX(Items!$AK$2:$AK$201,MATCH($A192,Items!$AB$2:$AB$201,0)))</f>
        <v/>
      </c>
      <c r="C192" s="37">
        <f>IF($A192="","",INDEX(Items!$AL$2:$AL$201,MATCH($A192,Items!$AB$2:$AB$201,0)))</f>
        <v/>
      </c>
      <c r="D192" s="37">
        <f>IF($A192="","",INDEX(Items!$AM$2:$AM$201,MATCH($A192,Items!$AB$2:$AB$201,0)))</f>
        <v/>
      </c>
      <c r="E192" s="37">
        <f>IF($A192="","",INDEX(Items!$AC$2:$AC$201,MATCH($A192,Items!$AB$2:$AB$201,0)))</f>
        <v/>
      </c>
      <c r="F192" s="37">
        <f>IF($A192="","",INDEX(Items!$AN$2:$AN$201,MATCH($A192,Items!$AB$2:$AB$201,0)))</f>
        <v/>
      </c>
      <c r="G192" s="60" t="n"/>
      <c r="H192" s="61" t="n"/>
    </row>
    <row r="193">
      <c r="A193" s="36">
        <f>IF(ISNUMBER(MATCH(190,Items!$AB$2:$AB$201,0)),190,"")</f>
        <v/>
      </c>
      <c r="B193" s="37">
        <f>IF($A193="","",INDEX(Items!$AK$2:$AK$201,MATCH($A193,Items!$AB$2:$AB$201,0)))</f>
        <v/>
      </c>
      <c r="C193" s="37">
        <f>IF($A193="","",INDEX(Items!$AL$2:$AL$201,MATCH($A193,Items!$AB$2:$AB$201,0)))</f>
        <v/>
      </c>
      <c r="D193" s="37">
        <f>IF($A193="","",INDEX(Items!$AM$2:$AM$201,MATCH($A193,Items!$AB$2:$AB$201,0)))</f>
        <v/>
      </c>
      <c r="E193" s="37">
        <f>IF($A193="","",INDEX(Items!$AC$2:$AC$201,MATCH($A193,Items!$AB$2:$AB$201,0)))</f>
        <v/>
      </c>
      <c r="F193" s="37">
        <f>IF($A193="","",INDEX(Items!$AN$2:$AN$201,MATCH($A193,Items!$AB$2:$AB$201,0)))</f>
        <v/>
      </c>
      <c r="G193" s="60" t="n"/>
      <c r="H193" s="61" t="n"/>
    </row>
    <row r="194">
      <c r="A194" s="36">
        <f>IF(ISNUMBER(MATCH(191,Items!$AB$2:$AB$201,0)),191,"")</f>
        <v/>
      </c>
      <c r="B194" s="37">
        <f>IF($A194="","",INDEX(Items!$AK$2:$AK$201,MATCH($A194,Items!$AB$2:$AB$201,0)))</f>
        <v/>
      </c>
      <c r="C194" s="37">
        <f>IF($A194="","",INDEX(Items!$AL$2:$AL$201,MATCH($A194,Items!$AB$2:$AB$201,0)))</f>
        <v/>
      </c>
      <c r="D194" s="37">
        <f>IF($A194="","",INDEX(Items!$AM$2:$AM$201,MATCH($A194,Items!$AB$2:$AB$201,0)))</f>
        <v/>
      </c>
      <c r="E194" s="37">
        <f>IF($A194="","",INDEX(Items!$AC$2:$AC$201,MATCH($A194,Items!$AB$2:$AB$201,0)))</f>
        <v/>
      </c>
      <c r="F194" s="37">
        <f>IF($A194="","",INDEX(Items!$AN$2:$AN$201,MATCH($A194,Items!$AB$2:$AB$201,0)))</f>
        <v/>
      </c>
      <c r="G194" s="60" t="n"/>
      <c r="H194" s="61" t="n"/>
    </row>
    <row r="195">
      <c r="A195" s="36">
        <f>IF(ISNUMBER(MATCH(192,Items!$AB$2:$AB$201,0)),192,"")</f>
        <v/>
      </c>
      <c r="B195" s="37">
        <f>IF($A195="","",INDEX(Items!$AK$2:$AK$201,MATCH($A195,Items!$AB$2:$AB$201,0)))</f>
        <v/>
      </c>
      <c r="C195" s="37">
        <f>IF($A195="","",INDEX(Items!$AL$2:$AL$201,MATCH($A195,Items!$AB$2:$AB$201,0)))</f>
        <v/>
      </c>
      <c r="D195" s="37">
        <f>IF($A195="","",INDEX(Items!$AM$2:$AM$201,MATCH($A195,Items!$AB$2:$AB$201,0)))</f>
        <v/>
      </c>
      <c r="E195" s="37">
        <f>IF($A195="","",INDEX(Items!$AC$2:$AC$201,MATCH($A195,Items!$AB$2:$AB$201,0)))</f>
        <v/>
      </c>
      <c r="F195" s="37">
        <f>IF($A195="","",INDEX(Items!$AN$2:$AN$201,MATCH($A195,Items!$AB$2:$AB$201,0)))</f>
        <v/>
      </c>
      <c r="G195" s="60" t="n"/>
      <c r="H195" s="61" t="n"/>
    </row>
    <row r="196">
      <c r="A196" s="36">
        <f>IF(ISNUMBER(MATCH(193,Items!$AB$2:$AB$201,0)),193,"")</f>
        <v/>
      </c>
      <c r="B196" s="37">
        <f>IF($A196="","",INDEX(Items!$AK$2:$AK$201,MATCH($A196,Items!$AB$2:$AB$201,0)))</f>
        <v/>
      </c>
      <c r="C196" s="37">
        <f>IF($A196="","",INDEX(Items!$AL$2:$AL$201,MATCH($A196,Items!$AB$2:$AB$201,0)))</f>
        <v/>
      </c>
      <c r="D196" s="37">
        <f>IF($A196="","",INDEX(Items!$AM$2:$AM$201,MATCH($A196,Items!$AB$2:$AB$201,0)))</f>
        <v/>
      </c>
      <c r="E196" s="37">
        <f>IF($A196="","",INDEX(Items!$AC$2:$AC$201,MATCH($A196,Items!$AB$2:$AB$201,0)))</f>
        <v/>
      </c>
      <c r="F196" s="37">
        <f>IF($A196="","",INDEX(Items!$AN$2:$AN$201,MATCH($A196,Items!$AB$2:$AB$201,0)))</f>
        <v/>
      </c>
      <c r="G196" s="60" t="n"/>
      <c r="H196" s="61" t="n"/>
    </row>
    <row r="197">
      <c r="A197" s="36">
        <f>IF(ISNUMBER(MATCH(194,Items!$AB$2:$AB$201,0)),194,"")</f>
        <v/>
      </c>
      <c r="B197" s="37">
        <f>IF($A197="","",INDEX(Items!$AK$2:$AK$201,MATCH($A197,Items!$AB$2:$AB$201,0)))</f>
        <v/>
      </c>
      <c r="C197" s="37">
        <f>IF($A197="","",INDEX(Items!$AL$2:$AL$201,MATCH($A197,Items!$AB$2:$AB$201,0)))</f>
        <v/>
      </c>
      <c r="D197" s="37">
        <f>IF($A197="","",INDEX(Items!$AM$2:$AM$201,MATCH($A197,Items!$AB$2:$AB$201,0)))</f>
        <v/>
      </c>
      <c r="E197" s="37">
        <f>IF($A197="","",INDEX(Items!$AC$2:$AC$201,MATCH($A197,Items!$AB$2:$AB$201,0)))</f>
        <v/>
      </c>
      <c r="F197" s="37">
        <f>IF($A197="","",INDEX(Items!$AN$2:$AN$201,MATCH($A197,Items!$AB$2:$AB$201,0)))</f>
        <v/>
      </c>
      <c r="G197" s="60" t="n"/>
      <c r="H197" s="61" t="n"/>
    </row>
    <row r="198">
      <c r="A198" s="36">
        <f>IF(ISNUMBER(MATCH(195,Items!$AB$2:$AB$201,0)),195,"")</f>
        <v/>
      </c>
      <c r="B198" s="37">
        <f>IF($A198="","",INDEX(Items!$AK$2:$AK$201,MATCH($A198,Items!$AB$2:$AB$201,0)))</f>
        <v/>
      </c>
      <c r="C198" s="37">
        <f>IF($A198="","",INDEX(Items!$AL$2:$AL$201,MATCH($A198,Items!$AB$2:$AB$201,0)))</f>
        <v/>
      </c>
      <c r="D198" s="37">
        <f>IF($A198="","",INDEX(Items!$AM$2:$AM$201,MATCH($A198,Items!$AB$2:$AB$201,0)))</f>
        <v/>
      </c>
      <c r="E198" s="37">
        <f>IF($A198="","",INDEX(Items!$AC$2:$AC$201,MATCH($A198,Items!$AB$2:$AB$201,0)))</f>
        <v/>
      </c>
      <c r="F198" s="37">
        <f>IF($A198="","",INDEX(Items!$AN$2:$AN$201,MATCH($A198,Items!$AB$2:$AB$201,0)))</f>
        <v/>
      </c>
      <c r="G198" s="60" t="n"/>
      <c r="H198" s="61" t="n"/>
    </row>
    <row r="199">
      <c r="A199" s="36">
        <f>IF(ISNUMBER(MATCH(196,Items!$AB$2:$AB$201,0)),196,"")</f>
        <v/>
      </c>
      <c r="B199" s="37">
        <f>IF($A199="","",INDEX(Items!$AK$2:$AK$201,MATCH($A199,Items!$AB$2:$AB$201,0)))</f>
        <v/>
      </c>
      <c r="C199" s="37">
        <f>IF($A199="","",INDEX(Items!$AL$2:$AL$201,MATCH($A199,Items!$AB$2:$AB$201,0)))</f>
        <v/>
      </c>
      <c r="D199" s="37">
        <f>IF($A199="","",INDEX(Items!$AM$2:$AM$201,MATCH($A199,Items!$AB$2:$AB$201,0)))</f>
        <v/>
      </c>
      <c r="E199" s="37">
        <f>IF($A199="","",INDEX(Items!$AC$2:$AC$201,MATCH($A199,Items!$AB$2:$AB$201,0)))</f>
        <v/>
      </c>
      <c r="F199" s="37">
        <f>IF($A199="","",INDEX(Items!$AN$2:$AN$201,MATCH($A199,Items!$AB$2:$AB$201,0)))</f>
        <v/>
      </c>
      <c r="G199" s="60" t="n"/>
      <c r="H199" s="61" t="n"/>
    </row>
    <row r="200">
      <c r="A200" s="36">
        <f>IF(ISNUMBER(MATCH(197,Items!$AB$2:$AB$201,0)),197,"")</f>
        <v/>
      </c>
      <c r="B200" s="37">
        <f>IF($A200="","",INDEX(Items!$AK$2:$AK$201,MATCH($A200,Items!$AB$2:$AB$201,0)))</f>
        <v/>
      </c>
      <c r="C200" s="37">
        <f>IF($A200="","",INDEX(Items!$AL$2:$AL$201,MATCH($A200,Items!$AB$2:$AB$201,0)))</f>
        <v/>
      </c>
      <c r="D200" s="37">
        <f>IF($A200="","",INDEX(Items!$AM$2:$AM$201,MATCH($A200,Items!$AB$2:$AB$201,0)))</f>
        <v/>
      </c>
      <c r="E200" s="37">
        <f>IF($A200="","",INDEX(Items!$AC$2:$AC$201,MATCH($A200,Items!$AB$2:$AB$201,0)))</f>
        <v/>
      </c>
      <c r="F200" s="37">
        <f>IF($A200="","",INDEX(Items!$AN$2:$AN$201,MATCH($A200,Items!$AB$2:$AB$201,0)))</f>
        <v/>
      </c>
      <c r="G200" s="60" t="n"/>
      <c r="H200" s="61" t="n"/>
    </row>
    <row r="201">
      <c r="A201" s="36">
        <f>IF(ISNUMBER(MATCH(198,Items!$AB$2:$AB$201,0)),198,"")</f>
        <v/>
      </c>
      <c r="B201" s="37">
        <f>IF($A201="","",INDEX(Items!$AK$2:$AK$201,MATCH($A201,Items!$AB$2:$AB$201,0)))</f>
        <v/>
      </c>
      <c r="C201" s="37">
        <f>IF($A201="","",INDEX(Items!$AL$2:$AL$201,MATCH($A201,Items!$AB$2:$AB$201,0)))</f>
        <v/>
      </c>
      <c r="D201" s="37">
        <f>IF($A201="","",INDEX(Items!$AM$2:$AM$201,MATCH($A201,Items!$AB$2:$AB$201,0)))</f>
        <v/>
      </c>
      <c r="E201" s="37">
        <f>IF($A201="","",INDEX(Items!$AC$2:$AC$201,MATCH($A201,Items!$AB$2:$AB$201,0)))</f>
        <v/>
      </c>
      <c r="F201" s="37">
        <f>IF($A201="","",INDEX(Items!$AN$2:$AN$201,MATCH($A201,Items!$AB$2:$AB$201,0)))</f>
        <v/>
      </c>
      <c r="G201" s="60" t="n"/>
      <c r="H201" s="61" t="n"/>
    </row>
    <row r="202">
      <c r="A202" s="36">
        <f>IF(ISNUMBER(MATCH(199,Items!$AB$2:$AB$201,0)),199,"")</f>
        <v/>
      </c>
      <c r="B202" s="37">
        <f>IF($A202="","",INDEX(Items!$AK$2:$AK$201,MATCH($A202,Items!$AB$2:$AB$201,0)))</f>
        <v/>
      </c>
      <c r="C202" s="37">
        <f>IF($A202="","",INDEX(Items!$AL$2:$AL$201,MATCH($A202,Items!$AB$2:$AB$201,0)))</f>
        <v/>
      </c>
      <c r="D202" s="37">
        <f>IF($A202="","",INDEX(Items!$AM$2:$AM$201,MATCH($A202,Items!$AB$2:$AB$201,0)))</f>
        <v/>
      </c>
      <c r="E202" s="37">
        <f>IF($A202="","",INDEX(Items!$AC$2:$AC$201,MATCH($A202,Items!$AB$2:$AB$201,0)))</f>
        <v/>
      </c>
      <c r="F202" s="37">
        <f>IF($A202="","",INDEX(Items!$AN$2:$AN$201,MATCH($A202,Items!$AB$2:$AB$201,0)))</f>
        <v/>
      </c>
      <c r="G202" s="60" t="n"/>
      <c r="H202" s="61" t="n"/>
    </row>
    <row r="203">
      <c r="A203" s="36">
        <f>IF(ISNUMBER(MATCH(200,Items!$AB$2:$AB$201,0)),200,"")</f>
        <v/>
      </c>
      <c r="B203" s="37">
        <f>IF($A203="","",INDEX(Items!$AK$2:$AK$201,MATCH($A203,Items!$AB$2:$AB$201,0)))</f>
        <v/>
      </c>
      <c r="C203" s="37">
        <f>IF($A203="","",INDEX(Items!$AL$2:$AL$201,MATCH($A203,Items!$AB$2:$AB$201,0)))</f>
        <v/>
      </c>
      <c r="D203" s="37">
        <f>IF($A203="","",INDEX(Items!$AM$2:$AM$201,MATCH($A203,Items!$AB$2:$AB$201,0)))</f>
        <v/>
      </c>
      <c r="E203" s="37">
        <f>IF($A203="","",INDEX(Items!$AC$2:$AC$201,MATCH($A203,Items!$AB$2:$AB$201,0)))</f>
        <v/>
      </c>
      <c r="F203" s="37">
        <f>IF($A203="","",INDEX(Items!$AN$2:$AN$201,MATCH($A203,Items!$AB$2:$AB$201,0)))</f>
        <v/>
      </c>
      <c r="G203" s="60" t="n"/>
      <c r="H203" s="61" t="n"/>
    </row>
  </sheetData>
  <dataValidations count="1">
    <dataValidation sqref="G4:G203" showDropDown="0" showInputMessage="0" showErrorMessage="1" allowBlank="1" errorTitle="Thank-you sent" error="Pick Yes or No." type="list" errorStyle="warning">
      <formula1>Lists!$D$2:$D$3</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6.xml><?xml version="1.0" encoding="utf-8"?>
<worksheet xmlns="http://schemas.openxmlformats.org/spreadsheetml/2006/main">
  <sheetPr>
    <tabColor rgb="008F8499"/>
    <outlinePr summaryBelow="1" summaryRight="1"/>
    <pageSetUpPr/>
  </sheetPr>
  <dimension ref="A1:D22"/>
  <sheetViews>
    <sheetView workbookViewId="0">
      <pane ySplit="1" topLeftCell="A2" activePane="bottomLeft" state="frozen"/>
      <selection pane="bottomLeft" activeCell="A1" sqref="A1"/>
    </sheetView>
  </sheetViews>
  <sheetFormatPr baseColWidth="8" defaultRowHeight="15"/>
  <cols>
    <col width="32" customWidth="1" min="1" max="1"/>
    <col width="50" customWidth="1" min="2" max="2"/>
    <col width="3" customWidth="1" min="3" max="3"/>
    <col width="24" customWidth="1" min="4" max="4"/>
  </cols>
  <sheetData>
    <row r="1" ht="32" customHeight="1">
      <c r="A1" s="5" t="inlineStr">
        <is>
          <t>Column names to look for</t>
        </is>
      </c>
      <c r="B1" s="5" t="inlineStr">
        <is>
          <t>Header in your export (edit if you renamed a question)</t>
        </is>
      </c>
      <c r="D1" s="5" t="inlineStr">
        <is>
          <t>Thank-you sent options</t>
        </is>
      </c>
    </row>
    <row r="2">
      <c r="A2" s="62" t="inlineStr">
        <is>
          <t>Submitted at</t>
        </is>
      </c>
      <c r="B2" s="61" t="inlineStr">
        <is>
          <t>Submitted at</t>
        </is>
      </c>
      <c r="D2" s="61" t="inlineStr">
        <is>
          <t>Yes</t>
        </is>
      </c>
    </row>
    <row r="3">
      <c r="A3" s="62" t="inlineStr">
        <is>
          <t>Who is donating</t>
        </is>
      </c>
      <c r="B3" s="61" t="inlineStr">
        <is>
          <t>Who is donating?</t>
        </is>
      </c>
      <c r="D3" s="61" t="inlineStr">
        <is>
          <t>No</t>
        </is>
      </c>
    </row>
    <row r="4">
      <c r="A4" s="62" t="inlineStr">
        <is>
          <t>Business name</t>
        </is>
      </c>
      <c r="B4" s="61" t="inlineStr">
        <is>
          <t>Business or organisation name</t>
        </is>
      </c>
    </row>
    <row r="5">
      <c r="A5" s="62" t="inlineStr">
        <is>
          <t>Donor name</t>
        </is>
      </c>
      <c r="B5" s="61" t="inlineStr">
        <is>
          <t>Your name</t>
        </is>
      </c>
    </row>
    <row r="6">
      <c r="A6" s="62" t="inlineStr">
        <is>
          <t>Email</t>
        </is>
      </c>
      <c r="B6" s="61" t="inlineStr">
        <is>
          <t>Email</t>
        </is>
      </c>
    </row>
    <row r="7">
      <c r="A7" s="62" t="inlineStr">
        <is>
          <t>Credit choice</t>
        </is>
      </c>
      <c r="B7" s="61" t="inlineStr">
        <is>
          <t>How should we credit you?</t>
        </is>
      </c>
    </row>
    <row r="8">
      <c r="A8" s="62" t="inlineStr">
        <is>
          <t>Catalogue name</t>
        </is>
      </c>
      <c r="B8" s="61" t="inlineStr">
        <is>
          <t>Name to print in the catalogue</t>
        </is>
      </c>
    </row>
    <row r="9">
      <c r="A9" s="62" t="inlineStr">
        <is>
          <t>Item name</t>
        </is>
      </c>
      <c r="B9" s="61" t="inlineStr">
        <is>
          <t>Item name</t>
        </is>
      </c>
    </row>
    <row r="10">
      <c r="A10" s="62" t="inlineStr">
        <is>
          <t>Description</t>
        </is>
      </c>
      <c r="B10" s="61" t="inlineStr">
        <is>
          <t>Describe the item as bidders should read it</t>
        </is>
      </c>
    </row>
    <row r="11">
      <c r="A11" s="62" t="inlineStr">
        <is>
          <t>Estimated value</t>
        </is>
      </c>
      <c r="B11" s="61" t="inlineStr">
        <is>
          <t>Estimated value</t>
        </is>
      </c>
    </row>
    <row r="12">
      <c r="A12" s="62" t="inlineStr">
        <is>
          <t>Restrictions</t>
        </is>
      </c>
      <c r="B12" s="61" t="inlineStr">
        <is>
          <t>Restrictions or expiry</t>
        </is>
      </c>
    </row>
    <row r="13">
      <c r="A13" s="62" t="inlineStr">
        <is>
          <t>Delivery</t>
        </is>
      </c>
      <c r="B13" s="61" t="inlineStr">
        <is>
          <t>How will the item reach us?</t>
        </is>
      </c>
    </row>
    <row r="16">
      <c r="A16" s="59" t="inlineStr">
        <is>
          <t>Answers to look for (edit if you renamed an option)</t>
        </is>
      </c>
    </row>
    <row r="17">
      <c r="A17" s="62" t="inlineStr">
        <is>
          <t>Who is donating: a business</t>
        </is>
      </c>
      <c r="B17" s="61" t="inlineStr">
        <is>
          <t>A business or organisation</t>
        </is>
      </c>
    </row>
    <row r="18">
      <c r="A18" s="62" t="inlineStr">
        <is>
          <t>Credit: a different name</t>
        </is>
      </c>
      <c r="B18" s="61" t="inlineStr">
        <is>
          <t>Use a different name</t>
        </is>
      </c>
    </row>
    <row r="19">
      <c r="A19" s="62" t="inlineStr">
        <is>
          <t>Credit: no public credit</t>
        </is>
      </c>
      <c r="B19" s="61" t="inlineStr">
        <is>
          <t>No public credit, please</t>
        </is>
      </c>
    </row>
    <row r="22">
      <c r="A22" s="32" t="inlineStr">
        <is>
          <t>The sheet finds columns by these names, so column order does not matter.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2026-10-27T08:46:41Z</dcterms:created>
  <dcterms:modified xmlns:dcterms="http://purl.org/dc/terms/" xmlns:xsi="http://www.w3.org/2001/XMLSchema-instance" xsi:type="dcterms:W3CDTF">2026-10-27T08:46:41Z</dcterms:modified>
</cp:coreProperties>
</file>