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sponses" sheetId="2" state="visible" r:id="rId2"/>
    <sheet xmlns:r="http://schemas.openxmlformats.org/officeDocument/2006/relationships" name="Log" sheetId="3" state="visible" r:id="rId3"/>
    <sheet xmlns:r="http://schemas.openxmlformats.org/officeDocument/2006/relationships" name="Tally" sheetId="4" state="visible" r:id="rId4"/>
    <sheet xmlns:r="http://schemas.openxmlformats.org/officeDocument/2006/relationships" name="Speakers" sheetId="5" state="visible" r:id="rId5"/>
    <sheet xmlns:r="http://schemas.openxmlformats.org/officeDocument/2006/relationships" name="Lists" sheetId="6" state="visible" r:id="rId6"/>
  </sheets>
  <definedNames/>
  <calcPr calcId="124519" fullCalcOnLoad="1"/>
</workbook>
</file>

<file path=xl/styles.xml><?xml version="1.0" encoding="utf-8"?>
<styleSheet xmlns="http://schemas.openxmlformats.org/spreadsheetml/2006/main">
  <numFmts count="2">
    <numFmt numFmtId="164" formatCode="yyyy-mm-dd hh:mm"/>
    <numFmt numFmtId="165" formatCode="yyyy-mm-dd"/>
  </numFmts>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i val="1"/>
      <color rgb="005E5468"/>
      <sz val="10"/>
    </font>
    <font>
      <name val="Arial"/>
      <color rgb="005E5468"/>
      <sz val="10"/>
    </font>
    <font>
      <name val="Arial"/>
      <b val="1"/>
      <color rgb="00231A2E"/>
      <sz val="16"/>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D9D3E0"/>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3" fillId="8" borderId="1" applyAlignment="1" pivotButton="0" quotePrefix="0" xfId="0">
      <alignment vertical="center" wrapText="1"/>
    </xf>
    <xf numFmtId="0" fontId="9" fillId="0" borderId="0" pivotButton="0" quotePrefix="0" xfId="0"/>
    <xf numFmtId="0" fontId="0" fillId="6" borderId="0" pivotButton="0" quotePrefix="0" xfId="0"/>
    <xf numFmtId="0" fontId="9" fillId="3" borderId="1" pivotButton="0" quotePrefix="0" xfId="0"/>
    <xf numFmtId="0" fontId="10" fillId="4" borderId="1" pivotButton="0" quotePrefix="0" xfId="0"/>
    <xf numFmtId="164" fontId="10" fillId="4" borderId="1" pivotButton="0" quotePrefix="0" xfId="0"/>
    <xf numFmtId="165" fontId="10" fillId="4" borderId="1" pivotButton="0" quotePrefix="0" xfId="0"/>
    <xf numFmtId="0" fontId="6" fillId="3" borderId="1" pivotButton="0" quotePrefix="0" xfId="0"/>
    <xf numFmtId="0" fontId="11" fillId="0" borderId="0" pivotButton="0" quotePrefix="0" xfId="0"/>
    <xf numFmtId="0" fontId="10" fillId="0" borderId="0" pivotButton="0" quotePrefix="0" xfId="0"/>
    <xf numFmtId="0" fontId="7" fillId="0" borderId="0" pivotButton="0" quotePrefix="0" xfId="0"/>
    <xf numFmtId="164" fontId="6" fillId="4" borderId="1" pivotButton="0" quotePrefix="0" xfId="0"/>
    <xf numFmtId="165" fontId="6" fillId="4" borderId="1" applyAlignment="1" pivotButton="0" quotePrefix="0" xfId="0">
      <alignment horizontal="center"/>
    </xf>
    <xf numFmtId="0" fontId="6" fillId="4" borderId="1" applyAlignment="1" pivotButton="0" quotePrefix="0" xfId="0">
      <alignment horizontal="center"/>
    </xf>
    <xf numFmtId="0" fontId="6" fillId="4" borderId="1" pivotButton="0" quotePrefix="0" xfId="0"/>
    <xf numFmtId="0" fontId="5" fillId="0" borderId="0" pivotButton="0" quotePrefix="0" xfId="0"/>
    <xf numFmtId="165" fontId="5" fillId="3" borderId="1" applyAlignment="1" pivotButton="0" quotePrefix="0" xfId="0">
      <alignment horizontal="center"/>
    </xf>
    <xf numFmtId="0" fontId="5" fillId="4" borderId="1" applyAlignment="1" pivotButton="0" quotePrefix="0" xfId="0">
      <alignment horizontal="center"/>
    </xf>
    <xf numFmtId="0"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HornetForms</author>
  </authors>
  <commentList>
    <comment ref="A1" authorId="0" shapeId="0">
      <text>
        <t>Paste your HornetForms CSV here, starting at this cell, headers included. Rows 2 to 11 are EXAMPLE data: clear A2 to W11 first.</t>
      </text>
    </comment>
    <comment ref="V1" authorId="0" shapeId="0">
      <text>
        <t>Yellow columns are yours. Type Yes once you have read the comment into the record or posted it. Add a short note if you like.</t>
      </text>
    </comment>
    <comment ref="Y1" authorId="0" shapeId="0">
      <text>
        <t>Grey columns are worked out for you. Please do not type here.</t>
      </text>
    </comment>
  </commentList>
</comments>
</file>

<file path=xl/comments/comment2.xml><?xml version="1.0" encoding="utf-8"?>
<comments xmlns="http://schemas.openxmlformats.org/spreadsheetml/2006/main">
  <authors>
    <author>HornetForms</author>
  </authors>
  <commentList>
    <comment ref="B5" authorId="0" shapeId="0">
      <text>
        <t>Type a date like 2026-11-12. Leave empty to count every meeting in the export.</t>
      </text>
    </comment>
    <comment ref="A8" authorId="0" shapeId="0">
      <text>
        <t>Typing the item as 7 on one comment and Item 7 on another counts as two items. Pick one way to write it on the form's prompt or fix the typed answers.</t>
      </text>
    </comment>
  </commentList>
</comments>
</file>

<file path=xl/comments/comment3.xml><?xml version="1.0" encoding="utf-8"?>
<comments xmlns="http://schemas.openxmlformats.org/spreadsheetml/2006/main">
  <authors>
    <author>HornetForms</author>
  </authors>
  <commentList>
    <comment ref="B5" authorId="0" shapeId="0">
      <text>
        <t>Pick an item from the list, or leave empty for every item.</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231A2E"/>
    <outlinePr summaryBelow="1" summaryRight="1"/>
    <pageSetUpPr/>
  </sheetPr>
  <dimension ref="B2: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Public comment log</t>
        </is>
      </c>
    </row>
    <row r="3">
      <c r="B3" s="2" t="inlineStr">
        <is>
          <t>Tally support and oppose per agenda item and keep the speaker list in order. Works in Excel and Google Sheets.</t>
        </is>
      </c>
    </row>
    <row r="5">
      <c r="B5" s="3" t="inlineStr">
        <is>
          <t>Step</t>
        </is>
      </c>
      <c r="C5" s="3" t="inlineStr">
        <is>
          <t>What to do</t>
        </is>
      </c>
      <c r="D5" s="3" t="inlineStr">
        <is>
          <t>How</t>
        </is>
      </c>
    </row>
    <row r="6" ht="51" customHeight="1">
      <c r="B6" s="4" t="n">
        <v>1</v>
      </c>
      <c r="C6" s="5" t="inlineStr">
        <is>
          <t>Export the comments</t>
        </is>
      </c>
      <c r="D6" s="6" t="inlineStr">
        <is>
          <t>In HornetForms, open the form's Responses page and download the CSV. Already sending answers to a Google Sheet? Open that Sheet and use File, Import, Upload this file, then pick "Insert new sheet(s)".</t>
        </is>
      </c>
    </row>
    <row r="7" ht="44" customHeight="1">
      <c r="B7" s="4" t="n">
        <v>2</v>
      </c>
      <c r="C7" s="5" t="inlineStr">
        <is>
          <t>Paste them on Responses</t>
        </is>
      </c>
      <c r="D7" s="6" t="inlineStr">
        <is>
          <t>First clear the example: select A2 to W11 on Responses and press Delete. Then click A1 and paste your CSV, headers included.</t>
        </is>
      </c>
    </row>
    <row r="8" ht="44" customHeight="1">
      <c r="B8" s="4" t="n">
        <v>3</v>
      </c>
      <c r="C8" s="5" t="inlineStr">
        <is>
          <t>Pick a meeting</t>
        </is>
      </c>
      <c r="D8" s="6" t="inlineStr">
        <is>
          <t>On Tally, type the meeting date to count one meeting, or leave it empty to count everything you pasted.</t>
        </is>
      </c>
    </row>
    <row r="9" ht="44" customHeight="1">
      <c r="B9" s="4" t="n">
        <v>4</v>
      </c>
      <c r="C9" s="5" t="inlineStr">
        <is>
          <t>Read the Tally</t>
        </is>
      </c>
      <c r="D9" s="6" t="inlineStr">
        <is>
          <t>Each agenda item gets a row with support, oppose, neither and no position, plus how many asked to speak.</t>
        </is>
      </c>
    </row>
    <row r="10" ht="44" customHeight="1">
      <c r="B10" s="4" t="n">
        <v>5</v>
      </c>
      <c r="C10" s="5" t="inlineStr">
        <is>
          <t>Call the speakers</t>
        </is>
      </c>
      <c r="D10" s="6" t="inlineStr">
        <is>
          <t>On Speakers, pick an item (or none) to see who asked to speak, in the order they sent their comment, with the phone number for people joining online.</t>
        </is>
      </c>
    </row>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pasted headers as they come from HornetForms.</t>
        </is>
      </c>
    </row>
    <row r="17">
      <c r="B17" s="7" t="inlineStr">
        <is>
          <t>Good to know</t>
        </is>
      </c>
    </row>
    <row r="18" ht="34" customHeight="1">
      <c r="C18" s="12" t="inlineStr">
        <is>
          <t>Comments may be public records. Keep this file under your own records schedule, and follow your own rules on what you post or read aloud.</t>
        </is>
      </c>
    </row>
    <row r="19" ht="34" customHeight="1">
      <c r="C19" s="12" t="inlineStr">
        <is>
          <t>A comment counts under the item typed on the form. If the agenda answer is the general comment option, it goes under General comment.</t>
        </is>
      </c>
    </row>
    <row r="20" ht="34" customHeight="1">
      <c r="C20" s="12" t="inlineStr">
        <is>
          <t>If someone leaves the position blank it counts as No position. Anyone can comment on several items, so the same person can appear more than once.</t>
        </is>
      </c>
    </row>
    <row r="21" ht="28" customHeight="1">
      <c r="C21" s="12" t="inlineStr">
        <is>
          <t>Two spellings of an item (7 and Item 7) count as two items. Fix the typed answers on Responses if you spot one.</t>
        </is>
      </c>
    </row>
    <row r="22" ht="28" customHeight="1">
      <c r="C22" s="12" t="inlineStr">
        <is>
          <t>The sheet finds columns by their header names. Renamed a question? Update its name on the Lists tab.</t>
        </is>
      </c>
    </row>
    <row r="23" ht="34" customHeight="1">
      <c r="C23" s="12" t="inlineStr">
        <is>
          <t>Do not sort or delete rows on Responses: your yellow cells line up with the pasted rows. Paste a fresh export over the old one instead.</t>
        </is>
      </c>
    </row>
    <row r="24" ht="28" customHeight="1">
      <c r="C24" s="12" t="inlineStr">
        <is>
          <t>There is room for 500 comments, 40 items and 60 speakers per view.</t>
        </is>
      </c>
    </row>
    <row r="26">
      <c r="B26" s="7" t="inlineStr">
        <is>
          <t>Example data</t>
        </is>
      </c>
    </row>
    <row r="27" ht="32" customHeight="1">
      <c r="C27" s="13" t="inlineStr">
        <is>
          <t>Rows 2 to 11 on Responses are EXAMPLE data with invented people, so you can see the Tally and Speakers work. Clear them before you add your own.</t>
        </is>
      </c>
    </row>
    <row r="29">
      <c r="C29" s="14" t="inlineStr">
        <is>
          <t>Made by HornetForms, hornetforms.com</t>
        </is>
      </c>
    </row>
  </sheetData>
  <mergeCells count="8">
    <mergeCell ref="C20:D20"/>
    <mergeCell ref="C21:D21"/>
    <mergeCell ref="C24:D24"/>
    <mergeCell ref="C27:D27"/>
    <mergeCell ref="C19:D19"/>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AL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22"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 width="14" customWidth="1" min="17" max="17"/>
    <col width="14" customWidth="1" min="18" max="18"/>
    <col width="14" customWidth="1" min="19" max="19"/>
    <col width="14" customWidth="1" min="20" max="20"/>
    <col width="2" customWidth="1" min="21" max="21"/>
    <col width="12" customWidth="1" min="22" max="22"/>
    <col width="30" customWidth="1" min="23" max="23"/>
    <col width="2" customWidth="1" min="24" max="24"/>
    <col width="20" customWidth="1" min="25" max="25"/>
    <col width="20" customWidth="1" min="26" max="26"/>
    <col width="20" customWidth="1" min="27" max="27"/>
    <col width="20" customWidth="1" min="28" max="28"/>
    <col width="20" customWidth="1" min="29" max="29"/>
    <col width="20" customWidth="1" min="30" max="30"/>
    <col width="20" customWidth="1" min="31" max="31"/>
    <col width="20" customWidth="1" min="32" max="32"/>
    <col width="20" customWidth="1" min="33" max="33"/>
    <col width="44" customWidth="1" min="34" max="34"/>
    <col width="20" customWidth="1" min="35" max="35"/>
    <col width="20" customWidth="1" min="36" max="36"/>
    <col width="20" customWidth="1" min="37" max="37"/>
    <col width="20" customWidth="1" min="38" max="38"/>
  </cols>
  <sheetData>
    <row r="1" ht="48" customHeight="1">
      <c r="A1" s="3" t="inlineStr">
        <is>
          <t>Response ID</t>
        </is>
      </c>
      <c r="B1" s="3" t="inlineStr">
        <is>
          <t>Submitted at</t>
        </is>
      </c>
      <c r="C1" s="3" t="inlineStr">
        <is>
          <t>Started at</t>
        </is>
      </c>
      <c r="D1" s="3" t="inlineStr">
        <is>
          <t>meeting</t>
        </is>
      </c>
      <c r="E1" s="3" t="inlineStr">
        <is>
          <t>item</t>
        </is>
      </c>
      <c r="F1" s="3" t="inlineStr">
        <is>
          <t>Meeting date</t>
        </is>
      </c>
      <c r="G1" s="3" t="inlineStr">
        <is>
          <t>Is your comment about an agenda item?</t>
        </is>
      </c>
      <c r="H1" s="3" t="inlineStr">
        <is>
          <t>Agenda item number or title</t>
        </is>
      </c>
      <c r="I1" s="3" t="inlineStr">
        <is>
          <t>Your position</t>
        </is>
      </c>
      <c r="J1" s="3" t="inlineStr">
        <is>
          <t>Your comment</t>
        </is>
      </c>
      <c r="K1" s="3" t="inlineStr">
        <is>
          <t>Attach a letter, photo or document (optional)</t>
        </is>
      </c>
      <c r="L1" s="3" t="inlineStr">
        <is>
          <t>Full name</t>
        </is>
      </c>
      <c r="M1" s="3" t="inlineStr">
        <is>
          <t>City or neighborhood</t>
        </is>
      </c>
      <c r="N1" s="3" t="inlineStr">
        <is>
          <t>Email (optional)</t>
        </is>
      </c>
      <c r="O1" s="3" t="inlineStr">
        <is>
          <t>Would you also like to speak at the meeting?</t>
        </is>
      </c>
      <c r="P1" s="3" t="inlineStr">
        <is>
          <t>Phone number for joining online</t>
        </is>
      </c>
      <c r="Q1" s="3" t="inlineStr">
        <is>
          <t>Form version</t>
        </is>
      </c>
      <c r="R1" s="3" t="n"/>
      <c r="S1" s="3" t="n"/>
      <c r="T1" s="3" t="n"/>
      <c r="U1" s="15" t="n"/>
      <c r="V1" s="16" t="inlineStr">
        <is>
          <t>Read or posted?</t>
        </is>
      </c>
      <c r="W1" s="16" t="inlineStr">
        <is>
          <t>Note</t>
        </is>
      </c>
      <c r="X1" s="15" t="n"/>
      <c r="Y1" s="17" t="inlineStr">
        <is>
          <t>Response ID (worked out)</t>
        </is>
      </c>
      <c r="Z1" s="17" t="inlineStr">
        <is>
          <t>Received (worked out)</t>
        </is>
      </c>
      <c r="AA1" s="17" t="inlineStr">
        <is>
          <t>Meeting date (worked out)</t>
        </is>
      </c>
      <c r="AB1" s="17" t="inlineStr">
        <is>
          <t>Item (worked out)</t>
        </is>
      </c>
      <c r="AC1" s="17" t="inlineStr">
        <is>
          <t>Position (worked out)</t>
        </is>
      </c>
      <c r="AD1" s="17" t="inlineStr">
        <is>
          <t>Speaking (worked out)</t>
        </is>
      </c>
      <c r="AE1" s="17" t="inlineStr">
        <is>
          <t>Name (worked out)</t>
        </is>
      </c>
      <c r="AF1" s="17" t="inlineStr">
        <is>
          <t>City (worked out)</t>
        </is>
      </c>
      <c r="AG1" s="17" t="inlineStr">
        <is>
          <t>Phone to join online (worked out)</t>
        </is>
      </c>
      <c r="AH1" s="17" t="inlineStr">
        <is>
          <t>Comment starts with (worked out)</t>
        </is>
      </c>
      <c r="AI1" s="17" t="inlineStr">
        <is>
          <t>In the meeting shown (worked out)</t>
        </is>
      </c>
      <c r="AJ1" s="17" t="inlineStr">
        <is>
          <t>First time this item shows (worked out)</t>
        </is>
      </c>
      <c r="AK1" s="17" t="inlineStr">
        <is>
          <t>Item number in list (worked out)</t>
        </is>
      </c>
      <c r="AL1" s="17" t="inlineStr">
        <is>
          <t>Speaker sort key (worked out)</t>
        </is>
      </c>
    </row>
    <row r="2">
      <c r="A2" s="18" t="inlineStr">
        <is>
          <t>EXAMPLE-01 (delete me)</t>
        </is>
      </c>
      <c r="B2" s="18" t="inlineStr">
        <is>
          <t>2026-11-02T09:15:00.000Z</t>
        </is>
      </c>
      <c r="C2" s="18" t="inlineStr">
        <is>
          <t>2026-11-02T08:00:00.000Z</t>
        </is>
      </c>
      <c r="D2" s="18" t="inlineStr">
        <is>
          <t>2026-11-12</t>
        </is>
      </c>
      <c r="E2" s="18" t="inlineStr">
        <is>
          <t>7</t>
        </is>
      </c>
      <c r="F2" s="18" t="inlineStr">
        <is>
          <t>2026-11-12</t>
        </is>
      </c>
      <c r="G2" s="18" t="inlineStr">
        <is>
          <t>Yes</t>
        </is>
      </c>
      <c r="H2" s="18" t="inlineStr">
        <is>
          <t>7</t>
        </is>
      </c>
      <c r="I2" s="18" t="inlineStr">
        <is>
          <t>I support it</t>
        </is>
      </c>
      <c r="J2" s="18" t="inlineStr">
        <is>
          <t>The new crosswalk will make school mornings safer.</t>
        </is>
      </c>
      <c r="K2" s="18" t="inlineStr"/>
      <c r="L2" s="18" t="inlineStr">
        <is>
          <t>Ana Reyes</t>
        </is>
      </c>
      <c r="M2" s="18" t="inlineStr">
        <is>
          <t>Eastside</t>
        </is>
      </c>
      <c r="N2" s="18" t="inlineStr"/>
      <c r="O2" s="18" t="inlineStr">
        <is>
          <t>Yes, in person</t>
        </is>
      </c>
      <c r="P2" s="18" t="inlineStr"/>
      <c r="Q2" s="18" t="n">
        <v>1</v>
      </c>
      <c r="U2" s="19" t="n"/>
      <c r="V2" s="20" t="inlineStr">
        <is>
          <t>Yes</t>
        </is>
      </c>
      <c r="W2" s="20" t="n"/>
      <c r="X2" s="19" t="n"/>
      <c r="Y2" s="21">
        <f>IFERROR(TRIM(INDEX($A2:$T2,MATCH(Lists!$F$2,$A$1:$T$1,0))&amp;""),"")</f>
        <v/>
      </c>
      <c r="Z2" s="22">
        <f>IF(Y2="","",IFERROR(IF(ISNUMBER(INDEX($A2:$T2,MATCH(Lists!$F$3,$A$1:$T$1,0))),INDEX($A2:$T2,MATCH(Lists!$F$3,$A$1:$T$1,0)),DATE(VALUE(LEFT(IFERROR(TRIM(INDEX($A2:$T2,MATCH(Lists!$F$3,$A$1:$T$1,0))&amp;""),""),4)),VALUE(MID(IFERROR(TRIM(INDEX($A2:$T2,MATCH(Lists!$F$3,$A$1:$T$1,0))&amp;""),""),6,2)),VALUE(MID(IFERROR(TRIM(INDEX($A2:$T2,MATCH(Lists!$F$3,$A$1:$T$1,0))&amp;""),""),9,2)))+TIME(VALUE(MID(IFERROR(TRIM(INDEX($A2:$T2,MATCH(Lists!$F$3,$A$1:$T$1,0))&amp;""),""),12,2)),VALUE(MID(IFERROR(TRIM(INDEX($A2:$T2,MATCH(Lists!$F$3,$A$1:$T$1,0))&amp;""),""),15,2)),VALUE(MID(IFERROR(TRIM(INDEX($A2:$T2,MATCH(Lists!$F$3,$A$1:$T$1,0))&amp;""),""),18,2)))),""))</f>
        <v/>
      </c>
      <c r="AA2" s="23">
        <f>IF(Y2="","",IF(ISNUMBER(IFERROR(IF(TRIM(INDEX($A2:$T2,MATCH(Lists!$F$4,$A$1:$T$1,0))&amp;"")="","",IF(ISNUMBER(INDEX($A2:$T2,MATCH(Lists!$F$4,$A$1:$T$1,0))),INT(INDEX($A2:$T2,MATCH(Lists!$F$4,$A$1:$T$1,0))),DATE(VALUE(LEFT(INDEX($A2:$T2,MATCH(Lists!$F$4,$A$1:$T$1,0)),4)),VALUE(MID(INDEX($A2:$T2,MATCH(Lists!$F$4,$A$1:$T$1,0)),6,2)),VALUE(MID(INDEX($A2:$T2,MATCH(Lists!$F$4,$A$1:$T$1,0)),9,2))))),"")),IFERROR(IF(TRIM(INDEX($A2:$T2,MATCH(Lists!$F$4,$A$1:$T$1,0))&amp;"")="","",IF(ISNUMBER(INDEX($A2:$T2,MATCH(Lists!$F$4,$A$1:$T$1,0))),INT(INDEX($A2:$T2,MATCH(Lists!$F$4,$A$1:$T$1,0))),DATE(VALUE(LEFT(INDEX($A2:$T2,MATCH(Lists!$F$4,$A$1:$T$1,0)),4)),VALUE(MID(INDEX($A2:$T2,MATCH(Lists!$F$4,$A$1:$T$1,0)),6,2)),VALUE(MID(INDEX($A2:$T2,MATCH(Lists!$F$4,$A$1:$T$1,0)),9,2))))),""),IFERROR(IF(TRIM(INDEX($A2:$T2,MATCH(Lists!$F$5,$A$1:$T$1,0))&amp;"")="","",IF(ISNUMBER(INDEX($A2:$T2,MATCH(Lists!$F$5,$A$1:$T$1,0))),INT(INDEX($A2:$T2,MATCH(Lists!$F$5,$A$1:$T$1,0))),DATE(VALUE(LEFT(INDEX($A2:$T2,MATCH(Lists!$F$5,$A$1:$T$1,0)),4)),VALUE(MID(INDEX($A2:$T2,MATCH(Lists!$F$5,$A$1:$T$1,0)),6,2)),VALUE(MID(INDEX($A2:$T2,MATCH(Lists!$F$5,$A$1:$T$1,0)),9,2))))),"")))</f>
        <v/>
      </c>
      <c r="AB2" s="21">
        <f>IF(Y2="","",IF(LEFT(IFERROR(TRIM(INDEX($A2:$T2,MATCH(Lists!$F$6,$A$1:$T$1,0))&amp;""),""),2)="No","General comment",IF(IFERROR(TRIM(INDEX($A2:$T2,MATCH(Lists!$F$7,$A$1:$T$1,0))&amp;""),"")&lt;&gt;"",IFERROR(TRIM(INDEX($A2:$T2,MATCH(Lists!$F$7,$A$1:$T$1,0))&amp;""),""),IF(IFERROR(TRIM(INDEX($A2:$T2,MATCH(Lists!$F$8,$A$1:$T$1,0))&amp;""),"")&lt;&gt;"",IFERROR(TRIM(INDEX($A2:$T2,MATCH(Lists!$F$8,$A$1:$T$1,0))&amp;""),""),"(no item given)"))))</f>
        <v/>
      </c>
      <c r="AC2" s="21">
        <f>IF(Y2="","",IF(ISNUMBER(SEARCH("support",IFERROR(TRIM(INDEX($A2:$T2,MATCH(Lists!$F$9,$A$1:$T$1,0))&amp;""),""))),"Support",IF(ISNUMBER(SEARCH("oppose",IFERROR(TRIM(INDEX($A2:$T2,MATCH(Lists!$F$9,$A$1:$T$1,0))&amp;""),""))),"Oppose",IF(IFERROR(TRIM(INDEX($A2:$T2,MATCH(Lists!$F$9,$A$1:$T$1,0))&amp;""),"")="","No position","Neither"))))</f>
        <v/>
      </c>
      <c r="AD2" s="21">
        <f>IF(Y2="","",IF(ISNUMBER(SEARCH("in person",IFERROR(TRIM(INDEX($A2:$T2,MATCH(Lists!$F$13,$A$1:$T$1,0))&amp;""),""))),"In person",IF(ISNUMBER(SEARCH("online",IFERROR(TRIM(INDEX($A2:$T2,MATCH(Lists!$F$13,$A$1:$T$1,0))&amp;""),""))),"Online","Written only")))</f>
        <v/>
      </c>
      <c r="AE2" s="21">
        <f>IF(Y2="","",IFERROR(TRIM(INDEX($A2:$T2,MATCH(Lists!$F$11,$A$1:$T$1,0))&amp;""),""))</f>
        <v/>
      </c>
      <c r="AF2" s="21">
        <f>IF(Y2="","",IFERROR(TRIM(INDEX($A2:$T2,MATCH(Lists!$F$12,$A$1:$T$1,0))&amp;""),""))</f>
        <v/>
      </c>
      <c r="AG2" s="21">
        <f>IF(Y2="","",IFERROR(TRIM(INDEX($A2:$T2,MATCH(Lists!$F$14,$A$1:$T$1,0))&amp;""),""))</f>
        <v/>
      </c>
      <c r="AH2" s="21">
        <f>IF(Y2="","",LEFT(IFERROR(TRIM(INDEX($A2:$T2,MATCH(Lists!$F$10,$A$1:$T$1,0))&amp;""),""),80))</f>
        <v/>
      </c>
      <c r="AI2" s="21">
        <f>IF(Y2="",0,IF(OR(Tally!$B$5="",AA2=Tally!$B$5),1,0))</f>
        <v/>
      </c>
      <c r="AJ2" s="21">
        <f>IF(AI2=1,IF(COUNTIFS($AB$2:AB2,AB2,$AI$2:AI2,1)=1,1,0),0)</f>
        <v/>
      </c>
      <c r="AK2" s="21">
        <f>IF(AJ2=1,SUM($AJ$2:AJ2),"")</f>
        <v/>
      </c>
      <c r="AL2" s="21">
        <f>IF(AND(AI2=1,OR(AD2="In person",AD2="Online"),OR(Speakers!$B$5="",AB2=Speakers!$B$5)),N(Z2)+ROW()/1000000000,"")</f>
        <v/>
      </c>
    </row>
    <row r="3">
      <c r="A3" s="18" t="inlineStr">
        <is>
          <t>EXAMPLE-02 (delete me)</t>
        </is>
      </c>
      <c r="B3" s="18" t="inlineStr">
        <is>
          <t>2026-11-02T08:40:00.000Z</t>
        </is>
      </c>
      <c r="C3" s="18" t="inlineStr">
        <is>
          <t>2026-11-02T08:00:00.000Z</t>
        </is>
      </c>
      <c r="D3" s="18" t="inlineStr">
        <is>
          <t>2026-11-12</t>
        </is>
      </c>
      <c r="E3" s="18" t="inlineStr">
        <is>
          <t>7</t>
        </is>
      </c>
      <c r="F3" s="18" t="inlineStr">
        <is>
          <t>2026-11-12</t>
        </is>
      </c>
      <c r="G3" s="18" t="inlineStr">
        <is>
          <t>Yes</t>
        </is>
      </c>
      <c r="H3" s="18" t="inlineStr">
        <is>
          <t>7</t>
        </is>
      </c>
      <c r="I3" s="18" t="inlineStr">
        <is>
          <t>I oppose it</t>
        </is>
      </c>
      <c r="J3" s="18" t="inlineStr">
        <is>
          <t>I worry about losing parking on Main Street.</t>
        </is>
      </c>
      <c r="K3" s="18" t="inlineStr"/>
      <c r="L3" s="18" t="inlineStr">
        <is>
          <t>Ben Kim</t>
        </is>
      </c>
      <c r="M3" s="18" t="inlineStr">
        <is>
          <t>Downtown</t>
        </is>
      </c>
      <c r="N3" s="18" t="inlineStr"/>
      <c r="O3" s="18" t="inlineStr">
        <is>
          <t>Yes, online</t>
        </is>
      </c>
      <c r="P3" s="18" t="inlineStr">
        <is>
          <t>555-0111</t>
        </is>
      </c>
      <c r="Q3" s="18" t="n">
        <v>1</v>
      </c>
      <c r="U3" s="19" t="n"/>
      <c r="V3" s="20" t="inlineStr">
        <is>
          <t>Yes</t>
        </is>
      </c>
      <c r="W3" s="20" t="n"/>
      <c r="X3" s="19" t="n"/>
      <c r="Y3" s="21">
        <f>IFERROR(TRIM(INDEX($A3:$T3,MATCH(Lists!$F$2,$A$1:$T$1,0))&amp;""),"")</f>
        <v/>
      </c>
      <c r="Z3" s="22">
        <f>IF(Y3="","",IFERROR(IF(ISNUMBER(INDEX($A3:$T3,MATCH(Lists!$F$3,$A$1:$T$1,0))),INDEX($A3:$T3,MATCH(Lists!$F$3,$A$1:$T$1,0)),DATE(VALUE(LEFT(IFERROR(TRIM(INDEX($A3:$T3,MATCH(Lists!$F$3,$A$1:$T$1,0))&amp;""),""),4)),VALUE(MID(IFERROR(TRIM(INDEX($A3:$T3,MATCH(Lists!$F$3,$A$1:$T$1,0))&amp;""),""),6,2)),VALUE(MID(IFERROR(TRIM(INDEX($A3:$T3,MATCH(Lists!$F$3,$A$1:$T$1,0))&amp;""),""),9,2)))+TIME(VALUE(MID(IFERROR(TRIM(INDEX($A3:$T3,MATCH(Lists!$F$3,$A$1:$T$1,0))&amp;""),""),12,2)),VALUE(MID(IFERROR(TRIM(INDEX($A3:$T3,MATCH(Lists!$F$3,$A$1:$T$1,0))&amp;""),""),15,2)),VALUE(MID(IFERROR(TRIM(INDEX($A3:$T3,MATCH(Lists!$F$3,$A$1:$T$1,0))&amp;""),""),18,2)))),""))</f>
        <v/>
      </c>
      <c r="AA3" s="23">
        <f>IF(Y3="","",IF(ISNUMBER(IFERROR(IF(TRIM(INDEX($A3:$T3,MATCH(Lists!$F$4,$A$1:$T$1,0))&amp;"")="","",IF(ISNUMBER(INDEX($A3:$T3,MATCH(Lists!$F$4,$A$1:$T$1,0))),INT(INDEX($A3:$T3,MATCH(Lists!$F$4,$A$1:$T$1,0))),DATE(VALUE(LEFT(INDEX($A3:$T3,MATCH(Lists!$F$4,$A$1:$T$1,0)),4)),VALUE(MID(INDEX($A3:$T3,MATCH(Lists!$F$4,$A$1:$T$1,0)),6,2)),VALUE(MID(INDEX($A3:$T3,MATCH(Lists!$F$4,$A$1:$T$1,0)),9,2))))),"")),IFERROR(IF(TRIM(INDEX($A3:$T3,MATCH(Lists!$F$4,$A$1:$T$1,0))&amp;"")="","",IF(ISNUMBER(INDEX($A3:$T3,MATCH(Lists!$F$4,$A$1:$T$1,0))),INT(INDEX($A3:$T3,MATCH(Lists!$F$4,$A$1:$T$1,0))),DATE(VALUE(LEFT(INDEX($A3:$T3,MATCH(Lists!$F$4,$A$1:$T$1,0)),4)),VALUE(MID(INDEX($A3:$T3,MATCH(Lists!$F$4,$A$1:$T$1,0)),6,2)),VALUE(MID(INDEX($A3:$T3,MATCH(Lists!$F$4,$A$1:$T$1,0)),9,2))))),""),IFERROR(IF(TRIM(INDEX($A3:$T3,MATCH(Lists!$F$5,$A$1:$T$1,0))&amp;"")="","",IF(ISNUMBER(INDEX($A3:$T3,MATCH(Lists!$F$5,$A$1:$T$1,0))),INT(INDEX($A3:$T3,MATCH(Lists!$F$5,$A$1:$T$1,0))),DATE(VALUE(LEFT(INDEX($A3:$T3,MATCH(Lists!$F$5,$A$1:$T$1,0)),4)),VALUE(MID(INDEX($A3:$T3,MATCH(Lists!$F$5,$A$1:$T$1,0)),6,2)),VALUE(MID(INDEX($A3:$T3,MATCH(Lists!$F$5,$A$1:$T$1,0)),9,2))))),"")))</f>
        <v/>
      </c>
      <c r="AB3" s="21">
        <f>IF(Y3="","",IF(LEFT(IFERROR(TRIM(INDEX($A3:$T3,MATCH(Lists!$F$6,$A$1:$T$1,0))&amp;""),""),2)="No","General comment",IF(IFERROR(TRIM(INDEX($A3:$T3,MATCH(Lists!$F$7,$A$1:$T$1,0))&amp;""),"")&lt;&gt;"",IFERROR(TRIM(INDEX($A3:$T3,MATCH(Lists!$F$7,$A$1:$T$1,0))&amp;""),""),IF(IFERROR(TRIM(INDEX($A3:$T3,MATCH(Lists!$F$8,$A$1:$T$1,0))&amp;""),"")&lt;&gt;"",IFERROR(TRIM(INDEX($A3:$T3,MATCH(Lists!$F$8,$A$1:$T$1,0))&amp;""),""),"(no item given)"))))</f>
        <v/>
      </c>
      <c r="AC3" s="21">
        <f>IF(Y3="","",IF(ISNUMBER(SEARCH("support",IFERROR(TRIM(INDEX($A3:$T3,MATCH(Lists!$F$9,$A$1:$T$1,0))&amp;""),""))),"Support",IF(ISNUMBER(SEARCH("oppose",IFERROR(TRIM(INDEX($A3:$T3,MATCH(Lists!$F$9,$A$1:$T$1,0))&amp;""),""))),"Oppose",IF(IFERROR(TRIM(INDEX($A3:$T3,MATCH(Lists!$F$9,$A$1:$T$1,0))&amp;""),"")="","No position","Neither"))))</f>
        <v/>
      </c>
      <c r="AD3" s="21">
        <f>IF(Y3="","",IF(ISNUMBER(SEARCH("in person",IFERROR(TRIM(INDEX($A3:$T3,MATCH(Lists!$F$13,$A$1:$T$1,0))&amp;""),""))),"In person",IF(ISNUMBER(SEARCH("online",IFERROR(TRIM(INDEX($A3:$T3,MATCH(Lists!$F$13,$A$1:$T$1,0))&amp;""),""))),"Online","Written only")))</f>
        <v/>
      </c>
      <c r="AE3" s="21">
        <f>IF(Y3="","",IFERROR(TRIM(INDEX($A3:$T3,MATCH(Lists!$F$11,$A$1:$T$1,0))&amp;""),""))</f>
        <v/>
      </c>
      <c r="AF3" s="21">
        <f>IF(Y3="","",IFERROR(TRIM(INDEX($A3:$T3,MATCH(Lists!$F$12,$A$1:$T$1,0))&amp;""),""))</f>
        <v/>
      </c>
      <c r="AG3" s="21">
        <f>IF(Y3="","",IFERROR(TRIM(INDEX($A3:$T3,MATCH(Lists!$F$14,$A$1:$T$1,0))&amp;""),""))</f>
        <v/>
      </c>
      <c r="AH3" s="21">
        <f>IF(Y3="","",LEFT(IFERROR(TRIM(INDEX($A3:$T3,MATCH(Lists!$F$10,$A$1:$T$1,0))&amp;""),""),80))</f>
        <v/>
      </c>
      <c r="AI3" s="21">
        <f>IF(Y3="",0,IF(OR(Tally!$B$5="",AA3=Tally!$B$5),1,0))</f>
        <v/>
      </c>
      <c r="AJ3" s="21">
        <f>IF(AI3=1,IF(COUNTIFS($AB$2:AB3,AB3,$AI$2:AI3,1)=1,1,0),0)</f>
        <v/>
      </c>
      <c r="AK3" s="21">
        <f>IF(AJ3=1,SUM($AJ$2:AJ3),"")</f>
        <v/>
      </c>
      <c r="AL3" s="21">
        <f>IF(AND(AI3=1,OR(AD3="In person",AD3="Online"),OR(Speakers!$B$5="",AB3=Speakers!$B$5)),N(Z3)+ROW()/1000000000,"")</f>
        <v/>
      </c>
    </row>
    <row r="4">
      <c r="A4" s="18" t="inlineStr">
        <is>
          <t>EXAMPLE-03 (delete me)</t>
        </is>
      </c>
      <c r="B4" s="18" t="inlineStr">
        <is>
          <t>2026-11-03T14:05:00.000Z</t>
        </is>
      </c>
      <c r="C4" s="18" t="inlineStr">
        <is>
          <t>2026-11-03T08:00:00.000Z</t>
        </is>
      </c>
      <c r="D4" s="18" t="inlineStr">
        <is>
          <t>2026-11-12</t>
        </is>
      </c>
      <c r="E4" s="18" t="inlineStr">
        <is>
          <t>7</t>
        </is>
      </c>
      <c r="F4" s="18" t="inlineStr">
        <is>
          <t>2026-11-12</t>
        </is>
      </c>
      <c r="G4" s="18" t="inlineStr">
        <is>
          <t>Yes</t>
        </is>
      </c>
      <c r="H4" s="18" t="inlineStr">
        <is>
          <t>7</t>
        </is>
      </c>
      <c r="I4" s="18" t="inlineStr">
        <is>
          <t>I support it</t>
        </is>
      </c>
      <c r="J4" s="18" t="inlineStr">
        <is>
          <t>Please fund it this year.</t>
        </is>
      </c>
      <c r="K4" s="18" t="inlineStr"/>
      <c r="L4" s="18" t="inlineStr">
        <is>
          <t>Cara Oduya</t>
        </is>
      </c>
      <c r="M4" s="18" t="inlineStr">
        <is>
          <t>Eastside</t>
        </is>
      </c>
      <c r="N4" s="18" t="inlineStr"/>
      <c r="O4" s="18" t="inlineStr">
        <is>
          <t>No, please enter my written comment</t>
        </is>
      </c>
      <c r="P4" s="18" t="inlineStr"/>
      <c r="Q4" s="18" t="n">
        <v>1</v>
      </c>
      <c r="U4" s="19" t="n"/>
      <c r="V4" s="20" t="inlineStr"/>
      <c r="W4" s="20" t="n"/>
      <c r="X4" s="19" t="n"/>
      <c r="Y4" s="21">
        <f>IFERROR(TRIM(INDEX($A4:$T4,MATCH(Lists!$F$2,$A$1:$T$1,0))&amp;""),"")</f>
        <v/>
      </c>
      <c r="Z4" s="22">
        <f>IF(Y4="","",IFERROR(IF(ISNUMBER(INDEX($A4:$T4,MATCH(Lists!$F$3,$A$1:$T$1,0))),INDEX($A4:$T4,MATCH(Lists!$F$3,$A$1:$T$1,0)),DATE(VALUE(LEFT(IFERROR(TRIM(INDEX($A4:$T4,MATCH(Lists!$F$3,$A$1:$T$1,0))&amp;""),""),4)),VALUE(MID(IFERROR(TRIM(INDEX($A4:$T4,MATCH(Lists!$F$3,$A$1:$T$1,0))&amp;""),""),6,2)),VALUE(MID(IFERROR(TRIM(INDEX($A4:$T4,MATCH(Lists!$F$3,$A$1:$T$1,0))&amp;""),""),9,2)))+TIME(VALUE(MID(IFERROR(TRIM(INDEX($A4:$T4,MATCH(Lists!$F$3,$A$1:$T$1,0))&amp;""),""),12,2)),VALUE(MID(IFERROR(TRIM(INDEX($A4:$T4,MATCH(Lists!$F$3,$A$1:$T$1,0))&amp;""),""),15,2)),VALUE(MID(IFERROR(TRIM(INDEX($A4:$T4,MATCH(Lists!$F$3,$A$1:$T$1,0))&amp;""),""),18,2)))),""))</f>
        <v/>
      </c>
      <c r="AA4" s="23">
        <f>IF(Y4="","",IF(ISNUMBER(IFERROR(IF(TRIM(INDEX($A4:$T4,MATCH(Lists!$F$4,$A$1:$T$1,0))&amp;"")="","",IF(ISNUMBER(INDEX($A4:$T4,MATCH(Lists!$F$4,$A$1:$T$1,0))),INT(INDEX($A4:$T4,MATCH(Lists!$F$4,$A$1:$T$1,0))),DATE(VALUE(LEFT(INDEX($A4:$T4,MATCH(Lists!$F$4,$A$1:$T$1,0)),4)),VALUE(MID(INDEX($A4:$T4,MATCH(Lists!$F$4,$A$1:$T$1,0)),6,2)),VALUE(MID(INDEX($A4:$T4,MATCH(Lists!$F$4,$A$1:$T$1,0)),9,2))))),"")),IFERROR(IF(TRIM(INDEX($A4:$T4,MATCH(Lists!$F$4,$A$1:$T$1,0))&amp;"")="","",IF(ISNUMBER(INDEX($A4:$T4,MATCH(Lists!$F$4,$A$1:$T$1,0))),INT(INDEX($A4:$T4,MATCH(Lists!$F$4,$A$1:$T$1,0))),DATE(VALUE(LEFT(INDEX($A4:$T4,MATCH(Lists!$F$4,$A$1:$T$1,0)),4)),VALUE(MID(INDEX($A4:$T4,MATCH(Lists!$F$4,$A$1:$T$1,0)),6,2)),VALUE(MID(INDEX($A4:$T4,MATCH(Lists!$F$4,$A$1:$T$1,0)),9,2))))),""),IFERROR(IF(TRIM(INDEX($A4:$T4,MATCH(Lists!$F$5,$A$1:$T$1,0))&amp;"")="","",IF(ISNUMBER(INDEX($A4:$T4,MATCH(Lists!$F$5,$A$1:$T$1,0))),INT(INDEX($A4:$T4,MATCH(Lists!$F$5,$A$1:$T$1,0))),DATE(VALUE(LEFT(INDEX($A4:$T4,MATCH(Lists!$F$5,$A$1:$T$1,0)),4)),VALUE(MID(INDEX($A4:$T4,MATCH(Lists!$F$5,$A$1:$T$1,0)),6,2)),VALUE(MID(INDEX($A4:$T4,MATCH(Lists!$F$5,$A$1:$T$1,0)),9,2))))),"")))</f>
        <v/>
      </c>
      <c r="AB4" s="21">
        <f>IF(Y4="","",IF(LEFT(IFERROR(TRIM(INDEX($A4:$T4,MATCH(Lists!$F$6,$A$1:$T$1,0))&amp;""),""),2)="No","General comment",IF(IFERROR(TRIM(INDEX($A4:$T4,MATCH(Lists!$F$7,$A$1:$T$1,0))&amp;""),"")&lt;&gt;"",IFERROR(TRIM(INDEX($A4:$T4,MATCH(Lists!$F$7,$A$1:$T$1,0))&amp;""),""),IF(IFERROR(TRIM(INDEX($A4:$T4,MATCH(Lists!$F$8,$A$1:$T$1,0))&amp;""),"")&lt;&gt;"",IFERROR(TRIM(INDEX($A4:$T4,MATCH(Lists!$F$8,$A$1:$T$1,0))&amp;""),""),"(no item given)"))))</f>
        <v/>
      </c>
      <c r="AC4" s="21">
        <f>IF(Y4="","",IF(ISNUMBER(SEARCH("support",IFERROR(TRIM(INDEX($A4:$T4,MATCH(Lists!$F$9,$A$1:$T$1,0))&amp;""),""))),"Support",IF(ISNUMBER(SEARCH("oppose",IFERROR(TRIM(INDEX($A4:$T4,MATCH(Lists!$F$9,$A$1:$T$1,0))&amp;""),""))),"Oppose",IF(IFERROR(TRIM(INDEX($A4:$T4,MATCH(Lists!$F$9,$A$1:$T$1,0))&amp;""),"")="","No position","Neither"))))</f>
        <v/>
      </c>
      <c r="AD4" s="21">
        <f>IF(Y4="","",IF(ISNUMBER(SEARCH("in person",IFERROR(TRIM(INDEX($A4:$T4,MATCH(Lists!$F$13,$A$1:$T$1,0))&amp;""),""))),"In person",IF(ISNUMBER(SEARCH("online",IFERROR(TRIM(INDEX($A4:$T4,MATCH(Lists!$F$13,$A$1:$T$1,0))&amp;""),""))),"Online","Written only")))</f>
        <v/>
      </c>
      <c r="AE4" s="21">
        <f>IF(Y4="","",IFERROR(TRIM(INDEX($A4:$T4,MATCH(Lists!$F$11,$A$1:$T$1,0))&amp;""),""))</f>
        <v/>
      </c>
      <c r="AF4" s="21">
        <f>IF(Y4="","",IFERROR(TRIM(INDEX($A4:$T4,MATCH(Lists!$F$12,$A$1:$T$1,0))&amp;""),""))</f>
        <v/>
      </c>
      <c r="AG4" s="21">
        <f>IF(Y4="","",IFERROR(TRIM(INDEX($A4:$T4,MATCH(Lists!$F$14,$A$1:$T$1,0))&amp;""),""))</f>
        <v/>
      </c>
      <c r="AH4" s="21">
        <f>IF(Y4="","",LEFT(IFERROR(TRIM(INDEX($A4:$T4,MATCH(Lists!$F$10,$A$1:$T$1,0))&amp;""),""),80))</f>
        <v/>
      </c>
      <c r="AI4" s="21">
        <f>IF(Y4="",0,IF(OR(Tally!$B$5="",AA4=Tally!$B$5),1,0))</f>
        <v/>
      </c>
      <c r="AJ4" s="21">
        <f>IF(AI4=1,IF(COUNTIFS($AB$2:AB4,AB4,$AI$2:AI4,1)=1,1,0),0)</f>
        <v/>
      </c>
      <c r="AK4" s="21">
        <f>IF(AJ4=1,SUM($AJ$2:AJ4),"")</f>
        <v/>
      </c>
      <c r="AL4" s="21">
        <f>IF(AND(AI4=1,OR(AD4="In person",AD4="Online"),OR(Speakers!$B$5="",AB4=Speakers!$B$5)),N(Z4)+ROW()/1000000000,"")</f>
        <v/>
      </c>
    </row>
    <row r="5">
      <c r="A5" s="18" t="inlineStr">
        <is>
          <t>EXAMPLE-04 (delete me)</t>
        </is>
      </c>
      <c r="B5" s="18" t="inlineStr">
        <is>
          <t>2026-11-03T10:30:00.000Z</t>
        </is>
      </c>
      <c r="C5" s="18" t="inlineStr">
        <is>
          <t>2026-11-03T08:00:00.000Z</t>
        </is>
      </c>
      <c r="D5" s="18" t="inlineStr">
        <is>
          <t>2026-11-12</t>
        </is>
      </c>
      <c r="E5" s="18" t="inlineStr">
        <is>
          <t>7</t>
        </is>
      </c>
      <c r="F5" s="18" t="inlineStr">
        <is>
          <t>2026-11-12</t>
        </is>
      </c>
      <c r="G5" s="18" t="inlineStr">
        <is>
          <t>Yes</t>
        </is>
      </c>
      <c r="H5" s="18" t="inlineStr">
        <is>
          <t>7</t>
        </is>
      </c>
      <c r="I5" s="18" t="inlineStr">
        <is>
          <t>Neither, I have a comment or question</t>
        </is>
      </c>
      <c r="J5" s="18" t="inlineStr">
        <is>
          <t>Will there be a bike lane too?</t>
        </is>
      </c>
      <c r="K5" s="18" t="inlineStr"/>
      <c r="L5" s="18" t="inlineStr">
        <is>
          <t>Dev Shah</t>
        </is>
      </c>
      <c r="M5" s="18" t="inlineStr">
        <is>
          <t>Hillcrest</t>
        </is>
      </c>
      <c r="N5" s="18" t="inlineStr"/>
      <c r="O5" s="18" t="inlineStr">
        <is>
          <t>Yes, in person</t>
        </is>
      </c>
      <c r="P5" s="18" t="inlineStr"/>
      <c r="Q5" s="18" t="n">
        <v>1</v>
      </c>
      <c r="U5" s="19" t="n"/>
      <c r="V5" s="20" t="inlineStr"/>
      <c r="W5" s="20" t="n"/>
      <c r="X5" s="19" t="n"/>
      <c r="Y5" s="21">
        <f>IFERROR(TRIM(INDEX($A5:$T5,MATCH(Lists!$F$2,$A$1:$T$1,0))&amp;""),"")</f>
        <v/>
      </c>
      <c r="Z5" s="22">
        <f>IF(Y5="","",IFERROR(IF(ISNUMBER(INDEX($A5:$T5,MATCH(Lists!$F$3,$A$1:$T$1,0))),INDEX($A5:$T5,MATCH(Lists!$F$3,$A$1:$T$1,0)),DATE(VALUE(LEFT(IFERROR(TRIM(INDEX($A5:$T5,MATCH(Lists!$F$3,$A$1:$T$1,0))&amp;""),""),4)),VALUE(MID(IFERROR(TRIM(INDEX($A5:$T5,MATCH(Lists!$F$3,$A$1:$T$1,0))&amp;""),""),6,2)),VALUE(MID(IFERROR(TRIM(INDEX($A5:$T5,MATCH(Lists!$F$3,$A$1:$T$1,0))&amp;""),""),9,2)))+TIME(VALUE(MID(IFERROR(TRIM(INDEX($A5:$T5,MATCH(Lists!$F$3,$A$1:$T$1,0))&amp;""),""),12,2)),VALUE(MID(IFERROR(TRIM(INDEX($A5:$T5,MATCH(Lists!$F$3,$A$1:$T$1,0))&amp;""),""),15,2)),VALUE(MID(IFERROR(TRIM(INDEX($A5:$T5,MATCH(Lists!$F$3,$A$1:$T$1,0))&amp;""),""),18,2)))),""))</f>
        <v/>
      </c>
      <c r="AA5" s="23">
        <f>IF(Y5="","",IF(ISNUMBER(IFERROR(IF(TRIM(INDEX($A5:$T5,MATCH(Lists!$F$4,$A$1:$T$1,0))&amp;"")="","",IF(ISNUMBER(INDEX($A5:$T5,MATCH(Lists!$F$4,$A$1:$T$1,0))),INT(INDEX($A5:$T5,MATCH(Lists!$F$4,$A$1:$T$1,0))),DATE(VALUE(LEFT(INDEX($A5:$T5,MATCH(Lists!$F$4,$A$1:$T$1,0)),4)),VALUE(MID(INDEX($A5:$T5,MATCH(Lists!$F$4,$A$1:$T$1,0)),6,2)),VALUE(MID(INDEX($A5:$T5,MATCH(Lists!$F$4,$A$1:$T$1,0)),9,2))))),"")),IFERROR(IF(TRIM(INDEX($A5:$T5,MATCH(Lists!$F$4,$A$1:$T$1,0))&amp;"")="","",IF(ISNUMBER(INDEX($A5:$T5,MATCH(Lists!$F$4,$A$1:$T$1,0))),INT(INDEX($A5:$T5,MATCH(Lists!$F$4,$A$1:$T$1,0))),DATE(VALUE(LEFT(INDEX($A5:$T5,MATCH(Lists!$F$4,$A$1:$T$1,0)),4)),VALUE(MID(INDEX($A5:$T5,MATCH(Lists!$F$4,$A$1:$T$1,0)),6,2)),VALUE(MID(INDEX($A5:$T5,MATCH(Lists!$F$4,$A$1:$T$1,0)),9,2))))),""),IFERROR(IF(TRIM(INDEX($A5:$T5,MATCH(Lists!$F$5,$A$1:$T$1,0))&amp;"")="","",IF(ISNUMBER(INDEX($A5:$T5,MATCH(Lists!$F$5,$A$1:$T$1,0))),INT(INDEX($A5:$T5,MATCH(Lists!$F$5,$A$1:$T$1,0))),DATE(VALUE(LEFT(INDEX($A5:$T5,MATCH(Lists!$F$5,$A$1:$T$1,0)),4)),VALUE(MID(INDEX($A5:$T5,MATCH(Lists!$F$5,$A$1:$T$1,0)),6,2)),VALUE(MID(INDEX($A5:$T5,MATCH(Lists!$F$5,$A$1:$T$1,0)),9,2))))),"")))</f>
        <v/>
      </c>
      <c r="AB5" s="21">
        <f>IF(Y5="","",IF(LEFT(IFERROR(TRIM(INDEX($A5:$T5,MATCH(Lists!$F$6,$A$1:$T$1,0))&amp;""),""),2)="No","General comment",IF(IFERROR(TRIM(INDEX($A5:$T5,MATCH(Lists!$F$7,$A$1:$T$1,0))&amp;""),"")&lt;&gt;"",IFERROR(TRIM(INDEX($A5:$T5,MATCH(Lists!$F$7,$A$1:$T$1,0))&amp;""),""),IF(IFERROR(TRIM(INDEX($A5:$T5,MATCH(Lists!$F$8,$A$1:$T$1,0))&amp;""),"")&lt;&gt;"",IFERROR(TRIM(INDEX($A5:$T5,MATCH(Lists!$F$8,$A$1:$T$1,0))&amp;""),""),"(no item given)"))))</f>
        <v/>
      </c>
      <c r="AC5" s="21">
        <f>IF(Y5="","",IF(ISNUMBER(SEARCH("support",IFERROR(TRIM(INDEX($A5:$T5,MATCH(Lists!$F$9,$A$1:$T$1,0))&amp;""),""))),"Support",IF(ISNUMBER(SEARCH("oppose",IFERROR(TRIM(INDEX($A5:$T5,MATCH(Lists!$F$9,$A$1:$T$1,0))&amp;""),""))),"Oppose",IF(IFERROR(TRIM(INDEX($A5:$T5,MATCH(Lists!$F$9,$A$1:$T$1,0))&amp;""),"")="","No position","Neither"))))</f>
        <v/>
      </c>
      <c r="AD5" s="21">
        <f>IF(Y5="","",IF(ISNUMBER(SEARCH("in person",IFERROR(TRIM(INDEX($A5:$T5,MATCH(Lists!$F$13,$A$1:$T$1,0))&amp;""),""))),"In person",IF(ISNUMBER(SEARCH("online",IFERROR(TRIM(INDEX($A5:$T5,MATCH(Lists!$F$13,$A$1:$T$1,0))&amp;""),""))),"Online","Written only")))</f>
        <v/>
      </c>
      <c r="AE5" s="21">
        <f>IF(Y5="","",IFERROR(TRIM(INDEX($A5:$T5,MATCH(Lists!$F$11,$A$1:$T$1,0))&amp;""),""))</f>
        <v/>
      </c>
      <c r="AF5" s="21">
        <f>IF(Y5="","",IFERROR(TRIM(INDEX($A5:$T5,MATCH(Lists!$F$12,$A$1:$T$1,0))&amp;""),""))</f>
        <v/>
      </c>
      <c r="AG5" s="21">
        <f>IF(Y5="","",IFERROR(TRIM(INDEX($A5:$T5,MATCH(Lists!$F$14,$A$1:$T$1,0))&amp;""),""))</f>
        <v/>
      </c>
      <c r="AH5" s="21">
        <f>IF(Y5="","",LEFT(IFERROR(TRIM(INDEX($A5:$T5,MATCH(Lists!$F$10,$A$1:$T$1,0))&amp;""),""),80))</f>
        <v/>
      </c>
      <c r="AI5" s="21">
        <f>IF(Y5="",0,IF(OR(Tally!$B$5="",AA5=Tally!$B$5),1,0))</f>
        <v/>
      </c>
      <c r="AJ5" s="21">
        <f>IF(AI5=1,IF(COUNTIFS($AB$2:AB5,AB5,$AI$2:AI5,1)=1,1,0),0)</f>
        <v/>
      </c>
      <c r="AK5" s="21">
        <f>IF(AJ5=1,SUM($AJ$2:AJ5),"")</f>
        <v/>
      </c>
      <c r="AL5" s="21">
        <f>IF(AND(AI5=1,OR(AD5="In person",AD5="Online"),OR(Speakers!$B$5="",AB5=Speakers!$B$5)),N(Z5)+ROW()/1000000000,"")</f>
        <v/>
      </c>
    </row>
    <row r="6">
      <c r="A6" s="18" t="inlineStr">
        <is>
          <t>EXAMPLE-05 (delete me)</t>
        </is>
      </c>
      <c r="B6" s="18" t="inlineStr">
        <is>
          <t>2026-11-04T16:20:00.000Z</t>
        </is>
      </c>
      <c r="C6" s="18" t="inlineStr">
        <is>
          <t>2026-11-04T08:00:00.000Z</t>
        </is>
      </c>
      <c r="D6" s="18" t="inlineStr">
        <is>
          <t>2026-11-12</t>
        </is>
      </c>
      <c r="E6" s="18" t="inlineStr">
        <is>
          <t>8</t>
        </is>
      </c>
      <c r="F6" s="18" t="inlineStr">
        <is>
          <t>2026-11-12</t>
        </is>
      </c>
      <c r="G6" s="18" t="inlineStr">
        <is>
          <t>Yes</t>
        </is>
      </c>
      <c r="H6" s="18" t="inlineStr">
        <is>
          <t>8</t>
        </is>
      </c>
      <c r="I6" s="18" t="inlineStr">
        <is>
          <t>I oppose it</t>
        </is>
      </c>
      <c r="J6" s="18" t="inlineStr">
        <is>
          <t>The budget line looks too high to me.</t>
        </is>
      </c>
      <c r="K6" s="18" t="inlineStr"/>
      <c r="L6" s="18" t="inlineStr">
        <is>
          <t>Eli Brandt</t>
        </is>
      </c>
      <c r="M6" s="18" t="inlineStr">
        <is>
          <t>Lakeside</t>
        </is>
      </c>
      <c r="N6" s="18" t="inlineStr"/>
      <c r="O6" s="18" t="inlineStr">
        <is>
          <t>Yes, in person</t>
        </is>
      </c>
      <c r="P6" s="18" t="inlineStr"/>
      <c r="Q6" s="18" t="n">
        <v>1</v>
      </c>
      <c r="U6" s="19" t="n"/>
      <c r="V6" s="20" t="inlineStr"/>
      <c r="W6" s="20" t="n"/>
      <c r="X6" s="19" t="n"/>
      <c r="Y6" s="21">
        <f>IFERROR(TRIM(INDEX($A6:$T6,MATCH(Lists!$F$2,$A$1:$T$1,0))&amp;""),"")</f>
        <v/>
      </c>
      <c r="Z6" s="22">
        <f>IF(Y6="","",IFERROR(IF(ISNUMBER(INDEX($A6:$T6,MATCH(Lists!$F$3,$A$1:$T$1,0))),INDEX($A6:$T6,MATCH(Lists!$F$3,$A$1:$T$1,0)),DATE(VALUE(LEFT(IFERROR(TRIM(INDEX($A6:$T6,MATCH(Lists!$F$3,$A$1:$T$1,0))&amp;""),""),4)),VALUE(MID(IFERROR(TRIM(INDEX($A6:$T6,MATCH(Lists!$F$3,$A$1:$T$1,0))&amp;""),""),6,2)),VALUE(MID(IFERROR(TRIM(INDEX($A6:$T6,MATCH(Lists!$F$3,$A$1:$T$1,0))&amp;""),""),9,2)))+TIME(VALUE(MID(IFERROR(TRIM(INDEX($A6:$T6,MATCH(Lists!$F$3,$A$1:$T$1,0))&amp;""),""),12,2)),VALUE(MID(IFERROR(TRIM(INDEX($A6:$T6,MATCH(Lists!$F$3,$A$1:$T$1,0))&amp;""),""),15,2)),VALUE(MID(IFERROR(TRIM(INDEX($A6:$T6,MATCH(Lists!$F$3,$A$1:$T$1,0))&amp;""),""),18,2)))),""))</f>
        <v/>
      </c>
      <c r="AA6" s="23">
        <f>IF(Y6="","",IF(ISNUMBER(IFERROR(IF(TRIM(INDEX($A6:$T6,MATCH(Lists!$F$4,$A$1:$T$1,0))&amp;"")="","",IF(ISNUMBER(INDEX($A6:$T6,MATCH(Lists!$F$4,$A$1:$T$1,0))),INT(INDEX($A6:$T6,MATCH(Lists!$F$4,$A$1:$T$1,0))),DATE(VALUE(LEFT(INDEX($A6:$T6,MATCH(Lists!$F$4,$A$1:$T$1,0)),4)),VALUE(MID(INDEX($A6:$T6,MATCH(Lists!$F$4,$A$1:$T$1,0)),6,2)),VALUE(MID(INDEX($A6:$T6,MATCH(Lists!$F$4,$A$1:$T$1,0)),9,2))))),"")),IFERROR(IF(TRIM(INDEX($A6:$T6,MATCH(Lists!$F$4,$A$1:$T$1,0))&amp;"")="","",IF(ISNUMBER(INDEX($A6:$T6,MATCH(Lists!$F$4,$A$1:$T$1,0))),INT(INDEX($A6:$T6,MATCH(Lists!$F$4,$A$1:$T$1,0))),DATE(VALUE(LEFT(INDEX($A6:$T6,MATCH(Lists!$F$4,$A$1:$T$1,0)),4)),VALUE(MID(INDEX($A6:$T6,MATCH(Lists!$F$4,$A$1:$T$1,0)),6,2)),VALUE(MID(INDEX($A6:$T6,MATCH(Lists!$F$4,$A$1:$T$1,0)),9,2))))),""),IFERROR(IF(TRIM(INDEX($A6:$T6,MATCH(Lists!$F$5,$A$1:$T$1,0))&amp;"")="","",IF(ISNUMBER(INDEX($A6:$T6,MATCH(Lists!$F$5,$A$1:$T$1,0))),INT(INDEX($A6:$T6,MATCH(Lists!$F$5,$A$1:$T$1,0))),DATE(VALUE(LEFT(INDEX($A6:$T6,MATCH(Lists!$F$5,$A$1:$T$1,0)),4)),VALUE(MID(INDEX($A6:$T6,MATCH(Lists!$F$5,$A$1:$T$1,0)),6,2)),VALUE(MID(INDEX($A6:$T6,MATCH(Lists!$F$5,$A$1:$T$1,0)),9,2))))),"")))</f>
        <v/>
      </c>
      <c r="AB6" s="21">
        <f>IF(Y6="","",IF(LEFT(IFERROR(TRIM(INDEX($A6:$T6,MATCH(Lists!$F$6,$A$1:$T$1,0))&amp;""),""),2)="No","General comment",IF(IFERROR(TRIM(INDEX($A6:$T6,MATCH(Lists!$F$7,$A$1:$T$1,0))&amp;""),"")&lt;&gt;"",IFERROR(TRIM(INDEX($A6:$T6,MATCH(Lists!$F$7,$A$1:$T$1,0))&amp;""),""),IF(IFERROR(TRIM(INDEX($A6:$T6,MATCH(Lists!$F$8,$A$1:$T$1,0))&amp;""),"")&lt;&gt;"",IFERROR(TRIM(INDEX($A6:$T6,MATCH(Lists!$F$8,$A$1:$T$1,0))&amp;""),""),"(no item given)"))))</f>
        <v/>
      </c>
      <c r="AC6" s="21">
        <f>IF(Y6="","",IF(ISNUMBER(SEARCH("support",IFERROR(TRIM(INDEX($A6:$T6,MATCH(Lists!$F$9,$A$1:$T$1,0))&amp;""),""))),"Support",IF(ISNUMBER(SEARCH("oppose",IFERROR(TRIM(INDEX($A6:$T6,MATCH(Lists!$F$9,$A$1:$T$1,0))&amp;""),""))),"Oppose",IF(IFERROR(TRIM(INDEX($A6:$T6,MATCH(Lists!$F$9,$A$1:$T$1,0))&amp;""),"")="","No position","Neither"))))</f>
        <v/>
      </c>
      <c r="AD6" s="21">
        <f>IF(Y6="","",IF(ISNUMBER(SEARCH("in person",IFERROR(TRIM(INDEX($A6:$T6,MATCH(Lists!$F$13,$A$1:$T$1,0))&amp;""),""))),"In person",IF(ISNUMBER(SEARCH("online",IFERROR(TRIM(INDEX($A6:$T6,MATCH(Lists!$F$13,$A$1:$T$1,0))&amp;""),""))),"Online","Written only")))</f>
        <v/>
      </c>
      <c r="AE6" s="21">
        <f>IF(Y6="","",IFERROR(TRIM(INDEX($A6:$T6,MATCH(Lists!$F$11,$A$1:$T$1,0))&amp;""),""))</f>
        <v/>
      </c>
      <c r="AF6" s="21">
        <f>IF(Y6="","",IFERROR(TRIM(INDEX($A6:$T6,MATCH(Lists!$F$12,$A$1:$T$1,0))&amp;""),""))</f>
        <v/>
      </c>
      <c r="AG6" s="21">
        <f>IF(Y6="","",IFERROR(TRIM(INDEX($A6:$T6,MATCH(Lists!$F$14,$A$1:$T$1,0))&amp;""),""))</f>
        <v/>
      </c>
      <c r="AH6" s="21">
        <f>IF(Y6="","",LEFT(IFERROR(TRIM(INDEX($A6:$T6,MATCH(Lists!$F$10,$A$1:$T$1,0))&amp;""),""),80))</f>
        <v/>
      </c>
      <c r="AI6" s="21">
        <f>IF(Y6="",0,IF(OR(Tally!$B$5="",AA6=Tally!$B$5),1,0))</f>
        <v/>
      </c>
      <c r="AJ6" s="21">
        <f>IF(AI6=1,IF(COUNTIFS($AB$2:AB6,AB6,$AI$2:AI6,1)=1,1,0),0)</f>
        <v/>
      </c>
      <c r="AK6" s="21">
        <f>IF(AJ6=1,SUM($AJ$2:AJ6),"")</f>
        <v/>
      </c>
      <c r="AL6" s="21">
        <f>IF(AND(AI6=1,OR(AD6="In person",AD6="Online"),OR(Speakers!$B$5="",AB6=Speakers!$B$5)),N(Z6)+ROW()/1000000000,"")</f>
        <v/>
      </c>
    </row>
    <row r="7">
      <c r="A7" s="18" t="inlineStr">
        <is>
          <t>EXAMPLE-06 (delete me)</t>
        </is>
      </c>
      <c r="B7" s="18" t="inlineStr">
        <is>
          <t>2026-11-04T17:45:00.000Z</t>
        </is>
      </c>
      <c r="C7" s="18" t="inlineStr">
        <is>
          <t>2026-11-04T08:00:00.000Z</t>
        </is>
      </c>
      <c r="D7" s="18" t="inlineStr">
        <is>
          <t>2026-11-12</t>
        </is>
      </c>
      <c r="E7" s="18" t="inlineStr">
        <is>
          <t>8</t>
        </is>
      </c>
      <c r="F7" s="18" t="inlineStr">
        <is>
          <t>2026-11-12</t>
        </is>
      </c>
      <c r="G7" s="18" t="inlineStr">
        <is>
          <t>Yes</t>
        </is>
      </c>
      <c r="H7" s="18" t="inlineStr">
        <is>
          <t>8</t>
        </is>
      </c>
      <c r="I7" s="18" t="inlineStr">
        <is>
          <t>I oppose it</t>
        </is>
      </c>
      <c r="J7" s="18" t="inlineStr">
        <is>
          <t>Please wait a year.</t>
        </is>
      </c>
      <c r="K7" s="18" t="inlineStr"/>
      <c r="L7" s="18" t="inlineStr">
        <is>
          <t>Faye Lund</t>
        </is>
      </c>
      <c r="M7" s="18" t="inlineStr">
        <is>
          <t>Downtown</t>
        </is>
      </c>
      <c r="N7" s="18" t="inlineStr"/>
      <c r="O7" s="18" t="inlineStr">
        <is>
          <t>No, please enter my written comment</t>
        </is>
      </c>
      <c r="P7" s="18" t="inlineStr"/>
      <c r="Q7" s="18" t="n">
        <v>1</v>
      </c>
      <c r="U7" s="19" t="n"/>
      <c r="V7" s="20" t="inlineStr"/>
      <c r="W7" s="20" t="n"/>
      <c r="X7" s="19" t="n"/>
      <c r="Y7" s="21">
        <f>IFERROR(TRIM(INDEX($A7:$T7,MATCH(Lists!$F$2,$A$1:$T$1,0))&amp;""),"")</f>
        <v/>
      </c>
      <c r="Z7" s="22">
        <f>IF(Y7="","",IFERROR(IF(ISNUMBER(INDEX($A7:$T7,MATCH(Lists!$F$3,$A$1:$T$1,0))),INDEX($A7:$T7,MATCH(Lists!$F$3,$A$1:$T$1,0)),DATE(VALUE(LEFT(IFERROR(TRIM(INDEX($A7:$T7,MATCH(Lists!$F$3,$A$1:$T$1,0))&amp;""),""),4)),VALUE(MID(IFERROR(TRIM(INDEX($A7:$T7,MATCH(Lists!$F$3,$A$1:$T$1,0))&amp;""),""),6,2)),VALUE(MID(IFERROR(TRIM(INDEX($A7:$T7,MATCH(Lists!$F$3,$A$1:$T$1,0))&amp;""),""),9,2)))+TIME(VALUE(MID(IFERROR(TRIM(INDEX($A7:$T7,MATCH(Lists!$F$3,$A$1:$T$1,0))&amp;""),""),12,2)),VALUE(MID(IFERROR(TRIM(INDEX($A7:$T7,MATCH(Lists!$F$3,$A$1:$T$1,0))&amp;""),""),15,2)),VALUE(MID(IFERROR(TRIM(INDEX($A7:$T7,MATCH(Lists!$F$3,$A$1:$T$1,0))&amp;""),""),18,2)))),""))</f>
        <v/>
      </c>
      <c r="AA7" s="23">
        <f>IF(Y7="","",IF(ISNUMBER(IFERROR(IF(TRIM(INDEX($A7:$T7,MATCH(Lists!$F$4,$A$1:$T$1,0))&amp;"")="","",IF(ISNUMBER(INDEX($A7:$T7,MATCH(Lists!$F$4,$A$1:$T$1,0))),INT(INDEX($A7:$T7,MATCH(Lists!$F$4,$A$1:$T$1,0))),DATE(VALUE(LEFT(INDEX($A7:$T7,MATCH(Lists!$F$4,$A$1:$T$1,0)),4)),VALUE(MID(INDEX($A7:$T7,MATCH(Lists!$F$4,$A$1:$T$1,0)),6,2)),VALUE(MID(INDEX($A7:$T7,MATCH(Lists!$F$4,$A$1:$T$1,0)),9,2))))),"")),IFERROR(IF(TRIM(INDEX($A7:$T7,MATCH(Lists!$F$4,$A$1:$T$1,0))&amp;"")="","",IF(ISNUMBER(INDEX($A7:$T7,MATCH(Lists!$F$4,$A$1:$T$1,0))),INT(INDEX($A7:$T7,MATCH(Lists!$F$4,$A$1:$T$1,0))),DATE(VALUE(LEFT(INDEX($A7:$T7,MATCH(Lists!$F$4,$A$1:$T$1,0)),4)),VALUE(MID(INDEX($A7:$T7,MATCH(Lists!$F$4,$A$1:$T$1,0)),6,2)),VALUE(MID(INDEX($A7:$T7,MATCH(Lists!$F$4,$A$1:$T$1,0)),9,2))))),""),IFERROR(IF(TRIM(INDEX($A7:$T7,MATCH(Lists!$F$5,$A$1:$T$1,0))&amp;"")="","",IF(ISNUMBER(INDEX($A7:$T7,MATCH(Lists!$F$5,$A$1:$T$1,0))),INT(INDEX($A7:$T7,MATCH(Lists!$F$5,$A$1:$T$1,0))),DATE(VALUE(LEFT(INDEX($A7:$T7,MATCH(Lists!$F$5,$A$1:$T$1,0)),4)),VALUE(MID(INDEX($A7:$T7,MATCH(Lists!$F$5,$A$1:$T$1,0)),6,2)),VALUE(MID(INDEX($A7:$T7,MATCH(Lists!$F$5,$A$1:$T$1,0)),9,2))))),"")))</f>
        <v/>
      </c>
      <c r="AB7" s="21">
        <f>IF(Y7="","",IF(LEFT(IFERROR(TRIM(INDEX($A7:$T7,MATCH(Lists!$F$6,$A$1:$T$1,0))&amp;""),""),2)="No","General comment",IF(IFERROR(TRIM(INDEX($A7:$T7,MATCH(Lists!$F$7,$A$1:$T$1,0))&amp;""),"")&lt;&gt;"",IFERROR(TRIM(INDEX($A7:$T7,MATCH(Lists!$F$7,$A$1:$T$1,0))&amp;""),""),IF(IFERROR(TRIM(INDEX($A7:$T7,MATCH(Lists!$F$8,$A$1:$T$1,0))&amp;""),"")&lt;&gt;"",IFERROR(TRIM(INDEX($A7:$T7,MATCH(Lists!$F$8,$A$1:$T$1,0))&amp;""),""),"(no item given)"))))</f>
        <v/>
      </c>
      <c r="AC7" s="21">
        <f>IF(Y7="","",IF(ISNUMBER(SEARCH("support",IFERROR(TRIM(INDEX($A7:$T7,MATCH(Lists!$F$9,$A$1:$T$1,0))&amp;""),""))),"Support",IF(ISNUMBER(SEARCH("oppose",IFERROR(TRIM(INDEX($A7:$T7,MATCH(Lists!$F$9,$A$1:$T$1,0))&amp;""),""))),"Oppose",IF(IFERROR(TRIM(INDEX($A7:$T7,MATCH(Lists!$F$9,$A$1:$T$1,0))&amp;""),"")="","No position","Neither"))))</f>
        <v/>
      </c>
      <c r="AD7" s="21">
        <f>IF(Y7="","",IF(ISNUMBER(SEARCH("in person",IFERROR(TRIM(INDEX($A7:$T7,MATCH(Lists!$F$13,$A$1:$T$1,0))&amp;""),""))),"In person",IF(ISNUMBER(SEARCH("online",IFERROR(TRIM(INDEX($A7:$T7,MATCH(Lists!$F$13,$A$1:$T$1,0))&amp;""),""))),"Online","Written only")))</f>
        <v/>
      </c>
      <c r="AE7" s="21">
        <f>IF(Y7="","",IFERROR(TRIM(INDEX($A7:$T7,MATCH(Lists!$F$11,$A$1:$T$1,0))&amp;""),""))</f>
        <v/>
      </c>
      <c r="AF7" s="21">
        <f>IF(Y7="","",IFERROR(TRIM(INDEX($A7:$T7,MATCH(Lists!$F$12,$A$1:$T$1,0))&amp;""),""))</f>
        <v/>
      </c>
      <c r="AG7" s="21">
        <f>IF(Y7="","",IFERROR(TRIM(INDEX($A7:$T7,MATCH(Lists!$F$14,$A$1:$T$1,0))&amp;""),""))</f>
        <v/>
      </c>
      <c r="AH7" s="21">
        <f>IF(Y7="","",LEFT(IFERROR(TRIM(INDEX($A7:$T7,MATCH(Lists!$F$10,$A$1:$T$1,0))&amp;""),""),80))</f>
        <v/>
      </c>
      <c r="AI7" s="21">
        <f>IF(Y7="",0,IF(OR(Tally!$B$5="",AA7=Tally!$B$5),1,0))</f>
        <v/>
      </c>
      <c r="AJ7" s="21">
        <f>IF(AI7=1,IF(COUNTIFS($AB$2:AB7,AB7,$AI$2:AI7,1)=1,1,0),0)</f>
        <v/>
      </c>
      <c r="AK7" s="21">
        <f>IF(AJ7=1,SUM($AJ$2:AJ7),"")</f>
        <v/>
      </c>
      <c r="AL7" s="21">
        <f>IF(AND(AI7=1,OR(AD7="In person",AD7="Online"),OR(Speakers!$B$5="",AB7=Speakers!$B$5)),N(Z7)+ROW()/1000000000,"")</f>
        <v/>
      </c>
    </row>
    <row r="8">
      <c r="A8" s="18" t="inlineStr">
        <is>
          <t>EXAMPLE-07 (delete me)</t>
        </is>
      </c>
      <c r="B8" s="18" t="inlineStr">
        <is>
          <t>2026-11-05T09:00:00.000Z</t>
        </is>
      </c>
      <c r="C8" s="18" t="inlineStr">
        <is>
          <t>2026-11-05T08:00:00.000Z</t>
        </is>
      </c>
      <c r="D8" s="18" t="inlineStr">
        <is>
          <t>2026-11-12</t>
        </is>
      </c>
      <c r="E8" s="18" t="inlineStr"/>
      <c r="F8" s="18" t="inlineStr">
        <is>
          <t>2026-11-12</t>
        </is>
      </c>
      <c r="G8" s="18" t="inlineStr">
        <is>
          <t>No, it's a general comment</t>
        </is>
      </c>
      <c r="H8" s="18" t="inlineStr"/>
      <c r="I8" s="18" t="inlineStr"/>
      <c r="J8" s="18" t="inlineStr">
        <is>
          <t>Thank you for the new park signs.</t>
        </is>
      </c>
      <c r="K8" s="18" t="inlineStr"/>
      <c r="L8" s="18" t="inlineStr">
        <is>
          <t>Gus Alvarez</t>
        </is>
      </c>
      <c r="M8" s="18" t="inlineStr">
        <is>
          <t>Hillcrest</t>
        </is>
      </c>
      <c r="N8" s="18" t="inlineStr"/>
      <c r="O8" s="18" t="inlineStr">
        <is>
          <t>No, please enter my written comment</t>
        </is>
      </c>
      <c r="P8" s="18" t="inlineStr"/>
      <c r="Q8" s="18" t="n">
        <v>1</v>
      </c>
      <c r="U8" s="19" t="n"/>
      <c r="V8" s="20" t="inlineStr"/>
      <c r="W8" s="20" t="n"/>
      <c r="X8" s="19" t="n"/>
      <c r="Y8" s="21">
        <f>IFERROR(TRIM(INDEX($A8:$T8,MATCH(Lists!$F$2,$A$1:$T$1,0))&amp;""),"")</f>
        <v/>
      </c>
      <c r="Z8" s="22">
        <f>IF(Y8="","",IFERROR(IF(ISNUMBER(INDEX($A8:$T8,MATCH(Lists!$F$3,$A$1:$T$1,0))),INDEX($A8:$T8,MATCH(Lists!$F$3,$A$1:$T$1,0)),DATE(VALUE(LEFT(IFERROR(TRIM(INDEX($A8:$T8,MATCH(Lists!$F$3,$A$1:$T$1,0))&amp;""),""),4)),VALUE(MID(IFERROR(TRIM(INDEX($A8:$T8,MATCH(Lists!$F$3,$A$1:$T$1,0))&amp;""),""),6,2)),VALUE(MID(IFERROR(TRIM(INDEX($A8:$T8,MATCH(Lists!$F$3,$A$1:$T$1,0))&amp;""),""),9,2)))+TIME(VALUE(MID(IFERROR(TRIM(INDEX($A8:$T8,MATCH(Lists!$F$3,$A$1:$T$1,0))&amp;""),""),12,2)),VALUE(MID(IFERROR(TRIM(INDEX($A8:$T8,MATCH(Lists!$F$3,$A$1:$T$1,0))&amp;""),""),15,2)),VALUE(MID(IFERROR(TRIM(INDEX($A8:$T8,MATCH(Lists!$F$3,$A$1:$T$1,0))&amp;""),""),18,2)))),""))</f>
        <v/>
      </c>
      <c r="AA8" s="23">
        <f>IF(Y8="","",IF(ISNUMBER(IFERROR(IF(TRIM(INDEX($A8:$T8,MATCH(Lists!$F$4,$A$1:$T$1,0))&amp;"")="","",IF(ISNUMBER(INDEX($A8:$T8,MATCH(Lists!$F$4,$A$1:$T$1,0))),INT(INDEX($A8:$T8,MATCH(Lists!$F$4,$A$1:$T$1,0))),DATE(VALUE(LEFT(INDEX($A8:$T8,MATCH(Lists!$F$4,$A$1:$T$1,0)),4)),VALUE(MID(INDEX($A8:$T8,MATCH(Lists!$F$4,$A$1:$T$1,0)),6,2)),VALUE(MID(INDEX($A8:$T8,MATCH(Lists!$F$4,$A$1:$T$1,0)),9,2))))),"")),IFERROR(IF(TRIM(INDEX($A8:$T8,MATCH(Lists!$F$4,$A$1:$T$1,0))&amp;"")="","",IF(ISNUMBER(INDEX($A8:$T8,MATCH(Lists!$F$4,$A$1:$T$1,0))),INT(INDEX($A8:$T8,MATCH(Lists!$F$4,$A$1:$T$1,0))),DATE(VALUE(LEFT(INDEX($A8:$T8,MATCH(Lists!$F$4,$A$1:$T$1,0)),4)),VALUE(MID(INDEX($A8:$T8,MATCH(Lists!$F$4,$A$1:$T$1,0)),6,2)),VALUE(MID(INDEX($A8:$T8,MATCH(Lists!$F$4,$A$1:$T$1,0)),9,2))))),""),IFERROR(IF(TRIM(INDEX($A8:$T8,MATCH(Lists!$F$5,$A$1:$T$1,0))&amp;"")="","",IF(ISNUMBER(INDEX($A8:$T8,MATCH(Lists!$F$5,$A$1:$T$1,0))),INT(INDEX($A8:$T8,MATCH(Lists!$F$5,$A$1:$T$1,0))),DATE(VALUE(LEFT(INDEX($A8:$T8,MATCH(Lists!$F$5,$A$1:$T$1,0)),4)),VALUE(MID(INDEX($A8:$T8,MATCH(Lists!$F$5,$A$1:$T$1,0)),6,2)),VALUE(MID(INDEX($A8:$T8,MATCH(Lists!$F$5,$A$1:$T$1,0)),9,2))))),"")))</f>
        <v/>
      </c>
      <c r="AB8" s="21">
        <f>IF(Y8="","",IF(LEFT(IFERROR(TRIM(INDEX($A8:$T8,MATCH(Lists!$F$6,$A$1:$T$1,0))&amp;""),""),2)="No","General comment",IF(IFERROR(TRIM(INDEX($A8:$T8,MATCH(Lists!$F$7,$A$1:$T$1,0))&amp;""),"")&lt;&gt;"",IFERROR(TRIM(INDEX($A8:$T8,MATCH(Lists!$F$7,$A$1:$T$1,0))&amp;""),""),IF(IFERROR(TRIM(INDEX($A8:$T8,MATCH(Lists!$F$8,$A$1:$T$1,0))&amp;""),"")&lt;&gt;"",IFERROR(TRIM(INDEX($A8:$T8,MATCH(Lists!$F$8,$A$1:$T$1,0))&amp;""),""),"(no item given)"))))</f>
        <v/>
      </c>
      <c r="AC8" s="21">
        <f>IF(Y8="","",IF(ISNUMBER(SEARCH("support",IFERROR(TRIM(INDEX($A8:$T8,MATCH(Lists!$F$9,$A$1:$T$1,0))&amp;""),""))),"Support",IF(ISNUMBER(SEARCH("oppose",IFERROR(TRIM(INDEX($A8:$T8,MATCH(Lists!$F$9,$A$1:$T$1,0))&amp;""),""))),"Oppose",IF(IFERROR(TRIM(INDEX($A8:$T8,MATCH(Lists!$F$9,$A$1:$T$1,0))&amp;""),"")="","No position","Neither"))))</f>
        <v/>
      </c>
      <c r="AD8" s="21">
        <f>IF(Y8="","",IF(ISNUMBER(SEARCH("in person",IFERROR(TRIM(INDEX($A8:$T8,MATCH(Lists!$F$13,$A$1:$T$1,0))&amp;""),""))),"In person",IF(ISNUMBER(SEARCH("online",IFERROR(TRIM(INDEX($A8:$T8,MATCH(Lists!$F$13,$A$1:$T$1,0))&amp;""),""))),"Online","Written only")))</f>
        <v/>
      </c>
      <c r="AE8" s="21">
        <f>IF(Y8="","",IFERROR(TRIM(INDEX($A8:$T8,MATCH(Lists!$F$11,$A$1:$T$1,0))&amp;""),""))</f>
        <v/>
      </c>
      <c r="AF8" s="21">
        <f>IF(Y8="","",IFERROR(TRIM(INDEX($A8:$T8,MATCH(Lists!$F$12,$A$1:$T$1,0))&amp;""),""))</f>
        <v/>
      </c>
      <c r="AG8" s="21">
        <f>IF(Y8="","",IFERROR(TRIM(INDEX($A8:$T8,MATCH(Lists!$F$14,$A$1:$T$1,0))&amp;""),""))</f>
        <v/>
      </c>
      <c r="AH8" s="21">
        <f>IF(Y8="","",LEFT(IFERROR(TRIM(INDEX($A8:$T8,MATCH(Lists!$F$10,$A$1:$T$1,0))&amp;""),""),80))</f>
        <v/>
      </c>
      <c r="AI8" s="21">
        <f>IF(Y8="",0,IF(OR(Tally!$B$5="",AA8=Tally!$B$5),1,0))</f>
        <v/>
      </c>
      <c r="AJ8" s="21">
        <f>IF(AI8=1,IF(COUNTIFS($AB$2:AB8,AB8,$AI$2:AI8,1)=1,1,0),0)</f>
        <v/>
      </c>
      <c r="AK8" s="21">
        <f>IF(AJ8=1,SUM($AJ$2:AJ8),"")</f>
        <v/>
      </c>
      <c r="AL8" s="21">
        <f>IF(AND(AI8=1,OR(AD8="In person",AD8="Online"),OR(Speakers!$B$5="",AB8=Speakers!$B$5)),N(Z8)+ROW()/1000000000,"")</f>
        <v/>
      </c>
    </row>
    <row r="9">
      <c r="A9" s="18" t="inlineStr">
        <is>
          <t>EXAMPLE-08 (delete me)</t>
        </is>
      </c>
      <c r="B9" s="18" t="inlineStr">
        <is>
          <t>2026-11-05T11:10:00.000Z</t>
        </is>
      </c>
      <c r="C9" s="18" t="inlineStr">
        <is>
          <t>2026-11-05T08:00:00.000Z</t>
        </is>
      </c>
      <c r="D9" s="18" t="inlineStr">
        <is>
          <t>2026-11-12</t>
        </is>
      </c>
      <c r="E9" s="18" t="inlineStr"/>
      <c r="F9" s="18" t="inlineStr">
        <is>
          <t>2026-11-12</t>
        </is>
      </c>
      <c r="G9" s="18" t="inlineStr">
        <is>
          <t>No, it's a general comment</t>
        </is>
      </c>
      <c r="H9" s="18" t="inlineStr"/>
      <c r="I9" s="18" t="inlineStr"/>
      <c r="J9" s="18" t="inlineStr">
        <is>
          <t>Can we get more trash cans by the lake?</t>
        </is>
      </c>
      <c r="K9" s="18" t="inlineStr"/>
      <c r="L9" s="18" t="inlineStr">
        <is>
          <t>Hana Ito</t>
        </is>
      </c>
      <c r="M9" s="18" t="inlineStr">
        <is>
          <t>Lakeside</t>
        </is>
      </c>
      <c r="N9" s="18" t="inlineStr"/>
      <c r="O9" s="18" t="inlineStr">
        <is>
          <t>Yes, online</t>
        </is>
      </c>
      <c r="P9" s="18" t="inlineStr">
        <is>
          <t>555-0122</t>
        </is>
      </c>
      <c r="Q9" s="18" t="n">
        <v>1</v>
      </c>
      <c r="U9" s="19" t="n"/>
      <c r="V9" s="20" t="inlineStr"/>
      <c r="W9" s="20" t="n"/>
      <c r="X9" s="19" t="n"/>
      <c r="Y9" s="21">
        <f>IFERROR(TRIM(INDEX($A9:$T9,MATCH(Lists!$F$2,$A$1:$T$1,0))&amp;""),"")</f>
        <v/>
      </c>
      <c r="Z9" s="22">
        <f>IF(Y9="","",IFERROR(IF(ISNUMBER(INDEX($A9:$T9,MATCH(Lists!$F$3,$A$1:$T$1,0))),INDEX($A9:$T9,MATCH(Lists!$F$3,$A$1:$T$1,0)),DATE(VALUE(LEFT(IFERROR(TRIM(INDEX($A9:$T9,MATCH(Lists!$F$3,$A$1:$T$1,0))&amp;""),""),4)),VALUE(MID(IFERROR(TRIM(INDEX($A9:$T9,MATCH(Lists!$F$3,$A$1:$T$1,0))&amp;""),""),6,2)),VALUE(MID(IFERROR(TRIM(INDEX($A9:$T9,MATCH(Lists!$F$3,$A$1:$T$1,0))&amp;""),""),9,2)))+TIME(VALUE(MID(IFERROR(TRIM(INDEX($A9:$T9,MATCH(Lists!$F$3,$A$1:$T$1,0))&amp;""),""),12,2)),VALUE(MID(IFERROR(TRIM(INDEX($A9:$T9,MATCH(Lists!$F$3,$A$1:$T$1,0))&amp;""),""),15,2)),VALUE(MID(IFERROR(TRIM(INDEX($A9:$T9,MATCH(Lists!$F$3,$A$1:$T$1,0))&amp;""),""),18,2)))),""))</f>
        <v/>
      </c>
      <c r="AA9" s="23">
        <f>IF(Y9="","",IF(ISNUMBER(IFERROR(IF(TRIM(INDEX($A9:$T9,MATCH(Lists!$F$4,$A$1:$T$1,0))&amp;"")="","",IF(ISNUMBER(INDEX($A9:$T9,MATCH(Lists!$F$4,$A$1:$T$1,0))),INT(INDEX($A9:$T9,MATCH(Lists!$F$4,$A$1:$T$1,0))),DATE(VALUE(LEFT(INDEX($A9:$T9,MATCH(Lists!$F$4,$A$1:$T$1,0)),4)),VALUE(MID(INDEX($A9:$T9,MATCH(Lists!$F$4,$A$1:$T$1,0)),6,2)),VALUE(MID(INDEX($A9:$T9,MATCH(Lists!$F$4,$A$1:$T$1,0)),9,2))))),"")),IFERROR(IF(TRIM(INDEX($A9:$T9,MATCH(Lists!$F$4,$A$1:$T$1,0))&amp;"")="","",IF(ISNUMBER(INDEX($A9:$T9,MATCH(Lists!$F$4,$A$1:$T$1,0))),INT(INDEX($A9:$T9,MATCH(Lists!$F$4,$A$1:$T$1,0))),DATE(VALUE(LEFT(INDEX($A9:$T9,MATCH(Lists!$F$4,$A$1:$T$1,0)),4)),VALUE(MID(INDEX($A9:$T9,MATCH(Lists!$F$4,$A$1:$T$1,0)),6,2)),VALUE(MID(INDEX($A9:$T9,MATCH(Lists!$F$4,$A$1:$T$1,0)),9,2))))),""),IFERROR(IF(TRIM(INDEX($A9:$T9,MATCH(Lists!$F$5,$A$1:$T$1,0))&amp;"")="","",IF(ISNUMBER(INDEX($A9:$T9,MATCH(Lists!$F$5,$A$1:$T$1,0))),INT(INDEX($A9:$T9,MATCH(Lists!$F$5,$A$1:$T$1,0))),DATE(VALUE(LEFT(INDEX($A9:$T9,MATCH(Lists!$F$5,$A$1:$T$1,0)),4)),VALUE(MID(INDEX($A9:$T9,MATCH(Lists!$F$5,$A$1:$T$1,0)),6,2)),VALUE(MID(INDEX($A9:$T9,MATCH(Lists!$F$5,$A$1:$T$1,0)),9,2))))),"")))</f>
        <v/>
      </c>
      <c r="AB9" s="21">
        <f>IF(Y9="","",IF(LEFT(IFERROR(TRIM(INDEX($A9:$T9,MATCH(Lists!$F$6,$A$1:$T$1,0))&amp;""),""),2)="No","General comment",IF(IFERROR(TRIM(INDEX($A9:$T9,MATCH(Lists!$F$7,$A$1:$T$1,0))&amp;""),"")&lt;&gt;"",IFERROR(TRIM(INDEX($A9:$T9,MATCH(Lists!$F$7,$A$1:$T$1,0))&amp;""),""),IF(IFERROR(TRIM(INDEX($A9:$T9,MATCH(Lists!$F$8,$A$1:$T$1,0))&amp;""),"")&lt;&gt;"",IFERROR(TRIM(INDEX($A9:$T9,MATCH(Lists!$F$8,$A$1:$T$1,0))&amp;""),""),"(no item given)"))))</f>
        <v/>
      </c>
      <c r="AC9" s="21">
        <f>IF(Y9="","",IF(ISNUMBER(SEARCH("support",IFERROR(TRIM(INDEX($A9:$T9,MATCH(Lists!$F$9,$A$1:$T$1,0))&amp;""),""))),"Support",IF(ISNUMBER(SEARCH("oppose",IFERROR(TRIM(INDEX($A9:$T9,MATCH(Lists!$F$9,$A$1:$T$1,0))&amp;""),""))),"Oppose",IF(IFERROR(TRIM(INDEX($A9:$T9,MATCH(Lists!$F$9,$A$1:$T$1,0))&amp;""),"")="","No position","Neither"))))</f>
        <v/>
      </c>
      <c r="AD9" s="21">
        <f>IF(Y9="","",IF(ISNUMBER(SEARCH("in person",IFERROR(TRIM(INDEX($A9:$T9,MATCH(Lists!$F$13,$A$1:$T$1,0))&amp;""),""))),"In person",IF(ISNUMBER(SEARCH("online",IFERROR(TRIM(INDEX($A9:$T9,MATCH(Lists!$F$13,$A$1:$T$1,0))&amp;""),""))),"Online","Written only")))</f>
        <v/>
      </c>
      <c r="AE9" s="21">
        <f>IF(Y9="","",IFERROR(TRIM(INDEX($A9:$T9,MATCH(Lists!$F$11,$A$1:$T$1,0))&amp;""),""))</f>
        <v/>
      </c>
      <c r="AF9" s="21">
        <f>IF(Y9="","",IFERROR(TRIM(INDEX($A9:$T9,MATCH(Lists!$F$12,$A$1:$T$1,0))&amp;""),""))</f>
        <v/>
      </c>
      <c r="AG9" s="21">
        <f>IF(Y9="","",IFERROR(TRIM(INDEX($A9:$T9,MATCH(Lists!$F$14,$A$1:$T$1,0))&amp;""),""))</f>
        <v/>
      </c>
      <c r="AH9" s="21">
        <f>IF(Y9="","",LEFT(IFERROR(TRIM(INDEX($A9:$T9,MATCH(Lists!$F$10,$A$1:$T$1,0))&amp;""),""),80))</f>
        <v/>
      </c>
      <c r="AI9" s="21">
        <f>IF(Y9="",0,IF(OR(Tally!$B$5="",AA9=Tally!$B$5),1,0))</f>
        <v/>
      </c>
      <c r="AJ9" s="21">
        <f>IF(AI9=1,IF(COUNTIFS($AB$2:AB9,AB9,$AI$2:AI9,1)=1,1,0),0)</f>
        <v/>
      </c>
      <c r="AK9" s="21">
        <f>IF(AJ9=1,SUM($AJ$2:AJ9),"")</f>
        <v/>
      </c>
      <c r="AL9" s="21">
        <f>IF(AND(AI9=1,OR(AD9="In person",AD9="Online"),OR(Speakers!$B$5="",AB9=Speakers!$B$5)),N(Z9)+ROW()/1000000000,"")</f>
        <v/>
      </c>
    </row>
    <row r="10">
      <c r="A10" s="18" t="inlineStr">
        <is>
          <t>EXAMPLE-09 (delete me)</t>
        </is>
      </c>
      <c r="B10" s="18" t="inlineStr">
        <is>
          <t>2026-10-15T13:25:00.000Z</t>
        </is>
      </c>
      <c r="C10" s="18" t="inlineStr">
        <is>
          <t>2026-10-15T08:00:00.000Z</t>
        </is>
      </c>
      <c r="D10" s="18" t="inlineStr">
        <is>
          <t>2026-10-22</t>
        </is>
      </c>
      <c r="E10" s="18" t="inlineStr">
        <is>
          <t>3</t>
        </is>
      </c>
      <c r="F10" s="18" t="inlineStr">
        <is>
          <t>2026-10-22</t>
        </is>
      </c>
      <c r="G10" s="18" t="inlineStr">
        <is>
          <t>Yes</t>
        </is>
      </c>
      <c r="H10" s="18" t="inlineStr">
        <is>
          <t>3</t>
        </is>
      </c>
      <c r="I10" s="18" t="inlineStr">
        <is>
          <t>I support it</t>
        </is>
      </c>
      <c r="J10" s="18" t="inlineStr">
        <is>
          <t>Glad to see this on the agenda.</t>
        </is>
      </c>
      <c r="K10" s="18" t="inlineStr"/>
      <c r="L10" s="18" t="inlineStr">
        <is>
          <t>Ian Cole</t>
        </is>
      </c>
      <c r="M10" s="18" t="inlineStr">
        <is>
          <t>Eastside</t>
        </is>
      </c>
      <c r="N10" s="18" t="inlineStr"/>
      <c r="O10" s="18" t="inlineStr">
        <is>
          <t>No, please enter my written comment</t>
        </is>
      </c>
      <c r="P10" s="18" t="inlineStr"/>
      <c r="Q10" s="18" t="n">
        <v>1</v>
      </c>
      <c r="U10" s="19" t="n"/>
      <c r="V10" s="20" t="inlineStr">
        <is>
          <t>Yes</t>
        </is>
      </c>
      <c r="W10" s="20" t="n"/>
      <c r="X10" s="19" t="n"/>
      <c r="Y10" s="21">
        <f>IFERROR(TRIM(INDEX($A10:$T10,MATCH(Lists!$F$2,$A$1:$T$1,0))&amp;""),"")</f>
        <v/>
      </c>
      <c r="Z10" s="22">
        <f>IF(Y10="","",IFERROR(IF(ISNUMBER(INDEX($A10:$T10,MATCH(Lists!$F$3,$A$1:$T$1,0))),INDEX($A10:$T10,MATCH(Lists!$F$3,$A$1:$T$1,0)),DATE(VALUE(LEFT(IFERROR(TRIM(INDEX($A10:$T10,MATCH(Lists!$F$3,$A$1:$T$1,0))&amp;""),""),4)),VALUE(MID(IFERROR(TRIM(INDEX($A10:$T10,MATCH(Lists!$F$3,$A$1:$T$1,0))&amp;""),""),6,2)),VALUE(MID(IFERROR(TRIM(INDEX($A10:$T10,MATCH(Lists!$F$3,$A$1:$T$1,0))&amp;""),""),9,2)))+TIME(VALUE(MID(IFERROR(TRIM(INDEX($A10:$T10,MATCH(Lists!$F$3,$A$1:$T$1,0))&amp;""),""),12,2)),VALUE(MID(IFERROR(TRIM(INDEX($A10:$T10,MATCH(Lists!$F$3,$A$1:$T$1,0))&amp;""),""),15,2)),VALUE(MID(IFERROR(TRIM(INDEX($A10:$T10,MATCH(Lists!$F$3,$A$1:$T$1,0))&amp;""),""),18,2)))),""))</f>
        <v/>
      </c>
      <c r="AA10" s="23">
        <f>IF(Y10="","",IF(ISNUMBER(IFERROR(IF(TRIM(INDEX($A10:$T10,MATCH(Lists!$F$4,$A$1:$T$1,0))&amp;"")="","",IF(ISNUMBER(INDEX($A10:$T10,MATCH(Lists!$F$4,$A$1:$T$1,0))),INT(INDEX($A10:$T10,MATCH(Lists!$F$4,$A$1:$T$1,0))),DATE(VALUE(LEFT(INDEX($A10:$T10,MATCH(Lists!$F$4,$A$1:$T$1,0)),4)),VALUE(MID(INDEX($A10:$T10,MATCH(Lists!$F$4,$A$1:$T$1,0)),6,2)),VALUE(MID(INDEX($A10:$T10,MATCH(Lists!$F$4,$A$1:$T$1,0)),9,2))))),"")),IFERROR(IF(TRIM(INDEX($A10:$T10,MATCH(Lists!$F$4,$A$1:$T$1,0))&amp;"")="","",IF(ISNUMBER(INDEX($A10:$T10,MATCH(Lists!$F$4,$A$1:$T$1,0))),INT(INDEX($A10:$T10,MATCH(Lists!$F$4,$A$1:$T$1,0))),DATE(VALUE(LEFT(INDEX($A10:$T10,MATCH(Lists!$F$4,$A$1:$T$1,0)),4)),VALUE(MID(INDEX($A10:$T10,MATCH(Lists!$F$4,$A$1:$T$1,0)),6,2)),VALUE(MID(INDEX($A10:$T10,MATCH(Lists!$F$4,$A$1:$T$1,0)),9,2))))),""),IFERROR(IF(TRIM(INDEX($A10:$T10,MATCH(Lists!$F$5,$A$1:$T$1,0))&amp;"")="","",IF(ISNUMBER(INDEX($A10:$T10,MATCH(Lists!$F$5,$A$1:$T$1,0))),INT(INDEX($A10:$T10,MATCH(Lists!$F$5,$A$1:$T$1,0))),DATE(VALUE(LEFT(INDEX($A10:$T10,MATCH(Lists!$F$5,$A$1:$T$1,0)),4)),VALUE(MID(INDEX($A10:$T10,MATCH(Lists!$F$5,$A$1:$T$1,0)),6,2)),VALUE(MID(INDEX($A10:$T10,MATCH(Lists!$F$5,$A$1:$T$1,0)),9,2))))),"")))</f>
        <v/>
      </c>
      <c r="AB10" s="21">
        <f>IF(Y10="","",IF(LEFT(IFERROR(TRIM(INDEX($A10:$T10,MATCH(Lists!$F$6,$A$1:$T$1,0))&amp;""),""),2)="No","General comment",IF(IFERROR(TRIM(INDEX($A10:$T10,MATCH(Lists!$F$7,$A$1:$T$1,0))&amp;""),"")&lt;&gt;"",IFERROR(TRIM(INDEX($A10:$T10,MATCH(Lists!$F$7,$A$1:$T$1,0))&amp;""),""),IF(IFERROR(TRIM(INDEX($A10:$T10,MATCH(Lists!$F$8,$A$1:$T$1,0))&amp;""),"")&lt;&gt;"",IFERROR(TRIM(INDEX($A10:$T10,MATCH(Lists!$F$8,$A$1:$T$1,0))&amp;""),""),"(no item given)"))))</f>
        <v/>
      </c>
      <c r="AC10" s="21">
        <f>IF(Y10="","",IF(ISNUMBER(SEARCH("support",IFERROR(TRIM(INDEX($A10:$T10,MATCH(Lists!$F$9,$A$1:$T$1,0))&amp;""),""))),"Support",IF(ISNUMBER(SEARCH("oppose",IFERROR(TRIM(INDEX($A10:$T10,MATCH(Lists!$F$9,$A$1:$T$1,0))&amp;""),""))),"Oppose",IF(IFERROR(TRIM(INDEX($A10:$T10,MATCH(Lists!$F$9,$A$1:$T$1,0))&amp;""),"")="","No position","Neither"))))</f>
        <v/>
      </c>
      <c r="AD10" s="21">
        <f>IF(Y10="","",IF(ISNUMBER(SEARCH("in person",IFERROR(TRIM(INDEX($A10:$T10,MATCH(Lists!$F$13,$A$1:$T$1,0))&amp;""),""))),"In person",IF(ISNUMBER(SEARCH("online",IFERROR(TRIM(INDEX($A10:$T10,MATCH(Lists!$F$13,$A$1:$T$1,0))&amp;""),""))),"Online","Written only")))</f>
        <v/>
      </c>
      <c r="AE10" s="21">
        <f>IF(Y10="","",IFERROR(TRIM(INDEX($A10:$T10,MATCH(Lists!$F$11,$A$1:$T$1,0))&amp;""),""))</f>
        <v/>
      </c>
      <c r="AF10" s="21">
        <f>IF(Y10="","",IFERROR(TRIM(INDEX($A10:$T10,MATCH(Lists!$F$12,$A$1:$T$1,0))&amp;""),""))</f>
        <v/>
      </c>
      <c r="AG10" s="21">
        <f>IF(Y10="","",IFERROR(TRIM(INDEX($A10:$T10,MATCH(Lists!$F$14,$A$1:$T$1,0))&amp;""),""))</f>
        <v/>
      </c>
      <c r="AH10" s="21">
        <f>IF(Y10="","",LEFT(IFERROR(TRIM(INDEX($A10:$T10,MATCH(Lists!$F$10,$A$1:$T$1,0))&amp;""),""),80))</f>
        <v/>
      </c>
      <c r="AI10" s="21">
        <f>IF(Y10="",0,IF(OR(Tally!$B$5="",AA10=Tally!$B$5),1,0))</f>
        <v/>
      </c>
      <c r="AJ10" s="21">
        <f>IF(AI10=1,IF(COUNTIFS($AB$2:AB10,AB10,$AI$2:AI10,1)=1,1,0),0)</f>
        <v/>
      </c>
      <c r="AK10" s="21">
        <f>IF(AJ10=1,SUM($AJ$2:AJ10),"")</f>
        <v/>
      </c>
      <c r="AL10" s="21">
        <f>IF(AND(AI10=1,OR(AD10="In person",AD10="Online"),OR(Speakers!$B$5="",AB10=Speakers!$B$5)),N(Z10)+ROW()/1000000000,"")</f>
        <v/>
      </c>
    </row>
    <row r="11">
      <c r="A11" s="18" t="inlineStr">
        <is>
          <t>EXAMPLE-10 (delete me)</t>
        </is>
      </c>
      <c r="B11" s="18" t="inlineStr">
        <is>
          <t>2026-10-16T18:05:00.000Z</t>
        </is>
      </c>
      <c r="C11" s="18" t="inlineStr">
        <is>
          <t>2026-10-16T08:00:00.000Z</t>
        </is>
      </c>
      <c r="D11" s="18" t="inlineStr">
        <is>
          <t>2026-10-22</t>
        </is>
      </c>
      <c r="E11" s="18" t="inlineStr">
        <is>
          <t>3</t>
        </is>
      </c>
      <c r="F11" s="18" t="inlineStr">
        <is>
          <t>2026-10-22</t>
        </is>
      </c>
      <c r="G11" s="18" t="inlineStr">
        <is>
          <t>Yes</t>
        </is>
      </c>
      <c r="H11" s="18" t="inlineStr">
        <is>
          <t>3</t>
        </is>
      </c>
      <c r="I11" s="18" t="inlineStr">
        <is>
          <t>I oppose it</t>
        </is>
      </c>
      <c r="J11" s="18" t="inlineStr">
        <is>
          <t>Please give residents more notice.</t>
        </is>
      </c>
      <c r="K11" s="18" t="inlineStr"/>
      <c r="L11" s="18" t="inlineStr">
        <is>
          <t>Jo Park</t>
        </is>
      </c>
      <c r="M11" s="18" t="inlineStr">
        <is>
          <t>Downtown</t>
        </is>
      </c>
      <c r="N11" s="18" t="inlineStr"/>
      <c r="O11" s="18" t="inlineStr">
        <is>
          <t>Yes, in person</t>
        </is>
      </c>
      <c r="P11" s="18" t="inlineStr"/>
      <c r="Q11" s="18" t="n">
        <v>1</v>
      </c>
      <c r="U11" s="19" t="n"/>
      <c r="V11" s="20" t="inlineStr">
        <is>
          <t>Yes</t>
        </is>
      </c>
      <c r="W11" s="20" t="n"/>
      <c r="X11" s="19" t="n"/>
      <c r="Y11" s="21">
        <f>IFERROR(TRIM(INDEX($A11:$T11,MATCH(Lists!$F$2,$A$1:$T$1,0))&amp;""),"")</f>
        <v/>
      </c>
      <c r="Z11" s="22">
        <f>IF(Y11="","",IFERROR(IF(ISNUMBER(INDEX($A11:$T11,MATCH(Lists!$F$3,$A$1:$T$1,0))),INDEX($A11:$T11,MATCH(Lists!$F$3,$A$1:$T$1,0)),DATE(VALUE(LEFT(IFERROR(TRIM(INDEX($A11:$T11,MATCH(Lists!$F$3,$A$1:$T$1,0))&amp;""),""),4)),VALUE(MID(IFERROR(TRIM(INDEX($A11:$T11,MATCH(Lists!$F$3,$A$1:$T$1,0))&amp;""),""),6,2)),VALUE(MID(IFERROR(TRIM(INDEX($A11:$T11,MATCH(Lists!$F$3,$A$1:$T$1,0))&amp;""),""),9,2)))+TIME(VALUE(MID(IFERROR(TRIM(INDEX($A11:$T11,MATCH(Lists!$F$3,$A$1:$T$1,0))&amp;""),""),12,2)),VALUE(MID(IFERROR(TRIM(INDEX($A11:$T11,MATCH(Lists!$F$3,$A$1:$T$1,0))&amp;""),""),15,2)),VALUE(MID(IFERROR(TRIM(INDEX($A11:$T11,MATCH(Lists!$F$3,$A$1:$T$1,0))&amp;""),""),18,2)))),""))</f>
        <v/>
      </c>
      <c r="AA11" s="23">
        <f>IF(Y11="","",IF(ISNUMBER(IFERROR(IF(TRIM(INDEX($A11:$T11,MATCH(Lists!$F$4,$A$1:$T$1,0))&amp;"")="","",IF(ISNUMBER(INDEX($A11:$T11,MATCH(Lists!$F$4,$A$1:$T$1,0))),INT(INDEX($A11:$T11,MATCH(Lists!$F$4,$A$1:$T$1,0))),DATE(VALUE(LEFT(INDEX($A11:$T11,MATCH(Lists!$F$4,$A$1:$T$1,0)),4)),VALUE(MID(INDEX($A11:$T11,MATCH(Lists!$F$4,$A$1:$T$1,0)),6,2)),VALUE(MID(INDEX($A11:$T11,MATCH(Lists!$F$4,$A$1:$T$1,0)),9,2))))),"")),IFERROR(IF(TRIM(INDEX($A11:$T11,MATCH(Lists!$F$4,$A$1:$T$1,0))&amp;"")="","",IF(ISNUMBER(INDEX($A11:$T11,MATCH(Lists!$F$4,$A$1:$T$1,0))),INT(INDEX($A11:$T11,MATCH(Lists!$F$4,$A$1:$T$1,0))),DATE(VALUE(LEFT(INDEX($A11:$T11,MATCH(Lists!$F$4,$A$1:$T$1,0)),4)),VALUE(MID(INDEX($A11:$T11,MATCH(Lists!$F$4,$A$1:$T$1,0)),6,2)),VALUE(MID(INDEX($A11:$T11,MATCH(Lists!$F$4,$A$1:$T$1,0)),9,2))))),""),IFERROR(IF(TRIM(INDEX($A11:$T11,MATCH(Lists!$F$5,$A$1:$T$1,0))&amp;"")="","",IF(ISNUMBER(INDEX($A11:$T11,MATCH(Lists!$F$5,$A$1:$T$1,0))),INT(INDEX($A11:$T11,MATCH(Lists!$F$5,$A$1:$T$1,0))),DATE(VALUE(LEFT(INDEX($A11:$T11,MATCH(Lists!$F$5,$A$1:$T$1,0)),4)),VALUE(MID(INDEX($A11:$T11,MATCH(Lists!$F$5,$A$1:$T$1,0)),6,2)),VALUE(MID(INDEX($A11:$T11,MATCH(Lists!$F$5,$A$1:$T$1,0)),9,2))))),"")))</f>
        <v/>
      </c>
      <c r="AB11" s="21">
        <f>IF(Y11="","",IF(LEFT(IFERROR(TRIM(INDEX($A11:$T11,MATCH(Lists!$F$6,$A$1:$T$1,0))&amp;""),""),2)="No","General comment",IF(IFERROR(TRIM(INDEX($A11:$T11,MATCH(Lists!$F$7,$A$1:$T$1,0))&amp;""),"")&lt;&gt;"",IFERROR(TRIM(INDEX($A11:$T11,MATCH(Lists!$F$7,$A$1:$T$1,0))&amp;""),""),IF(IFERROR(TRIM(INDEX($A11:$T11,MATCH(Lists!$F$8,$A$1:$T$1,0))&amp;""),"")&lt;&gt;"",IFERROR(TRIM(INDEX($A11:$T11,MATCH(Lists!$F$8,$A$1:$T$1,0))&amp;""),""),"(no item given)"))))</f>
        <v/>
      </c>
      <c r="AC11" s="21">
        <f>IF(Y11="","",IF(ISNUMBER(SEARCH("support",IFERROR(TRIM(INDEX($A11:$T11,MATCH(Lists!$F$9,$A$1:$T$1,0))&amp;""),""))),"Support",IF(ISNUMBER(SEARCH("oppose",IFERROR(TRIM(INDEX($A11:$T11,MATCH(Lists!$F$9,$A$1:$T$1,0))&amp;""),""))),"Oppose",IF(IFERROR(TRIM(INDEX($A11:$T11,MATCH(Lists!$F$9,$A$1:$T$1,0))&amp;""),"")="","No position","Neither"))))</f>
        <v/>
      </c>
      <c r="AD11" s="21">
        <f>IF(Y11="","",IF(ISNUMBER(SEARCH("in person",IFERROR(TRIM(INDEX($A11:$T11,MATCH(Lists!$F$13,$A$1:$T$1,0))&amp;""),""))),"In person",IF(ISNUMBER(SEARCH("online",IFERROR(TRIM(INDEX($A11:$T11,MATCH(Lists!$F$13,$A$1:$T$1,0))&amp;""),""))),"Online","Written only")))</f>
        <v/>
      </c>
      <c r="AE11" s="21">
        <f>IF(Y11="","",IFERROR(TRIM(INDEX($A11:$T11,MATCH(Lists!$F$11,$A$1:$T$1,0))&amp;""),""))</f>
        <v/>
      </c>
      <c r="AF11" s="21">
        <f>IF(Y11="","",IFERROR(TRIM(INDEX($A11:$T11,MATCH(Lists!$F$12,$A$1:$T$1,0))&amp;""),""))</f>
        <v/>
      </c>
      <c r="AG11" s="21">
        <f>IF(Y11="","",IFERROR(TRIM(INDEX($A11:$T11,MATCH(Lists!$F$14,$A$1:$T$1,0))&amp;""),""))</f>
        <v/>
      </c>
      <c r="AH11" s="21">
        <f>IF(Y11="","",LEFT(IFERROR(TRIM(INDEX($A11:$T11,MATCH(Lists!$F$10,$A$1:$T$1,0))&amp;""),""),80))</f>
        <v/>
      </c>
      <c r="AI11" s="21">
        <f>IF(Y11="",0,IF(OR(Tally!$B$5="",AA11=Tally!$B$5),1,0))</f>
        <v/>
      </c>
      <c r="AJ11" s="21">
        <f>IF(AI11=1,IF(COUNTIFS($AB$2:AB11,AB11,$AI$2:AI11,1)=1,1,0),0)</f>
        <v/>
      </c>
      <c r="AK11" s="21">
        <f>IF(AJ11=1,SUM($AJ$2:AJ11),"")</f>
        <v/>
      </c>
      <c r="AL11" s="21">
        <f>IF(AND(AI11=1,OR(AD11="In person",AD11="Online"),OR(Speakers!$B$5="",AB11=Speakers!$B$5)),N(Z11)+ROW()/1000000000,"")</f>
        <v/>
      </c>
    </row>
    <row r="12">
      <c r="U12" s="19" t="n"/>
      <c r="V12" s="24" t="n"/>
      <c r="W12" s="24" t="n"/>
      <c r="X12" s="19" t="n"/>
      <c r="Y12" s="21">
        <f>IFERROR(TRIM(INDEX($A12:$T12,MATCH(Lists!$F$2,$A$1:$T$1,0))&amp;""),"")</f>
        <v/>
      </c>
      <c r="Z12" s="22">
        <f>IF(Y12="","",IFERROR(IF(ISNUMBER(INDEX($A12:$T12,MATCH(Lists!$F$3,$A$1:$T$1,0))),INDEX($A12:$T12,MATCH(Lists!$F$3,$A$1:$T$1,0)),DATE(VALUE(LEFT(IFERROR(TRIM(INDEX($A12:$T12,MATCH(Lists!$F$3,$A$1:$T$1,0))&amp;""),""),4)),VALUE(MID(IFERROR(TRIM(INDEX($A12:$T12,MATCH(Lists!$F$3,$A$1:$T$1,0))&amp;""),""),6,2)),VALUE(MID(IFERROR(TRIM(INDEX($A12:$T12,MATCH(Lists!$F$3,$A$1:$T$1,0))&amp;""),""),9,2)))+TIME(VALUE(MID(IFERROR(TRIM(INDEX($A12:$T12,MATCH(Lists!$F$3,$A$1:$T$1,0))&amp;""),""),12,2)),VALUE(MID(IFERROR(TRIM(INDEX($A12:$T12,MATCH(Lists!$F$3,$A$1:$T$1,0))&amp;""),""),15,2)),VALUE(MID(IFERROR(TRIM(INDEX($A12:$T12,MATCH(Lists!$F$3,$A$1:$T$1,0))&amp;""),""),18,2)))),""))</f>
        <v/>
      </c>
      <c r="AA12" s="23">
        <f>IF(Y12="","",IF(ISNUMBER(IFERROR(IF(TRIM(INDEX($A12:$T12,MATCH(Lists!$F$4,$A$1:$T$1,0))&amp;"")="","",IF(ISNUMBER(INDEX($A12:$T12,MATCH(Lists!$F$4,$A$1:$T$1,0))),INT(INDEX($A12:$T12,MATCH(Lists!$F$4,$A$1:$T$1,0))),DATE(VALUE(LEFT(INDEX($A12:$T12,MATCH(Lists!$F$4,$A$1:$T$1,0)),4)),VALUE(MID(INDEX($A12:$T12,MATCH(Lists!$F$4,$A$1:$T$1,0)),6,2)),VALUE(MID(INDEX($A12:$T12,MATCH(Lists!$F$4,$A$1:$T$1,0)),9,2))))),"")),IFERROR(IF(TRIM(INDEX($A12:$T12,MATCH(Lists!$F$4,$A$1:$T$1,0))&amp;"")="","",IF(ISNUMBER(INDEX($A12:$T12,MATCH(Lists!$F$4,$A$1:$T$1,0))),INT(INDEX($A12:$T12,MATCH(Lists!$F$4,$A$1:$T$1,0))),DATE(VALUE(LEFT(INDEX($A12:$T12,MATCH(Lists!$F$4,$A$1:$T$1,0)),4)),VALUE(MID(INDEX($A12:$T12,MATCH(Lists!$F$4,$A$1:$T$1,0)),6,2)),VALUE(MID(INDEX($A12:$T12,MATCH(Lists!$F$4,$A$1:$T$1,0)),9,2))))),""),IFERROR(IF(TRIM(INDEX($A12:$T12,MATCH(Lists!$F$5,$A$1:$T$1,0))&amp;"")="","",IF(ISNUMBER(INDEX($A12:$T12,MATCH(Lists!$F$5,$A$1:$T$1,0))),INT(INDEX($A12:$T12,MATCH(Lists!$F$5,$A$1:$T$1,0))),DATE(VALUE(LEFT(INDEX($A12:$T12,MATCH(Lists!$F$5,$A$1:$T$1,0)),4)),VALUE(MID(INDEX($A12:$T12,MATCH(Lists!$F$5,$A$1:$T$1,0)),6,2)),VALUE(MID(INDEX($A12:$T12,MATCH(Lists!$F$5,$A$1:$T$1,0)),9,2))))),"")))</f>
        <v/>
      </c>
      <c r="AB12" s="21">
        <f>IF(Y12="","",IF(LEFT(IFERROR(TRIM(INDEX($A12:$T12,MATCH(Lists!$F$6,$A$1:$T$1,0))&amp;""),""),2)="No","General comment",IF(IFERROR(TRIM(INDEX($A12:$T12,MATCH(Lists!$F$7,$A$1:$T$1,0))&amp;""),"")&lt;&gt;"",IFERROR(TRIM(INDEX($A12:$T12,MATCH(Lists!$F$7,$A$1:$T$1,0))&amp;""),""),IF(IFERROR(TRIM(INDEX($A12:$T12,MATCH(Lists!$F$8,$A$1:$T$1,0))&amp;""),"")&lt;&gt;"",IFERROR(TRIM(INDEX($A12:$T12,MATCH(Lists!$F$8,$A$1:$T$1,0))&amp;""),""),"(no item given)"))))</f>
        <v/>
      </c>
      <c r="AC12" s="21">
        <f>IF(Y12="","",IF(ISNUMBER(SEARCH("support",IFERROR(TRIM(INDEX($A12:$T12,MATCH(Lists!$F$9,$A$1:$T$1,0))&amp;""),""))),"Support",IF(ISNUMBER(SEARCH("oppose",IFERROR(TRIM(INDEX($A12:$T12,MATCH(Lists!$F$9,$A$1:$T$1,0))&amp;""),""))),"Oppose",IF(IFERROR(TRIM(INDEX($A12:$T12,MATCH(Lists!$F$9,$A$1:$T$1,0))&amp;""),"")="","No position","Neither"))))</f>
        <v/>
      </c>
      <c r="AD12" s="21">
        <f>IF(Y12="","",IF(ISNUMBER(SEARCH("in person",IFERROR(TRIM(INDEX($A12:$T12,MATCH(Lists!$F$13,$A$1:$T$1,0))&amp;""),""))),"In person",IF(ISNUMBER(SEARCH("online",IFERROR(TRIM(INDEX($A12:$T12,MATCH(Lists!$F$13,$A$1:$T$1,0))&amp;""),""))),"Online","Written only")))</f>
        <v/>
      </c>
      <c r="AE12" s="21">
        <f>IF(Y12="","",IFERROR(TRIM(INDEX($A12:$T12,MATCH(Lists!$F$11,$A$1:$T$1,0))&amp;""),""))</f>
        <v/>
      </c>
      <c r="AF12" s="21">
        <f>IF(Y12="","",IFERROR(TRIM(INDEX($A12:$T12,MATCH(Lists!$F$12,$A$1:$T$1,0))&amp;""),""))</f>
        <v/>
      </c>
      <c r="AG12" s="21">
        <f>IF(Y12="","",IFERROR(TRIM(INDEX($A12:$T12,MATCH(Lists!$F$14,$A$1:$T$1,0))&amp;""),""))</f>
        <v/>
      </c>
      <c r="AH12" s="21">
        <f>IF(Y12="","",LEFT(IFERROR(TRIM(INDEX($A12:$T12,MATCH(Lists!$F$10,$A$1:$T$1,0))&amp;""),""),80))</f>
        <v/>
      </c>
      <c r="AI12" s="21">
        <f>IF(Y12="",0,IF(OR(Tally!$B$5="",AA12=Tally!$B$5),1,0))</f>
        <v/>
      </c>
      <c r="AJ12" s="21">
        <f>IF(AI12=1,IF(COUNTIFS($AB$2:AB12,AB12,$AI$2:AI12,1)=1,1,0),0)</f>
        <v/>
      </c>
      <c r="AK12" s="21">
        <f>IF(AJ12=1,SUM($AJ$2:AJ12),"")</f>
        <v/>
      </c>
      <c r="AL12" s="21">
        <f>IF(AND(AI12=1,OR(AD12="In person",AD12="Online"),OR(Speakers!$B$5="",AB12=Speakers!$B$5)),N(Z12)+ROW()/1000000000,"")</f>
        <v/>
      </c>
    </row>
    <row r="13">
      <c r="U13" s="19" t="n"/>
      <c r="V13" s="24" t="n"/>
      <c r="W13" s="24" t="n"/>
      <c r="X13" s="19" t="n"/>
      <c r="Y13" s="21">
        <f>IFERROR(TRIM(INDEX($A13:$T13,MATCH(Lists!$F$2,$A$1:$T$1,0))&amp;""),"")</f>
        <v/>
      </c>
      <c r="Z13" s="22">
        <f>IF(Y13="","",IFERROR(IF(ISNUMBER(INDEX($A13:$T13,MATCH(Lists!$F$3,$A$1:$T$1,0))),INDEX($A13:$T13,MATCH(Lists!$F$3,$A$1:$T$1,0)),DATE(VALUE(LEFT(IFERROR(TRIM(INDEX($A13:$T13,MATCH(Lists!$F$3,$A$1:$T$1,0))&amp;""),""),4)),VALUE(MID(IFERROR(TRIM(INDEX($A13:$T13,MATCH(Lists!$F$3,$A$1:$T$1,0))&amp;""),""),6,2)),VALUE(MID(IFERROR(TRIM(INDEX($A13:$T13,MATCH(Lists!$F$3,$A$1:$T$1,0))&amp;""),""),9,2)))+TIME(VALUE(MID(IFERROR(TRIM(INDEX($A13:$T13,MATCH(Lists!$F$3,$A$1:$T$1,0))&amp;""),""),12,2)),VALUE(MID(IFERROR(TRIM(INDEX($A13:$T13,MATCH(Lists!$F$3,$A$1:$T$1,0))&amp;""),""),15,2)),VALUE(MID(IFERROR(TRIM(INDEX($A13:$T13,MATCH(Lists!$F$3,$A$1:$T$1,0))&amp;""),""),18,2)))),""))</f>
        <v/>
      </c>
      <c r="AA13" s="23">
        <f>IF(Y13="","",IF(ISNUMBER(IFERROR(IF(TRIM(INDEX($A13:$T13,MATCH(Lists!$F$4,$A$1:$T$1,0))&amp;"")="","",IF(ISNUMBER(INDEX($A13:$T13,MATCH(Lists!$F$4,$A$1:$T$1,0))),INT(INDEX($A13:$T13,MATCH(Lists!$F$4,$A$1:$T$1,0))),DATE(VALUE(LEFT(INDEX($A13:$T13,MATCH(Lists!$F$4,$A$1:$T$1,0)),4)),VALUE(MID(INDEX($A13:$T13,MATCH(Lists!$F$4,$A$1:$T$1,0)),6,2)),VALUE(MID(INDEX($A13:$T13,MATCH(Lists!$F$4,$A$1:$T$1,0)),9,2))))),"")),IFERROR(IF(TRIM(INDEX($A13:$T13,MATCH(Lists!$F$4,$A$1:$T$1,0))&amp;"")="","",IF(ISNUMBER(INDEX($A13:$T13,MATCH(Lists!$F$4,$A$1:$T$1,0))),INT(INDEX($A13:$T13,MATCH(Lists!$F$4,$A$1:$T$1,0))),DATE(VALUE(LEFT(INDEX($A13:$T13,MATCH(Lists!$F$4,$A$1:$T$1,0)),4)),VALUE(MID(INDEX($A13:$T13,MATCH(Lists!$F$4,$A$1:$T$1,0)),6,2)),VALUE(MID(INDEX($A13:$T13,MATCH(Lists!$F$4,$A$1:$T$1,0)),9,2))))),""),IFERROR(IF(TRIM(INDEX($A13:$T13,MATCH(Lists!$F$5,$A$1:$T$1,0))&amp;"")="","",IF(ISNUMBER(INDEX($A13:$T13,MATCH(Lists!$F$5,$A$1:$T$1,0))),INT(INDEX($A13:$T13,MATCH(Lists!$F$5,$A$1:$T$1,0))),DATE(VALUE(LEFT(INDEX($A13:$T13,MATCH(Lists!$F$5,$A$1:$T$1,0)),4)),VALUE(MID(INDEX($A13:$T13,MATCH(Lists!$F$5,$A$1:$T$1,0)),6,2)),VALUE(MID(INDEX($A13:$T13,MATCH(Lists!$F$5,$A$1:$T$1,0)),9,2))))),"")))</f>
        <v/>
      </c>
      <c r="AB13" s="21">
        <f>IF(Y13="","",IF(LEFT(IFERROR(TRIM(INDEX($A13:$T13,MATCH(Lists!$F$6,$A$1:$T$1,0))&amp;""),""),2)="No","General comment",IF(IFERROR(TRIM(INDEX($A13:$T13,MATCH(Lists!$F$7,$A$1:$T$1,0))&amp;""),"")&lt;&gt;"",IFERROR(TRIM(INDEX($A13:$T13,MATCH(Lists!$F$7,$A$1:$T$1,0))&amp;""),""),IF(IFERROR(TRIM(INDEX($A13:$T13,MATCH(Lists!$F$8,$A$1:$T$1,0))&amp;""),"")&lt;&gt;"",IFERROR(TRIM(INDEX($A13:$T13,MATCH(Lists!$F$8,$A$1:$T$1,0))&amp;""),""),"(no item given)"))))</f>
        <v/>
      </c>
      <c r="AC13" s="21">
        <f>IF(Y13="","",IF(ISNUMBER(SEARCH("support",IFERROR(TRIM(INDEX($A13:$T13,MATCH(Lists!$F$9,$A$1:$T$1,0))&amp;""),""))),"Support",IF(ISNUMBER(SEARCH("oppose",IFERROR(TRIM(INDEX($A13:$T13,MATCH(Lists!$F$9,$A$1:$T$1,0))&amp;""),""))),"Oppose",IF(IFERROR(TRIM(INDEX($A13:$T13,MATCH(Lists!$F$9,$A$1:$T$1,0))&amp;""),"")="","No position","Neither"))))</f>
        <v/>
      </c>
      <c r="AD13" s="21">
        <f>IF(Y13="","",IF(ISNUMBER(SEARCH("in person",IFERROR(TRIM(INDEX($A13:$T13,MATCH(Lists!$F$13,$A$1:$T$1,0))&amp;""),""))),"In person",IF(ISNUMBER(SEARCH("online",IFERROR(TRIM(INDEX($A13:$T13,MATCH(Lists!$F$13,$A$1:$T$1,0))&amp;""),""))),"Online","Written only")))</f>
        <v/>
      </c>
      <c r="AE13" s="21">
        <f>IF(Y13="","",IFERROR(TRIM(INDEX($A13:$T13,MATCH(Lists!$F$11,$A$1:$T$1,0))&amp;""),""))</f>
        <v/>
      </c>
      <c r="AF13" s="21">
        <f>IF(Y13="","",IFERROR(TRIM(INDEX($A13:$T13,MATCH(Lists!$F$12,$A$1:$T$1,0))&amp;""),""))</f>
        <v/>
      </c>
      <c r="AG13" s="21">
        <f>IF(Y13="","",IFERROR(TRIM(INDEX($A13:$T13,MATCH(Lists!$F$14,$A$1:$T$1,0))&amp;""),""))</f>
        <v/>
      </c>
      <c r="AH13" s="21">
        <f>IF(Y13="","",LEFT(IFERROR(TRIM(INDEX($A13:$T13,MATCH(Lists!$F$10,$A$1:$T$1,0))&amp;""),""),80))</f>
        <v/>
      </c>
      <c r="AI13" s="21">
        <f>IF(Y13="",0,IF(OR(Tally!$B$5="",AA13=Tally!$B$5),1,0))</f>
        <v/>
      </c>
      <c r="AJ13" s="21">
        <f>IF(AI13=1,IF(COUNTIFS($AB$2:AB13,AB13,$AI$2:AI13,1)=1,1,0),0)</f>
        <v/>
      </c>
      <c r="AK13" s="21">
        <f>IF(AJ13=1,SUM($AJ$2:AJ13),"")</f>
        <v/>
      </c>
      <c r="AL13" s="21">
        <f>IF(AND(AI13=1,OR(AD13="In person",AD13="Online"),OR(Speakers!$B$5="",AB13=Speakers!$B$5)),N(Z13)+ROW()/1000000000,"")</f>
        <v/>
      </c>
    </row>
    <row r="14">
      <c r="U14" s="19" t="n"/>
      <c r="V14" s="24" t="n"/>
      <c r="W14" s="24" t="n"/>
      <c r="X14" s="19" t="n"/>
      <c r="Y14" s="21">
        <f>IFERROR(TRIM(INDEX($A14:$T14,MATCH(Lists!$F$2,$A$1:$T$1,0))&amp;""),"")</f>
        <v/>
      </c>
      <c r="Z14" s="22">
        <f>IF(Y14="","",IFERROR(IF(ISNUMBER(INDEX($A14:$T14,MATCH(Lists!$F$3,$A$1:$T$1,0))),INDEX($A14:$T14,MATCH(Lists!$F$3,$A$1:$T$1,0)),DATE(VALUE(LEFT(IFERROR(TRIM(INDEX($A14:$T14,MATCH(Lists!$F$3,$A$1:$T$1,0))&amp;""),""),4)),VALUE(MID(IFERROR(TRIM(INDEX($A14:$T14,MATCH(Lists!$F$3,$A$1:$T$1,0))&amp;""),""),6,2)),VALUE(MID(IFERROR(TRIM(INDEX($A14:$T14,MATCH(Lists!$F$3,$A$1:$T$1,0))&amp;""),""),9,2)))+TIME(VALUE(MID(IFERROR(TRIM(INDEX($A14:$T14,MATCH(Lists!$F$3,$A$1:$T$1,0))&amp;""),""),12,2)),VALUE(MID(IFERROR(TRIM(INDEX($A14:$T14,MATCH(Lists!$F$3,$A$1:$T$1,0))&amp;""),""),15,2)),VALUE(MID(IFERROR(TRIM(INDEX($A14:$T14,MATCH(Lists!$F$3,$A$1:$T$1,0))&amp;""),""),18,2)))),""))</f>
        <v/>
      </c>
      <c r="AA14" s="23">
        <f>IF(Y14="","",IF(ISNUMBER(IFERROR(IF(TRIM(INDEX($A14:$T14,MATCH(Lists!$F$4,$A$1:$T$1,0))&amp;"")="","",IF(ISNUMBER(INDEX($A14:$T14,MATCH(Lists!$F$4,$A$1:$T$1,0))),INT(INDEX($A14:$T14,MATCH(Lists!$F$4,$A$1:$T$1,0))),DATE(VALUE(LEFT(INDEX($A14:$T14,MATCH(Lists!$F$4,$A$1:$T$1,0)),4)),VALUE(MID(INDEX($A14:$T14,MATCH(Lists!$F$4,$A$1:$T$1,0)),6,2)),VALUE(MID(INDEX($A14:$T14,MATCH(Lists!$F$4,$A$1:$T$1,0)),9,2))))),"")),IFERROR(IF(TRIM(INDEX($A14:$T14,MATCH(Lists!$F$4,$A$1:$T$1,0))&amp;"")="","",IF(ISNUMBER(INDEX($A14:$T14,MATCH(Lists!$F$4,$A$1:$T$1,0))),INT(INDEX($A14:$T14,MATCH(Lists!$F$4,$A$1:$T$1,0))),DATE(VALUE(LEFT(INDEX($A14:$T14,MATCH(Lists!$F$4,$A$1:$T$1,0)),4)),VALUE(MID(INDEX($A14:$T14,MATCH(Lists!$F$4,$A$1:$T$1,0)),6,2)),VALUE(MID(INDEX($A14:$T14,MATCH(Lists!$F$4,$A$1:$T$1,0)),9,2))))),""),IFERROR(IF(TRIM(INDEX($A14:$T14,MATCH(Lists!$F$5,$A$1:$T$1,0))&amp;"")="","",IF(ISNUMBER(INDEX($A14:$T14,MATCH(Lists!$F$5,$A$1:$T$1,0))),INT(INDEX($A14:$T14,MATCH(Lists!$F$5,$A$1:$T$1,0))),DATE(VALUE(LEFT(INDEX($A14:$T14,MATCH(Lists!$F$5,$A$1:$T$1,0)),4)),VALUE(MID(INDEX($A14:$T14,MATCH(Lists!$F$5,$A$1:$T$1,0)),6,2)),VALUE(MID(INDEX($A14:$T14,MATCH(Lists!$F$5,$A$1:$T$1,0)),9,2))))),"")))</f>
        <v/>
      </c>
      <c r="AB14" s="21">
        <f>IF(Y14="","",IF(LEFT(IFERROR(TRIM(INDEX($A14:$T14,MATCH(Lists!$F$6,$A$1:$T$1,0))&amp;""),""),2)="No","General comment",IF(IFERROR(TRIM(INDEX($A14:$T14,MATCH(Lists!$F$7,$A$1:$T$1,0))&amp;""),"")&lt;&gt;"",IFERROR(TRIM(INDEX($A14:$T14,MATCH(Lists!$F$7,$A$1:$T$1,0))&amp;""),""),IF(IFERROR(TRIM(INDEX($A14:$T14,MATCH(Lists!$F$8,$A$1:$T$1,0))&amp;""),"")&lt;&gt;"",IFERROR(TRIM(INDEX($A14:$T14,MATCH(Lists!$F$8,$A$1:$T$1,0))&amp;""),""),"(no item given)"))))</f>
        <v/>
      </c>
      <c r="AC14" s="21">
        <f>IF(Y14="","",IF(ISNUMBER(SEARCH("support",IFERROR(TRIM(INDEX($A14:$T14,MATCH(Lists!$F$9,$A$1:$T$1,0))&amp;""),""))),"Support",IF(ISNUMBER(SEARCH("oppose",IFERROR(TRIM(INDEX($A14:$T14,MATCH(Lists!$F$9,$A$1:$T$1,0))&amp;""),""))),"Oppose",IF(IFERROR(TRIM(INDEX($A14:$T14,MATCH(Lists!$F$9,$A$1:$T$1,0))&amp;""),"")="","No position","Neither"))))</f>
        <v/>
      </c>
      <c r="AD14" s="21">
        <f>IF(Y14="","",IF(ISNUMBER(SEARCH("in person",IFERROR(TRIM(INDEX($A14:$T14,MATCH(Lists!$F$13,$A$1:$T$1,0))&amp;""),""))),"In person",IF(ISNUMBER(SEARCH("online",IFERROR(TRIM(INDEX($A14:$T14,MATCH(Lists!$F$13,$A$1:$T$1,0))&amp;""),""))),"Online","Written only")))</f>
        <v/>
      </c>
      <c r="AE14" s="21">
        <f>IF(Y14="","",IFERROR(TRIM(INDEX($A14:$T14,MATCH(Lists!$F$11,$A$1:$T$1,0))&amp;""),""))</f>
        <v/>
      </c>
      <c r="AF14" s="21">
        <f>IF(Y14="","",IFERROR(TRIM(INDEX($A14:$T14,MATCH(Lists!$F$12,$A$1:$T$1,0))&amp;""),""))</f>
        <v/>
      </c>
      <c r="AG14" s="21">
        <f>IF(Y14="","",IFERROR(TRIM(INDEX($A14:$T14,MATCH(Lists!$F$14,$A$1:$T$1,0))&amp;""),""))</f>
        <v/>
      </c>
      <c r="AH14" s="21">
        <f>IF(Y14="","",LEFT(IFERROR(TRIM(INDEX($A14:$T14,MATCH(Lists!$F$10,$A$1:$T$1,0))&amp;""),""),80))</f>
        <v/>
      </c>
      <c r="AI14" s="21">
        <f>IF(Y14="",0,IF(OR(Tally!$B$5="",AA14=Tally!$B$5),1,0))</f>
        <v/>
      </c>
      <c r="AJ14" s="21">
        <f>IF(AI14=1,IF(COUNTIFS($AB$2:AB14,AB14,$AI$2:AI14,1)=1,1,0),0)</f>
        <v/>
      </c>
      <c r="AK14" s="21">
        <f>IF(AJ14=1,SUM($AJ$2:AJ14),"")</f>
        <v/>
      </c>
      <c r="AL14" s="21">
        <f>IF(AND(AI14=1,OR(AD14="In person",AD14="Online"),OR(Speakers!$B$5="",AB14=Speakers!$B$5)),N(Z14)+ROW()/1000000000,"")</f>
        <v/>
      </c>
    </row>
    <row r="15">
      <c r="U15" s="19" t="n"/>
      <c r="V15" s="24" t="n"/>
      <c r="W15" s="24" t="n"/>
      <c r="X15" s="19" t="n"/>
      <c r="Y15" s="21">
        <f>IFERROR(TRIM(INDEX($A15:$T15,MATCH(Lists!$F$2,$A$1:$T$1,0))&amp;""),"")</f>
        <v/>
      </c>
      <c r="Z15" s="22">
        <f>IF(Y15="","",IFERROR(IF(ISNUMBER(INDEX($A15:$T15,MATCH(Lists!$F$3,$A$1:$T$1,0))),INDEX($A15:$T15,MATCH(Lists!$F$3,$A$1:$T$1,0)),DATE(VALUE(LEFT(IFERROR(TRIM(INDEX($A15:$T15,MATCH(Lists!$F$3,$A$1:$T$1,0))&amp;""),""),4)),VALUE(MID(IFERROR(TRIM(INDEX($A15:$T15,MATCH(Lists!$F$3,$A$1:$T$1,0))&amp;""),""),6,2)),VALUE(MID(IFERROR(TRIM(INDEX($A15:$T15,MATCH(Lists!$F$3,$A$1:$T$1,0))&amp;""),""),9,2)))+TIME(VALUE(MID(IFERROR(TRIM(INDEX($A15:$T15,MATCH(Lists!$F$3,$A$1:$T$1,0))&amp;""),""),12,2)),VALUE(MID(IFERROR(TRIM(INDEX($A15:$T15,MATCH(Lists!$F$3,$A$1:$T$1,0))&amp;""),""),15,2)),VALUE(MID(IFERROR(TRIM(INDEX($A15:$T15,MATCH(Lists!$F$3,$A$1:$T$1,0))&amp;""),""),18,2)))),""))</f>
        <v/>
      </c>
      <c r="AA15" s="23">
        <f>IF(Y15="","",IF(ISNUMBER(IFERROR(IF(TRIM(INDEX($A15:$T15,MATCH(Lists!$F$4,$A$1:$T$1,0))&amp;"")="","",IF(ISNUMBER(INDEX($A15:$T15,MATCH(Lists!$F$4,$A$1:$T$1,0))),INT(INDEX($A15:$T15,MATCH(Lists!$F$4,$A$1:$T$1,0))),DATE(VALUE(LEFT(INDEX($A15:$T15,MATCH(Lists!$F$4,$A$1:$T$1,0)),4)),VALUE(MID(INDEX($A15:$T15,MATCH(Lists!$F$4,$A$1:$T$1,0)),6,2)),VALUE(MID(INDEX($A15:$T15,MATCH(Lists!$F$4,$A$1:$T$1,0)),9,2))))),"")),IFERROR(IF(TRIM(INDEX($A15:$T15,MATCH(Lists!$F$4,$A$1:$T$1,0))&amp;"")="","",IF(ISNUMBER(INDEX($A15:$T15,MATCH(Lists!$F$4,$A$1:$T$1,0))),INT(INDEX($A15:$T15,MATCH(Lists!$F$4,$A$1:$T$1,0))),DATE(VALUE(LEFT(INDEX($A15:$T15,MATCH(Lists!$F$4,$A$1:$T$1,0)),4)),VALUE(MID(INDEX($A15:$T15,MATCH(Lists!$F$4,$A$1:$T$1,0)),6,2)),VALUE(MID(INDEX($A15:$T15,MATCH(Lists!$F$4,$A$1:$T$1,0)),9,2))))),""),IFERROR(IF(TRIM(INDEX($A15:$T15,MATCH(Lists!$F$5,$A$1:$T$1,0))&amp;"")="","",IF(ISNUMBER(INDEX($A15:$T15,MATCH(Lists!$F$5,$A$1:$T$1,0))),INT(INDEX($A15:$T15,MATCH(Lists!$F$5,$A$1:$T$1,0))),DATE(VALUE(LEFT(INDEX($A15:$T15,MATCH(Lists!$F$5,$A$1:$T$1,0)),4)),VALUE(MID(INDEX($A15:$T15,MATCH(Lists!$F$5,$A$1:$T$1,0)),6,2)),VALUE(MID(INDEX($A15:$T15,MATCH(Lists!$F$5,$A$1:$T$1,0)),9,2))))),"")))</f>
        <v/>
      </c>
      <c r="AB15" s="21">
        <f>IF(Y15="","",IF(LEFT(IFERROR(TRIM(INDEX($A15:$T15,MATCH(Lists!$F$6,$A$1:$T$1,0))&amp;""),""),2)="No","General comment",IF(IFERROR(TRIM(INDEX($A15:$T15,MATCH(Lists!$F$7,$A$1:$T$1,0))&amp;""),"")&lt;&gt;"",IFERROR(TRIM(INDEX($A15:$T15,MATCH(Lists!$F$7,$A$1:$T$1,0))&amp;""),""),IF(IFERROR(TRIM(INDEX($A15:$T15,MATCH(Lists!$F$8,$A$1:$T$1,0))&amp;""),"")&lt;&gt;"",IFERROR(TRIM(INDEX($A15:$T15,MATCH(Lists!$F$8,$A$1:$T$1,0))&amp;""),""),"(no item given)"))))</f>
        <v/>
      </c>
      <c r="AC15" s="21">
        <f>IF(Y15="","",IF(ISNUMBER(SEARCH("support",IFERROR(TRIM(INDEX($A15:$T15,MATCH(Lists!$F$9,$A$1:$T$1,0))&amp;""),""))),"Support",IF(ISNUMBER(SEARCH("oppose",IFERROR(TRIM(INDEX($A15:$T15,MATCH(Lists!$F$9,$A$1:$T$1,0))&amp;""),""))),"Oppose",IF(IFERROR(TRIM(INDEX($A15:$T15,MATCH(Lists!$F$9,$A$1:$T$1,0))&amp;""),"")="","No position","Neither"))))</f>
        <v/>
      </c>
      <c r="AD15" s="21">
        <f>IF(Y15="","",IF(ISNUMBER(SEARCH("in person",IFERROR(TRIM(INDEX($A15:$T15,MATCH(Lists!$F$13,$A$1:$T$1,0))&amp;""),""))),"In person",IF(ISNUMBER(SEARCH("online",IFERROR(TRIM(INDEX($A15:$T15,MATCH(Lists!$F$13,$A$1:$T$1,0))&amp;""),""))),"Online","Written only")))</f>
        <v/>
      </c>
      <c r="AE15" s="21">
        <f>IF(Y15="","",IFERROR(TRIM(INDEX($A15:$T15,MATCH(Lists!$F$11,$A$1:$T$1,0))&amp;""),""))</f>
        <v/>
      </c>
      <c r="AF15" s="21">
        <f>IF(Y15="","",IFERROR(TRIM(INDEX($A15:$T15,MATCH(Lists!$F$12,$A$1:$T$1,0))&amp;""),""))</f>
        <v/>
      </c>
      <c r="AG15" s="21">
        <f>IF(Y15="","",IFERROR(TRIM(INDEX($A15:$T15,MATCH(Lists!$F$14,$A$1:$T$1,0))&amp;""),""))</f>
        <v/>
      </c>
      <c r="AH15" s="21">
        <f>IF(Y15="","",LEFT(IFERROR(TRIM(INDEX($A15:$T15,MATCH(Lists!$F$10,$A$1:$T$1,0))&amp;""),""),80))</f>
        <v/>
      </c>
      <c r="AI15" s="21">
        <f>IF(Y15="",0,IF(OR(Tally!$B$5="",AA15=Tally!$B$5),1,0))</f>
        <v/>
      </c>
      <c r="AJ15" s="21">
        <f>IF(AI15=1,IF(COUNTIFS($AB$2:AB15,AB15,$AI$2:AI15,1)=1,1,0),0)</f>
        <v/>
      </c>
      <c r="AK15" s="21">
        <f>IF(AJ15=1,SUM($AJ$2:AJ15),"")</f>
        <v/>
      </c>
      <c r="AL15" s="21">
        <f>IF(AND(AI15=1,OR(AD15="In person",AD15="Online"),OR(Speakers!$B$5="",AB15=Speakers!$B$5)),N(Z15)+ROW()/1000000000,"")</f>
        <v/>
      </c>
    </row>
    <row r="16">
      <c r="U16" s="19" t="n"/>
      <c r="V16" s="24" t="n"/>
      <c r="W16" s="24" t="n"/>
      <c r="X16" s="19" t="n"/>
      <c r="Y16" s="21">
        <f>IFERROR(TRIM(INDEX($A16:$T16,MATCH(Lists!$F$2,$A$1:$T$1,0))&amp;""),"")</f>
        <v/>
      </c>
      <c r="Z16" s="22">
        <f>IF(Y16="","",IFERROR(IF(ISNUMBER(INDEX($A16:$T16,MATCH(Lists!$F$3,$A$1:$T$1,0))),INDEX($A16:$T16,MATCH(Lists!$F$3,$A$1:$T$1,0)),DATE(VALUE(LEFT(IFERROR(TRIM(INDEX($A16:$T16,MATCH(Lists!$F$3,$A$1:$T$1,0))&amp;""),""),4)),VALUE(MID(IFERROR(TRIM(INDEX($A16:$T16,MATCH(Lists!$F$3,$A$1:$T$1,0))&amp;""),""),6,2)),VALUE(MID(IFERROR(TRIM(INDEX($A16:$T16,MATCH(Lists!$F$3,$A$1:$T$1,0))&amp;""),""),9,2)))+TIME(VALUE(MID(IFERROR(TRIM(INDEX($A16:$T16,MATCH(Lists!$F$3,$A$1:$T$1,0))&amp;""),""),12,2)),VALUE(MID(IFERROR(TRIM(INDEX($A16:$T16,MATCH(Lists!$F$3,$A$1:$T$1,0))&amp;""),""),15,2)),VALUE(MID(IFERROR(TRIM(INDEX($A16:$T16,MATCH(Lists!$F$3,$A$1:$T$1,0))&amp;""),""),18,2)))),""))</f>
        <v/>
      </c>
      <c r="AA16" s="23">
        <f>IF(Y16="","",IF(ISNUMBER(IFERROR(IF(TRIM(INDEX($A16:$T16,MATCH(Lists!$F$4,$A$1:$T$1,0))&amp;"")="","",IF(ISNUMBER(INDEX($A16:$T16,MATCH(Lists!$F$4,$A$1:$T$1,0))),INT(INDEX($A16:$T16,MATCH(Lists!$F$4,$A$1:$T$1,0))),DATE(VALUE(LEFT(INDEX($A16:$T16,MATCH(Lists!$F$4,$A$1:$T$1,0)),4)),VALUE(MID(INDEX($A16:$T16,MATCH(Lists!$F$4,$A$1:$T$1,0)),6,2)),VALUE(MID(INDEX($A16:$T16,MATCH(Lists!$F$4,$A$1:$T$1,0)),9,2))))),"")),IFERROR(IF(TRIM(INDEX($A16:$T16,MATCH(Lists!$F$4,$A$1:$T$1,0))&amp;"")="","",IF(ISNUMBER(INDEX($A16:$T16,MATCH(Lists!$F$4,$A$1:$T$1,0))),INT(INDEX($A16:$T16,MATCH(Lists!$F$4,$A$1:$T$1,0))),DATE(VALUE(LEFT(INDEX($A16:$T16,MATCH(Lists!$F$4,$A$1:$T$1,0)),4)),VALUE(MID(INDEX($A16:$T16,MATCH(Lists!$F$4,$A$1:$T$1,0)),6,2)),VALUE(MID(INDEX($A16:$T16,MATCH(Lists!$F$4,$A$1:$T$1,0)),9,2))))),""),IFERROR(IF(TRIM(INDEX($A16:$T16,MATCH(Lists!$F$5,$A$1:$T$1,0))&amp;"")="","",IF(ISNUMBER(INDEX($A16:$T16,MATCH(Lists!$F$5,$A$1:$T$1,0))),INT(INDEX($A16:$T16,MATCH(Lists!$F$5,$A$1:$T$1,0))),DATE(VALUE(LEFT(INDEX($A16:$T16,MATCH(Lists!$F$5,$A$1:$T$1,0)),4)),VALUE(MID(INDEX($A16:$T16,MATCH(Lists!$F$5,$A$1:$T$1,0)),6,2)),VALUE(MID(INDEX($A16:$T16,MATCH(Lists!$F$5,$A$1:$T$1,0)),9,2))))),"")))</f>
        <v/>
      </c>
      <c r="AB16" s="21">
        <f>IF(Y16="","",IF(LEFT(IFERROR(TRIM(INDEX($A16:$T16,MATCH(Lists!$F$6,$A$1:$T$1,0))&amp;""),""),2)="No","General comment",IF(IFERROR(TRIM(INDEX($A16:$T16,MATCH(Lists!$F$7,$A$1:$T$1,0))&amp;""),"")&lt;&gt;"",IFERROR(TRIM(INDEX($A16:$T16,MATCH(Lists!$F$7,$A$1:$T$1,0))&amp;""),""),IF(IFERROR(TRIM(INDEX($A16:$T16,MATCH(Lists!$F$8,$A$1:$T$1,0))&amp;""),"")&lt;&gt;"",IFERROR(TRIM(INDEX($A16:$T16,MATCH(Lists!$F$8,$A$1:$T$1,0))&amp;""),""),"(no item given)"))))</f>
        <v/>
      </c>
      <c r="AC16" s="21">
        <f>IF(Y16="","",IF(ISNUMBER(SEARCH("support",IFERROR(TRIM(INDEX($A16:$T16,MATCH(Lists!$F$9,$A$1:$T$1,0))&amp;""),""))),"Support",IF(ISNUMBER(SEARCH("oppose",IFERROR(TRIM(INDEX($A16:$T16,MATCH(Lists!$F$9,$A$1:$T$1,0))&amp;""),""))),"Oppose",IF(IFERROR(TRIM(INDEX($A16:$T16,MATCH(Lists!$F$9,$A$1:$T$1,0))&amp;""),"")="","No position","Neither"))))</f>
        <v/>
      </c>
      <c r="AD16" s="21">
        <f>IF(Y16="","",IF(ISNUMBER(SEARCH("in person",IFERROR(TRIM(INDEX($A16:$T16,MATCH(Lists!$F$13,$A$1:$T$1,0))&amp;""),""))),"In person",IF(ISNUMBER(SEARCH("online",IFERROR(TRIM(INDEX($A16:$T16,MATCH(Lists!$F$13,$A$1:$T$1,0))&amp;""),""))),"Online","Written only")))</f>
        <v/>
      </c>
      <c r="AE16" s="21">
        <f>IF(Y16="","",IFERROR(TRIM(INDEX($A16:$T16,MATCH(Lists!$F$11,$A$1:$T$1,0))&amp;""),""))</f>
        <v/>
      </c>
      <c r="AF16" s="21">
        <f>IF(Y16="","",IFERROR(TRIM(INDEX($A16:$T16,MATCH(Lists!$F$12,$A$1:$T$1,0))&amp;""),""))</f>
        <v/>
      </c>
      <c r="AG16" s="21">
        <f>IF(Y16="","",IFERROR(TRIM(INDEX($A16:$T16,MATCH(Lists!$F$14,$A$1:$T$1,0))&amp;""),""))</f>
        <v/>
      </c>
      <c r="AH16" s="21">
        <f>IF(Y16="","",LEFT(IFERROR(TRIM(INDEX($A16:$T16,MATCH(Lists!$F$10,$A$1:$T$1,0))&amp;""),""),80))</f>
        <v/>
      </c>
      <c r="AI16" s="21">
        <f>IF(Y16="",0,IF(OR(Tally!$B$5="",AA16=Tally!$B$5),1,0))</f>
        <v/>
      </c>
      <c r="AJ16" s="21">
        <f>IF(AI16=1,IF(COUNTIFS($AB$2:AB16,AB16,$AI$2:AI16,1)=1,1,0),0)</f>
        <v/>
      </c>
      <c r="AK16" s="21">
        <f>IF(AJ16=1,SUM($AJ$2:AJ16),"")</f>
        <v/>
      </c>
      <c r="AL16" s="21">
        <f>IF(AND(AI16=1,OR(AD16="In person",AD16="Online"),OR(Speakers!$B$5="",AB16=Speakers!$B$5)),N(Z16)+ROW()/1000000000,"")</f>
        <v/>
      </c>
    </row>
    <row r="17">
      <c r="U17" s="19" t="n"/>
      <c r="V17" s="24" t="n"/>
      <c r="W17" s="24" t="n"/>
      <c r="X17" s="19" t="n"/>
      <c r="Y17" s="21">
        <f>IFERROR(TRIM(INDEX($A17:$T17,MATCH(Lists!$F$2,$A$1:$T$1,0))&amp;""),"")</f>
        <v/>
      </c>
      <c r="Z17" s="22">
        <f>IF(Y17="","",IFERROR(IF(ISNUMBER(INDEX($A17:$T17,MATCH(Lists!$F$3,$A$1:$T$1,0))),INDEX($A17:$T17,MATCH(Lists!$F$3,$A$1:$T$1,0)),DATE(VALUE(LEFT(IFERROR(TRIM(INDEX($A17:$T17,MATCH(Lists!$F$3,$A$1:$T$1,0))&amp;""),""),4)),VALUE(MID(IFERROR(TRIM(INDEX($A17:$T17,MATCH(Lists!$F$3,$A$1:$T$1,0))&amp;""),""),6,2)),VALUE(MID(IFERROR(TRIM(INDEX($A17:$T17,MATCH(Lists!$F$3,$A$1:$T$1,0))&amp;""),""),9,2)))+TIME(VALUE(MID(IFERROR(TRIM(INDEX($A17:$T17,MATCH(Lists!$F$3,$A$1:$T$1,0))&amp;""),""),12,2)),VALUE(MID(IFERROR(TRIM(INDEX($A17:$T17,MATCH(Lists!$F$3,$A$1:$T$1,0))&amp;""),""),15,2)),VALUE(MID(IFERROR(TRIM(INDEX($A17:$T17,MATCH(Lists!$F$3,$A$1:$T$1,0))&amp;""),""),18,2)))),""))</f>
        <v/>
      </c>
      <c r="AA17" s="23">
        <f>IF(Y17="","",IF(ISNUMBER(IFERROR(IF(TRIM(INDEX($A17:$T17,MATCH(Lists!$F$4,$A$1:$T$1,0))&amp;"")="","",IF(ISNUMBER(INDEX($A17:$T17,MATCH(Lists!$F$4,$A$1:$T$1,0))),INT(INDEX($A17:$T17,MATCH(Lists!$F$4,$A$1:$T$1,0))),DATE(VALUE(LEFT(INDEX($A17:$T17,MATCH(Lists!$F$4,$A$1:$T$1,0)),4)),VALUE(MID(INDEX($A17:$T17,MATCH(Lists!$F$4,$A$1:$T$1,0)),6,2)),VALUE(MID(INDEX($A17:$T17,MATCH(Lists!$F$4,$A$1:$T$1,0)),9,2))))),"")),IFERROR(IF(TRIM(INDEX($A17:$T17,MATCH(Lists!$F$4,$A$1:$T$1,0))&amp;"")="","",IF(ISNUMBER(INDEX($A17:$T17,MATCH(Lists!$F$4,$A$1:$T$1,0))),INT(INDEX($A17:$T17,MATCH(Lists!$F$4,$A$1:$T$1,0))),DATE(VALUE(LEFT(INDEX($A17:$T17,MATCH(Lists!$F$4,$A$1:$T$1,0)),4)),VALUE(MID(INDEX($A17:$T17,MATCH(Lists!$F$4,$A$1:$T$1,0)),6,2)),VALUE(MID(INDEX($A17:$T17,MATCH(Lists!$F$4,$A$1:$T$1,0)),9,2))))),""),IFERROR(IF(TRIM(INDEX($A17:$T17,MATCH(Lists!$F$5,$A$1:$T$1,0))&amp;"")="","",IF(ISNUMBER(INDEX($A17:$T17,MATCH(Lists!$F$5,$A$1:$T$1,0))),INT(INDEX($A17:$T17,MATCH(Lists!$F$5,$A$1:$T$1,0))),DATE(VALUE(LEFT(INDEX($A17:$T17,MATCH(Lists!$F$5,$A$1:$T$1,0)),4)),VALUE(MID(INDEX($A17:$T17,MATCH(Lists!$F$5,$A$1:$T$1,0)),6,2)),VALUE(MID(INDEX($A17:$T17,MATCH(Lists!$F$5,$A$1:$T$1,0)),9,2))))),"")))</f>
        <v/>
      </c>
      <c r="AB17" s="21">
        <f>IF(Y17="","",IF(LEFT(IFERROR(TRIM(INDEX($A17:$T17,MATCH(Lists!$F$6,$A$1:$T$1,0))&amp;""),""),2)="No","General comment",IF(IFERROR(TRIM(INDEX($A17:$T17,MATCH(Lists!$F$7,$A$1:$T$1,0))&amp;""),"")&lt;&gt;"",IFERROR(TRIM(INDEX($A17:$T17,MATCH(Lists!$F$7,$A$1:$T$1,0))&amp;""),""),IF(IFERROR(TRIM(INDEX($A17:$T17,MATCH(Lists!$F$8,$A$1:$T$1,0))&amp;""),"")&lt;&gt;"",IFERROR(TRIM(INDEX($A17:$T17,MATCH(Lists!$F$8,$A$1:$T$1,0))&amp;""),""),"(no item given)"))))</f>
        <v/>
      </c>
      <c r="AC17" s="21">
        <f>IF(Y17="","",IF(ISNUMBER(SEARCH("support",IFERROR(TRIM(INDEX($A17:$T17,MATCH(Lists!$F$9,$A$1:$T$1,0))&amp;""),""))),"Support",IF(ISNUMBER(SEARCH("oppose",IFERROR(TRIM(INDEX($A17:$T17,MATCH(Lists!$F$9,$A$1:$T$1,0))&amp;""),""))),"Oppose",IF(IFERROR(TRIM(INDEX($A17:$T17,MATCH(Lists!$F$9,$A$1:$T$1,0))&amp;""),"")="","No position","Neither"))))</f>
        <v/>
      </c>
      <c r="AD17" s="21">
        <f>IF(Y17="","",IF(ISNUMBER(SEARCH("in person",IFERROR(TRIM(INDEX($A17:$T17,MATCH(Lists!$F$13,$A$1:$T$1,0))&amp;""),""))),"In person",IF(ISNUMBER(SEARCH("online",IFERROR(TRIM(INDEX($A17:$T17,MATCH(Lists!$F$13,$A$1:$T$1,0))&amp;""),""))),"Online","Written only")))</f>
        <v/>
      </c>
      <c r="AE17" s="21">
        <f>IF(Y17="","",IFERROR(TRIM(INDEX($A17:$T17,MATCH(Lists!$F$11,$A$1:$T$1,0))&amp;""),""))</f>
        <v/>
      </c>
      <c r="AF17" s="21">
        <f>IF(Y17="","",IFERROR(TRIM(INDEX($A17:$T17,MATCH(Lists!$F$12,$A$1:$T$1,0))&amp;""),""))</f>
        <v/>
      </c>
      <c r="AG17" s="21">
        <f>IF(Y17="","",IFERROR(TRIM(INDEX($A17:$T17,MATCH(Lists!$F$14,$A$1:$T$1,0))&amp;""),""))</f>
        <v/>
      </c>
      <c r="AH17" s="21">
        <f>IF(Y17="","",LEFT(IFERROR(TRIM(INDEX($A17:$T17,MATCH(Lists!$F$10,$A$1:$T$1,0))&amp;""),""),80))</f>
        <v/>
      </c>
      <c r="AI17" s="21">
        <f>IF(Y17="",0,IF(OR(Tally!$B$5="",AA17=Tally!$B$5),1,0))</f>
        <v/>
      </c>
      <c r="AJ17" s="21">
        <f>IF(AI17=1,IF(COUNTIFS($AB$2:AB17,AB17,$AI$2:AI17,1)=1,1,0),0)</f>
        <v/>
      </c>
      <c r="AK17" s="21">
        <f>IF(AJ17=1,SUM($AJ$2:AJ17),"")</f>
        <v/>
      </c>
      <c r="AL17" s="21">
        <f>IF(AND(AI17=1,OR(AD17="In person",AD17="Online"),OR(Speakers!$B$5="",AB17=Speakers!$B$5)),N(Z17)+ROW()/1000000000,"")</f>
        <v/>
      </c>
    </row>
    <row r="18">
      <c r="U18" s="19" t="n"/>
      <c r="V18" s="24" t="n"/>
      <c r="W18" s="24" t="n"/>
      <c r="X18" s="19" t="n"/>
      <c r="Y18" s="21">
        <f>IFERROR(TRIM(INDEX($A18:$T18,MATCH(Lists!$F$2,$A$1:$T$1,0))&amp;""),"")</f>
        <v/>
      </c>
      <c r="Z18" s="22">
        <f>IF(Y18="","",IFERROR(IF(ISNUMBER(INDEX($A18:$T18,MATCH(Lists!$F$3,$A$1:$T$1,0))),INDEX($A18:$T18,MATCH(Lists!$F$3,$A$1:$T$1,0)),DATE(VALUE(LEFT(IFERROR(TRIM(INDEX($A18:$T18,MATCH(Lists!$F$3,$A$1:$T$1,0))&amp;""),""),4)),VALUE(MID(IFERROR(TRIM(INDEX($A18:$T18,MATCH(Lists!$F$3,$A$1:$T$1,0))&amp;""),""),6,2)),VALUE(MID(IFERROR(TRIM(INDEX($A18:$T18,MATCH(Lists!$F$3,$A$1:$T$1,0))&amp;""),""),9,2)))+TIME(VALUE(MID(IFERROR(TRIM(INDEX($A18:$T18,MATCH(Lists!$F$3,$A$1:$T$1,0))&amp;""),""),12,2)),VALUE(MID(IFERROR(TRIM(INDEX($A18:$T18,MATCH(Lists!$F$3,$A$1:$T$1,0))&amp;""),""),15,2)),VALUE(MID(IFERROR(TRIM(INDEX($A18:$T18,MATCH(Lists!$F$3,$A$1:$T$1,0))&amp;""),""),18,2)))),""))</f>
        <v/>
      </c>
      <c r="AA18" s="23">
        <f>IF(Y18="","",IF(ISNUMBER(IFERROR(IF(TRIM(INDEX($A18:$T18,MATCH(Lists!$F$4,$A$1:$T$1,0))&amp;"")="","",IF(ISNUMBER(INDEX($A18:$T18,MATCH(Lists!$F$4,$A$1:$T$1,0))),INT(INDEX($A18:$T18,MATCH(Lists!$F$4,$A$1:$T$1,0))),DATE(VALUE(LEFT(INDEX($A18:$T18,MATCH(Lists!$F$4,$A$1:$T$1,0)),4)),VALUE(MID(INDEX($A18:$T18,MATCH(Lists!$F$4,$A$1:$T$1,0)),6,2)),VALUE(MID(INDEX($A18:$T18,MATCH(Lists!$F$4,$A$1:$T$1,0)),9,2))))),"")),IFERROR(IF(TRIM(INDEX($A18:$T18,MATCH(Lists!$F$4,$A$1:$T$1,0))&amp;"")="","",IF(ISNUMBER(INDEX($A18:$T18,MATCH(Lists!$F$4,$A$1:$T$1,0))),INT(INDEX($A18:$T18,MATCH(Lists!$F$4,$A$1:$T$1,0))),DATE(VALUE(LEFT(INDEX($A18:$T18,MATCH(Lists!$F$4,$A$1:$T$1,0)),4)),VALUE(MID(INDEX($A18:$T18,MATCH(Lists!$F$4,$A$1:$T$1,0)),6,2)),VALUE(MID(INDEX($A18:$T18,MATCH(Lists!$F$4,$A$1:$T$1,0)),9,2))))),""),IFERROR(IF(TRIM(INDEX($A18:$T18,MATCH(Lists!$F$5,$A$1:$T$1,0))&amp;"")="","",IF(ISNUMBER(INDEX($A18:$T18,MATCH(Lists!$F$5,$A$1:$T$1,0))),INT(INDEX($A18:$T18,MATCH(Lists!$F$5,$A$1:$T$1,0))),DATE(VALUE(LEFT(INDEX($A18:$T18,MATCH(Lists!$F$5,$A$1:$T$1,0)),4)),VALUE(MID(INDEX($A18:$T18,MATCH(Lists!$F$5,$A$1:$T$1,0)),6,2)),VALUE(MID(INDEX($A18:$T18,MATCH(Lists!$F$5,$A$1:$T$1,0)),9,2))))),"")))</f>
        <v/>
      </c>
      <c r="AB18" s="21">
        <f>IF(Y18="","",IF(LEFT(IFERROR(TRIM(INDEX($A18:$T18,MATCH(Lists!$F$6,$A$1:$T$1,0))&amp;""),""),2)="No","General comment",IF(IFERROR(TRIM(INDEX($A18:$T18,MATCH(Lists!$F$7,$A$1:$T$1,0))&amp;""),"")&lt;&gt;"",IFERROR(TRIM(INDEX($A18:$T18,MATCH(Lists!$F$7,$A$1:$T$1,0))&amp;""),""),IF(IFERROR(TRIM(INDEX($A18:$T18,MATCH(Lists!$F$8,$A$1:$T$1,0))&amp;""),"")&lt;&gt;"",IFERROR(TRIM(INDEX($A18:$T18,MATCH(Lists!$F$8,$A$1:$T$1,0))&amp;""),""),"(no item given)"))))</f>
        <v/>
      </c>
      <c r="AC18" s="21">
        <f>IF(Y18="","",IF(ISNUMBER(SEARCH("support",IFERROR(TRIM(INDEX($A18:$T18,MATCH(Lists!$F$9,$A$1:$T$1,0))&amp;""),""))),"Support",IF(ISNUMBER(SEARCH("oppose",IFERROR(TRIM(INDEX($A18:$T18,MATCH(Lists!$F$9,$A$1:$T$1,0))&amp;""),""))),"Oppose",IF(IFERROR(TRIM(INDEX($A18:$T18,MATCH(Lists!$F$9,$A$1:$T$1,0))&amp;""),"")="","No position","Neither"))))</f>
        <v/>
      </c>
      <c r="AD18" s="21">
        <f>IF(Y18="","",IF(ISNUMBER(SEARCH("in person",IFERROR(TRIM(INDEX($A18:$T18,MATCH(Lists!$F$13,$A$1:$T$1,0))&amp;""),""))),"In person",IF(ISNUMBER(SEARCH("online",IFERROR(TRIM(INDEX($A18:$T18,MATCH(Lists!$F$13,$A$1:$T$1,0))&amp;""),""))),"Online","Written only")))</f>
        <v/>
      </c>
      <c r="AE18" s="21">
        <f>IF(Y18="","",IFERROR(TRIM(INDEX($A18:$T18,MATCH(Lists!$F$11,$A$1:$T$1,0))&amp;""),""))</f>
        <v/>
      </c>
      <c r="AF18" s="21">
        <f>IF(Y18="","",IFERROR(TRIM(INDEX($A18:$T18,MATCH(Lists!$F$12,$A$1:$T$1,0))&amp;""),""))</f>
        <v/>
      </c>
      <c r="AG18" s="21">
        <f>IF(Y18="","",IFERROR(TRIM(INDEX($A18:$T18,MATCH(Lists!$F$14,$A$1:$T$1,0))&amp;""),""))</f>
        <v/>
      </c>
      <c r="AH18" s="21">
        <f>IF(Y18="","",LEFT(IFERROR(TRIM(INDEX($A18:$T18,MATCH(Lists!$F$10,$A$1:$T$1,0))&amp;""),""),80))</f>
        <v/>
      </c>
      <c r="AI18" s="21">
        <f>IF(Y18="",0,IF(OR(Tally!$B$5="",AA18=Tally!$B$5),1,0))</f>
        <v/>
      </c>
      <c r="AJ18" s="21">
        <f>IF(AI18=1,IF(COUNTIFS($AB$2:AB18,AB18,$AI$2:AI18,1)=1,1,0),0)</f>
        <v/>
      </c>
      <c r="AK18" s="21">
        <f>IF(AJ18=1,SUM($AJ$2:AJ18),"")</f>
        <v/>
      </c>
      <c r="AL18" s="21">
        <f>IF(AND(AI18=1,OR(AD18="In person",AD18="Online"),OR(Speakers!$B$5="",AB18=Speakers!$B$5)),N(Z18)+ROW()/1000000000,"")</f>
        <v/>
      </c>
    </row>
    <row r="19">
      <c r="U19" s="19" t="n"/>
      <c r="V19" s="24" t="n"/>
      <c r="W19" s="24" t="n"/>
      <c r="X19" s="19" t="n"/>
      <c r="Y19" s="21">
        <f>IFERROR(TRIM(INDEX($A19:$T19,MATCH(Lists!$F$2,$A$1:$T$1,0))&amp;""),"")</f>
        <v/>
      </c>
      <c r="Z19" s="22">
        <f>IF(Y19="","",IFERROR(IF(ISNUMBER(INDEX($A19:$T19,MATCH(Lists!$F$3,$A$1:$T$1,0))),INDEX($A19:$T19,MATCH(Lists!$F$3,$A$1:$T$1,0)),DATE(VALUE(LEFT(IFERROR(TRIM(INDEX($A19:$T19,MATCH(Lists!$F$3,$A$1:$T$1,0))&amp;""),""),4)),VALUE(MID(IFERROR(TRIM(INDEX($A19:$T19,MATCH(Lists!$F$3,$A$1:$T$1,0))&amp;""),""),6,2)),VALUE(MID(IFERROR(TRIM(INDEX($A19:$T19,MATCH(Lists!$F$3,$A$1:$T$1,0))&amp;""),""),9,2)))+TIME(VALUE(MID(IFERROR(TRIM(INDEX($A19:$T19,MATCH(Lists!$F$3,$A$1:$T$1,0))&amp;""),""),12,2)),VALUE(MID(IFERROR(TRIM(INDEX($A19:$T19,MATCH(Lists!$F$3,$A$1:$T$1,0))&amp;""),""),15,2)),VALUE(MID(IFERROR(TRIM(INDEX($A19:$T19,MATCH(Lists!$F$3,$A$1:$T$1,0))&amp;""),""),18,2)))),""))</f>
        <v/>
      </c>
      <c r="AA19" s="23">
        <f>IF(Y19="","",IF(ISNUMBER(IFERROR(IF(TRIM(INDEX($A19:$T19,MATCH(Lists!$F$4,$A$1:$T$1,0))&amp;"")="","",IF(ISNUMBER(INDEX($A19:$T19,MATCH(Lists!$F$4,$A$1:$T$1,0))),INT(INDEX($A19:$T19,MATCH(Lists!$F$4,$A$1:$T$1,0))),DATE(VALUE(LEFT(INDEX($A19:$T19,MATCH(Lists!$F$4,$A$1:$T$1,0)),4)),VALUE(MID(INDEX($A19:$T19,MATCH(Lists!$F$4,$A$1:$T$1,0)),6,2)),VALUE(MID(INDEX($A19:$T19,MATCH(Lists!$F$4,$A$1:$T$1,0)),9,2))))),"")),IFERROR(IF(TRIM(INDEX($A19:$T19,MATCH(Lists!$F$4,$A$1:$T$1,0))&amp;"")="","",IF(ISNUMBER(INDEX($A19:$T19,MATCH(Lists!$F$4,$A$1:$T$1,0))),INT(INDEX($A19:$T19,MATCH(Lists!$F$4,$A$1:$T$1,0))),DATE(VALUE(LEFT(INDEX($A19:$T19,MATCH(Lists!$F$4,$A$1:$T$1,0)),4)),VALUE(MID(INDEX($A19:$T19,MATCH(Lists!$F$4,$A$1:$T$1,0)),6,2)),VALUE(MID(INDEX($A19:$T19,MATCH(Lists!$F$4,$A$1:$T$1,0)),9,2))))),""),IFERROR(IF(TRIM(INDEX($A19:$T19,MATCH(Lists!$F$5,$A$1:$T$1,0))&amp;"")="","",IF(ISNUMBER(INDEX($A19:$T19,MATCH(Lists!$F$5,$A$1:$T$1,0))),INT(INDEX($A19:$T19,MATCH(Lists!$F$5,$A$1:$T$1,0))),DATE(VALUE(LEFT(INDEX($A19:$T19,MATCH(Lists!$F$5,$A$1:$T$1,0)),4)),VALUE(MID(INDEX($A19:$T19,MATCH(Lists!$F$5,$A$1:$T$1,0)),6,2)),VALUE(MID(INDEX($A19:$T19,MATCH(Lists!$F$5,$A$1:$T$1,0)),9,2))))),"")))</f>
        <v/>
      </c>
      <c r="AB19" s="21">
        <f>IF(Y19="","",IF(LEFT(IFERROR(TRIM(INDEX($A19:$T19,MATCH(Lists!$F$6,$A$1:$T$1,0))&amp;""),""),2)="No","General comment",IF(IFERROR(TRIM(INDEX($A19:$T19,MATCH(Lists!$F$7,$A$1:$T$1,0))&amp;""),"")&lt;&gt;"",IFERROR(TRIM(INDEX($A19:$T19,MATCH(Lists!$F$7,$A$1:$T$1,0))&amp;""),""),IF(IFERROR(TRIM(INDEX($A19:$T19,MATCH(Lists!$F$8,$A$1:$T$1,0))&amp;""),"")&lt;&gt;"",IFERROR(TRIM(INDEX($A19:$T19,MATCH(Lists!$F$8,$A$1:$T$1,0))&amp;""),""),"(no item given)"))))</f>
        <v/>
      </c>
      <c r="AC19" s="21">
        <f>IF(Y19="","",IF(ISNUMBER(SEARCH("support",IFERROR(TRIM(INDEX($A19:$T19,MATCH(Lists!$F$9,$A$1:$T$1,0))&amp;""),""))),"Support",IF(ISNUMBER(SEARCH("oppose",IFERROR(TRIM(INDEX($A19:$T19,MATCH(Lists!$F$9,$A$1:$T$1,0))&amp;""),""))),"Oppose",IF(IFERROR(TRIM(INDEX($A19:$T19,MATCH(Lists!$F$9,$A$1:$T$1,0))&amp;""),"")="","No position","Neither"))))</f>
        <v/>
      </c>
      <c r="AD19" s="21">
        <f>IF(Y19="","",IF(ISNUMBER(SEARCH("in person",IFERROR(TRIM(INDEX($A19:$T19,MATCH(Lists!$F$13,$A$1:$T$1,0))&amp;""),""))),"In person",IF(ISNUMBER(SEARCH("online",IFERROR(TRIM(INDEX($A19:$T19,MATCH(Lists!$F$13,$A$1:$T$1,0))&amp;""),""))),"Online","Written only")))</f>
        <v/>
      </c>
      <c r="AE19" s="21">
        <f>IF(Y19="","",IFERROR(TRIM(INDEX($A19:$T19,MATCH(Lists!$F$11,$A$1:$T$1,0))&amp;""),""))</f>
        <v/>
      </c>
      <c r="AF19" s="21">
        <f>IF(Y19="","",IFERROR(TRIM(INDEX($A19:$T19,MATCH(Lists!$F$12,$A$1:$T$1,0))&amp;""),""))</f>
        <v/>
      </c>
      <c r="AG19" s="21">
        <f>IF(Y19="","",IFERROR(TRIM(INDEX($A19:$T19,MATCH(Lists!$F$14,$A$1:$T$1,0))&amp;""),""))</f>
        <v/>
      </c>
      <c r="AH19" s="21">
        <f>IF(Y19="","",LEFT(IFERROR(TRIM(INDEX($A19:$T19,MATCH(Lists!$F$10,$A$1:$T$1,0))&amp;""),""),80))</f>
        <v/>
      </c>
      <c r="AI19" s="21">
        <f>IF(Y19="",0,IF(OR(Tally!$B$5="",AA19=Tally!$B$5),1,0))</f>
        <v/>
      </c>
      <c r="AJ19" s="21">
        <f>IF(AI19=1,IF(COUNTIFS($AB$2:AB19,AB19,$AI$2:AI19,1)=1,1,0),0)</f>
        <v/>
      </c>
      <c r="AK19" s="21">
        <f>IF(AJ19=1,SUM($AJ$2:AJ19),"")</f>
        <v/>
      </c>
      <c r="AL19" s="21">
        <f>IF(AND(AI19=1,OR(AD19="In person",AD19="Online"),OR(Speakers!$B$5="",AB19=Speakers!$B$5)),N(Z19)+ROW()/1000000000,"")</f>
        <v/>
      </c>
    </row>
    <row r="20">
      <c r="U20" s="19" t="n"/>
      <c r="V20" s="24" t="n"/>
      <c r="W20" s="24" t="n"/>
      <c r="X20" s="19" t="n"/>
      <c r="Y20" s="21">
        <f>IFERROR(TRIM(INDEX($A20:$T20,MATCH(Lists!$F$2,$A$1:$T$1,0))&amp;""),"")</f>
        <v/>
      </c>
      <c r="Z20" s="22">
        <f>IF(Y20="","",IFERROR(IF(ISNUMBER(INDEX($A20:$T20,MATCH(Lists!$F$3,$A$1:$T$1,0))),INDEX($A20:$T20,MATCH(Lists!$F$3,$A$1:$T$1,0)),DATE(VALUE(LEFT(IFERROR(TRIM(INDEX($A20:$T20,MATCH(Lists!$F$3,$A$1:$T$1,0))&amp;""),""),4)),VALUE(MID(IFERROR(TRIM(INDEX($A20:$T20,MATCH(Lists!$F$3,$A$1:$T$1,0))&amp;""),""),6,2)),VALUE(MID(IFERROR(TRIM(INDEX($A20:$T20,MATCH(Lists!$F$3,$A$1:$T$1,0))&amp;""),""),9,2)))+TIME(VALUE(MID(IFERROR(TRIM(INDEX($A20:$T20,MATCH(Lists!$F$3,$A$1:$T$1,0))&amp;""),""),12,2)),VALUE(MID(IFERROR(TRIM(INDEX($A20:$T20,MATCH(Lists!$F$3,$A$1:$T$1,0))&amp;""),""),15,2)),VALUE(MID(IFERROR(TRIM(INDEX($A20:$T20,MATCH(Lists!$F$3,$A$1:$T$1,0))&amp;""),""),18,2)))),""))</f>
        <v/>
      </c>
      <c r="AA20" s="23">
        <f>IF(Y20="","",IF(ISNUMBER(IFERROR(IF(TRIM(INDEX($A20:$T20,MATCH(Lists!$F$4,$A$1:$T$1,0))&amp;"")="","",IF(ISNUMBER(INDEX($A20:$T20,MATCH(Lists!$F$4,$A$1:$T$1,0))),INT(INDEX($A20:$T20,MATCH(Lists!$F$4,$A$1:$T$1,0))),DATE(VALUE(LEFT(INDEX($A20:$T20,MATCH(Lists!$F$4,$A$1:$T$1,0)),4)),VALUE(MID(INDEX($A20:$T20,MATCH(Lists!$F$4,$A$1:$T$1,0)),6,2)),VALUE(MID(INDEX($A20:$T20,MATCH(Lists!$F$4,$A$1:$T$1,0)),9,2))))),"")),IFERROR(IF(TRIM(INDEX($A20:$T20,MATCH(Lists!$F$4,$A$1:$T$1,0))&amp;"")="","",IF(ISNUMBER(INDEX($A20:$T20,MATCH(Lists!$F$4,$A$1:$T$1,0))),INT(INDEX($A20:$T20,MATCH(Lists!$F$4,$A$1:$T$1,0))),DATE(VALUE(LEFT(INDEX($A20:$T20,MATCH(Lists!$F$4,$A$1:$T$1,0)),4)),VALUE(MID(INDEX($A20:$T20,MATCH(Lists!$F$4,$A$1:$T$1,0)),6,2)),VALUE(MID(INDEX($A20:$T20,MATCH(Lists!$F$4,$A$1:$T$1,0)),9,2))))),""),IFERROR(IF(TRIM(INDEX($A20:$T20,MATCH(Lists!$F$5,$A$1:$T$1,0))&amp;"")="","",IF(ISNUMBER(INDEX($A20:$T20,MATCH(Lists!$F$5,$A$1:$T$1,0))),INT(INDEX($A20:$T20,MATCH(Lists!$F$5,$A$1:$T$1,0))),DATE(VALUE(LEFT(INDEX($A20:$T20,MATCH(Lists!$F$5,$A$1:$T$1,0)),4)),VALUE(MID(INDEX($A20:$T20,MATCH(Lists!$F$5,$A$1:$T$1,0)),6,2)),VALUE(MID(INDEX($A20:$T20,MATCH(Lists!$F$5,$A$1:$T$1,0)),9,2))))),"")))</f>
        <v/>
      </c>
      <c r="AB20" s="21">
        <f>IF(Y20="","",IF(LEFT(IFERROR(TRIM(INDEX($A20:$T20,MATCH(Lists!$F$6,$A$1:$T$1,0))&amp;""),""),2)="No","General comment",IF(IFERROR(TRIM(INDEX($A20:$T20,MATCH(Lists!$F$7,$A$1:$T$1,0))&amp;""),"")&lt;&gt;"",IFERROR(TRIM(INDEX($A20:$T20,MATCH(Lists!$F$7,$A$1:$T$1,0))&amp;""),""),IF(IFERROR(TRIM(INDEX($A20:$T20,MATCH(Lists!$F$8,$A$1:$T$1,0))&amp;""),"")&lt;&gt;"",IFERROR(TRIM(INDEX($A20:$T20,MATCH(Lists!$F$8,$A$1:$T$1,0))&amp;""),""),"(no item given)"))))</f>
        <v/>
      </c>
      <c r="AC20" s="21">
        <f>IF(Y20="","",IF(ISNUMBER(SEARCH("support",IFERROR(TRIM(INDEX($A20:$T20,MATCH(Lists!$F$9,$A$1:$T$1,0))&amp;""),""))),"Support",IF(ISNUMBER(SEARCH("oppose",IFERROR(TRIM(INDEX($A20:$T20,MATCH(Lists!$F$9,$A$1:$T$1,0))&amp;""),""))),"Oppose",IF(IFERROR(TRIM(INDEX($A20:$T20,MATCH(Lists!$F$9,$A$1:$T$1,0))&amp;""),"")="","No position","Neither"))))</f>
        <v/>
      </c>
      <c r="AD20" s="21">
        <f>IF(Y20="","",IF(ISNUMBER(SEARCH("in person",IFERROR(TRIM(INDEX($A20:$T20,MATCH(Lists!$F$13,$A$1:$T$1,0))&amp;""),""))),"In person",IF(ISNUMBER(SEARCH("online",IFERROR(TRIM(INDEX($A20:$T20,MATCH(Lists!$F$13,$A$1:$T$1,0))&amp;""),""))),"Online","Written only")))</f>
        <v/>
      </c>
      <c r="AE20" s="21">
        <f>IF(Y20="","",IFERROR(TRIM(INDEX($A20:$T20,MATCH(Lists!$F$11,$A$1:$T$1,0))&amp;""),""))</f>
        <v/>
      </c>
      <c r="AF20" s="21">
        <f>IF(Y20="","",IFERROR(TRIM(INDEX($A20:$T20,MATCH(Lists!$F$12,$A$1:$T$1,0))&amp;""),""))</f>
        <v/>
      </c>
      <c r="AG20" s="21">
        <f>IF(Y20="","",IFERROR(TRIM(INDEX($A20:$T20,MATCH(Lists!$F$14,$A$1:$T$1,0))&amp;""),""))</f>
        <v/>
      </c>
      <c r="AH20" s="21">
        <f>IF(Y20="","",LEFT(IFERROR(TRIM(INDEX($A20:$T20,MATCH(Lists!$F$10,$A$1:$T$1,0))&amp;""),""),80))</f>
        <v/>
      </c>
      <c r="AI20" s="21">
        <f>IF(Y20="",0,IF(OR(Tally!$B$5="",AA20=Tally!$B$5),1,0))</f>
        <v/>
      </c>
      <c r="AJ20" s="21">
        <f>IF(AI20=1,IF(COUNTIFS($AB$2:AB20,AB20,$AI$2:AI20,1)=1,1,0),0)</f>
        <v/>
      </c>
      <c r="AK20" s="21">
        <f>IF(AJ20=1,SUM($AJ$2:AJ20),"")</f>
        <v/>
      </c>
      <c r="AL20" s="21">
        <f>IF(AND(AI20=1,OR(AD20="In person",AD20="Online"),OR(Speakers!$B$5="",AB20=Speakers!$B$5)),N(Z20)+ROW()/1000000000,"")</f>
        <v/>
      </c>
    </row>
    <row r="21">
      <c r="U21" s="19" t="n"/>
      <c r="V21" s="24" t="n"/>
      <c r="W21" s="24" t="n"/>
      <c r="X21" s="19" t="n"/>
      <c r="Y21" s="21">
        <f>IFERROR(TRIM(INDEX($A21:$T21,MATCH(Lists!$F$2,$A$1:$T$1,0))&amp;""),"")</f>
        <v/>
      </c>
      <c r="Z21" s="22">
        <f>IF(Y21="","",IFERROR(IF(ISNUMBER(INDEX($A21:$T21,MATCH(Lists!$F$3,$A$1:$T$1,0))),INDEX($A21:$T21,MATCH(Lists!$F$3,$A$1:$T$1,0)),DATE(VALUE(LEFT(IFERROR(TRIM(INDEX($A21:$T21,MATCH(Lists!$F$3,$A$1:$T$1,0))&amp;""),""),4)),VALUE(MID(IFERROR(TRIM(INDEX($A21:$T21,MATCH(Lists!$F$3,$A$1:$T$1,0))&amp;""),""),6,2)),VALUE(MID(IFERROR(TRIM(INDEX($A21:$T21,MATCH(Lists!$F$3,$A$1:$T$1,0))&amp;""),""),9,2)))+TIME(VALUE(MID(IFERROR(TRIM(INDEX($A21:$T21,MATCH(Lists!$F$3,$A$1:$T$1,0))&amp;""),""),12,2)),VALUE(MID(IFERROR(TRIM(INDEX($A21:$T21,MATCH(Lists!$F$3,$A$1:$T$1,0))&amp;""),""),15,2)),VALUE(MID(IFERROR(TRIM(INDEX($A21:$T21,MATCH(Lists!$F$3,$A$1:$T$1,0))&amp;""),""),18,2)))),""))</f>
        <v/>
      </c>
      <c r="AA21" s="23">
        <f>IF(Y21="","",IF(ISNUMBER(IFERROR(IF(TRIM(INDEX($A21:$T21,MATCH(Lists!$F$4,$A$1:$T$1,0))&amp;"")="","",IF(ISNUMBER(INDEX($A21:$T21,MATCH(Lists!$F$4,$A$1:$T$1,0))),INT(INDEX($A21:$T21,MATCH(Lists!$F$4,$A$1:$T$1,0))),DATE(VALUE(LEFT(INDEX($A21:$T21,MATCH(Lists!$F$4,$A$1:$T$1,0)),4)),VALUE(MID(INDEX($A21:$T21,MATCH(Lists!$F$4,$A$1:$T$1,0)),6,2)),VALUE(MID(INDEX($A21:$T21,MATCH(Lists!$F$4,$A$1:$T$1,0)),9,2))))),"")),IFERROR(IF(TRIM(INDEX($A21:$T21,MATCH(Lists!$F$4,$A$1:$T$1,0))&amp;"")="","",IF(ISNUMBER(INDEX($A21:$T21,MATCH(Lists!$F$4,$A$1:$T$1,0))),INT(INDEX($A21:$T21,MATCH(Lists!$F$4,$A$1:$T$1,0))),DATE(VALUE(LEFT(INDEX($A21:$T21,MATCH(Lists!$F$4,$A$1:$T$1,0)),4)),VALUE(MID(INDEX($A21:$T21,MATCH(Lists!$F$4,$A$1:$T$1,0)),6,2)),VALUE(MID(INDEX($A21:$T21,MATCH(Lists!$F$4,$A$1:$T$1,0)),9,2))))),""),IFERROR(IF(TRIM(INDEX($A21:$T21,MATCH(Lists!$F$5,$A$1:$T$1,0))&amp;"")="","",IF(ISNUMBER(INDEX($A21:$T21,MATCH(Lists!$F$5,$A$1:$T$1,0))),INT(INDEX($A21:$T21,MATCH(Lists!$F$5,$A$1:$T$1,0))),DATE(VALUE(LEFT(INDEX($A21:$T21,MATCH(Lists!$F$5,$A$1:$T$1,0)),4)),VALUE(MID(INDEX($A21:$T21,MATCH(Lists!$F$5,$A$1:$T$1,0)),6,2)),VALUE(MID(INDEX($A21:$T21,MATCH(Lists!$F$5,$A$1:$T$1,0)),9,2))))),"")))</f>
        <v/>
      </c>
      <c r="AB21" s="21">
        <f>IF(Y21="","",IF(LEFT(IFERROR(TRIM(INDEX($A21:$T21,MATCH(Lists!$F$6,$A$1:$T$1,0))&amp;""),""),2)="No","General comment",IF(IFERROR(TRIM(INDEX($A21:$T21,MATCH(Lists!$F$7,$A$1:$T$1,0))&amp;""),"")&lt;&gt;"",IFERROR(TRIM(INDEX($A21:$T21,MATCH(Lists!$F$7,$A$1:$T$1,0))&amp;""),""),IF(IFERROR(TRIM(INDEX($A21:$T21,MATCH(Lists!$F$8,$A$1:$T$1,0))&amp;""),"")&lt;&gt;"",IFERROR(TRIM(INDEX($A21:$T21,MATCH(Lists!$F$8,$A$1:$T$1,0))&amp;""),""),"(no item given)"))))</f>
        <v/>
      </c>
      <c r="AC21" s="21">
        <f>IF(Y21="","",IF(ISNUMBER(SEARCH("support",IFERROR(TRIM(INDEX($A21:$T21,MATCH(Lists!$F$9,$A$1:$T$1,0))&amp;""),""))),"Support",IF(ISNUMBER(SEARCH("oppose",IFERROR(TRIM(INDEX($A21:$T21,MATCH(Lists!$F$9,$A$1:$T$1,0))&amp;""),""))),"Oppose",IF(IFERROR(TRIM(INDEX($A21:$T21,MATCH(Lists!$F$9,$A$1:$T$1,0))&amp;""),"")="","No position","Neither"))))</f>
        <v/>
      </c>
      <c r="AD21" s="21">
        <f>IF(Y21="","",IF(ISNUMBER(SEARCH("in person",IFERROR(TRIM(INDEX($A21:$T21,MATCH(Lists!$F$13,$A$1:$T$1,0))&amp;""),""))),"In person",IF(ISNUMBER(SEARCH("online",IFERROR(TRIM(INDEX($A21:$T21,MATCH(Lists!$F$13,$A$1:$T$1,0))&amp;""),""))),"Online","Written only")))</f>
        <v/>
      </c>
      <c r="AE21" s="21">
        <f>IF(Y21="","",IFERROR(TRIM(INDEX($A21:$T21,MATCH(Lists!$F$11,$A$1:$T$1,0))&amp;""),""))</f>
        <v/>
      </c>
      <c r="AF21" s="21">
        <f>IF(Y21="","",IFERROR(TRIM(INDEX($A21:$T21,MATCH(Lists!$F$12,$A$1:$T$1,0))&amp;""),""))</f>
        <v/>
      </c>
      <c r="AG21" s="21">
        <f>IF(Y21="","",IFERROR(TRIM(INDEX($A21:$T21,MATCH(Lists!$F$14,$A$1:$T$1,0))&amp;""),""))</f>
        <v/>
      </c>
      <c r="AH21" s="21">
        <f>IF(Y21="","",LEFT(IFERROR(TRIM(INDEX($A21:$T21,MATCH(Lists!$F$10,$A$1:$T$1,0))&amp;""),""),80))</f>
        <v/>
      </c>
      <c r="AI21" s="21">
        <f>IF(Y21="",0,IF(OR(Tally!$B$5="",AA21=Tally!$B$5),1,0))</f>
        <v/>
      </c>
      <c r="AJ21" s="21">
        <f>IF(AI21=1,IF(COUNTIFS($AB$2:AB21,AB21,$AI$2:AI21,1)=1,1,0),0)</f>
        <v/>
      </c>
      <c r="AK21" s="21">
        <f>IF(AJ21=1,SUM($AJ$2:AJ21),"")</f>
        <v/>
      </c>
      <c r="AL21" s="21">
        <f>IF(AND(AI21=1,OR(AD21="In person",AD21="Online"),OR(Speakers!$B$5="",AB21=Speakers!$B$5)),N(Z21)+ROW()/1000000000,"")</f>
        <v/>
      </c>
    </row>
    <row r="22">
      <c r="U22" s="19" t="n"/>
      <c r="V22" s="24" t="n"/>
      <c r="W22" s="24" t="n"/>
      <c r="X22" s="19" t="n"/>
      <c r="Y22" s="21">
        <f>IFERROR(TRIM(INDEX($A22:$T22,MATCH(Lists!$F$2,$A$1:$T$1,0))&amp;""),"")</f>
        <v/>
      </c>
      <c r="Z22" s="22">
        <f>IF(Y22="","",IFERROR(IF(ISNUMBER(INDEX($A22:$T22,MATCH(Lists!$F$3,$A$1:$T$1,0))),INDEX($A22:$T22,MATCH(Lists!$F$3,$A$1:$T$1,0)),DATE(VALUE(LEFT(IFERROR(TRIM(INDEX($A22:$T22,MATCH(Lists!$F$3,$A$1:$T$1,0))&amp;""),""),4)),VALUE(MID(IFERROR(TRIM(INDEX($A22:$T22,MATCH(Lists!$F$3,$A$1:$T$1,0))&amp;""),""),6,2)),VALUE(MID(IFERROR(TRIM(INDEX($A22:$T22,MATCH(Lists!$F$3,$A$1:$T$1,0))&amp;""),""),9,2)))+TIME(VALUE(MID(IFERROR(TRIM(INDEX($A22:$T22,MATCH(Lists!$F$3,$A$1:$T$1,0))&amp;""),""),12,2)),VALUE(MID(IFERROR(TRIM(INDEX($A22:$T22,MATCH(Lists!$F$3,$A$1:$T$1,0))&amp;""),""),15,2)),VALUE(MID(IFERROR(TRIM(INDEX($A22:$T22,MATCH(Lists!$F$3,$A$1:$T$1,0))&amp;""),""),18,2)))),""))</f>
        <v/>
      </c>
      <c r="AA22" s="23">
        <f>IF(Y22="","",IF(ISNUMBER(IFERROR(IF(TRIM(INDEX($A22:$T22,MATCH(Lists!$F$4,$A$1:$T$1,0))&amp;"")="","",IF(ISNUMBER(INDEX($A22:$T22,MATCH(Lists!$F$4,$A$1:$T$1,0))),INT(INDEX($A22:$T22,MATCH(Lists!$F$4,$A$1:$T$1,0))),DATE(VALUE(LEFT(INDEX($A22:$T22,MATCH(Lists!$F$4,$A$1:$T$1,0)),4)),VALUE(MID(INDEX($A22:$T22,MATCH(Lists!$F$4,$A$1:$T$1,0)),6,2)),VALUE(MID(INDEX($A22:$T22,MATCH(Lists!$F$4,$A$1:$T$1,0)),9,2))))),"")),IFERROR(IF(TRIM(INDEX($A22:$T22,MATCH(Lists!$F$4,$A$1:$T$1,0))&amp;"")="","",IF(ISNUMBER(INDEX($A22:$T22,MATCH(Lists!$F$4,$A$1:$T$1,0))),INT(INDEX($A22:$T22,MATCH(Lists!$F$4,$A$1:$T$1,0))),DATE(VALUE(LEFT(INDEX($A22:$T22,MATCH(Lists!$F$4,$A$1:$T$1,0)),4)),VALUE(MID(INDEX($A22:$T22,MATCH(Lists!$F$4,$A$1:$T$1,0)),6,2)),VALUE(MID(INDEX($A22:$T22,MATCH(Lists!$F$4,$A$1:$T$1,0)),9,2))))),""),IFERROR(IF(TRIM(INDEX($A22:$T22,MATCH(Lists!$F$5,$A$1:$T$1,0))&amp;"")="","",IF(ISNUMBER(INDEX($A22:$T22,MATCH(Lists!$F$5,$A$1:$T$1,0))),INT(INDEX($A22:$T22,MATCH(Lists!$F$5,$A$1:$T$1,0))),DATE(VALUE(LEFT(INDEX($A22:$T22,MATCH(Lists!$F$5,$A$1:$T$1,0)),4)),VALUE(MID(INDEX($A22:$T22,MATCH(Lists!$F$5,$A$1:$T$1,0)),6,2)),VALUE(MID(INDEX($A22:$T22,MATCH(Lists!$F$5,$A$1:$T$1,0)),9,2))))),"")))</f>
        <v/>
      </c>
      <c r="AB22" s="21">
        <f>IF(Y22="","",IF(LEFT(IFERROR(TRIM(INDEX($A22:$T22,MATCH(Lists!$F$6,$A$1:$T$1,0))&amp;""),""),2)="No","General comment",IF(IFERROR(TRIM(INDEX($A22:$T22,MATCH(Lists!$F$7,$A$1:$T$1,0))&amp;""),"")&lt;&gt;"",IFERROR(TRIM(INDEX($A22:$T22,MATCH(Lists!$F$7,$A$1:$T$1,0))&amp;""),""),IF(IFERROR(TRIM(INDEX($A22:$T22,MATCH(Lists!$F$8,$A$1:$T$1,0))&amp;""),"")&lt;&gt;"",IFERROR(TRIM(INDEX($A22:$T22,MATCH(Lists!$F$8,$A$1:$T$1,0))&amp;""),""),"(no item given)"))))</f>
        <v/>
      </c>
      <c r="AC22" s="21">
        <f>IF(Y22="","",IF(ISNUMBER(SEARCH("support",IFERROR(TRIM(INDEX($A22:$T22,MATCH(Lists!$F$9,$A$1:$T$1,0))&amp;""),""))),"Support",IF(ISNUMBER(SEARCH("oppose",IFERROR(TRIM(INDEX($A22:$T22,MATCH(Lists!$F$9,$A$1:$T$1,0))&amp;""),""))),"Oppose",IF(IFERROR(TRIM(INDEX($A22:$T22,MATCH(Lists!$F$9,$A$1:$T$1,0))&amp;""),"")="","No position","Neither"))))</f>
        <v/>
      </c>
      <c r="AD22" s="21">
        <f>IF(Y22="","",IF(ISNUMBER(SEARCH("in person",IFERROR(TRIM(INDEX($A22:$T22,MATCH(Lists!$F$13,$A$1:$T$1,0))&amp;""),""))),"In person",IF(ISNUMBER(SEARCH("online",IFERROR(TRIM(INDEX($A22:$T22,MATCH(Lists!$F$13,$A$1:$T$1,0))&amp;""),""))),"Online","Written only")))</f>
        <v/>
      </c>
      <c r="AE22" s="21">
        <f>IF(Y22="","",IFERROR(TRIM(INDEX($A22:$T22,MATCH(Lists!$F$11,$A$1:$T$1,0))&amp;""),""))</f>
        <v/>
      </c>
      <c r="AF22" s="21">
        <f>IF(Y22="","",IFERROR(TRIM(INDEX($A22:$T22,MATCH(Lists!$F$12,$A$1:$T$1,0))&amp;""),""))</f>
        <v/>
      </c>
      <c r="AG22" s="21">
        <f>IF(Y22="","",IFERROR(TRIM(INDEX($A22:$T22,MATCH(Lists!$F$14,$A$1:$T$1,0))&amp;""),""))</f>
        <v/>
      </c>
      <c r="AH22" s="21">
        <f>IF(Y22="","",LEFT(IFERROR(TRIM(INDEX($A22:$T22,MATCH(Lists!$F$10,$A$1:$T$1,0))&amp;""),""),80))</f>
        <v/>
      </c>
      <c r="AI22" s="21">
        <f>IF(Y22="",0,IF(OR(Tally!$B$5="",AA22=Tally!$B$5),1,0))</f>
        <v/>
      </c>
      <c r="AJ22" s="21">
        <f>IF(AI22=1,IF(COUNTIFS($AB$2:AB22,AB22,$AI$2:AI22,1)=1,1,0),0)</f>
        <v/>
      </c>
      <c r="AK22" s="21">
        <f>IF(AJ22=1,SUM($AJ$2:AJ22),"")</f>
        <v/>
      </c>
      <c r="AL22" s="21">
        <f>IF(AND(AI22=1,OR(AD22="In person",AD22="Online"),OR(Speakers!$B$5="",AB22=Speakers!$B$5)),N(Z22)+ROW()/1000000000,"")</f>
        <v/>
      </c>
    </row>
    <row r="23">
      <c r="U23" s="19" t="n"/>
      <c r="V23" s="24" t="n"/>
      <c r="W23" s="24" t="n"/>
      <c r="X23" s="19" t="n"/>
      <c r="Y23" s="21">
        <f>IFERROR(TRIM(INDEX($A23:$T23,MATCH(Lists!$F$2,$A$1:$T$1,0))&amp;""),"")</f>
        <v/>
      </c>
      <c r="Z23" s="22">
        <f>IF(Y23="","",IFERROR(IF(ISNUMBER(INDEX($A23:$T23,MATCH(Lists!$F$3,$A$1:$T$1,0))),INDEX($A23:$T23,MATCH(Lists!$F$3,$A$1:$T$1,0)),DATE(VALUE(LEFT(IFERROR(TRIM(INDEX($A23:$T23,MATCH(Lists!$F$3,$A$1:$T$1,0))&amp;""),""),4)),VALUE(MID(IFERROR(TRIM(INDEX($A23:$T23,MATCH(Lists!$F$3,$A$1:$T$1,0))&amp;""),""),6,2)),VALUE(MID(IFERROR(TRIM(INDEX($A23:$T23,MATCH(Lists!$F$3,$A$1:$T$1,0))&amp;""),""),9,2)))+TIME(VALUE(MID(IFERROR(TRIM(INDEX($A23:$T23,MATCH(Lists!$F$3,$A$1:$T$1,0))&amp;""),""),12,2)),VALUE(MID(IFERROR(TRIM(INDEX($A23:$T23,MATCH(Lists!$F$3,$A$1:$T$1,0))&amp;""),""),15,2)),VALUE(MID(IFERROR(TRIM(INDEX($A23:$T23,MATCH(Lists!$F$3,$A$1:$T$1,0))&amp;""),""),18,2)))),""))</f>
        <v/>
      </c>
      <c r="AA23" s="23">
        <f>IF(Y23="","",IF(ISNUMBER(IFERROR(IF(TRIM(INDEX($A23:$T23,MATCH(Lists!$F$4,$A$1:$T$1,0))&amp;"")="","",IF(ISNUMBER(INDEX($A23:$T23,MATCH(Lists!$F$4,$A$1:$T$1,0))),INT(INDEX($A23:$T23,MATCH(Lists!$F$4,$A$1:$T$1,0))),DATE(VALUE(LEFT(INDEX($A23:$T23,MATCH(Lists!$F$4,$A$1:$T$1,0)),4)),VALUE(MID(INDEX($A23:$T23,MATCH(Lists!$F$4,$A$1:$T$1,0)),6,2)),VALUE(MID(INDEX($A23:$T23,MATCH(Lists!$F$4,$A$1:$T$1,0)),9,2))))),"")),IFERROR(IF(TRIM(INDEX($A23:$T23,MATCH(Lists!$F$4,$A$1:$T$1,0))&amp;"")="","",IF(ISNUMBER(INDEX($A23:$T23,MATCH(Lists!$F$4,$A$1:$T$1,0))),INT(INDEX($A23:$T23,MATCH(Lists!$F$4,$A$1:$T$1,0))),DATE(VALUE(LEFT(INDEX($A23:$T23,MATCH(Lists!$F$4,$A$1:$T$1,0)),4)),VALUE(MID(INDEX($A23:$T23,MATCH(Lists!$F$4,$A$1:$T$1,0)),6,2)),VALUE(MID(INDEX($A23:$T23,MATCH(Lists!$F$4,$A$1:$T$1,0)),9,2))))),""),IFERROR(IF(TRIM(INDEX($A23:$T23,MATCH(Lists!$F$5,$A$1:$T$1,0))&amp;"")="","",IF(ISNUMBER(INDEX($A23:$T23,MATCH(Lists!$F$5,$A$1:$T$1,0))),INT(INDEX($A23:$T23,MATCH(Lists!$F$5,$A$1:$T$1,0))),DATE(VALUE(LEFT(INDEX($A23:$T23,MATCH(Lists!$F$5,$A$1:$T$1,0)),4)),VALUE(MID(INDEX($A23:$T23,MATCH(Lists!$F$5,$A$1:$T$1,0)),6,2)),VALUE(MID(INDEX($A23:$T23,MATCH(Lists!$F$5,$A$1:$T$1,0)),9,2))))),"")))</f>
        <v/>
      </c>
      <c r="AB23" s="21">
        <f>IF(Y23="","",IF(LEFT(IFERROR(TRIM(INDEX($A23:$T23,MATCH(Lists!$F$6,$A$1:$T$1,0))&amp;""),""),2)="No","General comment",IF(IFERROR(TRIM(INDEX($A23:$T23,MATCH(Lists!$F$7,$A$1:$T$1,0))&amp;""),"")&lt;&gt;"",IFERROR(TRIM(INDEX($A23:$T23,MATCH(Lists!$F$7,$A$1:$T$1,0))&amp;""),""),IF(IFERROR(TRIM(INDEX($A23:$T23,MATCH(Lists!$F$8,$A$1:$T$1,0))&amp;""),"")&lt;&gt;"",IFERROR(TRIM(INDEX($A23:$T23,MATCH(Lists!$F$8,$A$1:$T$1,0))&amp;""),""),"(no item given)"))))</f>
        <v/>
      </c>
      <c r="AC23" s="21">
        <f>IF(Y23="","",IF(ISNUMBER(SEARCH("support",IFERROR(TRIM(INDEX($A23:$T23,MATCH(Lists!$F$9,$A$1:$T$1,0))&amp;""),""))),"Support",IF(ISNUMBER(SEARCH("oppose",IFERROR(TRIM(INDEX($A23:$T23,MATCH(Lists!$F$9,$A$1:$T$1,0))&amp;""),""))),"Oppose",IF(IFERROR(TRIM(INDEX($A23:$T23,MATCH(Lists!$F$9,$A$1:$T$1,0))&amp;""),"")="","No position","Neither"))))</f>
        <v/>
      </c>
      <c r="AD23" s="21">
        <f>IF(Y23="","",IF(ISNUMBER(SEARCH("in person",IFERROR(TRIM(INDEX($A23:$T23,MATCH(Lists!$F$13,$A$1:$T$1,0))&amp;""),""))),"In person",IF(ISNUMBER(SEARCH("online",IFERROR(TRIM(INDEX($A23:$T23,MATCH(Lists!$F$13,$A$1:$T$1,0))&amp;""),""))),"Online","Written only")))</f>
        <v/>
      </c>
      <c r="AE23" s="21">
        <f>IF(Y23="","",IFERROR(TRIM(INDEX($A23:$T23,MATCH(Lists!$F$11,$A$1:$T$1,0))&amp;""),""))</f>
        <v/>
      </c>
      <c r="AF23" s="21">
        <f>IF(Y23="","",IFERROR(TRIM(INDEX($A23:$T23,MATCH(Lists!$F$12,$A$1:$T$1,0))&amp;""),""))</f>
        <v/>
      </c>
      <c r="AG23" s="21">
        <f>IF(Y23="","",IFERROR(TRIM(INDEX($A23:$T23,MATCH(Lists!$F$14,$A$1:$T$1,0))&amp;""),""))</f>
        <v/>
      </c>
      <c r="AH23" s="21">
        <f>IF(Y23="","",LEFT(IFERROR(TRIM(INDEX($A23:$T23,MATCH(Lists!$F$10,$A$1:$T$1,0))&amp;""),""),80))</f>
        <v/>
      </c>
      <c r="AI23" s="21">
        <f>IF(Y23="",0,IF(OR(Tally!$B$5="",AA23=Tally!$B$5),1,0))</f>
        <v/>
      </c>
      <c r="AJ23" s="21">
        <f>IF(AI23=1,IF(COUNTIFS($AB$2:AB23,AB23,$AI$2:AI23,1)=1,1,0),0)</f>
        <v/>
      </c>
      <c r="AK23" s="21">
        <f>IF(AJ23=1,SUM($AJ$2:AJ23),"")</f>
        <v/>
      </c>
      <c r="AL23" s="21">
        <f>IF(AND(AI23=1,OR(AD23="In person",AD23="Online"),OR(Speakers!$B$5="",AB23=Speakers!$B$5)),N(Z23)+ROW()/1000000000,"")</f>
        <v/>
      </c>
    </row>
    <row r="24">
      <c r="U24" s="19" t="n"/>
      <c r="V24" s="24" t="n"/>
      <c r="W24" s="24" t="n"/>
      <c r="X24" s="19" t="n"/>
      <c r="Y24" s="21">
        <f>IFERROR(TRIM(INDEX($A24:$T24,MATCH(Lists!$F$2,$A$1:$T$1,0))&amp;""),"")</f>
        <v/>
      </c>
      <c r="Z24" s="22">
        <f>IF(Y24="","",IFERROR(IF(ISNUMBER(INDEX($A24:$T24,MATCH(Lists!$F$3,$A$1:$T$1,0))),INDEX($A24:$T24,MATCH(Lists!$F$3,$A$1:$T$1,0)),DATE(VALUE(LEFT(IFERROR(TRIM(INDEX($A24:$T24,MATCH(Lists!$F$3,$A$1:$T$1,0))&amp;""),""),4)),VALUE(MID(IFERROR(TRIM(INDEX($A24:$T24,MATCH(Lists!$F$3,$A$1:$T$1,0))&amp;""),""),6,2)),VALUE(MID(IFERROR(TRIM(INDEX($A24:$T24,MATCH(Lists!$F$3,$A$1:$T$1,0))&amp;""),""),9,2)))+TIME(VALUE(MID(IFERROR(TRIM(INDEX($A24:$T24,MATCH(Lists!$F$3,$A$1:$T$1,0))&amp;""),""),12,2)),VALUE(MID(IFERROR(TRIM(INDEX($A24:$T24,MATCH(Lists!$F$3,$A$1:$T$1,0))&amp;""),""),15,2)),VALUE(MID(IFERROR(TRIM(INDEX($A24:$T24,MATCH(Lists!$F$3,$A$1:$T$1,0))&amp;""),""),18,2)))),""))</f>
        <v/>
      </c>
      <c r="AA24" s="23">
        <f>IF(Y24="","",IF(ISNUMBER(IFERROR(IF(TRIM(INDEX($A24:$T24,MATCH(Lists!$F$4,$A$1:$T$1,0))&amp;"")="","",IF(ISNUMBER(INDEX($A24:$T24,MATCH(Lists!$F$4,$A$1:$T$1,0))),INT(INDEX($A24:$T24,MATCH(Lists!$F$4,$A$1:$T$1,0))),DATE(VALUE(LEFT(INDEX($A24:$T24,MATCH(Lists!$F$4,$A$1:$T$1,0)),4)),VALUE(MID(INDEX($A24:$T24,MATCH(Lists!$F$4,$A$1:$T$1,0)),6,2)),VALUE(MID(INDEX($A24:$T24,MATCH(Lists!$F$4,$A$1:$T$1,0)),9,2))))),"")),IFERROR(IF(TRIM(INDEX($A24:$T24,MATCH(Lists!$F$4,$A$1:$T$1,0))&amp;"")="","",IF(ISNUMBER(INDEX($A24:$T24,MATCH(Lists!$F$4,$A$1:$T$1,0))),INT(INDEX($A24:$T24,MATCH(Lists!$F$4,$A$1:$T$1,0))),DATE(VALUE(LEFT(INDEX($A24:$T24,MATCH(Lists!$F$4,$A$1:$T$1,0)),4)),VALUE(MID(INDEX($A24:$T24,MATCH(Lists!$F$4,$A$1:$T$1,0)),6,2)),VALUE(MID(INDEX($A24:$T24,MATCH(Lists!$F$4,$A$1:$T$1,0)),9,2))))),""),IFERROR(IF(TRIM(INDEX($A24:$T24,MATCH(Lists!$F$5,$A$1:$T$1,0))&amp;"")="","",IF(ISNUMBER(INDEX($A24:$T24,MATCH(Lists!$F$5,$A$1:$T$1,0))),INT(INDEX($A24:$T24,MATCH(Lists!$F$5,$A$1:$T$1,0))),DATE(VALUE(LEFT(INDEX($A24:$T24,MATCH(Lists!$F$5,$A$1:$T$1,0)),4)),VALUE(MID(INDEX($A24:$T24,MATCH(Lists!$F$5,$A$1:$T$1,0)),6,2)),VALUE(MID(INDEX($A24:$T24,MATCH(Lists!$F$5,$A$1:$T$1,0)),9,2))))),"")))</f>
        <v/>
      </c>
      <c r="AB24" s="21">
        <f>IF(Y24="","",IF(LEFT(IFERROR(TRIM(INDEX($A24:$T24,MATCH(Lists!$F$6,$A$1:$T$1,0))&amp;""),""),2)="No","General comment",IF(IFERROR(TRIM(INDEX($A24:$T24,MATCH(Lists!$F$7,$A$1:$T$1,0))&amp;""),"")&lt;&gt;"",IFERROR(TRIM(INDEX($A24:$T24,MATCH(Lists!$F$7,$A$1:$T$1,0))&amp;""),""),IF(IFERROR(TRIM(INDEX($A24:$T24,MATCH(Lists!$F$8,$A$1:$T$1,0))&amp;""),"")&lt;&gt;"",IFERROR(TRIM(INDEX($A24:$T24,MATCH(Lists!$F$8,$A$1:$T$1,0))&amp;""),""),"(no item given)"))))</f>
        <v/>
      </c>
      <c r="AC24" s="21">
        <f>IF(Y24="","",IF(ISNUMBER(SEARCH("support",IFERROR(TRIM(INDEX($A24:$T24,MATCH(Lists!$F$9,$A$1:$T$1,0))&amp;""),""))),"Support",IF(ISNUMBER(SEARCH("oppose",IFERROR(TRIM(INDEX($A24:$T24,MATCH(Lists!$F$9,$A$1:$T$1,0))&amp;""),""))),"Oppose",IF(IFERROR(TRIM(INDEX($A24:$T24,MATCH(Lists!$F$9,$A$1:$T$1,0))&amp;""),"")="","No position","Neither"))))</f>
        <v/>
      </c>
      <c r="AD24" s="21">
        <f>IF(Y24="","",IF(ISNUMBER(SEARCH("in person",IFERROR(TRIM(INDEX($A24:$T24,MATCH(Lists!$F$13,$A$1:$T$1,0))&amp;""),""))),"In person",IF(ISNUMBER(SEARCH("online",IFERROR(TRIM(INDEX($A24:$T24,MATCH(Lists!$F$13,$A$1:$T$1,0))&amp;""),""))),"Online","Written only")))</f>
        <v/>
      </c>
      <c r="AE24" s="21">
        <f>IF(Y24="","",IFERROR(TRIM(INDEX($A24:$T24,MATCH(Lists!$F$11,$A$1:$T$1,0))&amp;""),""))</f>
        <v/>
      </c>
      <c r="AF24" s="21">
        <f>IF(Y24="","",IFERROR(TRIM(INDEX($A24:$T24,MATCH(Lists!$F$12,$A$1:$T$1,0))&amp;""),""))</f>
        <v/>
      </c>
      <c r="AG24" s="21">
        <f>IF(Y24="","",IFERROR(TRIM(INDEX($A24:$T24,MATCH(Lists!$F$14,$A$1:$T$1,0))&amp;""),""))</f>
        <v/>
      </c>
      <c r="AH24" s="21">
        <f>IF(Y24="","",LEFT(IFERROR(TRIM(INDEX($A24:$T24,MATCH(Lists!$F$10,$A$1:$T$1,0))&amp;""),""),80))</f>
        <v/>
      </c>
      <c r="AI24" s="21">
        <f>IF(Y24="",0,IF(OR(Tally!$B$5="",AA24=Tally!$B$5),1,0))</f>
        <v/>
      </c>
      <c r="AJ24" s="21">
        <f>IF(AI24=1,IF(COUNTIFS($AB$2:AB24,AB24,$AI$2:AI24,1)=1,1,0),0)</f>
        <v/>
      </c>
      <c r="AK24" s="21">
        <f>IF(AJ24=1,SUM($AJ$2:AJ24),"")</f>
        <v/>
      </c>
      <c r="AL24" s="21">
        <f>IF(AND(AI24=1,OR(AD24="In person",AD24="Online"),OR(Speakers!$B$5="",AB24=Speakers!$B$5)),N(Z24)+ROW()/1000000000,"")</f>
        <v/>
      </c>
    </row>
    <row r="25">
      <c r="U25" s="19" t="n"/>
      <c r="V25" s="24" t="n"/>
      <c r="W25" s="24" t="n"/>
      <c r="X25" s="19" t="n"/>
      <c r="Y25" s="21">
        <f>IFERROR(TRIM(INDEX($A25:$T25,MATCH(Lists!$F$2,$A$1:$T$1,0))&amp;""),"")</f>
        <v/>
      </c>
      <c r="Z25" s="22">
        <f>IF(Y25="","",IFERROR(IF(ISNUMBER(INDEX($A25:$T25,MATCH(Lists!$F$3,$A$1:$T$1,0))),INDEX($A25:$T25,MATCH(Lists!$F$3,$A$1:$T$1,0)),DATE(VALUE(LEFT(IFERROR(TRIM(INDEX($A25:$T25,MATCH(Lists!$F$3,$A$1:$T$1,0))&amp;""),""),4)),VALUE(MID(IFERROR(TRIM(INDEX($A25:$T25,MATCH(Lists!$F$3,$A$1:$T$1,0))&amp;""),""),6,2)),VALUE(MID(IFERROR(TRIM(INDEX($A25:$T25,MATCH(Lists!$F$3,$A$1:$T$1,0))&amp;""),""),9,2)))+TIME(VALUE(MID(IFERROR(TRIM(INDEX($A25:$T25,MATCH(Lists!$F$3,$A$1:$T$1,0))&amp;""),""),12,2)),VALUE(MID(IFERROR(TRIM(INDEX($A25:$T25,MATCH(Lists!$F$3,$A$1:$T$1,0))&amp;""),""),15,2)),VALUE(MID(IFERROR(TRIM(INDEX($A25:$T25,MATCH(Lists!$F$3,$A$1:$T$1,0))&amp;""),""),18,2)))),""))</f>
        <v/>
      </c>
      <c r="AA25" s="23">
        <f>IF(Y25="","",IF(ISNUMBER(IFERROR(IF(TRIM(INDEX($A25:$T25,MATCH(Lists!$F$4,$A$1:$T$1,0))&amp;"")="","",IF(ISNUMBER(INDEX($A25:$T25,MATCH(Lists!$F$4,$A$1:$T$1,0))),INT(INDEX($A25:$T25,MATCH(Lists!$F$4,$A$1:$T$1,0))),DATE(VALUE(LEFT(INDEX($A25:$T25,MATCH(Lists!$F$4,$A$1:$T$1,0)),4)),VALUE(MID(INDEX($A25:$T25,MATCH(Lists!$F$4,$A$1:$T$1,0)),6,2)),VALUE(MID(INDEX($A25:$T25,MATCH(Lists!$F$4,$A$1:$T$1,0)),9,2))))),"")),IFERROR(IF(TRIM(INDEX($A25:$T25,MATCH(Lists!$F$4,$A$1:$T$1,0))&amp;"")="","",IF(ISNUMBER(INDEX($A25:$T25,MATCH(Lists!$F$4,$A$1:$T$1,0))),INT(INDEX($A25:$T25,MATCH(Lists!$F$4,$A$1:$T$1,0))),DATE(VALUE(LEFT(INDEX($A25:$T25,MATCH(Lists!$F$4,$A$1:$T$1,0)),4)),VALUE(MID(INDEX($A25:$T25,MATCH(Lists!$F$4,$A$1:$T$1,0)),6,2)),VALUE(MID(INDEX($A25:$T25,MATCH(Lists!$F$4,$A$1:$T$1,0)),9,2))))),""),IFERROR(IF(TRIM(INDEX($A25:$T25,MATCH(Lists!$F$5,$A$1:$T$1,0))&amp;"")="","",IF(ISNUMBER(INDEX($A25:$T25,MATCH(Lists!$F$5,$A$1:$T$1,0))),INT(INDEX($A25:$T25,MATCH(Lists!$F$5,$A$1:$T$1,0))),DATE(VALUE(LEFT(INDEX($A25:$T25,MATCH(Lists!$F$5,$A$1:$T$1,0)),4)),VALUE(MID(INDEX($A25:$T25,MATCH(Lists!$F$5,$A$1:$T$1,0)),6,2)),VALUE(MID(INDEX($A25:$T25,MATCH(Lists!$F$5,$A$1:$T$1,0)),9,2))))),"")))</f>
        <v/>
      </c>
      <c r="AB25" s="21">
        <f>IF(Y25="","",IF(LEFT(IFERROR(TRIM(INDEX($A25:$T25,MATCH(Lists!$F$6,$A$1:$T$1,0))&amp;""),""),2)="No","General comment",IF(IFERROR(TRIM(INDEX($A25:$T25,MATCH(Lists!$F$7,$A$1:$T$1,0))&amp;""),"")&lt;&gt;"",IFERROR(TRIM(INDEX($A25:$T25,MATCH(Lists!$F$7,$A$1:$T$1,0))&amp;""),""),IF(IFERROR(TRIM(INDEX($A25:$T25,MATCH(Lists!$F$8,$A$1:$T$1,0))&amp;""),"")&lt;&gt;"",IFERROR(TRIM(INDEX($A25:$T25,MATCH(Lists!$F$8,$A$1:$T$1,0))&amp;""),""),"(no item given)"))))</f>
        <v/>
      </c>
      <c r="AC25" s="21">
        <f>IF(Y25="","",IF(ISNUMBER(SEARCH("support",IFERROR(TRIM(INDEX($A25:$T25,MATCH(Lists!$F$9,$A$1:$T$1,0))&amp;""),""))),"Support",IF(ISNUMBER(SEARCH("oppose",IFERROR(TRIM(INDEX($A25:$T25,MATCH(Lists!$F$9,$A$1:$T$1,0))&amp;""),""))),"Oppose",IF(IFERROR(TRIM(INDEX($A25:$T25,MATCH(Lists!$F$9,$A$1:$T$1,0))&amp;""),"")="","No position","Neither"))))</f>
        <v/>
      </c>
      <c r="AD25" s="21">
        <f>IF(Y25="","",IF(ISNUMBER(SEARCH("in person",IFERROR(TRIM(INDEX($A25:$T25,MATCH(Lists!$F$13,$A$1:$T$1,0))&amp;""),""))),"In person",IF(ISNUMBER(SEARCH("online",IFERROR(TRIM(INDEX($A25:$T25,MATCH(Lists!$F$13,$A$1:$T$1,0))&amp;""),""))),"Online","Written only")))</f>
        <v/>
      </c>
      <c r="AE25" s="21">
        <f>IF(Y25="","",IFERROR(TRIM(INDEX($A25:$T25,MATCH(Lists!$F$11,$A$1:$T$1,0))&amp;""),""))</f>
        <v/>
      </c>
      <c r="AF25" s="21">
        <f>IF(Y25="","",IFERROR(TRIM(INDEX($A25:$T25,MATCH(Lists!$F$12,$A$1:$T$1,0))&amp;""),""))</f>
        <v/>
      </c>
      <c r="AG25" s="21">
        <f>IF(Y25="","",IFERROR(TRIM(INDEX($A25:$T25,MATCH(Lists!$F$14,$A$1:$T$1,0))&amp;""),""))</f>
        <v/>
      </c>
      <c r="AH25" s="21">
        <f>IF(Y25="","",LEFT(IFERROR(TRIM(INDEX($A25:$T25,MATCH(Lists!$F$10,$A$1:$T$1,0))&amp;""),""),80))</f>
        <v/>
      </c>
      <c r="AI25" s="21">
        <f>IF(Y25="",0,IF(OR(Tally!$B$5="",AA25=Tally!$B$5),1,0))</f>
        <v/>
      </c>
      <c r="AJ25" s="21">
        <f>IF(AI25=1,IF(COUNTIFS($AB$2:AB25,AB25,$AI$2:AI25,1)=1,1,0),0)</f>
        <v/>
      </c>
      <c r="AK25" s="21">
        <f>IF(AJ25=1,SUM($AJ$2:AJ25),"")</f>
        <v/>
      </c>
      <c r="AL25" s="21">
        <f>IF(AND(AI25=1,OR(AD25="In person",AD25="Online"),OR(Speakers!$B$5="",AB25=Speakers!$B$5)),N(Z25)+ROW()/1000000000,"")</f>
        <v/>
      </c>
    </row>
    <row r="26">
      <c r="U26" s="19" t="n"/>
      <c r="V26" s="24" t="n"/>
      <c r="W26" s="24" t="n"/>
      <c r="X26" s="19" t="n"/>
      <c r="Y26" s="21">
        <f>IFERROR(TRIM(INDEX($A26:$T26,MATCH(Lists!$F$2,$A$1:$T$1,0))&amp;""),"")</f>
        <v/>
      </c>
      <c r="Z26" s="22">
        <f>IF(Y26="","",IFERROR(IF(ISNUMBER(INDEX($A26:$T26,MATCH(Lists!$F$3,$A$1:$T$1,0))),INDEX($A26:$T26,MATCH(Lists!$F$3,$A$1:$T$1,0)),DATE(VALUE(LEFT(IFERROR(TRIM(INDEX($A26:$T26,MATCH(Lists!$F$3,$A$1:$T$1,0))&amp;""),""),4)),VALUE(MID(IFERROR(TRIM(INDEX($A26:$T26,MATCH(Lists!$F$3,$A$1:$T$1,0))&amp;""),""),6,2)),VALUE(MID(IFERROR(TRIM(INDEX($A26:$T26,MATCH(Lists!$F$3,$A$1:$T$1,0))&amp;""),""),9,2)))+TIME(VALUE(MID(IFERROR(TRIM(INDEX($A26:$T26,MATCH(Lists!$F$3,$A$1:$T$1,0))&amp;""),""),12,2)),VALUE(MID(IFERROR(TRIM(INDEX($A26:$T26,MATCH(Lists!$F$3,$A$1:$T$1,0))&amp;""),""),15,2)),VALUE(MID(IFERROR(TRIM(INDEX($A26:$T26,MATCH(Lists!$F$3,$A$1:$T$1,0))&amp;""),""),18,2)))),""))</f>
        <v/>
      </c>
      <c r="AA26" s="23">
        <f>IF(Y26="","",IF(ISNUMBER(IFERROR(IF(TRIM(INDEX($A26:$T26,MATCH(Lists!$F$4,$A$1:$T$1,0))&amp;"")="","",IF(ISNUMBER(INDEX($A26:$T26,MATCH(Lists!$F$4,$A$1:$T$1,0))),INT(INDEX($A26:$T26,MATCH(Lists!$F$4,$A$1:$T$1,0))),DATE(VALUE(LEFT(INDEX($A26:$T26,MATCH(Lists!$F$4,$A$1:$T$1,0)),4)),VALUE(MID(INDEX($A26:$T26,MATCH(Lists!$F$4,$A$1:$T$1,0)),6,2)),VALUE(MID(INDEX($A26:$T26,MATCH(Lists!$F$4,$A$1:$T$1,0)),9,2))))),"")),IFERROR(IF(TRIM(INDEX($A26:$T26,MATCH(Lists!$F$4,$A$1:$T$1,0))&amp;"")="","",IF(ISNUMBER(INDEX($A26:$T26,MATCH(Lists!$F$4,$A$1:$T$1,0))),INT(INDEX($A26:$T26,MATCH(Lists!$F$4,$A$1:$T$1,0))),DATE(VALUE(LEFT(INDEX($A26:$T26,MATCH(Lists!$F$4,$A$1:$T$1,0)),4)),VALUE(MID(INDEX($A26:$T26,MATCH(Lists!$F$4,$A$1:$T$1,0)),6,2)),VALUE(MID(INDEX($A26:$T26,MATCH(Lists!$F$4,$A$1:$T$1,0)),9,2))))),""),IFERROR(IF(TRIM(INDEX($A26:$T26,MATCH(Lists!$F$5,$A$1:$T$1,0))&amp;"")="","",IF(ISNUMBER(INDEX($A26:$T26,MATCH(Lists!$F$5,$A$1:$T$1,0))),INT(INDEX($A26:$T26,MATCH(Lists!$F$5,$A$1:$T$1,0))),DATE(VALUE(LEFT(INDEX($A26:$T26,MATCH(Lists!$F$5,$A$1:$T$1,0)),4)),VALUE(MID(INDEX($A26:$T26,MATCH(Lists!$F$5,$A$1:$T$1,0)),6,2)),VALUE(MID(INDEX($A26:$T26,MATCH(Lists!$F$5,$A$1:$T$1,0)),9,2))))),"")))</f>
        <v/>
      </c>
      <c r="AB26" s="21">
        <f>IF(Y26="","",IF(LEFT(IFERROR(TRIM(INDEX($A26:$T26,MATCH(Lists!$F$6,$A$1:$T$1,0))&amp;""),""),2)="No","General comment",IF(IFERROR(TRIM(INDEX($A26:$T26,MATCH(Lists!$F$7,$A$1:$T$1,0))&amp;""),"")&lt;&gt;"",IFERROR(TRIM(INDEX($A26:$T26,MATCH(Lists!$F$7,$A$1:$T$1,0))&amp;""),""),IF(IFERROR(TRIM(INDEX($A26:$T26,MATCH(Lists!$F$8,$A$1:$T$1,0))&amp;""),"")&lt;&gt;"",IFERROR(TRIM(INDEX($A26:$T26,MATCH(Lists!$F$8,$A$1:$T$1,0))&amp;""),""),"(no item given)"))))</f>
        <v/>
      </c>
      <c r="AC26" s="21">
        <f>IF(Y26="","",IF(ISNUMBER(SEARCH("support",IFERROR(TRIM(INDEX($A26:$T26,MATCH(Lists!$F$9,$A$1:$T$1,0))&amp;""),""))),"Support",IF(ISNUMBER(SEARCH("oppose",IFERROR(TRIM(INDEX($A26:$T26,MATCH(Lists!$F$9,$A$1:$T$1,0))&amp;""),""))),"Oppose",IF(IFERROR(TRIM(INDEX($A26:$T26,MATCH(Lists!$F$9,$A$1:$T$1,0))&amp;""),"")="","No position","Neither"))))</f>
        <v/>
      </c>
      <c r="AD26" s="21">
        <f>IF(Y26="","",IF(ISNUMBER(SEARCH("in person",IFERROR(TRIM(INDEX($A26:$T26,MATCH(Lists!$F$13,$A$1:$T$1,0))&amp;""),""))),"In person",IF(ISNUMBER(SEARCH("online",IFERROR(TRIM(INDEX($A26:$T26,MATCH(Lists!$F$13,$A$1:$T$1,0))&amp;""),""))),"Online","Written only")))</f>
        <v/>
      </c>
      <c r="AE26" s="21">
        <f>IF(Y26="","",IFERROR(TRIM(INDEX($A26:$T26,MATCH(Lists!$F$11,$A$1:$T$1,0))&amp;""),""))</f>
        <v/>
      </c>
      <c r="AF26" s="21">
        <f>IF(Y26="","",IFERROR(TRIM(INDEX($A26:$T26,MATCH(Lists!$F$12,$A$1:$T$1,0))&amp;""),""))</f>
        <v/>
      </c>
      <c r="AG26" s="21">
        <f>IF(Y26="","",IFERROR(TRIM(INDEX($A26:$T26,MATCH(Lists!$F$14,$A$1:$T$1,0))&amp;""),""))</f>
        <v/>
      </c>
      <c r="AH26" s="21">
        <f>IF(Y26="","",LEFT(IFERROR(TRIM(INDEX($A26:$T26,MATCH(Lists!$F$10,$A$1:$T$1,0))&amp;""),""),80))</f>
        <v/>
      </c>
      <c r="AI26" s="21">
        <f>IF(Y26="",0,IF(OR(Tally!$B$5="",AA26=Tally!$B$5),1,0))</f>
        <v/>
      </c>
      <c r="AJ26" s="21">
        <f>IF(AI26=1,IF(COUNTIFS($AB$2:AB26,AB26,$AI$2:AI26,1)=1,1,0),0)</f>
        <v/>
      </c>
      <c r="AK26" s="21">
        <f>IF(AJ26=1,SUM($AJ$2:AJ26),"")</f>
        <v/>
      </c>
      <c r="AL26" s="21">
        <f>IF(AND(AI26=1,OR(AD26="In person",AD26="Online"),OR(Speakers!$B$5="",AB26=Speakers!$B$5)),N(Z26)+ROW()/1000000000,"")</f>
        <v/>
      </c>
    </row>
    <row r="27">
      <c r="U27" s="19" t="n"/>
      <c r="V27" s="24" t="n"/>
      <c r="W27" s="24" t="n"/>
      <c r="X27" s="19" t="n"/>
      <c r="Y27" s="21">
        <f>IFERROR(TRIM(INDEX($A27:$T27,MATCH(Lists!$F$2,$A$1:$T$1,0))&amp;""),"")</f>
        <v/>
      </c>
      <c r="Z27" s="22">
        <f>IF(Y27="","",IFERROR(IF(ISNUMBER(INDEX($A27:$T27,MATCH(Lists!$F$3,$A$1:$T$1,0))),INDEX($A27:$T27,MATCH(Lists!$F$3,$A$1:$T$1,0)),DATE(VALUE(LEFT(IFERROR(TRIM(INDEX($A27:$T27,MATCH(Lists!$F$3,$A$1:$T$1,0))&amp;""),""),4)),VALUE(MID(IFERROR(TRIM(INDEX($A27:$T27,MATCH(Lists!$F$3,$A$1:$T$1,0))&amp;""),""),6,2)),VALUE(MID(IFERROR(TRIM(INDEX($A27:$T27,MATCH(Lists!$F$3,$A$1:$T$1,0))&amp;""),""),9,2)))+TIME(VALUE(MID(IFERROR(TRIM(INDEX($A27:$T27,MATCH(Lists!$F$3,$A$1:$T$1,0))&amp;""),""),12,2)),VALUE(MID(IFERROR(TRIM(INDEX($A27:$T27,MATCH(Lists!$F$3,$A$1:$T$1,0))&amp;""),""),15,2)),VALUE(MID(IFERROR(TRIM(INDEX($A27:$T27,MATCH(Lists!$F$3,$A$1:$T$1,0))&amp;""),""),18,2)))),""))</f>
        <v/>
      </c>
      <c r="AA27" s="23">
        <f>IF(Y27="","",IF(ISNUMBER(IFERROR(IF(TRIM(INDEX($A27:$T27,MATCH(Lists!$F$4,$A$1:$T$1,0))&amp;"")="","",IF(ISNUMBER(INDEX($A27:$T27,MATCH(Lists!$F$4,$A$1:$T$1,0))),INT(INDEX($A27:$T27,MATCH(Lists!$F$4,$A$1:$T$1,0))),DATE(VALUE(LEFT(INDEX($A27:$T27,MATCH(Lists!$F$4,$A$1:$T$1,0)),4)),VALUE(MID(INDEX($A27:$T27,MATCH(Lists!$F$4,$A$1:$T$1,0)),6,2)),VALUE(MID(INDEX($A27:$T27,MATCH(Lists!$F$4,$A$1:$T$1,0)),9,2))))),"")),IFERROR(IF(TRIM(INDEX($A27:$T27,MATCH(Lists!$F$4,$A$1:$T$1,0))&amp;"")="","",IF(ISNUMBER(INDEX($A27:$T27,MATCH(Lists!$F$4,$A$1:$T$1,0))),INT(INDEX($A27:$T27,MATCH(Lists!$F$4,$A$1:$T$1,0))),DATE(VALUE(LEFT(INDEX($A27:$T27,MATCH(Lists!$F$4,$A$1:$T$1,0)),4)),VALUE(MID(INDEX($A27:$T27,MATCH(Lists!$F$4,$A$1:$T$1,0)),6,2)),VALUE(MID(INDEX($A27:$T27,MATCH(Lists!$F$4,$A$1:$T$1,0)),9,2))))),""),IFERROR(IF(TRIM(INDEX($A27:$T27,MATCH(Lists!$F$5,$A$1:$T$1,0))&amp;"")="","",IF(ISNUMBER(INDEX($A27:$T27,MATCH(Lists!$F$5,$A$1:$T$1,0))),INT(INDEX($A27:$T27,MATCH(Lists!$F$5,$A$1:$T$1,0))),DATE(VALUE(LEFT(INDEX($A27:$T27,MATCH(Lists!$F$5,$A$1:$T$1,0)),4)),VALUE(MID(INDEX($A27:$T27,MATCH(Lists!$F$5,$A$1:$T$1,0)),6,2)),VALUE(MID(INDEX($A27:$T27,MATCH(Lists!$F$5,$A$1:$T$1,0)),9,2))))),"")))</f>
        <v/>
      </c>
      <c r="AB27" s="21">
        <f>IF(Y27="","",IF(LEFT(IFERROR(TRIM(INDEX($A27:$T27,MATCH(Lists!$F$6,$A$1:$T$1,0))&amp;""),""),2)="No","General comment",IF(IFERROR(TRIM(INDEX($A27:$T27,MATCH(Lists!$F$7,$A$1:$T$1,0))&amp;""),"")&lt;&gt;"",IFERROR(TRIM(INDEX($A27:$T27,MATCH(Lists!$F$7,$A$1:$T$1,0))&amp;""),""),IF(IFERROR(TRIM(INDEX($A27:$T27,MATCH(Lists!$F$8,$A$1:$T$1,0))&amp;""),"")&lt;&gt;"",IFERROR(TRIM(INDEX($A27:$T27,MATCH(Lists!$F$8,$A$1:$T$1,0))&amp;""),""),"(no item given)"))))</f>
        <v/>
      </c>
      <c r="AC27" s="21">
        <f>IF(Y27="","",IF(ISNUMBER(SEARCH("support",IFERROR(TRIM(INDEX($A27:$T27,MATCH(Lists!$F$9,$A$1:$T$1,0))&amp;""),""))),"Support",IF(ISNUMBER(SEARCH("oppose",IFERROR(TRIM(INDEX($A27:$T27,MATCH(Lists!$F$9,$A$1:$T$1,0))&amp;""),""))),"Oppose",IF(IFERROR(TRIM(INDEX($A27:$T27,MATCH(Lists!$F$9,$A$1:$T$1,0))&amp;""),"")="","No position","Neither"))))</f>
        <v/>
      </c>
      <c r="AD27" s="21">
        <f>IF(Y27="","",IF(ISNUMBER(SEARCH("in person",IFERROR(TRIM(INDEX($A27:$T27,MATCH(Lists!$F$13,$A$1:$T$1,0))&amp;""),""))),"In person",IF(ISNUMBER(SEARCH("online",IFERROR(TRIM(INDEX($A27:$T27,MATCH(Lists!$F$13,$A$1:$T$1,0))&amp;""),""))),"Online","Written only")))</f>
        <v/>
      </c>
      <c r="AE27" s="21">
        <f>IF(Y27="","",IFERROR(TRIM(INDEX($A27:$T27,MATCH(Lists!$F$11,$A$1:$T$1,0))&amp;""),""))</f>
        <v/>
      </c>
      <c r="AF27" s="21">
        <f>IF(Y27="","",IFERROR(TRIM(INDEX($A27:$T27,MATCH(Lists!$F$12,$A$1:$T$1,0))&amp;""),""))</f>
        <v/>
      </c>
      <c r="AG27" s="21">
        <f>IF(Y27="","",IFERROR(TRIM(INDEX($A27:$T27,MATCH(Lists!$F$14,$A$1:$T$1,0))&amp;""),""))</f>
        <v/>
      </c>
      <c r="AH27" s="21">
        <f>IF(Y27="","",LEFT(IFERROR(TRIM(INDEX($A27:$T27,MATCH(Lists!$F$10,$A$1:$T$1,0))&amp;""),""),80))</f>
        <v/>
      </c>
      <c r="AI27" s="21">
        <f>IF(Y27="",0,IF(OR(Tally!$B$5="",AA27=Tally!$B$5),1,0))</f>
        <v/>
      </c>
      <c r="AJ27" s="21">
        <f>IF(AI27=1,IF(COUNTIFS($AB$2:AB27,AB27,$AI$2:AI27,1)=1,1,0),0)</f>
        <v/>
      </c>
      <c r="AK27" s="21">
        <f>IF(AJ27=1,SUM($AJ$2:AJ27),"")</f>
        <v/>
      </c>
      <c r="AL27" s="21">
        <f>IF(AND(AI27=1,OR(AD27="In person",AD27="Online"),OR(Speakers!$B$5="",AB27=Speakers!$B$5)),N(Z27)+ROW()/1000000000,"")</f>
        <v/>
      </c>
    </row>
    <row r="28">
      <c r="U28" s="19" t="n"/>
      <c r="V28" s="24" t="n"/>
      <c r="W28" s="24" t="n"/>
      <c r="X28" s="19" t="n"/>
      <c r="Y28" s="21">
        <f>IFERROR(TRIM(INDEX($A28:$T28,MATCH(Lists!$F$2,$A$1:$T$1,0))&amp;""),"")</f>
        <v/>
      </c>
      <c r="Z28" s="22">
        <f>IF(Y28="","",IFERROR(IF(ISNUMBER(INDEX($A28:$T28,MATCH(Lists!$F$3,$A$1:$T$1,0))),INDEX($A28:$T28,MATCH(Lists!$F$3,$A$1:$T$1,0)),DATE(VALUE(LEFT(IFERROR(TRIM(INDEX($A28:$T28,MATCH(Lists!$F$3,$A$1:$T$1,0))&amp;""),""),4)),VALUE(MID(IFERROR(TRIM(INDEX($A28:$T28,MATCH(Lists!$F$3,$A$1:$T$1,0))&amp;""),""),6,2)),VALUE(MID(IFERROR(TRIM(INDEX($A28:$T28,MATCH(Lists!$F$3,$A$1:$T$1,0))&amp;""),""),9,2)))+TIME(VALUE(MID(IFERROR(TRIM(INDEX($A28:$T28,MATCH(Lists!$F$3,$A$1:$T$1,0))&amp;""),""),12,2)),VALUE(MID(IFERROR(TRIM(INDEX($A28:$T28,MATCH(Lists!$F$3,$A$1:$T$1,0))&amp;""),""),15,2)),VALUE(MID(IFERROR(TRIM(INDEX($A28:$T28,MATCH(Lists!$F$3,$A$1:$T$1,0))&amp;""),""),18,2)))),""))</f>
        <v/>
      </c>
      <c r="AA28" s="23">
        <f>IF(Y28="","",IF(ISNUMBER(IFERROR(IF(TRIM(INDEX($A28:$T28,MATCH(Lists!$F$4,$A$1:$T$1,0))&amp;"")="","",IF(ISNUMBER(INDEX($A28:$T28,MATCH(Lists!$F$4,$A$1:$T$1,0))),INT(INDEX($A28:$T28,MATCH(Lists!$F$4,$A$1:$T$1,0))),DATE(VALUE(LEFT(INDEX($A28:$T28,MATCH(Lists!$F$4,$A$1:$T$1,0)),4)),VALUE(MID(INDEX($A28:$T28,MATCH(Lists!$F$4,$A$1:$T$1,0)),6,2)),VALUE(MID(INDEX($A28:$T28,MATCH(Lists!$F$4,$A$1:$T$1,0)),9,2))))),"")),IFERROR(IF(TRIM(INDEX($A28:$T28,MATCH(Lists!$F$4,$A$1:$T$1,0))&amp;"")="","",IF(ISNUMBER(INDEX($A28:$T28,MATCH(Lists!$F$4,$A$1:$T$1,0))),INT(INDEX($A28:$T28,MATCH(Lists!$F$4,$A$1:$T$1,0))),DATE(VALUE(LEFT(INDEX($A28:$T28,MATCH(Lists!$F$4,$A$1:$T$1,0)),4)),VALUE(MID(INDEX($A28:$T28,MATCH(Lists!$F$4,$A$1:$T$1,0)),6,2)),VALUE(MID(INDEX($A28:$T28,MATCH(Lists!$F$4,$A$1:$T$1,0)),9,2))))),""),IFERROR(IF(TRIM(INDEX($A28:$T28,MATCH(Lists!$F$5,$A$1:$T$1,0))&amp;"")="","",IF(ISNUMBER(INDEX($A28:$T28,MATCH(Lists!$F$5,$A$1:$T$1,0))),INT(INDEX($A28:$T28,MATCH(Lists!$F$5,$A$1:$T$1,0))),DATE(VALUE(LEFT(INDEX($A28:$T28,MATCH(Lists!$F$5,$A$1:$T$1,0)),4)),VALUE(MID(INDEX($A28:$T28,MATCH(Lists!$F$5,$A$1:$T$1,0)),6,2)),VALUE(MID(INDEX($A28:$T28,MATCH(Lists!$F$5,$A$1:$T$1,0)),9,2))))),"")))</f>
        <v/>
      </c>
      <c r="AB28" s="21">
        <f>IF(Y28="","",IF(LEFT(IFERROR(TRIM(INDEX($A28:$T28,MATCH(Lists!$F$6,$A$1:$T$1,0))&amp;""),""),2)="No","General comment",IF(IFERROR(TRIM(INDEX($A28:$T28,MATCH(Lists!$F$7,$A$1:$T$1,0))&amp;""),"")&lt;&gt;"",IFERROR(TRIM(INDEX($A28:$T28,MATCH(Lists!$F$7,$A$1:$T$1,0))&amp;""),""),IF(IFERROR(TRIM(INDEX($A28:$T28,MATCH(Lists!$F$8,$A$1:$T$1,0))&amp;""),"")&lt;&gt;"",IFERROR(TRIM(INDEX($A28:$T28,MATCH(Lists!$F$8,$A$1:$T$1,0))&amp;""),""),"(no item given)"))))</f>
        <v/>
      </c>
      <c r="AC28" s="21">
        <f>IF(Y28="","",IF(ISNUMBER(SEARCH("support",IFERROR(TRIM(INDEX($A28:$T28,MATCH(Lists!$F$9,$A$1:$T$1,0))&amp;""),""))),"Support",IF(ISNUMBER(SEARCH("oppose",IFERROR(TRIM(INDEX($A28:$T28,MATCH(Lists!$F$9,$A$1:$T$1,0))&amp;""),""))),"Oppose",IF(IFERROR(TRIM(INDEX($A28:$T28,MATCH(Lists!$F$9,$A$1:$T$1,0))&amp;""),"")="","No position","Neither"))))</f>
        <v/>
      </c>
      <c r="AD28" s="21">
        <f>IF(Y28="","",IF(ISNUMBER(SEARCH("in person",IFERROR(TRIM(INDEX($A28:$T28,MATCH(Lists!$F$13,$A$1:$T$1,0))&amp;""),""))),"In person",IF(ISNUMBER(SEARCH("online",IFERROR(TRIM(INDEX($A28:$T28,MATCH(Lists!$F$13,$A$1:$T$1,0))&amp;""),""))),"Online","Written only")))</f>
        <v/>
      </c>
      <c r="AE28" s="21">
        <f>IF(Y28="","",IFERROR(TRIM(INDEX($A28:$T28,MATCH(Lists!$F$11,$A$1:$T$1,0))&amp;""),""))</f>
        <v/>
      </c>
      <c r="AF28" s="21">
        <f>IF(Y28="","",IFERROR(TRIM(INDEX($A28:$T28,MATCH(Lists!$F$12,$A$1:$T$1,0))&amp;""),""))</f>
        <v/>
      </c>
      <c r="AG28" s="21">
        <f>IF(Y28="","",IFERROR(TRIM(INDEX($A28:$T28,MATCH(Lists!$F$14,$A$1:$T$1,0))&amp;""),""))</f>
        <v/>
      </c>
      <c r="AH28" s="21">
        <f>IF(Y28="","",LEFT(IFERROR(TRIM(INDEX($A28:$T28,MATCH(Lists!$F$10,$A$1:$T$1,0))&amp;""),""),80))</f>
        <v/>
      </c>
      <c r="AI28" s="21">
        <f>IF(Y28="",0,IF(OR(Tally!$B$5="",AA28=Tally!$B$5),1,0))</f>
        <v/>
      </c>
      <c r="AJ28" s="21">
        <f>IF(AI28=1,IF(COUNTIFS($AB$2:AB28,AB28,$AI$2:AI28,1)=1,1,0),0)</f>
        <v/>
      </c>
      <c r="AK28" s="21">
        <f>IF(AJ28=1,SUM($AJ$2:AJ28),"")</f>
        <v/>
      </c>
      <c r="AL28" s="21">
        <f>IF(AND(AI28=1,OR(AD28="In person",AD28="Online"),OR(Speakers!$B$5="",AB28=Speakers!$B$5)),N(Z28)+ROW()/1000000000,"")</f>
        <v/>
      </c>
    </row>
    <row r="29">
      <c r="U29" s="19" t="n"/>
      <c r="V29" s="24" t="n"/>
      <c r="W29" s="24" t="n"/>
      <c r="X29" s="19" t="n"/>
      <c r="Y29" s="21">
        <f>IFERROR(TRIM(INDEX($A29:$T29,MATCH(Lists!$F$2,$A$1:$T$1,0))&amp;""),"")</f>
        <v/>
      </c>
      <c r="Z29" s="22">
        <f>IF(Y29="","",IFERROR(IF(ISNUMBER(INDEX($A29:$T29,MATCH(Lists!$F$3,$A$1:$T$1,0))),INDEX($A29:$T29,MATCH(Lists!$F$3,$A$1:$T$1,0)),DATE(VALUE(LEFT(IFERROR(TRIM(INDEX($A29:$T29,MATCH(Lists!$F$3,$A$1:$T$1,0))&amp;""),""),4)),VALUE(MID(IFERROR(TRIM(INDEX($A29:$T29,MATCH(Lists!$F$3,$A$1:$T$1,0))&amp;""),""),6,2)),VALUE(MID(IFERROR(TRIM(INDEX($A29:$T29,MATCH(Lists!$F$3,$A$1:$T$1,0))&amp;""),""),9,2)))+TIME(VALUE(MID(IFERROR(TRIM(INDEX($A29:$T29,MATCH(Lists!$F$3,$A$1:$T$1,0))&amp;""),""),12,2)),VALUE(MID(IFERROR(TRIM(INDEX($A29:$T29,MATCH(Lists!$F$3,$A$1:$T$1,0))&amp;""),""),15,2)),VALUE(MID(IFERROR(TRIM(INDEX($A29:$T29,MATCH(Lists!$F$3,$A$1:$T$1,0))&amp;""),""),18,2)))),""))</f>
        <v/>
      </c>
      <c r="AA29" s="23">
        <f>IF(Y29="","",IF(ISNUMBER(IFERROR(IF(TRIM(INDEX($A29:$T29,MATCH(Lists!$F$4,$A$1:$T$1,0))&amp;"")="","",IF(ISNUMBER(INDEX($A29:$T29,MATCH(Lists!$F$4,$A$1:$T$1,0))),INT(INDEX($A29:$T29,MATCH(Lists!$F$4,$A$1:$T$1,0))),DATE(VALUE(LEFT(INDEX($A29:$T29,MATCH(Lists!$F$4,$A$1:$T$1,0)),4)),VALUE(MID(INDEX($A29:$T29,MATCH(Lists!$F$4,$A$1:$T$1,0)),6,2)),VALUE(MID(INDEX($A29:$T29,MATCH(Lists!$F$4,$A$1:$T$1,0)),9,2))))),"")),IFERROR(IF(TRIM(INDEX($A29:$T29,MATCH(Lists!$F$4,$A$1:$T$1,0))&amp;"")="","",IF(ISNUMBER(INDEX($A29:$T29,MATCH(Lists!$F$4,$A$1:$T$1,0))),INT(INDEX($A29:$T29,MATCH(Lists!$F$4,$A$1:$T$1,0))),DATE(VALUE(LEFT(INDEX($A29:$T29,MATCH(Lists!$F$4,$A$1:$T$1,0)),4)),VALUE(MID(INDEX($A29:$T29,MATCH(Lists!$F$4,$A$1:$T$1,0)),6,2)),VALUE(MID(INDEX($A29:$T29,MATCH(Lists!$F$4,$A$1:$T$1,0)),9,2))))),""),IFERROR(IF(TRIM(INDEX($A29:$T29,MATCH(Lists!$F$5,$A$1:$T$1,0))&amp;"")="","",IF(ISNUMBER(INDEX($A29:$T29,MATCH(Lists!$F$5,$A$1:$T$1,0))),INT(INDEX($A29:$T29,MATCH(Lists!$F$5,$A$1:$T$1,0))),DATE(VALUE(LEFT(INDEX($A29:$T29,MATCH(Lists!$F$5,$A$1:$T$1,0)),4)),VALUE(MID(INDEX($A29:$T29,MATCH(Lists!$F$5,$A$1:$T$1,0)),6,2)),VALUE(MID(INDEX($A29:$T29,MATCH(Lists!$F$5,$A$1:$T$1,0)),9,2))))),"")))</f>
        <v/>
      </c>
      <c r="AB29" s="21">
        <f>IF(Y29="","",IF(LEFT(IFERROR(TRIM(INDEX($A29:$T29,MATCH(Lists!$F$6,$A$1:$T$1,0))&amp;""),""),2)="No","General comment",IF(IFERROR(TRIM(INDEX($A29:$T29,MATCH(Lists!$F$7,$A$1:$T$1,0))&amp;""),"")&lt;&gt;"",IFERROR(TRIM(INDEX($A29:$T29,MATCH(Lists!$F$7,$A$1:$T$1,0))&amp;""),""),IF(IFERROR(TRIM(INDEX($A29:$T29,MATCH(Lists!$F$8,$A$1:$T$1,0))&amp;""),"")&lt;&gt;"",IFERROR(TRIM(INDEX($A29:$T29,MATCH(Lists!$F$8,$A$1:$T$1,0))&amp;""),""),"(no item given)"))))</f>
        <v/>
      </c>
      <c r="AC29" s="21">
        <f>IF(Y29="","",IF(ISNUMBER(SEARCH("support",IFERROR(TRIM(INDEX($A29:$T29,MATCH(Lists!$F$9,$A$1:$T$1,0))&amp;""),""))),"Support",IF(ISNUMBER(SEARCH("oppose",IFERROR(TRIM(INDEX($A29:$T29,MATCH(Lists!$F$9,$A$1:$T$1,0))&amp;""),""))),"Oppose",IF(IFERROR(TRIM(INDEX($A29:$T29,MATCH(Lists!$F$9,$A$1:$T$1,0))&amp;""),"")="","No position","Neither"))))</f>
        <v/>
      </c>
      <c r="AD29" s="21">
        <f>IF(Y29="","",IF(ISNUMBER(SEARCH("in person",IFERROR(TRIM(INDEX($A29:$T29,MATCH(Lists!$F$13,$A$1:$T$1,0))&amp;""),""))),"In person",IF(ISNUMBER(SEARCH("online",IFERROR(TRIM(INDEX($A29:$T29,MATCH(Lists!$F$13,$A$1:$T$1,0))&amp;""),""))),"Online","Written only")))</f>
        <v/>
      </c>
      <c r="AE29" s="21">
        <f>IF(Y29="","",IFERROR(TRIM(INDEX($A29:$T29,MATCH(Lists!$F$11,$A$1:$T$1,0))&amp;""),""))</f>
        <v/>
      </c>
      <c r="AF29" s="21">
        <f>IF(Y29="","",IFERROR(TRIM(INDEX($A29:$T29,MATCH(Lists!$F$12,$A$1:$T$1,0))&amp;""),""))</f>
        <v/>
      </c>
      <c r="AG29" s="21">
        <f>IF(Y29="","",IFERROR(TRIM(INDEX($A29:$T29,MATCH(Lists!$F$14,$A$1:$T$1,0))&amp;""),""))</f>
        <v/>
      </c>
      <c r="AH29" s="21">
        <f>IF(Y29="","",LEFT(IFERROR(TRIM(INDEX($A29:$T29,MATCH(Lists!$F$10,$A$1:$T$1,0))&amp;""),""),80))</f>
        <v/>
      </c>
      <c r="AI29" s="21">
        <f>IF(Y29="",0,IF(OR(Tally!$B$5="",AA29=Tally!$B$5),1,0))</f>
        <v/>
      </c>
      <c r="AJ29" s="21">
        <f>IF(AI29=1,IF(COUNTIFS($AB$2:AB29,AB29,$AI$2:AI29,1)=1,1,0),0)</f>
        <v/>
      </c>
      <c r="AK29" s="21">
        <f>IF(AJ29=1,SUM($AJ$2:AJ29),"")</f>
        <v/>
      </c>
      <c r="AL29" s="21">
        <f>IF(AND(AI29=1,OR(AD29="In person",AD29="Online"),OR(Speakers!$B$5="",AB29=Speakers!$B$5)),N(Z29)+ROW()/1000000000,"")</f>
        <v/>
      </c>
    </row>
    <row r="30">
      <c r="U30" s="19" t="n"/>
      <c r="V30" s="24" t="n"/>
      <c r="W30" s="24" t="n"/>
      <c r="X30" s="19" t="n"/>
      <c r="Y30" s="21">
        <f>IFERROR(TRIM(INDEX($A30:$T30,MATCH(Lists!$F$2,$A$1:$T$1,0))&amp;""),"")</f>
        <v/>
      </c>
      <c r="Z30" s="22">
        <f>IF(Y30="","",IFERROR(IF(ISNUMBER(INDEX($A30:$T30,MATCH(Lists!$F$3,$A$1:$T$1,0))),INDEX($A30:$T30,MATCH(Lists!$F$3,$A$1:$T$1,0)),DATE(VALUE(LEFT(IFERROR(TRIM(INDEX($A30:$T30,MATCH(Lists!$F$3,$A$1:$T$1,0))&amp;""),""),4)),VALUE(MID(IFERROR(TRIM(INDEX($A30:$T30,MATCH(Lists!$F$3,$A$1:$T$1,0))&amp;""),""),6,2)),VALUE(MID(IFERROR(TRIM(INDEX($A30:$T30,MATCH(Lists!$F$3,$A$1:$T$1,0))&amp;""),""),9,2)))+TIME(VALUE(MID(IFERROR(TRIM(INDEX($A30:$T30,MATCH(Lists!$F$3,$A$1:$T$1,0))&amp;""),""),12,2)),VALUE(MID(IFERROR(TRIM(INDEX($A30:$T30,MATCH(Lists!$F$3,$A$1:$T$1,0))&amp;""),""),15,2)),VALUE(MID(IFERROR(TRIM(INDEX($A30:$T30,MATCH(Lists!$F$3,$A$1:$T$1,0))&amp;""),""),18,2)))),""))</f>
        <v/>
      </c>
      <c r="AA30" s="23">
        <f>IF(Y30="","",IF(ISNUMBER(IFERROR(IF(TRIM(INDEX($A30:$T30,MATCH(Lists!$F$4,$A$1:$T$1,0))&amp;"")="","",IF(ISNUMBER(INDEX($A30:$T30,MATCH(Lists!$F$4,$A$1:$T$1,0))),INT(INDEX($A30:$T30,MATCH(Lists!$F$4,$A$1:$T$1,0))),DATE(VALUE(LEFT(INDEX($A30:$T30,MATCH(Lists!$F$4,$A$1:$T$1,0)),4)),VALUE(MID(INDEX($A30:$T30,MATCH(Lists!$F$4,$A$1:$T$1,0)),6,2)),VALUE(MID(INDEX($A30:$T30,MATCH(Lists!$F$4,$A$1:$T$1,0)),9,2))))),"")),IFERROR(IF(TRIM(INDEX($A30:$T30,MATCH(Lists!$F$4,$A$1:$T$1,0))&amp;"")="","",IF(ISNUMBER(INDEX($A30:$T30,MATCH(Lists!$F$4,$A$1:$T$1,0))),INT(INDEX($A30:$T30,MATCH(Lists!$F$4,$A$1:$T$1,0))),DATE(VALUE(LEFT(INDEX($A30:$T30,MATCH(Lists!$F$4,$A$1:$T$1,0)),4)),VALUE(MID(INDEX($A30:$T30,MATCH(Lists!$F$4,$A$1:$T$1,0)),6,2)),VALUE(MID(INDEX($A30:$T30,MATCH(Lists!$F$4,$A$1:$T$1,0)),9,2))))),""),IFERROR(IF(TRIM(INDEX($A30:$T30,MATCH(Lists!$F$5,$A$1:$T$1,0))&amp;"")="","",IF(ISNUMBER(INDEX($A30:$T30,MATCH(Lists!$F$5,$A$1:$T$1,0))),INT(INDEX($A30:$T30,MATCH(Lists!$F$5,$A$1:$T$1,0))),DATE(VALUE(LEFT(INDEX($A30:$T30,MATCH(Lists!$F$5,$A$1:$T$1,0)),4)),VALUE(MID(INDEX($A30:$T30,MATCH(Lists!$F$5,$A$1:$T$1,0)),6,2)),VALUE(MID(INDEX($A30:$T30,MATCH(Lists!$F$5,$A$1:$T$1,0)),9,2))))),"")))</f>
        <v/>
      </c>
      <c r="AB30" s="21">
        <f>IF(Y30="","",IF(LEFT(IFERROR(TRIM(INDEX($A30:$T30,MATCH(Lists!$F$6,$A$1:$T$1,0))&amp;""),""),2)="No","General comment",IF(IFERROR(TRIM(INDEX($A30:$T30,MATCH(Lists!$F$7,$A$1:$T$1,0))&amp;""),"")&lt;&gt;"",IFERROR(TRIM(INDEX($A30:$T30,MATCH(Lists!$F$7,$A$1:$T$1,0))&amp;""),""),IF(IFERROR(TRIM(INDEX($A30:$T30,MATCH(Lists!$F$8,$A$1:$T$1,0))&amp;""),"")&lt;&gt;"",IFERROR(TRIM(INDEX($A30:$T30,MATCH(Lists!$F$8,$A$1:$T$1,0))&amp;""),""),"(no item given)"))))</f>
        <v/>
      </c>
      <c r="AC30" s="21">
        <f>IF(Y30="","",IF(ISNUMBER(SEARCH("support",IFERROR(TRIM(INDEX($A30:$T30,MATCH(Lists!$F$9,$A$1:$T$1,0))&amp;""),""))),"Support",IF(ISNUMBER(SEARCH("oppose",IFERROR(TRIM(INDEX($A30:$T30,MATCH(Lists!$F$9,$A$1:$T$1,0))&amp;""),""))),"Oppose",IF(IFERROR(TRIM(INDEX($A30:$T30,MATCH(Lists!$F$9,$A$1:$T$1,0))&amp;""),"")="","No position","Neither"))))</f>
        <v/>
      </c>
      <c r="AD30" s="21">
        <f>IF(Y30="","",IF(ISNUMBER(SEARCH("in person",IFERROR(TRIM(INDEX($A30:$T30,MATCH(Lists!$F$13,$A$1:$T$1,0))&amp;""),""))),"In person",IF(ISNUMBER(SEARCH("online",IFERROR(TRIM(INDEX($A30:$T30,MATCH(Lists!$F$13,$A$1:$T$1,0))&amp;""),""))),"Online","Written only")))</f>
        <v/>
      </c>
      <c r="AE30" s="21">
        <f>IF(Y30="","",IFERROR(TRIM(INDEX($A30:$T30,MATCH(Lists!$F$11,$A$1:$T$1,0))&amp;""),""))</f>
        <v/>
      </c>
      <c r="AF30" s="21">
        <f>IF(Y30="","",IFERROR(TRIM(INDEX($A30:$T30,MATCH(Lists!$F$12,$A$1:$T$1,0))&amp;""),""))</f>
        <v/>
      </c>
      <c r="AG30" s="21">
        <f>IF(Y30="","",IFERROR(TRIM(INDEX($A30:$T30,MATCH(Lists!$F$14,$A$1:$T$1,0))&amp;""),""))</f>
        <v/>
      </c>
      <c r="AH30" s="21">
        <f>IF(Y30="","",LEFT(IFERROR(TRIM(INDEX($A30:$T30,MATCH(Lists!$F$10,$A$1:$T$1,0))&amp;""),""),80))</f>
        <v/>
      </c>
      <c r="AI30" s="21">
        <f>IF(Y30="",0,IF(OR(Tally!$B$5="",AA30=Tally!$B$5),1,0))</f>
        <v/>
      </c>
      <c r="AJ30" s="21">
        <f>IF(AI30=1,IF(COUNTIFS($AB$2:AB30,AB30,$AI$2:AI30,1)=1,1,0),0)</f>
        <v/>
      </c>
      <c r="AK30" s="21">
        <f>IF(AJ30=1,SUM($AJ$2:AJ30),"")</f>
        <v/>
      </c>
      <c r="AL30" s="21">
        <f>IF(AND(AI30=1,OR(AD30="In person",AD30="Online"),OR(Speakers!$B$5="",AB30=Speakers!$B$5)),N(Z30)+ROW()/1000000000,"")</f>
        <v/>
      </c>
    </row>
    <row r="31">
      <c r="U31" s="19" t="n"/>
      <c r="V31" s="24" t="n"/>
      <c r="W31" s="24" t="n"/>
      <c r="X31" s="19" t="n"/>
      <c r="Y31" s="21">
        <f>IFERROR(TRIM(INDEX($A31:$T31,MATCH(Lists!$F$2,$A$1:$T$1,0))&amp;""),"")</f>
        <v/>
      </c>
      <c r="Z31" s="22">
        <f>IF(Y31="","",IFERROR(IF(ISNUMBER(INDEX($A31:$T31,MATCH(Lists!$F$3,$A$1:$T$1,0))),INDEX($A31:$T31,MATCH(Lists!$F$3,$A$1:$T$1,0)),DATE(VALUE(LEFT(IFERROR(TRIM(INDEX($A31:$T31,MATCH(Lists!$F$3,$A$1:$T$1,0))&amp;""),""),4)),VALUE(MID(IFERROR(TRIM(INDEX($A31:$T31,MATCH(Lists!$F$3,$A$1:$T$1,0))&amp;""),""),6,2)),VALUE(MID(IFERROR(TRIM(INDEX($A31:$T31,MATCH(Lists!$F$3,$A$1:$T$1,0))&amp;""),""),9,2)))+TIME(VALUE(MID(IFERROR(TRIM(INDEX($A31:$T31,MATCH(Lists!$F$3,$A$1:$T$1,0))&amp;""),""),12,2)),VALUE(MID(IFERROR(TRIM(INDEX($A31:$T31,MATCH(Lists!$F$3,$A$1:$T$1,0))&amp;""),""),15,2)),VALUE(MID(IFERROR(TRIM(INDEX($A31:$T31,MATCH(Lists!$F$3,$A$1:$T$1,0))&amp;""),""),18,2)))),""))</f>
        <v/>
      </c>
      <c r="AA31" s="23">
        <f>IF(Y31="","",IF(ISNUMBER(IFERROR(IF(TRIM(INDEX($A31:$T31,MATCH(Lists!$F$4,$A$1:$T$1,0))&amp;"")="","",IF(ISNUMBER(INDEX($A31:$T31,MATCH(Lists!$F$4,$A$1:$T$1,0))),INT(INDEX($A31:$T31,MATCH(Lists!$F$4,$A$1:$T$1,0))),DATE(VALUE(LEFT(INDEX($A31:$T31,MATCH(Lists!$F$4,$A$1:$T$1,0)),4)),VALUE(MID(INDEX($A31:$T31,MATCH(Lists!$F$4,$A$1:$T$1,0)),6,2)),VALUE(MID(INDEX($A31:$T31,MATCH(Lists!$F$4,$A$1:$T$1,0)),9,2))))),"")),IFERROR(IF(TRIM(INDEX($A31:$T31,MATCH(Lists!$F$4,$A$1:$T$1,0))&amp;"")="","",IF(ISNUMBER(INDEX($A31:$T31,MATCH(Lists!$F$4,$A$1:$T$1,0))),INT(INDEX($A31:$T31,MATCH(Lists!$F$4,$A$1:$T$1,0))),DATE(VALUE(LEFT(INDEX($A31:$T31,MATCH(Lists!$F$4,$A$1:$T$1,0)),4)),VALUE(MID(INDEX($A31:$T31,MATCH(Lists!$F$4,$A$1:$T$1,0)),6,2)),VALUE(MID(INDEX($A31:$T31,MATCH(Lists!$F$4,$A$1:$T$1,0)),9,2))))),""),IFERROR(IF(TRIM(INDEX($A31:$T31,MATCH(Lists!$F$5,$A$1:$T$1,0))&amp;"")="","",IF(ISNUMBER(INDEX($A31:$T31,MATCH(Lists!$F$5,$A$1:$T$1,0))),INT(INDEX($A31:$T31,MATCH(Lists!$F$5,$A$1:$T$1,0))),DATE(VALUE(LEFT(INDEX($A31:$T31,MATCH(Lists!$F$5,$A$1:$T$1,0)),4)),VALUE(MID(INDEX($A31:$T31,MATCH(Lists!$F$5,$A$1:$T$1,0)),6,2)),VALUE(MID(INDEX($A31:$T31,MATCH(Lists!$F$5,$A$1:$T$1,0)),9,2))))),"")))</f>
        <v/>
      </c>
      <c r="AB31" s="21">
        <f>IF(Y31="","",IF(LEFT(IFERROR(TRIM(INDEX($A31:$T31,MATCH(Lists!$F$6,$A$1:$T$1,0))&amp;""),""),2)="No","General comment",IF(IFERROR(TRIM(INDEX($A31:$T31,MATCH(Lists!$F$7,$A$1:$T$1,0))&amp;""),"")&lt;&gt;"",IFERROR(TRIM(INDEX($A31:$T31,MATCH(Lists!$F$7,$A$1:$T$1,0))&amp;""),""),IF(IFERROR(TRIM(INDEX($A31:$T31,MATCH(Lists!$F$8,$A$1:$T$1,0))&amp;""),"")&lt;&gt;"",IFERROR(TRIM(INDEX($A31:$T31,MATCH(Lists!$F$8,$A$1:$T$1,0))&amp;""),""),"(no item given)"))))</f>
        <v/>
      </c>
      <c r="AC31" s="21">
        <f>IF(Y31="","",IF(ISNUMBER(SEARCH("support",IFERROR(TRIM(INDEX($A31:$T31,MATCH(Lists!$F$9,$A$1:$T$1,0))&amp;""),""))),"Support",IF(ISNUMBER(SEARCH("oppose",IFERROR(TRIM(INDEX($A31:$T31,MATCH(Lists!$F$9,$A$1:$T$1,0))&amp;""),""))),"Oppose",IF(IFERROR(TRIM(INDEX($A31:$T31,MATCH(Lists!$F$9,$A$1:$T$1,0))&amp;""),"")="","No position","Neither"))))</f>
        <v/>
      </c>
      <c r="AD31" s="21">
        <f>IF(Y31="","",IF(ISNUMBER(SEARCH("in person",IFERROR(TRIM(INDEX($A31:$T31,MATCH(Lists!$F$13,$A$1:$T$1,0))&amp;""),""))),"In person",IF(ISNUMBER(SEARCH("online",IFERROR(TRIM(INDEX($A31:$T31,MATCH(Lists!$F$13,$A$1:$T$1,0))&amp;""),""))),"Online","Written only")))</f>
        <v/>
      </c>
      <c r="AE31" s="21">
        <f>IF(Y31="","",IFERROR(TRIM(INDEX($A31:$T31,MATCH(Lists!$F$11,$A$1:$T$1,0))&amp;""),""))</f>
        <v/>
      </c>
      <c r="AF31" s="21">
        <f>IF(Y31="","",IFERROR(TRIM(INDEX($A31:$T31,MATCH(Lists!$F$12,$A$1:$T$1,0))&amp;""),""))</f>
        <v/>
      </c>
      <c r="AG31" s="21">
        <f>IF(Y31="","",IFERROR(TRIM(INDEX($A31:$T31,MATCH(Lists!$F$14,$A$1:$T$1,0))&amp;""),""))</f>
        <v/>
      </c>
      <c r="AH31" s="21">
        <f>IF(Y31="","",LEFT(IFERROR(TRIM(INDEX($A31:$T31,MATCH(Lists!$F$10,$A$1:$T$1,0))&amp;""),""),80))</f>
        <v/>
      </c>
      <c r="AI31" s="21">
        <f>IF(Y31="",0,IF(OR(Tally!$B$5="",AA31=Tally!$B$5),1,0))</f>
        <v/>
      </c>
      <c r="AJ31" s="21">
        <f>IF(AI31=1,IF(COUNTIFS($AB$2:AB31,AB31,$AI$2:AI31,1)=1,1,0),0)</f>
        <v/>
      </c>
      <c r="AK31" s="21">
        <f>IF(AJ31=1,SUM($AJ$2:AJ31),"")</f>
        <v/>
      </c>
      <c r="AL31" s="21">
        <f>IF(AND(AI31=1,OR(AD31="In person",AD31="Online"),OR(Speakers!$B$5="",AB31=Speakers!$B$5)),N(Z31)+ROW()/1000000000,"")</f>
        <v/>
      </c>
    </row>
    <row r="32">
      <c r="U32" s="19" t="n"/>
      <c r="V32" s="24" t="n"/>
      <c r="W32" s="24" t="n"/>
      <c r="X32" s="19" t="n"/>
      <c r="Y32" s="21">
        <f>IFERROR(TRIM(INDEX($A32:$T32,MATCH(Lists!$F$2,$A$1:$T$1,0))&amp;""),"")</f>
        <v/>
      </c>
      <c r="Z32" s="22">
        <f>IF(Y32="","",IFERROR(IF(ISNUMBER(INDEX($A32:$T32,MATCH(Lists!$F$3,$A$1:$T$1,0))),INDEX($A32:$T32,MATCH(Lists!$F$3,$A$1:$T$1,0)),DATE(VALUE(LEFT(IFERROR(TRIM(INDEX($A32:$T32,MATCH(Lists!$F$3,$A$1:$T$1,0))&amp;""),""),4)),VALUE(MID(IFERROR(TRIM(INDEX($A32:$T32,MATCH(Lists!$F$3,$A$1:$T$1,0))&amp;""),""),6,2)),VALUE(MID(IFERROR(TRIM(INDEX($A32:$T32,MATCH(Lists!$F$3,$A$1:$T$1,0))&amp;""),""),9,2)))+TIME(VALUE(MID(IFERROR(TRIM(INDEX($A32:$T32,MATCH(Lists!$F$3,$A$1:$T$1,0))&amp;""),""),12,2)),VALUE(MID(IFERROR(TRIM(INDEX($A32:$T32,MATCH(Lists!$F$3,$A$1:$T$1,0))&amp;""),""),15,2)),VALUE(MID(IFERROR(TRIM(INDEX($A32:$T32,MATCH(Lists!$F$3,$A$1:$T$1,0))&amp;""),""),18,2)))),""))</f>
        <v/>
      </c>
      <c r="AA32" s="23">
        <f>IF(Y32="","",IF(ISNUMBER(IFERROR(IF(TRIM(INDEX($A32:$T32,MATCH(Lists!$F$4,$A$1:$T$1,0))&amp;"")="","",IF(ISNUMBER(INDEX($A32:$T32,MATCH(Lists!$F$4,$A$1:$T$1,0))),INT(INDEX($A32:$T32,MATCH(Lists!$F$4,$A$1:$T$1,0))),DATE(VALUE(LEFT(INDEX($A32:$T32,MATCH(Lists!$F$4,$A$1:$T$1,0)),4)),VALUE(MID(INDEX($A32:$T32,MATCH(Lists!$F$4,$A$1:$T$1,0)),6,2)),VALUE(MID(INDEX($A32:$T32,MATCH(Lists!$F$4,$A$1:$T$1,0)),9,2))))),"")),IFERROR(IF(TRIM(INDEX($A32:$T32,MATCH(Lists!$F$4,$A$1:$T$1,0))&amp;"")="","",IF(ISNUMBER(INDEX($A32:$T32,MATCH(Lists!$F$4,$A$1:$T$1,0))),INT(INDEX($A32:$T32,MATCH(Lists!$F$4,$A$1:$T$1,0))),DATE(VALUE(LEFT(INDEX($A32:$T32,MATCH(Lists!$F$4,$A$1:$T$1,0)),4)),VALUE(MID(INDEX($A32:$T32,MATCH(Lists!$F$4,$A$1:$T$1,0)),6,2)),VALUE(MID(INDEX($A32:$T32,MATCH(Lists!$F$4,$A$1:$T$1,0)),9,2))))),""),IFERROR(IF(TRIM(INDEX($A32:$T32,MATCH(Lists!$F$5,$A$1:$T$1,0))&amp;"")="","",IF(ISNUMBER(INDEX($A32:$T32,MATCH(Lists!$F$5,$A$1:$T$1,0))),INT(INDEX($A32:$T32,MATCH(Lists!$F$5,$A$1:$T$1,0))),DATE(VALUE(LEFT(INDEX($A32:$T32,MATCH(Lists!$F$5,$A$1:$T$1,0)),4)),VALUE(MID(INDEX($A32:$T32,MATCH(Lists!$F$5,$A$1:$T$1,0)),6,2)),VALUE(MID(INDEX($A32:$T32,MATCH(Lists!$F$5,$A$1:$T$1,0)),9,2))))),"")))</f>
        <v/>
      </c>
      <c r="AB32" s="21">
        <f>IF(Y32="","",IF(LEFT(IFERROR(TRIM(INDEX($A32:$T32,MATCH(Lists!$F$6,$A$1:$T$1,0))&amp;""),""),2)="No","General comment",IF(IFERROR(TRIM(INDEX($A32:$T32,MATCH(Lists!$F$7,$A$1:$T$1,0))&amp;""),"")&lt;&gt;"",IFERROR(TRIM(INDEX($A32:$T32,MATCH(Lists!$F$7,$A$1:$T$1,0))&amp;""),""),IF(IFERROR(TRIM(INDEX($A32:$T32,MATCH(Lists!$F$8,$A$1:$T$1,0))&amp;""),"")&lt;&gt;"",IFERROR(TRIM(INDEX($A32:$T32,MATCH(Lists!$F$8,$A$1:$T$1,0))&amp;""),""),"(no item given)"))))</f>
        <v/>
      </c>
      <c r="AC32" s="21">
        <f>IF(Y32="","",IF(ISNUMBER(SEARCH("support",IFERROR(TRIM(INDEX($A32:$T32,MATCH(Lists!$F$9,$A$1:$T$1,0))&amp;""),""))),"Support",IF(ISNUMBER(SEARCH("oppose",IFERROR(TRIM(INDEX($A32:$T32,MATCH(Lists!$F$9,$A$1:$T$1,0))&amp;""),""))),"Oppose",IF(IFERROR(TRIM(INDEX($A32:$T32,MATCH(Lists!$F$9,$A$1:$T$1,0))&amp;""),"")="","No position","Neither"))))</f>
        <v/>
      </c>
      <c r="AD32" s="21">
        <f>IF(Y32="","",IF(ISNUMBER(SEARCH("in person",IFERROR(TRIM(INDEX($A32:$T32,MATCH(Lists!$F$13,$A$1:$T$1,0))&amp;""),""))),"In person",IF(ISNUMBER(SEARCH("online",IFERROR(TRIM(INDEX($A32:$T32,MATCH(Lists!$F$13,$A$1:$T$1,0))&amp;""),""))),"Online","Written only")))</f>
        <v/>
      </c>
      <c r="AE32" s="21">
        <f>IF(Y32="","",IFERROR(TRIM(INDEX($A32:$T32,MATCH(Lists!$F$11,$A$1:$T$1,0))&amp;""),""))</f>
        <v/>
      </c>
      <c r="AF32" s="21">
        <f>IF(Y32="","",IFERROR(TRIM(INDEX($A32:$T32,MATCH(Lists!$F$12,$A$1:$T$1,0))&amp;""),""))</f>
        <v/>
      </c>
      <c r="AG32" s="21">
        <f>IF(Y32="","",IFERROR(TRIM(INDEX($A32:$T32,MATCH(Lists!$F$14,$A$1:$T$1,0))&amp;""),""))</f>
        <v/>
      </c>
      <c r="AH32" s="21">
        <f>IF(Y32="","",LEFT(IFERROR(TRIM(INDEX($A32:$T32,MATCH(Lists!$F$10,$A$1:$T$1,0))&amp;""),""),80))</f>
        <v/>
      </c>
      <c r="AI32" s="21">
        <f>IF(Y32="",0,IF(OR(Tally!$B$5="",AA32=Tally!$B$5),1,0))</f>
        <v/>
      </c>
      <c r="AJ32" s="21">
        <f>IF(AI32=1,IF(COUNTIFS($AB$2:AB32,AB32,$AI$2:AI32,1)=1,1,0),0)</f>
        <v/>
      </c>
      <c r="AK32" s="21">
        <f>IF(AJ32=1,SUM($AJ$2:AJ32),"")</f>
        <v/>
      </c>
      <c r="AL32" s="21">
        <f>IF(AND(AI32=1,OR(AD32="In person",AD32="Online"),OR(Speakers!$B$5="",AB32=Speakers!$B$5)),N(Z32)+ROW()/1000000000,"")</f>
        <v/>
      </c>
    </row>
    <row r="33">
      <c r="U33" s="19" t="n"/>
      <c r="V33" s="24" t="n"/>
      <c r="W33" s="24" t="n"/>
      <c r="X33" s="19" t="n"/>
      <c r="Y33" s="21">
        <f>IFERROR(TRIM(INDEX($A33:$T33,MATCH(Lists!$F$2,$A$1:$T$1,0))&amp;""),"")</f>
        <v/>
      </c>
      <c r="Z33" s="22">
        <f>IF(Y33="","",IFERROR(IF(ISNUMBER(INDEX($A33:$T33,MATCH(Lists!$F$3,$A$1:$T$1,0))),INDEX($A33:$T33,MATCH(Lists!$F$3,$A$1:$T$1,0)),DATE(VALUE(LEFT(IFERROR(TRIM(INDEX($A33:$T33,MATCH(Lists!$F$3,$A$1:$T$1,0))&amp;""),""),4)),VALUE(MID(IFERROR(TRIM(INDEX($A33:$T33,MATCH(Lists!$F$3,$A$1:$T$1,0))&amp;""),""),6,2)),VALUE(MID(IFERROR(TRIM(INDEX($A33:$T33,MATCH(Lists!$F$3,$A$1:$T$1,0))&amp;""),""),9,2)))+TIME(VALUE(MID(IFERROR(TRIM(INDEX($A33:$T33,MATCH(Lists!$F$3,$A$1:$T$1,0))&amp;""),""),12,2)),VALUE(MID(IFERROR(TRIM(INDEX($A33:$T33,MATCH(Lists!$F$3,$A$1:$T$1,0))&amp;""),""),15,2)),VALUE(MID(IFERROR(TRIM(INDEX($A33:$T33,MATCH(Lists!$F$3,$A$1:$T$1,0))&amp;""),""),18,2)))),""))</f>
        <v/>
      </c>
      <c r="AA33" s="23">
        <f>IF(Y33="","",IF(ISNUMBER(IFERROR(IF(TRIM(INDEX($A33:$T33,MATCH(Lists!$F$4,$A$1:$T$1,0))&amp;"")="","",IF(ISNUMBER(INDEX($A33:$T33,MATCH(Lists!$F$4,$A$1:$T$1,0))),INT(INDEX($A33:$T33,MATCH(Lists!$F$4,$A$1:$T$1,0))),DATE(VALUE(LEFT(INDEX($A33:$T33,MATCH(Lists!$F$4,$A$1:$T$1,0)),4)),VALUE(MID(INDEX($A33:$T33,MATCH(Lists!$F$4,$A$1:$T$1,0)),6,2)),VALUE(MID(INDEX($A33:$T33,MATCH(Lists!$F$4,$A$1:$T$1,0)),9,2))))),"")),IFERROR(IF(TRIM(INDEX($A33:$T33,MATCH(Lists!$F$4,$A$1:$T$1,0))&amp;"")="","",IF(ISNUMBER(INDEX($A33:$T33,MATCH(Lists!$F$4,$A$1:$T$1,0))),INT(INDEX($A33:$T33,MATCH(Lists!$F$4,$A$1:$T$1,0))),DATE(VALUE(LEFT(INDEX($A33:$T33,MATCH(Lists!$F$4,$A$1:$T$1,0)),4)),VALUE(MID(INDEX($A33:$T33,MATCH(Lists!$F$4,$A$1:$T$1,0)),6,2)),VALUE(MID(INDEX($A33:$T33,MATCH(Lists!$F$4,$A$1:$T$1,0)),9,2))))),""),IFERROR(IF(TRIM(INDEX($A33:$T33,MATCH(Lists!$F$5,$A$1:$T$1,0))&amp;"")="","",IF(ISNUMBER(INDEX($A33:$T33,MATCH(Lists!$F$5,$A$1:$T$1,0))),INT(INDEX($A33:$T33,MATCH(Lists!$F$5,$A$1:$T$1,0))),DATE(VALUE(LEFT(INDEX($A33:$T33,MATCH(Lists!$F$5,$A$1:$T$1,0)),4)),VALUE(MID(INDEX($A33:$T33,MATCH(Lists!$F$5,$A$1:$T$1,0)),6,2)),VALUE(MID(INDEX($A33:$T33,MATCH(Lists!$F$5,$A$1:$T$1,0)),9,2))))),"")))</f>
        <v/>
      </c>
      <c r="AB33" s="21">
        <f>IF(Y33="","",IF(LEFT(IFERROR(TRIM(INDEX($A33:$T33,MATCH(Lists!$F$6,$A$1:$T$1,0))&amp;""),""),2)="No","General comment",IF(IFERROR(TRIM(INDEX($A33:$T33,MATCH(Lists!$F$7,$A$1:$T$1,0))&amp;""),"")&lt;&gt;"",IFERROR(TRIM(INDEX($A33:$T33,MATCH(Lists!$F$7,$A$1:$T$1,0))&amp;""),""),IF(IFERROR(TRIM(INDEX($A33:$T33,MATCH(Lists!$F$8,$A$1:$T$1,0))&amp;""),"")&lt;&gt;"",IFERROR(TRIM(INDEX($A33:$T33,MATCH(Lists!$F$8,$A$1:$T$1,0))&amp;""),""),"(no item given)"))))</f>
        <v/>
      </c>
      <c r="AC33" s="21">
        <f>IF(Y33="","",IF(ISNUMBER(SEARCH("support",IFERROR(TRIM(INDEX($A33:$T33,MATCH(Lists!$F$9,$A$1:$T$1,0))&amp;""),""))),"Support",IF(ISNUMBER(SEARCH("oppose",IFERROR(TRIM(INDEX($A33:$T33,MATCH(Lists!$F$9,$A$1:$T$1,0))&amp;""),""))),"Oppose",IF(IFERROR(TRIM(INDEX($A33:$T33,MATCH(Lists!$F$9,$A$1:$T$1,0))&amp;""),"")="","No position","Neither"))))</f>
        <v/>
      </c>
      <c r="AD33" s="21">
        <f>IF(Y33="","",IF(ISNUMBER(SEARCH("in person",IFERROR(TRIM(INDEX($A33:$T33,MATCH(Lists!$F$13,$A$1:$T$1,0))&amp;""),""))),"In person",IF(ISNUMBER(SEARCH("online",IFERROR(TRIM(INDEX($A33:$T33,MATCH(Lists!$F$13,$A$1:$T$1,0))&amp;""),""))),"Online","Written only")))</f>
        <v/>
      </c>
      <c r="AE33" s="21">
        <f>IF(Y33="","",IFERROR(TRIM(INDEX($A33:$T33,MATCH(Lists!$F$11,$A$1:$T$1,0))&amp;""),""))</f>
        <v/>
      </c>
      <c r="AF33" s="21">
        <f>IF(Y33="","",IFERROR(TRIM(INDEX($A33:$T33,MATCH(Lists!$F$12,$A$1:$T$1,0))&amp;""),""))</f>
        <v/>
      </c>
      <c r="AG33" s="21">
        <f>IF(Y33="","",IFERROR(TRIM(INDEX($A33:$T33,MATCH(Lists!$F$14,$A$1:$T$1,0))&amp;""),""))</f>
        <v/>
      </c>
      <c r="AH33" s="21">
        <f>IF(Y33="","",LEFT(IFERROR(TRIM(INDEX($A33:$T33,MATCH(Lists!$F$10,$A$1:$T$1,0))&amp;""),""),80))</f>
        <v/>
      </c>
      <c r="AI33" s="21">
        <f>IF(Y33="",0,IF(OR(Tally!$B$5="",AA33=Tally!$B$5),1,0))</f>
        <v/>
      </c>
      <c r="AJ33" s="21">
        <f>IF(AI33=1,IF(COUNTIFS($AB$2:AB33,AB33,$AI$2:AI33,1)=1,1,0),0)</f>
        <v/>
      </c>
      <c r="AK33" s="21">
        <f>IF(AJ33=1,SUM($AJ$2:AJ33),"")</f>
        <v/>
      </c>
      <c r="AL33" s="21">
        <f>IF(AND(AI33=1,OR(AD33="In person",AD33="Online"),OR(Speakers!$B$5="",AB33=Speakers!$B$5)),N(Z33)+ROW()/1000000000,"")</f>
        <v/>
      </c>
    </row>
    <row r="34">
      <c r="U34" s="19" t="n"/>
      <c r="V34" s="24" t="n"/>
      <c r="W34" s="24" t="n"/>
      <c r="X34" s="19" t="n"/>
      <c r="Y34" s="21">
        <f>IFERROR(TRIM(INDEX($A34:$T34,MATCH(Lists!$F$2,$A$1:$T$1,0))&amp;""),"")</f>
        <v/>
      </c>
      <c r="Z34" s="22">
        <f>IF(Y34="","",IFERROR(IF(ISNUMBER(INDEX($A34:$T34,MATCH(Lists!$F$3,$A$1:$T$1,0))),INDEX($A34:$T34,MATCH(Lists!$F$3,$A$1:$T$1,0)),DATE(VALUE(LEFT(IFERROR(TRIM(INDEX($A34:$T34,MATCH(Lists!$F$3,$A$1:$T$1,0))&amp;""),""),4)),VALUE(MID(IFERROR(TRIM(INDEX($A34:$T34,MATCH(Lists!$F$3,$A$1:$T$1,0))&amp;""),""),6,2)),VALUE(MID(IFERROR(TRIM(INDEX($A34:$T34,MATCH(Lists!$F$3,$A$1:$T$1,0))&amp;""),""),9,2)))+TIME(VALUE(MID(IFERROR(TRIM(INDEX($A34:$T34,MATCH(Lists!$F$3,$A$1:$T$1,0))&amp;""),""),12,2)),VALUE(MID(IFERROR(TRIM(INDEX($A34:$T34,MATCH(Lists!$F$3,$A$1:$T$1,0))&amp;""),""),15,2)),VALUE(MID(IFERROR(TRIM(INDEX($A34:$T34,MATCH(Lists!$F$3,$A$1:$T$1,0))&amp;""),""),18,2)))),""))</f>
        <v/>
      </c>
      <c r="AA34" s="23">
        <f>IF(Y34="","",IF(ISNUMBER(IFERROR(IF(TRIM(INDEX($A34:$T34,MATCH(Lists!$F$4,$A$1:$T$1,0))&amp;"")="","",IF(ISNUMBER(INDEX($A34:$T34,MATCH(Lists!$F$4,$A$1:$T$1,0))),INT(INDEX($A34:$T34,MATCH(Lists!$F$4,$A$1:$T$1,0))),DATE(VALUE(LEFT(INDEX($A34:$T34,MATCH(Lists!$F$4,$A$1:$T$1,0)),4)),VALUE(MID(INDEX($A34:$T34,MATCH(Lists!$F$4,$A$1:$T$1,0)),6,2)),VALUE(MID(INDEX($A34:$T34,MATCH(Lists!$F$4,$A$1:$T$1,0)),9,2))))),"")),IFERROR(IF(TRIM(INDEX($A34:$T34,MATCH(Lists!$F$4,$A$1:$T$1,0))&amp;"")="","",IF(ISNUMBER(INDEX($A34:$T34,MATCH(Lists!$F$4,$A$1:$T$1,0))),INT(INDEX($A34:$T34,MATCH(Lists!$F$4,$A$1:$T$1,0))),DATE(VALUE(LEFT(INDEX($A34:$T34,MATCH(Lists!$F$4,$A$1:$T$1,0)),4)),VALUE(MID(INDEX($A34:$T34,MATCH(Lists!$F$4,$A$1:$T$1,0)),6,2)),VALUE(MID(INDEX($A34:$T34,MATCH(Lists!$F$4,$A$1:$T$1,0)),9,2))))),""),IFERROR(IF(TRIM(INDEX($A34:$T34,MATCH(Lists!$F$5,$A$1:$T$1,0))&amp;"")="","",IF(ISNUMBER(INDEX($A34:$T34,MATCH(Lists!$F$5,$A$1:$T$1,0))),INT(INDEX($A34:$T34,MATCH(Lists!$F$5,$A$1:$T$1,0))),DATE(VALUE(LEFT(INDEX($A34:$T34,MATCH(Lists!$F$5,$A$1:$T$1,0)),4)),VALUE(MID(INDEX($A34:$T34,MATCH(Lists!$F$5,$A$1:$T$1,0)),6,2)),VALUE(MID(INDEX($A34:$T34,MATCH(Lists!$F$5,$A$1:$T$1,0)),9,2))))),"")))</f>
        <v/>
      </c>
      <c r="AB34" s="21">
        <f>IF(Y34="","",IF(LEFT(IFERROR(TRIM(INDEX($A34:$T34,MATCH(Lists!$F$6,$A$1:$T$1,0))&amp;""),""),2)="No","General comment",IF(IFERROR(TRIM(INDEX($A34:$T34,MATCH(Lists!$F$7,$A$1:$T$1,0))&amp;""),"")&lt;&gt;"",IFERROR(TRIM(INDEX($A34:$T34,MATCH(Lists!$F$7,$A$1:$T$1,0))&amp;""),""),IF(IFERROR(TRIM(INDEX($A34:$T34,MATCH(Lists!$F$8,$A$1:$T$1,0))&amp;""),"")&lt;&gt;"",IFERROR(TRIM(INDEX($A34:$T34,MATCH(Lists!$F$8,$A$1:$T$1,0))&amp;""),""),"(no item given)"))))</f>
        <v/>
      </c>
      <c r="AC34" s="21">
        <f>IF(Y34="","",IF(ISNUMBER(SEARCH("support",IFERROR(TRIM(INDEX($A34:$T34,MATCH(Lists!$F$9,$A$1:$T$1,0))&amp;""),""))),"Support",IF(ISNUMBER(SEARCH("oppose",IFERROR(TRIM(INDEX($A34:$T34,MATCH(Lists!$F$9,$A$1:$T$1,0))&amp;""),""))),"Oppose",IF(IFERROR(TRIM(INDEX($A34:$T34,MATCH(Lists!$F$9,$A$1:$T$1,0))&amp;""),"")="","No position","Neither"))))</f>
        <v/>
      </c>
      <c r="AD34" s="21">
        <f>IF(Y34="","",IF(ISNUMBER(SEARCH("in person",IFERROR(TRIM(INDEX($A34:$T34,MATCH(Lists!$F$13,$A$1:$T$1,0))&amp;""),""))),"In person",IF(ISNUMBER(SEARCH("online",IFERROR(TRIM(INDEX($A34:$T34,MATCH(Lists!$F$13,$A$1:$T$1,0))&amp;""),""))),"Online","Written only")))</f>
        <v/>
      </c>
      <c r="AE34" s="21">
        <f>IF(Y34="","",IFERROR(TRIM(INDEX($A34:$T34,MATCH(Lists!$F$11,$A$1:$T$1,0))&amp;""),""))</f>
        <v/>
      </c>
      <c r="AF34" s="21">
        <f>IF(Y34="","",IFERROR(TRIM(INDEX($A34:$T34,MATCH(Lists!$F$12,$A$1:$T$1,0))&amp;""),""))</f>
        <v/>
      </c>
      <c r="AG34" s="21">
        <f>IF(Y34="","",IFERROR(TRIM(INDEX($A34:$T34,MATCH(Lists!$F$14,$A$1:$T$1,0))&amp;""),""))</f>
        <v/>
      </c>
      <c r="AH34" s="21">
        <f>IF(Y34="","",LEFT(IFERROR(TRIM(INDEX($A34:$T34,MATCH(Lists!$F$10,$A$1:$T$1,0))&amp;""),""),80))</f>
        <v/>
      </c>
      <c r="AI34" s="21">
        <f>IF(Y34="",0,IF(OR(Tally!$B$5="",AA34=Tally!$B$5),1,0))</f>
        <v/>
      </c>
      <c r="AJ34" s="21">
        <f>IF(AI34=1,IF(COUNTIFS($AB$2:AB34,AB34,$AI$2:AI34,1)=1,1,0),0)</f>
        <v/>
      </c>
      <c r="AK34" s="21">
        <f>IF(AJ34=1,SUM($AJ$2:AJ34),"")</f>
        <v/>
      </c>
      <c r="AL34" s="21">
        <f>IF(AND(AI34=1,OR(AD34="In person",AD34="Online"),OR(Speakers!$B$5="",AB34=Speakers!$B$5)),N(Z34)+ROW()/1000000000,"")</f>
        <v/>
      </c>
    </row>
    <row r="35">
      <c r="U35" s="19" t="n"/>
      <c r="V35" s="24" t="n"/>
      <c r="W35" s="24" t="n"/>
      <c r="X35" s="19" t="n"/>
      <c r="Y35" s="21">
        <f>IFERROR(TRIM(INDEX($A35:$T35,MATCH(Lists!$F$2,$A$1:$T$1,0))&amp;""),"")</f>
        <v/>
      </c>
      <c r="Z35" s="22">
        <f>IF(Y35="","",IFERROR(IF(ISNUMBER(INDEX($A35:$T35,MATCH(Lists!$F$3,$A$1:$T$1,0))),INDEX($A35:$T35,MATCH(Lists!$F$3,$A$1:$T$1,0)),DATE(VALUE(LEFT(IFERROR(TRIM(INDEX($A35:$T35,MATCH(Lists!$F$3,$A$1:$T$1,0))&amp;""),""),4)),VALUE(MID(IFERROR(TRIM(INDEX($A35:$T35,MATCH(Lists!$F$3,$A$1:$T$1,0))&amp;""),""),6,2)),VALUE(MID(IFERROR(TRIM(INDEX($A35:$T35,MATCH(Lists!$F$3,$A$1:$T$1,0))&amp;""),""),9,2)))+TIME(VALUE(MID(IFERROR(TRIM(INDEX($A35:$T35,MATCH(Lists!$F$3,$A$1:$T$1,0))&amp;""),""),12,2)),VALUE(MID(IFERROR(TRIM(INDEX($A35:$T35,MATCH(Lists!$F$3,$A$1:$T$1,0))&amp;""),""),15,2)),VALUE(MID(IFERROR(TRIM(INDEX($A35:$T35,MATCH(Lists!$F$3,$A$1:$T$1,0))&amp;""),""),18,2)))),""))</f>
        <v/>
      </c>
      <c r="AA35" s="23">
        <f>IF(Y35="","",IF(ISNUMBER(IFERROR(IF(TRIM(INDEX($A35:$T35,MATCH(Lists!$F$4,$A$1:$T$1,0))&amp;"")="","",IF(ISNUMBER(INDEX($A35:$T35,MATCH(Lists!$F$4,$A$1:$T$1,0))),INT(INDEX($A35:$T35,MATCH(Lists!$F$4,$A$1:$T$1,0))),DATE(VALUE(LEFT(INDEX($A35:$T35,MATCH(Lists!$F$4,$A$1:$T$1,0)),4)),VALUE(MID(INDEX($A35:$T35,MATCH(Lists!$F$4,$A$1:$T$1,0)),6,2)),VALUE(MID(INDEX($A35:$T35,MATCH(Lists!$F$4,$A$1:$T$1,0)),9,2))))),"")),IFERROR(IF(TRIM(INDEX($A35:$T35,MATCH(Lists!$F$4,$A$1:$T$1,0))&amp;"")="","",IF(ISNUMBER(INDEX($A35:$T35,MATCH(Lists!$F$4,$A$1:$T$1,0))),INT(INDEX($A35:$T35,MATCH(Lists!$F$4,$A$1:$T$1,0))),DATE(VALUE(LEFT(INDEX($A35:$T35,MATCH(Lists!$F$4,$A$1:$T$1,0)),4)),VALUE(MID(INDEX($A35:$T35,MATCH(Lists!$F$4,$A$1:$T$1,0)),6,2)),VALUE(MID(INDEX($A35:$T35,MATCH(Lists!$F$4,$A$1:$T$1,0)),9,2))))),""),IFERROR(IF(TRIM(INDEX($A35:$T35,MATCH(Lists!$F$5,$A$1:$T$1,0))&amp;"")="","",IF(ISNUMBER(INDEX($A35:$T35,MATCH(Lists!$F$5,$A$1:$T$1,0))),INT(INDEX($A35:$T35,MATCH(Lists!$F$5,$A$1:$T$1,0))),DATE(VALUE(LEFT(INDEX($A35:$T35,MATCH(Lists!$F$5,$A$1:$T$1,0)),4)),VALUE(MID(INDEX($A35:$T35,MATCH(Lists!$F$5,$A$1:$T$1,0)),6,2)),VALUE(MID(INDEX($A35:$T35,MATCH(Lists!$F$5,$A$1:$T$1,0)),9,2))))),"")))</f>
        <v/>
      </c>
      <c r="AB35" s="21">
        <f>IF(Y35="","",IF(LEFT(IFERROR(TRIM(INDEX($A35:$T35,MATCH(Lists!$F$6,$A$1:$T$1,0))&amp;""),""),2)="No","General comment",IF(IFERROR(TRIM(INDEX($A35:$T35,MATCH(Lists!$F$7,$A$1:$T$1,0))&amp;""),"")&lt;&gt;"",IFERROR(TRIM(INDEX($A35:$T35,MATCH(Lists!$F$7,$A$1:$T$1,0))&amp;""),""),IF(IFERROR(TRIM(INDEX($A35:$T35,MATCH(Lists!$F$8,$A$1:$T$1,0))&amp;""),"")&lt;&gt;"",IFERROR(TRIM(INDEX($A35:$T35,MATCH(Lists!$F$8,$A$1:$T$1,0))&amp;""),""),"(no item given)"))))</f>
        <v/>
      </c>
      <c r="AC35" s="21">
        <f>IF(Y35="","",IF(ISNUMBER(SEARCH("support",IFERROR(TRIM(INDEX($A35:$T35,MATCH(Lists!$F$9,$A$1:$T$1,0))&amp;""),""))),"Support",IF(ISNUMBER(SEARCH("oppose",IFERROR(TRIM(INDEX($A35:$T35,MATCH(Lists!$F$9,$A$1:$T$1,0))&amp;""),""))),"Oppose",IF(IFERROR(TRIM(INDEX($A35:$T35,MATCH(Lists!$F$9,$A$1:$T$1,0))&amp;""),"")="","No position","Neither"))))</f>
        <v/>
      </c>
      <c r="AD35" s="21">
        <f>IF(Y35="","",IF(ISNUMBER(SEARCH("in person",IFERROR(TRIM(INDEX($A35:$T35,MATCH(Lists!$F$13,$A$1:$T$1,0))&amp;""),""))),"In person",IF(ISNUMBER(SEARCH("online",IFERROR(TRIM(INDEX($A35:$T35,MATCH(Lists!$F$13,$A$1:$T$1,0))&amp;""),""))),"Online","Written only")))</f>
        <v/>
      </c>
      <c r="AE35" s="21">
        <f>IF(Y35="","",IFERROR(TRIM(INDEX($A35:$T35,MATCH(Lists!$F$11,$A$1:$T$1,0))&amp;""),""))</f>
        <v/>
      </c>
      <c r="AF35" s="21">
        <f>IF(Y35="","",IFERROR(TRIM(INDEX($A35:$T35,MATCH(Lists!$F$12,$A$1:$T$1,0))&amp;""),""))</f>
        <v/>
      </c>
      <c r="AG35" s="21">
        <f>IF(Y35="","",IFERROR(TRIM(INDEX($A35:$T35,MATCH(Lists!$F$14,$A$1:$T$1,0))&amp;""),""))</f>
        <v/>
      </c>
      <c r="AH35" s="21">
        <f>IF(Y35="","",LEFT(IFERROR(TRIM(INDEX($A35:$T35,MATCH(Lists!$F$10,$A$1:$T$1,0))&amp;""),""),80))</f>
        <v/>
      </c>
      <c r="AI35" s="21">
        <f>IF(Y35="",0,IF(OR(Tally!$B$5="",AA35=Tally!$B$5),1,0))</f>
        <v/>
      </c>
      <c r="AJ35" s="21">
        <f>IF(AI35=1,IF(COUNTIFS($AB$2:AB35,AB35,$AI$2:AI35,1)=1,1,0),0)</f>
        <v/>
      </c>
      <c r="AK35" s="21">
        <f>IF(AJ35=1,SUM($AJ$2:AJ35),"")</f>
        <v/>
      </c>
      <c r="AL35" s="21">
        <f>IF(AND(AI35=1,OR(AD35="In person",AD35="Online"),OR(Speakers!$B$5="",AB35=Speakers!$B$5)),N(Z35)+ROW()/1000000000,"")</f>
        <v/>
      </c>
    </row>
    <row r="36">
      <c r="U36" s="19" t="n"/>
      <c r="V36" s="24" t="n"/>
      <c r="W36" s="24" t="n"/>
      <c r="X36" s="19" t="n"/>
      <c r="Y36" s="21">
        <f>IFERROR(TRIM(INDEX($A36:$T36,MATCH(Lists!$F$2,$A$1:$T$1,0))&amp;""),"")</f>
        <v/>
      </c>
      <c r="Z36" s="22">
        <f>IF(Y36="","",IFERROR(IF(ISNUMBER(INDEX($A36:$T36,MATCH(Lists!$F$3,$A$1:$T$1,0))),INDEX($A36:$T36,MATCH(Lists!$F$3,$A$1:$T$1,0)),DATE(VALUE(LEFT(IFERROR(TRIM(INDEX($A36:$T36,MATCH(Lists!$F$3,$A$1:$T$1,0))&amp;""),""),4)),VALUE(MID(IFERROR(TRIM(INDEX($A36:$T36,MATCH(Lists!$F$3,$A$1:$T$1,0))&amp;""),""),6,2)),VALUE(MID(IFERROR(TRIM(INDEX($A36:$T36,MATCH(Lists!$F$3,$A$1:$T$1,0))&amp;""),""),9,2)))+TIME(VALUE(MID(IFERROR(TRIM(INDEX($A36:$T36,MATCH(Lists!$F$3,$A$1:$T$1,0))&amp;""),""),12,2)),VALUE(MID(IFERROR(TRIM(INDEX($A36:$T36,MATCH(Lists!$F$3,$A$1:$T$1,0))&amp;""),""),15,2)),VALUE(MID(IFERROR(TRIM(INDEX($A36:$T36,MATCH(Lists!$F$3,$A$1:$T$1,0))&amp;""),""),18,2)))),""))</f>
        <v/>
      </c>
      <c r="AA36" s="23">
        <f>IF(Y36="","",IF(ISNUMBER(IFERROR(IF(TRIM(INDEX($A36:$T36,MATCH(Lists!$F$4,$A$1:$T$1,0))&amp;"")="","",IF(ISNUMBER(INDEX($A36:$T36,MATCH(Lists!$F$4,$A$1:$T$1,0))),INT(INDEX($A36:$T36,MATCH(Lists!$F$4,$A$1:$T$1,0))),DATE(VALUE(LEFT(INDEX($A36:$T36,MATCH(Lists!$F$4,$A$1:$T$1,0)),4)),VALUE(MID(INDEX($A36:$T36,MATCH(Lists!$F$4,$A$1:$T$1,0)),6,2)),VALUE(MID(INDEX($A36:$T36,MATCH(Lists!$F$4,$A$1:$T$1,0)),9,2))))),"")),IFERROR(IF(TRIM(INDEX($A36:$T36,MATCH(Lists!$F$4,$A$1:$T$1,0))&amp;"")="","",IF(ISNUMBER(INDEX($A36:$T36,MATCH(Lists!$F$4,$A$1:$T$1,0))),INT(INDEX($A36:$T36,MATCH(Lists!$F$4,$A$1:$T$1,0))),DATE(VALUE(LEFT(INDEX($A36:$T36,MATCH(Lists!$F$4,$A$1:$T$1,0)),4)),VALUE(MID(INDEX($A36:$T36,MATCH(Lists!$F$4,$A$1:$T$1,0)),6,2)),VALUE(MID(INDEX($A36:$T36,MATCH(Lists!$F$4,$A$1:$T$1,0)),9,2))))),""),IFERROR(IF(TRIM(INDEX($A36:$T36,MATCH(Lists!$F$5,$A$1:$T$1,0))&amp;"")="","",IF(ISNUMBER(INDEX($A36:$T36,MATCH(Lists!$F$5,$A$1:$T$1,0))),INT(INDEX($A36:$T36,MATCH(Lists!$F$5,$A$1:$T$1,0))),DATE(VALUE(LEFT(INDEX($A36:$T36,MATCH(Lists!$F$5,$A$1:$T$1,0)),4)),VALUE(MID(INDEX($A36:$T36,MATCH(Lists!$F$5,$A$1:$T$1,0)),6,2)),VALUE(MID(INDEX($A36:$T36,MATCH(Lists!$F$5,$A$1:$T$1,0)),9,2))))),"")))</f>
        <v/>
      </c>
      <c r="AB36" s="21">
        <f>IF(Y36="","",IF(LEFT(IFERROR(TRIM(INDEX($A36:$T36,MATCH(Lists!$F$6,$A$1:$T$1,0))&amp;""),""),2)="No","General comment",IF(IFERROR(TRIM(INDEX($A36:$T36,MATCH(Lists!$F$7,$A$1:$T$1,0))&amp;""),"")&lt;&gt;"",IFERROR(TRIM(INDEX($A36:$T36,MATCH(Lists!$F$7,$A$1:$T$1,0))&amp;""),""),IF(IFERROR(TRIM(INDEX($A36:$T36,MATCH(Lists!$F$8,$A$1:$T$1,0))&amp;""),"")&lt;&gt;"",IFERROR(TRIM(INDEX($A36:$T36,MATCH(Lists!$F$8,$A$1:$T$1,0))&amp;""),""),"(no item given)"))))</f>
        <v/>
      </c>
      <c r="AC36" s="21">
        <f>IF(Y36="","",IF(ISNUMBER(SEARCH("support",IFERROR(TRIM(INDEX($A36:$T36,MATCH(Lists!$F$9,$A$1:$T$1,0))&amp;""),""))),"Support",IF(ISNUMBER(SEARCH("oppose",IFERROR(TRIM(INDEX($A36:$T36,MATCH(Lists!$F$9,$A$1:$T$1,0))&amp;""),""))),"Oppose",IF(IFERROR(TRIM(INDEX($A36:$T36,MATCH(Lists!$F$9,$A$1:$T$1,0))&amp;""),"")="","No position","Neither"))))</f>
        <v/>
      </c>
      <c r="AD36" s="21">
        <f>IF(Y36="","",IF(ISNUMBER(SEARCH("in person",IFERROR(TRIM(INDEX($A36:$T36,MATCH(Lists!$F$13,$A$1:$T$1,0))&amp;""),""))),"In person",IF(ISNUMBER(SEARCH("online",IFERROR(TRIM(INDEX($A36:$T36,MATCH(Lists!$F$13,$A$1:$T$1,0))&amp;""),""))),"Online","Written only")))</f>
        <v/>
      </c>
      <c r="AE36" s="21">
        <f>IF(Y36="","",IFERROR(TRIM(INDEX($A36:$T36,MATCH(Lists!$F$11,$A$1:$T$1,0))&amp;""),""))</f>
        <v/>
      </c>
      <c r="AF36" s="21">
        <f>IF(Y36="","",IFERROR(TRIM(INDEX($A36:$T36,MATCH(Lists!$F$12,$A$1:$T$1,0))&amp;""),""))</f>
        <v/>
      </c>
      <c r="AG36" s="21">
        <f>IF(Y36="","",IFERROR(TRIM(INDEX($A36:$T36,MATCH(Lists!$F$14,$A$1:$T$1,0))&amp;""),""))</f>
        <v/>
      </c>
      <c r="AH36" s="21">
        <f>IF(Y36="","",LEFT(IFERROR(TRIM(INDEX($A36:$T36,MATCH(Lists!$F$10,$A$1:$T$1,0))&amp;""),""),80))</f>
        <v/>
      </c>
      <c r="AI36" s="21">
        <f>IF(Y36="",0,IF(OR(Tally!$B$5="",AA36=Tally!$B$5),1,0))</f>
        <v/>
      </c>
      <c r="AJ36" s="21">
        <f>IF(AI36=1,IF(COUNTIFS($AB$2:AB36,AB36,$AI$2:AI36,1)=1,1,0),0)</f>
        <v/>
      </c>
      <c r="AK36" s="21">
        <f>IF(AJ36=1,SUM($AJ$2:AJ36),"")</f>
        <v/>
      </c>
      <c r="AL36" s="21">
        <f>IF(AND(AI36=1,OR(AD36="In person",AD36="Online"),OR(Speakers!$B$5="",AB36=Speakers!$B$5)),N(Z36)+ROW()/1000000000,"")</f>
        <v/>
      </c>
    </row>
    <row r="37">
      <c r="U37" s="19" t="n"/>
      <c r="V37" s="24" t="n"/>
      <c r="W37" s="24" t="n"/>
      <c r="X37" s="19" t="n"/>
      <c r="Y37" s="21">
        <f>IFERROR(TRIM(INDEX($A37:$T37,MATCH(Lists!$F$2,$A$1:$T$1,0))&amp;""),"")</f>
        <v/>
      </c>
      <c r="Z37" s="22">
        <f>IF(Y37="","",IFERROR(IF(ISNUMBER(INDEX($A37:$T37,MATCH(Lists!$F$3,$A$1:$T$1,0))),INDEX($A37:$T37,MATCH(Lists!$F$3,$A$1:$T$1,0)),DATE(VALUE(LEFT(IFERROR(TRIM(INDEX($A37:$T37,MATCH(Lists!$F$3,$A$1:$T$1,0))&amp;""),""),4)),VALUE(MID(IFERROR(TRIM(INDEX($A37:$T37,MATCH(Lists!$F$3,$A$1:$T$1,0))&amp;""),""),6,2)),VALUE(MID(IFERROR(TRIM(INDEX($A37:$T37,MATCH(Lists!$F$3,$A$1:$T$1,0))&amp;""),""),9,2)))+TIME(VALUE(MID(IFERROR(TRIM(INDEX($A37:$T37,MATCH(Lists!$F$3,$A$1:$T$1,0))&amp;""),""),12,2)),VALUE(MID(IFERROR(TRIM(INDEX($A37:$T37,MATCH(Lists!$F$3,$A$1:$T$1,0))&amp;""),""),15,2)),VALUE(MID(IFERROR(TRIM(INDEX($A37:$T37,MATCH(Lists!$F$3,$A$1:$T$1,0))&amp;""),""),18,2)))),""))</f>
        <v/>
      </c>
      <c r="AA37" s="23">
        <f>IF(Y37="","",IF(ISNUMBER(IFERROR(IF(TRIM(INDEX($A37:$T37,MATCH(Lists!$F$4,$A$1:$T$1,0))&amp;"")="","",IF(ISNUMBER(INDEX($A37:$T37,MATCH(Lists!$F$4,$A$1:$T$1,0))),INT(INDEX($A37:$T37,MATCH(Lists!$F$4,$A$1:$T$1,0))),DATE(VALUE(LEFT(INDEX($A37:$T37,MATCH(Lists!$F$4,$A$1:$T$1,0)),4)),VALUE(MID(INDEX($A37:$T37,MATCH(Lists!$F$4,$A$1:$T$1,0)),6,2)),VALUE(MID(INDEX($A37:$T37,MATCH(Lists!$F$4,$A$1:$T$1,0)),9,2))))),"")),IFERROR(IF(TRIM(INDEX($A37:$T37,MATCH(Lists!$F$4,$A$1:$T$1,0))&amp;"")="","",IF(ISNUMBER(INDEX($A37:$T37,MATCH(Lists!$F$4,$A$1:$T$1,0))),INT(INDEX($A37:$T37,MATCH(Lists!$F$4,$A$1:$T$1,0))),DATE(VALUE(LEFT(INDEX($A37:$T37,MATCH(Lists!$F$4,$A$1:$T$1,0)),4)),VALUE(MID(INDEX($A37:$T37,MATCH(Lists!$F$4,$A$1:$T$1,0)),6,2)),VALUE(MID(INDEX($A37:$T37,MATCH(Lists!$F$4,$A$1:$T$1,0)),9,2))))),""),IFERROR(IF(TRIM(INDEX($A37:$T37,MATCH(Lists!$F$5,$A$1:$T$1,0))&amp;"")="","",IF(ISNUMBER(INDEX($A37:$T37,MATCH(Lists!$F$5,$A$1:$T$1,0))),INT(INDEX($A37:$T37,MATCH(Lists!$F$5,$A$1:$T$1,0))),DATE(VALUE(LEFT(INDEX($A37:$T37,MATCH(Lists!$F$5,$A$1:$T$1,0)),4)),VALUE(MID(INDEX($A37:$T37,MATCH(Lists!$F$5,$A$1:$T$1,0)),6,2)),VALUE(MID(INDEX($A37:$T37,MATCH(Lists!$F$5,$A$1:$T$1,0)),9,2))))),"")))</f>
        <v/>
      </c>
      <c r="AB37" s="21">
        <f>IF(Y37="","",IF(LEFT(IFERROR(TRIM(INDEX($A37:$T37,MATCH(Lists!$F$6,$A$1:$T$1,0))&amp;""),""),2)="No","General comment",IF(IFERROR(TRIM(INDEX($A37:$T37,MATCH(Lists!$F$7,$A$1:$T$1,0))&amp;""),"")&lt;&gt;"",IFERROR(TRIM(INDEX($A37:$T37,MATCH(Lists!$F$7,$A$1:$T$1,0))&amp;""),""),IF(IFERROR(TRIM(INDEX($A37:$T37,MATCH(Lists!$F$8,$A$1:$T$1,0))&amp;""),"")&lt;&gt;"",IFERROR(TRIM(INDEX($A37:$T37,MATCH(Lists!$F$8,$A$1:$T$1,0))&amp;""),""),"(no item given)"))))</f>
        <v/>
      </c>
      <c r="AC37" s="21">
        <f>IF(Y37="","",IF(ISNUMBER(SEARCH("support",IFERROR(TRIM(INDEX($A37:$T37,MATCH(Lists!$F$9,$A$1:$T$1,0))&amp;""),""))),"Support",IF(ISNUMBER(SEARCH("oppose",IFERROR(TRIM(INDEX($A37:$T37,MATCH(Lists!$F$9,$A$1:$T$1,0))&amp;""),""))),"Oppose",IF(IFERROR(TRIM(INDEX($A37:$T37,MATCH(Lists!$F$9,$A$1:$T$1,0))&amp;""),"")="","No position","Neither"))))</f>
        <v/>
      </c>
      <c r="AD37" s="21">
        <f>IF(Y37="","",IF(ISNUMBER(SEARCH("in person",IFERROR(TRIM(INDEX($A37:$T37,MATCH(Lists!$F$13,$A$1:$T$1,0))&amp;""),""))),"In person",IF(ISNUMBER(SEARCH("online",IFERROR(TRIM(INDEX($A37:$T37,MATCH(Lists!$F$13,$A$1:$T$1,0))&amp;""),""))),"Online","Written only")))</f>
        <v/>
      </c>
      <c r="AE37" s="21">
        <f>IF(Y37="","",IFERROR(TRIM(INDEX($A37:$T37,MATCH(Lists!$F$11,$A$1:$T$1,0))&amp;""),""))</f>
        <v/>
      </c>
      <c r="AF37" s="21">
        <f>IF(Y37="","",IFERROR(TRIM(INDEX($A37:$T37,MATCH(Lists!$F$12,$A$1:$T$1,0))&amp;""),""))</f>
        <v/>
      </c>
      <c r="AG37" s="21">
        <f>IF(Y37="","",IFERROR(TRIM(INDEX($A37:$T37,MATCH(Lists!$F$14,$A$1:$T$1,0))&amp;""),""))</f>
        <v/>
      </c>
      <c r="AH37" s="21">
        <f>IF(Y37="","",LEFT(IFERROR(TRIM(INDEX($A37:$T37,MATCH(Lists!$F$10,$A$1:$T$1,0))&amp;""),""),80))</f>
        <v/>
      </c>
      <c r="AI37" s="21">
        <f>IF(Y37="",0,IF(OR(Tally!$B$5="",AA37=Tally!$B$5),1,0))</f>
        <v/>
      </c>
      <c r="AJ37" s="21">
        <f>IF(AI37=1,IF(COUNTIFS($AB$2:AB37,AB37,$AI$2:AI37,1)=1,1,0),0)</f>
        <v/>
      </c>
      <c r="AK37" s="21">
        <f>IF(AJ37=1,SUM($AJ$2:AJ37),"")</f>
        <v/>
      </c>
      <c r="AL37" s="21">
        <f>IF(AND(AI37=1,OR(AD37="In person",AD37="Online"),OR(Speakers!$B$5="",AB37=Speakers!$B$5)),N(Z37)+ROW()/1000000000,"")</f>
        <v/>
      </c>
    </row>
    <row r="38">
      <c r="U38" s="19" t="n"/>
      <c r="V38" s="24" t="n"/>
      <c r="W38" s="24" t="n"/>
      <c r="X38" s="19" t="n"/>
      <c r="Y38" s="21">
        <f>IFERROR(TRIM(INDEX($A38:$T38,MATCH(Lists!$F$2,$A$1:$T$1,0))&amp;""),"")</f>
        <v/>
      </c>
      <c r="Z38" s="22">
        <f>IF(Y38="","",IFERROR(IF(ISNUMBER(INDEX($A38:$T38,MATCH(Lists!$F$3,$A$1:$T$1,0))),INDEX($A38:$T38,MATCH(Lists!$F$3,$A$1:$T$1,0)),DATE(VALUE(LEFT(IFERROR(TRIM(INDEX($A38:$T38,MATCH(Lists!$F$3,$A$1:$T$1,0))&amp;""),""),4)),VALUE(MID(IFERROR(TRIM(INDEX($A38:$T38,MATCH(Lists!$F$3,$A$1:$T$1,0))&amp;""),""),6,2)),VALUE(MID(IFERROR(TRIM(INDEX($A38:$T38,MATCH(Lists!$F$3,$A$1:$T$1,0))&amp;""),""),9,2)))+TIME(VALUE(MID(IFERROR(TRIM(INDEX($A38:$T38,MATCH(Lists!$F$3,$A$1:$T$1,0))&amp;""),""),12,2)),VALUE(MID(IFERROR(TRIM(INDEX($A38:$T38,MATCH(Lists!$F$3,$A$1:$T$1,0))&amp;""),""),15,2)),VALUE(MID(IFERROR(TRIM(INDEX($A38:$T38,MATCH(Lists!$F$3,$A$1:$T$1,0))&amp;""),""),18,2)))),""))</f>
        <v/>
      </c>
      <c r="AA38" s="23">
        <f>IF(Y38="","",IF(ISNUMBER(IFERROR(IF(TRIM(INDEX($A38:$T38,MATCH(Lists!$F$4,$A$1:$T$1,0))&amp;"")="","",IF(ISNUMBER(INDEX($A38:$T38,MATCH(Lists!$F$4,$A$1:$T$1,0))),INT(INDEX($A38:$T38,MATCH(Lists!$F$4,$A$1:$T$1,0))),DATE(VALUE(LEFT(INDEX($A38:$T38,MATCH(Lists!$F$4,$A$1:$T$1,0)),4)),VALUE(MID(INDEX($A38:$T38,MATCH(Lists!$F$4,$A$1:$T$1,0)),6,2)),VALUE(MID(INDEX($A38:$T38,MATCH(Lists!$F$4,$A$1:$T$1,0)),9,2))))),"")),IFERROR(IF(TRIM(INDEX($A38:$T38,MATCH(Lists!$F$4,$A$1:$T$1,0))&amp;"")="","",IF(ISNUMBER(INDEX($A38:$T38,MATCH(Lists!$F$4,$A$1:$T$1,0))),INT(INDEX($A38:$T38,MATCH(Lists!$F$4,$A$1:$T$1,0))),DATE(VALUE(LEFT(INDEX($A38:$T38,MATCH(Lists!$F$4,$A$1:$T$1,0)),4)),VALUE(MID(INDEX($A38:$T38,MATCH(Lists!$F$4,$A$1:$T$1,0)),6,2)),VALUE(MID(INDEX($A38:$T38,MATCH(Lists!$F$4,$A$1:$T$1,0)),9,2))))),""),IFERROR(IF(TRIM(INDEX($A38:$T38,MATCH(Lists!$F$5,$A$1:$T$1,0))&amp;"")="","",IF(ISNUMBER(INDEX($A38:$T38,MATCH(Lists!$F$5,$A$1:$T$1,0))),INT(INDEX($A38:$T38,MATCH(Lists!$F$5,$A$1:$T$1,0))),DATE(VALUE(LEFT(INDEX($A38:$T38,MATCH(Lists!$F$5,$A$1:$T$1,0)),4)),VALUE(MID(INDEX($A38:$T38,MATCH(Lists!$F$5,$A$1:$T$1,0)),6,2)),VALUE(MID(INDEX($A38:$T38,MATCH(Lists!$F$5,$A$1:$T$1,0)),9,2))))),"")))</f>
        <v/>
      </c>
      <c r="AB38" s="21">
        <f>IF(Y38="","",IF(LEFT(IFERROR(TRIM(INDEX($A38:$T38,MATCH(Lists!$F$6,$A$1:$T$1,0))&amp;""),""),2)="No","General comment",IF(IFERROR(TRIM(INDEX($A38:$T38,MATCH(Lists!$F$7,$A$1:$T$1,0))&amp;""),"")&lt;&gt;"",IFERROR(TRIM(INDEX($A38:$T38,MATCH(Lists!$F$7,$A$1:$T$1,0))&amp;""),""),IF(IFERROR(TRIM(INDEX($A38:$T38,MATCH(Lists!$F$8,$A$1:$T$1,0))&amp;""),"")&lt;&gt;"",IFERROR(TRIM(INDEX($A38:$T38,MATCH(Lists!$F$8,$A$1:$T$1,0))&amp;""),""),"(no item given)"))))</f>
        <v/>
      </c>
      <c r="AC38" s="21">
        <f>IF(Y38="","",IF(ISNUMBER(SEARCH("support",IFERROR(TRIM(INDEX($A38:$T38,MATCH(Lists!$F$9,$A$1:$T$1,0))&amp;""),""))),"Support",IF(ISNUMBER(SEARCH("oppose",IFERROR(TRIM(INDEX($A38:$T38,MATCH(Lists!$F$9,$A$1:$T$1,0))&amp;""),""))),"Oppose",IF(IFERROR(TRIM(INDEX($A38:$T38,MATCH(Lists!$F$9,$A$1:$T$1,0))&amp;""),"")="","No position","Neither"))))</f>
        <v/>
      </c>
      <c r="AD38" s="21">
        <f>IF(Y38="","",IF(ISNUMBER(SEARCH("in person",IFERROR(TRIM(INDEX($A38:$T38,MATCH(Lists!$F$13,$A$1:$T$1,0))&amp;""),""))),"In person",IF(ISNUMBER(SEARCH("online",IFERROR(TRIM(INDEX($A38:$T38,MATCH(Lists!$F$13,$A$1:$T$1,0))&amp;""),""))),"Online","Written only")))</f>
        <v/>
      </c>
      <c r="AE38" s="21">
        <f>IF(Y38="","",IFERROR(TRIM(INDEX($A38:$T38,MATCH(Lists!$F$11,$A$1:$T$1,0))&amp;""),""))</f>
        <v/>
      </c>
      <c r="AF38" s="21">
        <f>IF(Y38="","",IFERROR(TRIM(INDEX($A38:$T38,MATCH(Lists!$F$12,$A$1:$T$1,0))&amp;""),""))</f>
        <v/>
      </c>
      <c r="AG38" s="21">
        <f>IF(Y38="","",IFERROR(TRIM(INDEX($A38:$T38,MATCH(Lists!$F$14,$A$1:$T$1,0))&amp;""),""))</f>
        <v/>
      </c>
      <c r="AH38" s="21">
        <f>IF(Y38="","",LEFT(IFERROR(TRIM(INDEX($A38:$T38,MATCH(Lists!$F$10,$A$1:$T$1,0))&amp;""),""),80))</f>
        <v/>
      </c>
      <c r="AI38" s="21">
        <f>IF(Y38="",0,IF(OR(Tally!$B$5="",AA38=Tally!$B$5),1,0))</f>
        <v/>
      </c>
      <c r="AJ38" s="21">
        <f>IF(AI38=1,IF(COUNTIFS($AB$2:AB38,AB38,$AI$2:AI38,1)=1,1,0),0)</f>
        <v/>
      </c>
      <c r="AK38" s="21">
        <f>IF(AJ38=1,SUM($AJ$2:AJ38),"")</f>
        <v/>
      </c>
      <c r="AL38" s="21">
        <f>IF(AND(AI38=1,OR(AD38="In person",AD38="Online"),OR(Speakers!$B$5="",AB38=Speakers!$B$5)),N(Z38)+ROW()/1000000000,"")</f>
        <v/>
      </c>
    </row>
    <row r="39">
      <c r="U39" s="19" t="n"/>
      <c r="V39" s="24" t="n"/>
      <c r="W39" s="24" t="n"/>
      <c r="X39" s="19" t="n"/>
      <c r="Y39" s="21">
        <f>IFERROR(TRIM(INDEX($A39:$T39,MATCH(Lists!$F$2,$A$1:$T$1,0))&amp;""),"")</f>
        <v/>
      </c>
      <c r="Z39" s="22">
        <f>IF(Y39="","",IFERROR(IF(ISNUMBER(INDEX($A39:$T39,MATCH(Lists!$F$3,$A$1:$T$1,0))),INDEX($A39:$T39,MATCH(Lists!$F$3,$A$1:$T$1,0)),DATE(VALUE(LEFT(IFERROR(TRIM(INDEX($A39:$T39,MATCH(Lists!$F$3,$A$1:$T$1,0))&amp;""),""),4)),VALUE(MID(IFERROR(TRIM(INDEX($A39:$T39,MATCH(Lists!$F$3,$A$1:$T$1,0))&amp;""),""),6,2)),VALUE(MID(IFERROR(TRIM(INDEX($A39:$T39,MATCH(Lists!$F$3,$A$1:$T$1,0))&amp;""),""),9,2)))+TIME(VALUE(MID(IFERROR(TRIM(INDEX($A39:$T39,MATCH(Lists!$F$3,$A$1:$T$1,0))&amp;""),""),12,2)),VALUE(MID(IFERROR(TRIM(INDEX($A39:$T39,MATCH(Lists!$F$3,$A$1:$T$1,0))&amp;""),""),15,2)),VALUE(MID(IFERROR(TRIM(INDEX($A39:$T39,MATCH(Lists!$F$3,$A$1:$T$1,0))&amp;""),""),18,2)))),""))</f>
        <v/>
      </c>
      <c r="AA39" s="23">
        <f>IF(Y39="","",IF(ISNUMBER(IFERROR(IF(TRIM(INDEX($A39:$T39,MATCH(Lists!$F$4,$A$1:$T$1,0))&amp;"")="","",IF(ISNUMBER(INDEX($A39:$T39,MATCH(Lists!$F$4,$A$1:$T$1,0))),INT(INDEX($A39:$T39,MATCH(Lists!$F$4,$A$1:$T$1,0))),DATE(VALUE(LEFT(INDEX($A39:$T39,MATCH(Lists!$F$4,$A$1:$T$1,0)),4)),VALUE(MID(INDEX($A39:$T39,MATCH(Lists!$F$4,$A$1:$T$1,0)),6,2)),VALUE(MID(INDEX($A39:$T39,MATCH(Lists!$F$4,$A$1:$T$1,0)),9,2))))),"")),IFERROR(IF(TRIM(INDEX($A39:$T39,MATCH(Lists!$F$4,$A$1:$T$1,0))&amp;"")="","",IF(ISNUMBER(INDEX($A39:$T39,MATCH(Lists!$F$4,$A$1:$T$1,0))),INT(INDEX($A39:$T39,MATCH(Lists!$F$4,$A$1:$T$1,0))),DATE(VALUE(LEFT(INDEX($A39:$T39,MATCH(Lists!$F$4,$A$1:$T$1,0)),4)),VALUE(MID(INDEX($A39:$T39,MATCH(Lists!$F$4,$A$1:$T$1,0)),6,2)),VALUE(MID(INDEX($A39:$T39,MATCH(Lists!$F$4,$A$1:$T$1,0)),9,2))))),""),IFERROR(IF(TRIM(INDEX($A39:$T39,MATCH(Lists!$F$5,$A$1:$T$1,0))&amp;"")="","",IF(ISNUMBER(INDEX($A39:$T39,MATCH(Lists!$F$5,$A$1:$T$1,0))),INT(INDEX($A39:$T39,MATCH(Lists!$F$5,$A$1:$T$1,0))),DATE(VALUE(LEFT(INDEX($A39:$T39,MATCH(Lists!$F$5,$A$1:$T$1,0)),4)),VALUE(MID(INDEX($A39:$T39,MATCH(Lists!$F$5,$A$1:$T$1,0)),6,2)),VALUE(MID(INDEX($A39:$T39,MATCH(Lists!$F$5,$A$1:$T$1,0)),9,2))))),"")))</f>
        <v/>
      </c>
      <c r="AB39" s="21">
        <f>IF(Y39="","",IF(LEFT(IFERROR(TRIM(INDEX($A39:$T39,MATCH(Lists!$F$6,$A$1:$T$1,0))&amp;""),""),2)="No","General comment",IF(IFERROR(TRIM(INDEX($A39:$T39,MATCH(Lists!$F$7,$A$1:$T$1,0))&amp;""),"")&lt;&gt;"",IFERROR(TRIM(INDEX($A39:$T39,MATCH(Lists!$F$7,$A$1:$T$1,0))&amp;""),""),IF(IFERROR(TRIM(INDEX($A39:$T39,MATCH(Lists!$F$8,$A$1:$T$1,0))&amp;""),"")&lt;&gt;"",IFERROR(TRIM(INDEX($A39:$T39,MATCH(Lists!$F$8,$A$1:$T$1,0))&amp;""),""),"(no item given)"))))</f>
        <v/>
      </c>
      <c r="AC39" s="21">
        <f>IF(Y39="","",IF(ISNUMBER(SEARCH("support",IFERROR(TRIM(INDEX($A39:$T39,MATCH(Lists!$F$9,$A$1:$T$1,0))&amp;""),""))),"Support",IF(ISNUMBER(SEARCH("oppose",IFERROR(TRIM(INDEX($A39:$T39,MATCH(Lists!$F$9,$A$1:$T$1,0))&amp;""),""))),"Oppose",IF(IFERROR(TRIM(INDEX($A39:$T39,MATCH(Lists!$F$9,$A$1:$T$1,0))&amp;""),"")="","No position","Neither"))))</f>
        <v/>
      </c>
      <c r="AD39" s="21">
        <f>IF(Y39="","",IF(ISNUMBER(SEARCH("in person",IFERROR(TRIM(INDEX($A39:$T39,MATCH(Lists!$F$13,$A$1:$T$1,0))&amp;""),""))),"In person",IF(ISNUMBER(SEARCH("online",IFERROR(TRIM(INDEX($A39:$T39,MATCH(Lists!$F$13,$A$1:$T$1,0))&amp;""),""))),"Online","Written only")))</f>
        <v/>
      </c>
      <c r="AE39" s="21">
        <f>IF(Y39="","",IFERROR(TRIM(INDEX($A39:$T39,MATCH(Lists!$F$11,$A$1:$T$1,0))&amp;""),""))</f>
        <v/>
      </c>
      <c r="AF39" s="21">
        <f>IF(Y39="","",IFERROR(TRIM(INDEX($A39:$T39,MATCH(Lists!$F$12,$A$1:$T$1,0))&amp;""),""))</f>
        <v/>
      </c>
      <c r="AG39" s="21">
        <f>IF(Y39="","",IFERROR(TRIM(INDEX($A39:$T39,MATCH(Lists!$F$14,$A$1:$T$1,0))&amp;""),""))</f>
        <v/>
      </c>
      <c r="AH39" s="21">
        <f>IF(Y39="","",LEFT(IFERROR(TRIM(INDEX($A39:$T39,MATCH(Lists!$F$10,$A$1:$T$1,0))&amp;""),""),80))</f>
        <v/>
      </c>
      <c r="AI39" s="21">
        <f>IF(Y39="",0,IF(OR(Tally!$B$5="",AA39=Tally!$B$5),1,0))</f>
        <v/>
      </c>
      <c r="AJ39" s="21">
        <f>IF(AI39=1,IF(COUNTIFS($AB$2:AB39,AB39,$AI$2:AI39,1)=1,1,0),0)</f>
        <v/>
      </c>
      <c r="AK39" s="21">
        <f>IF(AJ39=1,SUM($AJ$2:AJ39),"")</f>
        <v/>
      </c>
      <c r="AL39" s="21">
        <f>IF(AND(AI39=1,OR(AD39="In person",AD39="Online"),OR(Speakers!$B$5="",AB39=Speakers!$B$5)),N(Z39)+ROW()/1000000000,"")</f>
        <v/>
      </c>
    </row>
    <row r="40">
      <c r="U40" s="19" t="n"/>
      <c r="V40" s="24" t="n"/>
      <c r="W40" s="24" t="n"/>
      <c r="X40" s="19" t="n"/>
      <c r="Y40" s="21">
        <f>IFERROR(TRIM(INDEX($A40:$T40,MATCH(Lists!$F$2,$A$1:$T$1,0))&amp;""),"")</f>
        <v/>
      </c>
      <c r="Z40" s="22">
        <f>IF(Y40="","",IFERROR(IF(ISNUMBER(INDEX($A40:$T40,MATCH(Lists!$F$3,$A$1:$T$1,0))),INDEX($A40:$T40,MATCH(Lists!$F$3,$A$1:$T$1,0)),DATE(VALUE(LEFT(IFERROR(TRIM(INDEX($A40:$T40,MATCH(Lists!$F$3,$A$1:$T$1,0))&amp;""),""),4)),VALUE(MID(IFERROR(TRIM(INDEX($A40:$T40,MATCH(Lists!$F$3,$A$1:$T$1,0))&amp;""),""),6,2)),VALUE(MID(IFERROR(TRIM(INDEX($A40:$T40,MATCH(Lists!$F$3,$A$1:$T$1,0))&amp;""),""),9,2)))+TIME(VALUE(MID(IFERROR(TRIM(INDEX($A40:$T40,MATCH(Lists!$F$3,$A$1:$T$1,0))&amp;""),""),12,2)),VALUE(MID(IFERROR(TRIM(INDEX($A40:$T40,MATCH(Lists!$F$3,$A$1:$T$1,0))&amp;""),""),15,2)),VALUE(MID(IFERROR(TRIM(INDEX($A40:$T40,MATCH(Lists!$F$3,$A$1:$T$1,0))&amp;""),""),18,2)))),""))</f>
        <v/>
      </c>
      <c r="AA40" s="23">
        <f>IF(Y40="","",IF(ISNUMBER(IFERROR(IF(TRIM(INDEX($A40:$T40,MATCH(Lists!$F$4,$A$1:$T$1,0))&amp;"")="","",IF(ISNUMBER(INDEX($A40:$T40,MATCH(Lists!$F$4,$A$1:$T$1,0))),INT(INDEX($A40:$T40,MATCH(Lists!$F$4,$A$1:$T$1,0))),DATE(VALUE(LEFT(INDEX($A40:$T40,MATCH(Lists!$F$4,$A$1:$T$1,0)),4)),VALUE(MID(INDEX($A40:$T40,MATCH(Lists!$F$4,$A$1:$T$1,0)),6,2)),VALUE(MID(INDEX($A40:$T40,MATCH(Lists!$F$4,$A$1:$T$1,0)),9,2))))),"")),IFERROR(IF(TRIM(INDEX($A40:$T40,MATCH(Lists!$F$4,$A$1:$T$1,0))&amp;"")="","",IF(ISNUMBER(INDEX($A40:$T40,MATCH(Lists!$F$4,$A$1:$T$1,0))),INT(INDEX($A40:$T40,MATCH(Lists!$F$4,$A$1:$T$1,0))),DATE(VALUE(LEFT(INDEX($A40:$T40,MATCH(Lists!$F$4,$A$1:$T$1,0)),4)),VALUE(MID(INDEX($A40:$T40,MATCH(Lists!$F$4,$A$1:$T$1,0)),6,2)),VALUE(MID(INDEX($A40:$T40,MATCH(Lists!$F$4,$A$1:$T$1,0)),9,2))))),""),IFERROR(IF(TRIM(INDEX($A40:$T40,MATCH(Lists!$F$5,$A$1:$T$1,0))&amp;"")="","",IF(ISNUMBER(INDEX($A40:$T40,MATCH(Lists!$F$5,$A$1:$T$1,0))),INT(INDEX($A40:$T40,MATCH(Lists!$F$5,$A$1:$T$1,0))),DATE(VALUE(LEFT(INDEX($A40:$T40,MATCH(Lists!$F$5,$A$1:$T$1,0)),4)),VALUE(MID(INDEX($A40:$T40,MATCH(Lists!$F$5,$A$1:$T$1,0)),6,2)),VALUE(MID(INDEX($A40:$T40,MATCH(Lists!$F$5,$A$1:$T$1,0)),9,2))))),"")))</f>
        <v/>
      </c>
      <c r="AB40" s="21">
        <f>IF(Y40="","",IF(LEFT(IFERROR(TRIM(INDEX($A40:$T40,MATCH(Lists!$F$6,$A$1:$T$1,0))&amp;""),""),2)="No","General comment",IF(IFERROR(TRIM(INDEX($A40:$T40,MATCH(Lists!$F$7,$A$1:$T$1,0))&amp;""),"")&lt;&gt;"",IFERROR(TRIM(INDEX($A40:$T40,MATCH(Lists!$F$7,$A$1:$T$1,0))&amp;""),""),IF(IFERROR(TRIM(INDEX($A40:$T40,MATCH(Lists!$F$8,$A$1:$T$1,0))&amp;""),"")&lt;&gt;"",IFERROR(TRIM(INDEX($A40:$T40,MATCH(Lists!$F$8,$A$1:$T$1,0))&amp;""),""),"(no item given)"))))</f>
        <v/>
      </c>
      <c r="AC40" s="21">
        <f>IF(Y40="","",IF(ISNUMBER(SEARCH("support",IFERROR(TRIM(INDEX($A40:$T40,MATCH(Lists!$F$9,$A$1:$T$1,0))&amp;""),""))),"Support",IF(ISNUMBER(SEARCH("oppose",IFERROR(TRIM(INDEX($A40:$T40,MATCH(Lists!$F$9,$A$1:$T$1,0))&amp;""),""))),"Oppose",IF(IFERROR(TRIM(INDEX($A40:$T40,MATCH(Lists!$F$9,$A$1:$T$1,0))&amp;""),"")="","No position","Neither"))))</f>
        <v/>
      </c>
      <c r="AD40" s="21">
        <f>IF(Y40="","",IF(ISNUMBER(SEARCH("in person",IFERROR(TRIM(INDEX($A40:$T40,MATCH(Lists!$F$13,$A$1:$T$1,0))&amp;""),""))),"In person",IF(ISNUMBER(SEARCH("online",IFERROR(TRIM(INDEX($A40:$T40,MATCH(Lists!$F$13,$A$1:$T$1,0))&amp;""),""))),"Online","Written only")))</f>
        <v/>
      </c>
      <c r="AE40" s="21">
        <f>IF(Y40="","",IFERROR(TRIM(INDEX($A40:$T40,MATCH(Lists!$F$11,$A$1:$T$1,0))&amp;""),""))</f>
        <v/>
      </c>
      <c r="AF40" s="21">
        <f>IF(Y40="","",IFERROR(TRIM(INDEX($A40:$T40,MATCH(Lists!$F$12,$A$1:$T$1,0))&amp;""),""))</f>
        <v/>
      </c>
      <c r="AG40" s="21">
        <f>IF(Y40="","",IFERROR(TRIM(INDEX($A40:$T40,MATCH(Lists!$F$14,$A$1:$T$1,0))&amp;""),""))</f>
        <v/>
      </c>
      <c r="AH40" s="21">
        <f>IF(Y40="","",LEFT(IFERROR(TRIM(INDEX($A40:$T40,MATCH(Lists!$F$10,$A$1:$T$1,0))&amp;""),""),80))</f>
        <v/>
      </c>
      <c r="AI40" s="21">
        <f>IF(Y40="",0,IF(OR(Tally!$B$5="",AA40=Tally!$B$5),1,0))</f>
        <v/>
      </c>
      <c r="AJ40" s="21">
        <f>IF(AI40=1,IF(COUNTIFS($AB$2:AB40,AB40,$AI$2:AI40,1)=1,1,0),0)</f>
        <v/>
      </c>
      <c r="AK40" s="21">
        <f>IF(AJ40=1,SUM($AJ$2:AJ40),"")</f>
        <v/>
      </c>
      <c r="AL40" s="21">
        <f>IF(AND(AI40=1,OR(AD40="In person",AD40="Online"),OR(Speakers!$B$5="",AB40=Speakers!$B$5)),N(Z40)+ROW()/1000000000,"")</f>
        <v/>
      </c>
    </row>
    <row r="41">
      <c r="U41" s="19" t="n"/>
      <c r="V41" s="24" t="n"/>
      <c r="W41" s="24" t="n"/>
      <c r="X41" s="19" t="n"/>
      <c r="Y41" s="21">
        <f>IFERROR(TRIM(INDEX($A41:$T41,MATCH(Lists!$F$2,$A$1:$T$1,0))&amp;""),"")</f>
        <v/>
      </c>
      <c r="Z41" s="22">
        <f>IF(Y41="","",IFERROR(IF(ISNUMBER(INDEX($A41:$T41,MATCH(Lists!$F$3,$A$1:$T$1,0))),INDEX($A41:$T41,MATCH(Lists!$F$3,$A$1:$T$1,0)),DATE(VALUE(LEFT(IFERROR(TRIM(INDEX($A41:$T41,MATCH(Lists!$F$3,$A$1:$T$1,0))&amp;""),""),4)),VALUE(MID(IFERROR(TRIM(INDEX($A41:$T41,MATCH(Lists!$F$3,$A$1:$T$1,0))&amp;""),""),6,2)),VALUE(MID(IFERROR(TRIM(INDEX($A41:$T41,MATCH(Lists!$F$3,$A$1:$T$1,0))&amp;""),""),9,2)))+TIME(VALUE(MID(IFERROR(TRIM(INDEX($A41:$T41,MATCH(Lists!$F$3,$A$1:$T$1,0))&amp;""),""),12,2)),VALUE(MID(IFERROR(TRIM(INDEX($A41:$T41,MATCH(Lists!$F$3,$A$1:$T$1,0))&amp;""),""),15,2)),VALUE(MID(IFERROR(TRIM(INDEX($A41:$T41,MATCH(Lists!$F$3,$A$1:$T$1,0))&amp;""),""),18,2)))),""))</f>
        <v/>
      </c>
      <c r="AA41" s="23">
        <f>IF(Y41="","",IF(ISNUMBER(IFERROR(IF(TRIM(INDEX($A41:$T41,MATCH(Lists!$F$4,$A$1:$T$1,0))&amp;"")="","",IF(ISNUMBER(INDEX($A41:$T41,MATCH(Lists!$F$4,$A$1:$T$1,0))),INT(INDEX($A41:$T41,MATCH(Lists!$F$4,$A$1:$T$1,0))),DATE(VALUE(LEFT(INDEX($A41:$T41,MATCH(Lists!$F$4,$A$1:$T$1,0)),4)),VALUE(MID(INDEX($A41:$T41,MATCH(Lists!$F$4,$A$1:$T$1,0)),6,2)),VALUE(MID(INDEX($A41:$T41,MATCH(Lists!$F$4,$A$1:$T$1,0)),9,2))))),"")),IFERROR(IF(TRIM(INDEX($A41:$T41,MATCH(Lists!$F$4,$A$1:$T$1,0))&amp;"")="","",IF(ISNUMBER(INDEX($A41:$T41,MATCH(Lists!$F$4,$A$1:$T$1,0))),INT(INDEX($A41:$T41,MATCH(Lists!$F$4,$A$1:$T$1,0))),DATE(VALUE(LEFT(INDEX($A41:$T41,MATCH(Lists!$F$4,$A$1:$T$1,0)),4)),VALUE(MID(INDEX($A41:$T41,MATCH(Lists!$F$4,$A$1:$T$1,0)),6,2)),VALUE(MID(INDEX($A41:$T41,MATCH(Lists!$F$4,$A$1:$T$1,0)),9,2))))),""),IFERROR(IF(TRIM(INDEX($A41:$T41,MATCH(Lists!$F$5,$A$1:$T$1,0))&amp;"")="","",IF(ISNUMBER(INDEX($A41:$T41,MATCH(Lists!$F$5,$A$1:$T$1,0))),INT(INDEX($A41:$T41,MATCH(Lists!$F$5,$A$1:$T$1,0))),DATE(VALUE(LEFT(INDEX($A41:$T41,MATCH(Lists!$F$5,$A$1:$T$1,0)),4)),VALUE(MID(INDEX($A41:$T41,MATCH(Lists!$F$5,$A$1:$T$1,0)),6,2)),VALUE(MID(INDEX($A41:$T41,MATCH(Lists!$F$5,$A$1:$T$1,0)),9,2))))),"")))</f>
        <v/>
      </c>
      <c r="AB41" s="21">
        <f>IF(Y41="","",IF(LEFT(IFERROR(TRIM(INDEX($A41:$T41,MATCH(Lists!$F$6,$A$1:$T$1,0))&amp;""),""),2)="No","General comment",IF(IFERROR(TRIM(INDEX($A41:$T41,MATCH(Lists!$F$7,$A$1:$T$1,0))&amp;""),"")&lt;&gt;"",IFERROR(TRIM(INDEX($A41:$T41,MATCH(Lists!$F$7,$A$1:$T$1,0))&amp;""),""),IF(IFERROR(TRIM(INDEX($A41:$T41,MATCH(Lists!$F$8,$A$1:$T$1,0))&amp;""),"")&lt;&gt;"",IFERROR(TRIM(INDEX($A41:$T41,MATCH(Lists!$F$8,$A$1:$T$1,0))&amp;""),""),"(no item given)"))))</f>
        <v/>
      </c>
      <c r="AC41" s="21">
        <f>IF(Y41="","",IF(ISNUMBER(SEARCH("support",IFERROR(TRIM(INDEX($A41:$T41,MATCH(Lists!$F$9,$A$1:$T$1,0))&amp;""),""))),"Support",IF(ISNUMBER(SEARCH("oppose",IFERROR(TRIM(INDEX($A41:$T41,MATCH(Lists!$F$9,$A$1:$T$1,0))&amp;""),""))),"Oppose",IF(IFERROR(TRIM(INDEX($A41:$T41,MATCH(Lists!$F$9,$A$1:$T$1,0))&amp;""),"")="","No position","Neither"))))</f>
        <v/>
      </c>
      <c r="AD41" s="21">
        <f>IF(Y41="","",IF(ISNUMBER(SEARCH("in person",IFERROR(TRIM(INDEX($A41:$T41,MATCH(Lists!$F$13,$A$1:$T$1,0))&amp;""),""))),"In person",IF(ISNUMBER(SEARCH("online",IFERROR(TRIM(INDEX($A41:$T41,MATCH(Lists!$F$13,$A$1:$T$1,0))&amp;""),""))),"Online","Written only")))</f>
        <v/>
      </c>
      <c r="AE41" s="21">
        <f>IF(Y41="","",IFERROR(TRIM(INDEX($A41:$T41,MATCH(Lists!$F$11,$A$1:$T$1,0))&amp;""),""))</f>
        <v/>
      </c>
      <c r="AF41" s="21">
        <f>IF(Y41="","",IFERROR(TRIM(INDEX($A41:$T41,MATCH(Lists!$F$12,$A$1:$T$1,0))&amp;""),""))</f>
        <v/>
      </c>
      <c r="AG41" s="21">
        <f>IF(Y41="","",IFERROR(TRIM(INDEX($A41:$T41,MATCH(Lists!$F$14,$A$1:$T$1,0))&amp;""),""))</f>
        <v/>
      </c>
      <c r="AH41" s="21">
        <f>IF(Y41="","",LEFT(IFERROR(TRIM(INDEX($A41:$T41,MATCH(Lists!$F$10,$A$1:$T$1,0))&amp;""),""),80))</f>
        <v/>
      </c>
      <c r="AI41" s="21">
        <f>IF(Y41="",0,IF(OR(Tally!$B$5="",AA41=Tally!$B$5),1,0))</f>
        <v/>
      </c>
      <c r="AJ41" s="21">
        <f>IF(AI41=1,IF(COUNTIFS($AB$2:AB41,AB41,$AI$2:AI41,1)=1,1,0),0)</f>
        <v/>
      </c>
      <c r="AK41" s="21">
        <f>IF(AJ41=1,SUM($AJ$2:AJ41),"")</f>
        <v/>
      </c>
      <c r="AL41" s="21">
        <f>IF(AND(AI41=1,OR(AD41="In person",AD41="Online"),OR(Speakers!$B$5="",AB41=Speakers!$B$5)),N(Z41)+ROW()/1000000000,"")</f>
        <v/>
      </c>
    </row>
    <row r="42">
      <c r="U42" s="19" t="n"/>
      <c r="V42" s="24" t="n"/>
      <c r="W42" s="24" t="n"/>
      <c r="X42" s="19" t="n"/>
      <c r="Y42" s="21">
        <f>IFERROR(TRIM(INDEX($A42:$T42,MATCH(Lists!$F$2,$A$1:$T$1,0))&amp;""),"")</f>
        <v/>
      </c>
      <c r="Z42" s="22">
        <f>IF(Y42="","",IFERROR(IF(ISNUMBER(INDEX($A42:$T42,MATCH(Lists!$F$3,$A$1:$T$1,0))),INDEX($A42:$T42,MATCH(Lists!$F$3,$A$1:$T$1,0)),DATE(VALUE(LEFT(IFERROR(TRIM(INDEX($A42:$T42,MATCH(Lists!$F$3,$A$1:$T$1,0))&amp;""),""),4)),VALUE(MID(IFERROR(TRIM(INDEX($A42:$T42,MATCH(Lists!$F$3,$A$1:$T$1,0))&amp;""),""),6,2)),VALUE(MID(IFERROR(TRIM(INDEX($A42:$T42,MATCH(Lists!$F$3,$A$1:$T$1,0))&amp;""),""),9,2)))+TIME(VALUE(MID(IFERROR(TRIM(INDEX($A42:$T42,MATCH(Lists!$F$3,$A$1:$T$1,0))&amp;""),""),12,2)),VALUE(MID(IFERROR(TRIM(INDEX($A42:$T42,MATCH(Lists!$F$3,$A$1:$T$1,0))&amp;""),""),15,2)),VALUE(MID(IFERROR(TRIM(INDEX($A42:$T42,MATCH(Lists!$F$3,$A$1:$T$1,0))&amp;""),""),18,2)))),""))</f>
        <v/>
      </c>
      <c r="AA42" s="23">
        <f>IF(Y42="","",IF(ISNUMBER(IFERROR(IF(TRIM(INDEX($A42:$T42,MATCH(Lists!$F$4,$A$1:$T$1,0))&amp;"")="","",IF(ISNUMBER(INDEX($A42:$T42,MATCH(Lists!$F$4,$A$1:$T$1,0))),INT(INDEX($A42:$T42,MATCH(Lists!$F$4,$A$1:$T$1,0))),DATE(VALUE(LEFT(INDEX($A42:$T42,MATCH(Lists!$F$4,$A$1:$T$1,0)),4)),VALUE(MID(INDEX($A42:$T42,MATCH(Lists!$F$4,$A$1:$T$1,0)),6,2)),VALUE(MID(INDEX($A42:$T42,MATCH(Lists!$F$4,$A$1:$T$1,0)),9,2))))),"")),IFERROR(IF(TRIM(INDEX($A42:$T42,MATCH(Lists!$F$4,$A$1:$T$1,0))&amp;"")="","",IF(ISNUMBER(INDEX($A42:$T42,MATCH(Lists!$F$4,$A$1:$T$1,0))),INT(INDEX($A42:$T42,MATCH(Lists!$F$4,$A$1:$T$1,0))),DATE(VALUE(LEFT(INDEX($A42:$T42,MATCH(Lists!$F$4,$A$1:$T$1,0)),4)),VALUE(MID(INDEX($A42:$T42,MATCH(Lists!$F$4,$A$1:$T$1,0)),6,2)),VALUE(MID(INDEX($A42:$T42,MATCH(Lists!$F$4,$A$1:$T$1,0)),9,2))))),""),IFERROR(IF(TRIM(INDEX($A42:$T42,MATCH(Lists!$F$5,$A$1:$T$1,0))&amp;"")="","",IF(ISNUMBER(INDEX($A42:$T42,MATCH(Lists!$F$5,$A$1:$T$1,0))),INT(INDEX($A42:$T42,MATCH(Lists!$F$5,$A$1:$T$1,0))),DATE(VALUE(LEFT(INDEX($A42:$T42,MATCH(Lists!$F$5,$A$1:$T$1,0)),4)),VALUE(MID(INDEX($A42:$T42,MATCH(Lists!$F$5,$A$1:$T$1,0)),6,2)),VALUE(MID(INDEX($A42:$T42,MATCH(Lists!$F$5,$A$1:$T$1,0)),9,2))))),"")))</f>
        <v/>
      </c>
      <c r="AB42" s="21">
        <f>IF(Y42="","",IF(LEFT(IFERROR(TRIM(INDEX($A42:$T42,MATCH(Lists!$F$6,$A$1:$T$1,0))&amp;""),""),2)="No","General comment",IF(IFERROR(TRIM(INDEX($A42:$T42,MATCH(Lists!$F$7,$A$1:$T$1,0))&amp;""),"")&lt;&gt;"",IFERROR(TRIM(INDEX($A42:$T42,MATCH(Lists!$F$7,$A$1:$T$1,0))&amp;""),""),IF(IFERROR(TRIM(INDEX($A42:$T42,MATCH(Lists!$F$8,$A$1:$T$1,0))&amp;""),"")&lt;&gt;"",IFERROR(TRIM(INDEX($A42:$T42,MATCH(Lists!$F$8,$A$1:$T$1,0))&amp;""),""),"(no item given)"))))</f>
        <v/>
      </c>
      <c r="AC42" s="21">
        <f>IF(Y42="","",IF(ISNUMBER(SEARCH("support",IFERROR(TRIM(INDEX($A42:$T42,MATCH(Lists!$F$9,$A$1:$T$1,0))&amp;""),""))),"Support",IF(ISNUMBER(SEARCH("oppose",IFERROR(TRIM(INDEX($A42:$T42,MATCH(Lists!$F$9,$A$1:$T$1,0))&amp;""),""))),"Oppose",IF(IFERROR(TRIM(INDEX($A42:$T42,MATCH(Lists!$F$9,$A$1:$T$1,0))&amp;""),"")="","No position","Neither"))))</f>
        <v/>
      </c>
      <c r="AD42" s="21">
        <f>IF(Y42="","",IF(ISNUMBER(SEARCH("in person",IFERROR(TRIM(INDEX($A42:$T42,MATCH(Lists!$F$13,$A$1:$T$1,0))&amp;""),""))),"In person",IF(ISNUMBER(SEARCH("online",IFERROR(TRIM(INDEX($A42:$T42,MATCH(Lists!$F$13,$A$1:$T$1,0))&amp;""),""))),"Online","Written only")))</f>
        <v/>
      </c>
      <c r="AE42" s="21">
        <f>IF(Y42="","",IFERROR(TRIM(INDEX($A42:$T42,MATCH(Lists!$F$11,$A$1:$T$1,0))&amp;""),""))</f>
        <v/>
      </c>
      <c r="AF42" s="21">
        <f>IF(Y42="","",IFERROR(TRIM(INDEX($A42:$T42,MATCH(Lists!$F$12,$A$1:$T$1,0))&amp;""),""))</f>
        <v/>
      </c>
      <c r="AG42" s="21">
        <f>IF(Y42="","",IFERROR(TRIM(INDEX($A42:$T42,MATCH(Lists!$F$14,$A$1:$T$1,0))&amp;""),""))</f>
        <v/>
      </c>
      <c r="AH42" s="21">
        <f>IF(Y42="","",LEFT(IFERROR(TRIM(INDEX($A42:$T42,MATCH(Lists!$F$10,$A$1:$T$1,0))&amp;""),""),80))</f>
        <v/>
      </c>
      <c r="AI42" s="21">
        <f>IF(Y42="",0,IF(OR(Tally!$B$5="",AA42=Tally!$B$5),1,0))</f>
        <v/>
      </c>
      <c r="AJ42" s="21">
        <f>IF(AI42=1,IF(COUNTIFS($AB$2:AB42,AB42,$AI$2:AI42,1)=1,1,0),0)</f>
        <v/>
      </c>
      <c r="AK42" s="21">
        <f>IF(AJ42=1,SUM($AJ$2:AJ42),"")</f>
        <v/>
      </c>
      <c r="AL42" s="21">
        <f>IF(AND(AI42=1,OR(AD42="In person",AD42="Online"),OR(Speakers!$B$5="",AB42=Speakers!$B$5)),N(Z42)+ROW()/1000000000,"")</f>
        <v/>
      </c>
    </row>
    <row r="43">
      <c r="U43" s="19" t="n"/>
      <c r="V43" s="24" t="n"/>
      <c r="W43" s="24" t="n"/>
      <c r="X43" s="19" t="n"/>
      <c r="Y43" s="21">
        <f>IFERROR(TRIM(INDEX($A43:$T43,MATCH(Lists!$F$2,$A$1:$T$1,0))&amp;""),"")</f>
        <v/>
      </c>
      <c r="Z43" s="22">
        <f>IF(Y43="","",IFERROR(IF(ISNUMBER(INDEX($A43:$T43,MATCH(Lists!$F$3,$A$1:$T$1,0))),INDEX($A43:$T43,MATCH(Lists!$F$3,$A$1:$T$1,0)),DATE(VALUE(LEFT(IFERROR(TRIM(INDEX($A43:$T43,MATCH(Lists!$F$3,$A$1:$T$1,0))&amp;""),""),4)),VALUE(MID(IFERROR(TRIM(INDEX($A43:$T43,MATCH(Lists!$F$3,$A$1:$T$1,0))&amp;""),""),6,2)),VALUE(MID(IFERROR(TRIM(INDEX($A43:$T43,MATCH(Lists!$F$3,$A$1:$T$1,0))&amp;""),""),9,2)))+TIME(VALUE(MID(IFERROR(TRIM(INDEX($A43:$T43,MATCH(Lists!$F$3,$A$1:$T$1,0))&amp;""),""),12,2)),VALUE(MID(IFERROR(TRIM(INDEX($A43:$T43,MATCH(Lists!$F$3,$A$1:$T$1,0))&amp;""),""),15,2)),VALUE(MID(IFERROR(TRIM(INDEX($A43:$T43,MATCH(Lists!$F$3,$A$1:$T$1,0))&amp;""),""),18,2)))),""))</f>
        <v/>
      </c>
      <c r="AA43" s="23">
        <f>IF(Y43="","",IF(ISNUMBER(IFERROR(IF(TRIM(INDEX($A43:$T43,MATCH(Lists!$F$4,$A$1:$T$1,0))&amp;"")="","",IF(ISNUMBER(INDEX($A43:$T43,MATCH(Lists!$F$4,$A$1:$T$1,0))),INT(INDEX($A43:$T43,MATCH(Lists!$F$4,$A$1:$T$1,0))),DATE(VALUE(LEFT(INDEX($A43:$T43,MATCH(Lists!$F$4,$A$1:$T$1,0)),4)),VALUE(MID(INDEX($A43:$T43,MATCH(Lists!$F$4,$A$1:$T$1,0)),6,2)),VALUE(MID(INDEX($A43:$T43,MATCH(Lists!$F$4,$A$1:$T$1,0)),9,2))))),"")),IFERROR(IF(TRIM(INDEX($A43:$T43,MATCH(Lists!$F$4,$A$1:$T$1,0))&amp;"")="","",IF(ISNUMBER(INDEX($A43:$T43,MATCH(Lists!$F$4,$A$1:$T$1,0))),INT(INDEX($A43:$T43,MATCH(Lists!$F$4,$A$1:$T$1,0))),DATE(VALUE(LEFT(INDEX($A43:$T43,MATCH(Lists!$F$4,$A$1:$T$1,0)),4)),VALUE(MID(INDEX($A43:$T43,MATCH(Lists!$F$4,$A$1:$T$1,0)),6,2)),VALUE(MID(INDEX($A43:$T43,MATCH(Lists!$F$4,$A$1:$T$1,0)),9,2))))),""),IFERROR(IF(TRIM(INDEX($A43:$T43,MATCH(Lists!$F$5,$A$1:$T$1,0))&amp;"")="","",IF(ISNUMBER(INDEX($A43:$T43,MATCH(Lists!$F$5,$A$1:$T$1,0))),INT(INDEX($A43:$T43,MATCH(Lists!$F$5,$A$1:$T$1,0))),DATE(VALUE(LEFT(INDEX($A43:$T43,MATCH(Lists!$F$5,$A$1:$T$1,0)),4)),VALUE(MID(INDEX($A43:$T43,MATCH(Lists!$F$5,$A$1:$T$1,0)),6,2)),VALUE(MID(INDEX($A43:$T43,MATCH(Lists!$F$5,$A$1:$T$1,0)),9,2))))),"")))</f>
        <v/>
      </c>
      <c r="AB43" s="21">
        <f>IF(Y43="","",IF(LEFT(IFERROR(TRIM(INDEX($A43:$T43,MATCH(Lists!$F$6,$A$1:$T$1,0))&amp;""),""),2)="No","General comment",IF(IFERROR(TRIM(INDEX($A43:$T43,MATCH(Lists!$F$7,$A$1:$T$1,0))&amp;""),"")&lt;&gt;"",IFERROR(TRIM(INDEX($A43:$T43,MATCH(Lists!$F$7,$A$1:$T$1,0))&amp;""),""),IF(IFERROR(TRIM(INDEX($A43:$T43,MATCH(Lists!$F$8,$A$1:$T$1,0))&amp;""),"")&lt;&gt;"",IFERROR(TRIM(INDEX($A43:$T43,MATCH(Lists!$F$8,$A$1:$T$1,0))&amp;""),""),"(no item given)"))))</f>
        <v/>
      </c>
      <c r="AC43" s="21">
        <f>IF(Y43="","",IF(ISNUMBER(SEARCH("support",IFERROR(TRIM(INDEX($A43:$T43,MATCH(Lists!$F$9,$A$1:$T$1,0))&amp;""),""))),"Support",IF(ISNUMBER(SEARCH("oppose",IFERROR(TRIM(INDEX($A43:$T43,MATCH(Lists!$F$9,$A$1:$T$1,0))&amp;""),""))),"Oppose",IF(IFERROR(TRIM(INDEX($A43:$T43,MATCH(Lists!$F$9,$A$1:$T$1,0))&amp;""),"")="","No position","Neither"))))</f>
        <v/>
      </c>
      <c r="AD43" s="21">
        <f>IF(Y43="","",IF(ISNUMBER(SEARCH("in person",IFERROR(TRIM(INDEX($A43:$T43,MATCH(Lists!$F$13,$A$1:$T$1,0))&amp;""),""))),"In person",IF(ISNUMBER(SEARCH("online",IFERROR(TRIM(INDEX($A43:$T43,MATCH(Lists!$F$13,$A$1:$T$1,0))&amp;""),""))),"Online","Written only")))</f>
        <v/>
      </c>
      <c r="AE43" s="21">
        <f>IF(Y43="","",IFERROR(TRIM(INDEX($A43:$T43,MATCH(Lists!$F$11,$A$1:$T$1,0))&amp;""),""))</f>
        <v/>
      </c>
      <c r="AF43" s="21">
        <f>IF(Y43="","",IFERROR(TRIM(INDEX($A43:$T43,MATCH(Lists!$F$12,$A$1:$T$1,0))&amp;""),""))</f>
        <v/>
      </c>
      <c r="AG43" s="21">
        <f>IF(Y43="","",IFERROR(TRIM(INDEX($A43:$T43,MATCH(Lists!$F$14,$A$1:$T$1,0))&amp;""),""))</f>
        <v/>
      </c>
      <c r="AH43" s="21">
        <f>IF(Y43="","",LEFT(IFERROR(TRIM(INDEX($A43:$T43,MATCH(Lists!$F$10,$A$1:$T$1,0))&amp;""),""),80))</f>
        <v/>
      </c>
      <c r="AI43" s="21">
        <f>IF(Y43="",0,IF(OR(Tally!$B$5="",AA43=Tally!$B$5),1,0))</f>
        <v/>
      </c>
      <c r="AJ43" s="21">
        <f>IF(AI43=1,IF(COUNTIFS($AB$2:AB43,AB43,$AI$2:AI43,1)=1,1,0),0)</f>
        <v/>
      </c>
      <c r="AK43" s="21">
        <f>IF(AJ43=1,SUM($AJ$2:AJ43),"")</f>
        <v/>
      </c>
      <c r="AL43" s="21">
        <f>IF(AND(AI43=1,OR(AD43="In person",AD43="Online"),OR(Speakers!$B$5="",AB43=Speakers!$B$5)),N(Z43)+ROW()/1000000000,"")</f>
        <v/>
      </c>
    </row>
    <row r="44">
      <c r="U44" s="19" t="n"/>
      <c r="V44" s="24" t="n"/>
      <c r="W44" s="24" t="n"/>
      <c r="X44" s="19" t="n"/>
      <c r="Y44" s="21">
        <f>IFERROR(TRIM(INDEX($A44:$T44,MATCH(Lists!$F$2,$A$1:$T$1,0))&amp;""),"")</f>
        <v/>
      </c>
      <c r="Z44" s="22">
        <f>IF(Y44="","",IFERROR(IF(ISNUMBER(INDEX($A44:$T44,MATCH(Lists!$F$3,$A$1:$T$1,0))),INDEX($A44:$T44,MATCH(Lists!$F$3,$A$1:$T$1,0)),DATE(VALUE(LEFT(IFERROR(TRIM(INDEX($A44:$T44,MATCH(Lists!$F$3,$A$1:$T$1,0))&amp;""),""),4)),VALUE(MID(IFERROR(TRIM(INDEX($A44:$T44,MATCH(Lists!$F$3,$A$1:$T$1,0))&amp;""),""),6,2)),VALUE(MID(IFERROR(TRIM(INDEX($A44:$T44,MATCH(Lists!$F$3,$A$1:$T$1,0))&amp;""),""),9,2)))+TIME(VALUE(MID(IFERROR(TRIM(INDEX($A44:$T44,MATCH(Lists!$F$3,$A$1:$T$1,0))&amp;""),""),12,2)),VALUE(MID(IFERROR(TRIM(INDEX($A44:$T44,MATCH(Lists!$F$3,$A$1:$T$1,0))&amp;""),""),15,2)),VALUE(MID(IFERROR(TRIM(INDEX($A44:$T44,MATCH(Lists!$F$3,$A$1:$T$1,0))&amp;""),""),18,2)))),""))</f>
        <v/>
      </c>
      <c r="AA44" s="23">
        <f>IF(Y44="","",IF(ISNUMBER(IFERROR(IF(TRIM(INDEX($A44:$T44,MATCH(Lists!$F$4,$A$1:$T$1,0))&amp;"")="","",IF(ISNUMBER(INDEX($A44:$T44,MATCH(Lists!$F$4,$A$1:$T$1,0))),INT(INDEX($A44:$T44,MATCH(Lists!$F$4,$A$1:$T$1,0))),DATE(VALUE(LEFT(INDEX($A44:$T44,MATCH(Lists!$F$4,$A$1:$T$1,0)),4)),VALUE(MID(INDEX($A44:$T44,MATCH(Lists!$F$4,$A$1:$T$1,0)),6,2)),VALUE(MID(INDEX($A44:$T44,MATCH(Lists!$F$4,$A$1:$T$1,0)),9,2))))),"")),IFERROR(IF(TRIM(INDEX($A44:$T44,MATCH(Lists!$F$4,$A$1:$T$1,0))&amp;"")="","",IF(ISNUMBER(INDEX($A44:$T44,MATCH(Lists!$F$4,$A$1:$T$1,0))),INT(INDEX($A44:$T44,MATCH(Lists!$F$4,$A$1:$T$1,0))),DATE(VALUE(LEFT(INDEX($A44:$T44,MATCH(Lists!$F$4,$A$1:$T$1,0)),4)),VALUE(MID(INDEX($A44:$T44,MATCH(Lists!$F$4,$A$1:$T$1,0)),6,2)),VALUE(MID(INDEX($A44:$T44,MATCH(Lists!$F$4,$A$1:$T$1,0)),9,2))))),""),IFERROR(IF(TRIM(INDEX($A44:$T44,MATCH(Lists!$F$5,$A$1:$T$1,0))&amp;"")="","",IF(ISNUMBER(INDEX($A44:$T44,MATCH(Lists!$F$5,$A$1:$T$1,0))),INT(INDEX($A44:$T44,MATCH(Lists!$F$5,$A$1:$T$1,0))),DATE(VALUE(LEFT(INDEX($A44:$T44,MATCH(Lists!$F$5,$A$1:$T$1,0)),4)),VALUE(MID(INDEX($A44:$T44,MATCH(Lists!$F$5,$A$1:$T$1,0)),6,2)),VALUE(MID(INDEX($A44:$T44,MATCH(Lists!$F$5,$A$1:$T$1,0)),9,2))))),"")))</f>
        <v/>
      </c>
      <c r="AB44" s="21">
        <f>IF(Y44="","",IF(LEFT(IFERROR(TRIM(INDEX($A44:$T44,MATCH(Lists!$F$6,$A$1:$T$1,0))&amp;""),""),2)="No","General comment",IF(IFERROR(TRIM(INDEX($A44:$T44,MATCH(Lists!$F$7,$A$1:$T$1,0))&amp;""),"")&lt;&gt;"",IFERROR(TRIM(INDEX($A44:$T44,MATCH(Lists!$F$7,$A$1:$T$1,0))&amp;""),""),IF(IFERROR(TRIM(INDEX($A44:$T44,MATCH(Lists!$F$8,$A$1:$T$1,0))&amp;""),"")&lt;&gt;"",IFERROR(TRIM(INDEX($A44:$T44,MATCH(Lists!$F$8,$A$1:$T$1,0))&amp;""),""),"(no item given)"))))</f>
        <v/>
      </c>
      <c r="AC44" s="21">
        <f>IF(Y44="","",IF(ISNUMBER(SEARCH("support",IFERROR(TRIM(INDEX($A44:$T44,MATCH(Lists!$F$9,$A$1:$T$1,0))&amp;""),""))),"Support",IF(ISNUMBER(SEARCH("oppose",IFERROR(TRIM(INDEX($A44:$T44,MATCH(Lists!$F$9,$A$1:$T$1,0))&amp;""),""))),"Oppose",IF(IFERROR(TRIM(INDEX($A44:$T44,MATCH(Lists!$F$9,$A$1:$T$1,0))&amp;""),"")="","No position","Neither"))))</f>
        <v/>
      </c>
      <c r="AD44" s="21">
        <f>IF(Y44="","",IF(ISNUMBER(SEARCH("in person",IFERROR(TRIM(INDEX($A44:$T44,MATCH(Lists!$F$13,$A$1:$T$1,0))&amp;""),""))),"In person",IF(ISNUMBER(SEARCH("online",IFERROR(TRIM(INDEX($A44:$T44,MATCH(Lists!$F$13,$A$1:$T$1,0))&amp;""),""))),"Online","Written only")))</f>
        <v/>
      </c>
      <c r="AE44" s="21">
        <f>IF(Y44="","",IFERROR(TRIM(INDEX($A44:$T44,MATCH(Lists!$F$11,$A$1:$T$1,0))&amp;""),""))</f>
        <v/>
      </c>
      <c r="AF44" s="21">
        <f>IF(Y44="","",IFERROR(TRIM(INDEX($A44:$T44,MATCH(Lists!$F$12,$A$1:$T$1,0))&amp;""),""))</f>
        <v/>
      </c>
      <c r="AG44" s="21">
        <f>IF(Y44="","",IFERROR(TRIM(INDEX($A44:$T44,MATCH(Lists!$F$14,$A$1:$T$1,0))&amp;""),""))</f>
        <v/>
      </c>
      <c r="AH44" s="21">
        <f>IF(Y44="","",LEFT(IFERROR(TRIM(INDEX($A44:$T44,MATCH(Lists!$F$10,$A$1:$T$1,0))&amp;""),""),80))</f>
        <v/>
      </c>
      <c r="AI44" s="21">
        <f>IF(Y44="",0,IF(OR(Tally!$B$5="",AA44=Tally!$B$5),1,0))</f>
        <v/>
      </c>
      <c r="AJ44" s="21">
        <f>IF(AI44=1,IF(COUNTIFS($AB$2:AB44,AB44,$AI$2:AI44,1)=1,1,0),0)</f>
        <v/>
      </c>
      <c r="AK44" s="21">
        <f>IF(AJ44=1,SUM($AJ$2:AJ44),"")</f>
        <v/>
      </c>
      <c r="AL44" s="21">
        <f>IF(AND(AI44=1,OR(AD44="In person",AD44="Online"),OR(Speakers!$B$5="",AB44=Speakers!$B$5)),N(Z44)+ROW()/1000000000,"")</f>
        <v/>
      </c>
    </row>
    <row r="45">
      <c r="U45" s="19" t="n"/>
      <c r="V45" s="24" t="n"/>
      <c r="W45" s="24" t="n"/>
      <c r="X45" s="19" t="n"/>
      <c r="Y45" s="21">
        <f>IFERROR(TRIM(INDEX($A45:$T45,MATCH(Lists!$F$2,$A$1:$T$1,0))&amp;""),"")</f>
        <v/>
      </c>
      <c r="Z45" s="22">
        <f>IF(Y45="","",IFERROR(IF(ISNUMBER(INDEX($A45:$T45,MATCH(Lists!$F$3,$A$1:$T$1,0))),INDEX($A45:$T45,MATCH(Lists!$F$3,$A$1:$T$1,0)),DATE(VALUE(LEFT(IFERROR(TRIM(INDEX($A45:$T45,MATCH(Lists!$F$3,$A$1:$T$1,0))&amp;""),""),4)),VALUE(MID(IFERROR(TRIM(INDEX($A45:$T45,MATCH(Lists!$F$3,$A$1:$T$1,0))&amp;""),""),6,2)),VALUE(MID(IFERROR(TRIM(INDEX($A45:$T45,MATCH(Lists!$F$3,$A$1:$T$1,0))&amp;""),""),9,2)))+TIME(VALUE(MID(IFERROR(TRIM(INDEX($A45:$T45,MATCH(Lists!$F$3,$A$1:$T$1,0))&amp;""),""),12,2)),VALUE(MID(IFERROR(TRIM(INDEX($A45:$T45,MATCH(Lists!$F$3,$A$1:$T$1,0))&amp;""),""),15,2)),VALUE(MID(IFERROR(TRIM(INDEX($A45:$T45,MATCH(Lists!$F$3,$A$1:$T$1,0))&amp;""),""),18,2)))),""))</f>
        <v/>
      </c>
      <c r="AA45" s="23">
        <f>IF(Y45="","",IF(ISNUMBER(IFERROR(IF(TRIM(INDEX($A45:$T45,MATCH(Lists!$F$4,$A$1:$T$1,0))&amp;"")="","",IF(ISNUMBER(INDEX($A45:$T45,MATCH(Lists!$F$4,$A$1:$T$1,0))),INT(INDEX($A45:$T45,MATCH(Lists!$F$4,$A$1:$T$1,0))),DATE(VALUE(LEFT(INDEX($A45:$T45,MATCH(Lists!$F$4,$A$1:$T$1,0)),4)),VALUE(MID(INDEX($A45:$T45,MATCH(Lists!$F$4,$A$1:$T$1,0)),6,2)),VALUE(MID(INDEX($A45:$T45,MATCH(Lists!$F$4,$A$1:$T$1,0)),9,2))))),"")),IFERROR(IF(TRIM(INDEX($A45:$T45,MATCH(Lists!$F$4,$A$1:$T$1,0))&amp;"")="","",IF(ISNUMBER(INDEX($A45:$T45,MATCH(Lists!$F$4,$A$1:$T$1,0))),INT(INDEX($A45:$T45,MATCH(Lists!$F$4,$A$1:$T$1,0))),DATE(VALUE(LEFT(INDEX($A45:$T45,MATCH(Lists!$F$4,$A$1:$T$1,0)),4)),VALUE(MID(INDEX($A45:$T45,MATCH(Lists!$F$4,$A$1:$T$1,0)),6,2)),VALUE(MID(INDEX($A45:$T45,MATCH(Lists!$F$4,$A$1:$T$1,0)),9,2))))),""),IFERROR(IF(TRIM(INDEX($A45:$T45,MATCH(Lists!$F$5,$A$1:$T$1,0))&amp;"")="","",IF(ISNUMBER(INDEX($A45:$T45,MATCH(Lists!$F$5,$A$1:$T$1,0))),INT(INDEX($A45:$T45,MATCH(Lists!$F$5,$A$1:$T$1,0))),DATE(VALUE(LEFT(INDEX($A45:$T45,MATCH(Lists!$F$5,$A$1:$T$1,0)),4)),VALUE(MID(INDEX($A45:$T45,MATCH(Lists!$F$5,$A$1:$T$1,0)),6,2)),VALUE(MID(INDEX($A45:$T45,MATCH(Lists!$F$5,$A$1:$T$1,0)),9,2))))),"")))</f>
        <v/>
      </c>
      <c r="AB45" s="21">
        <f>IF(Y45="","",IF(LEFT(IFERROR(TRIM(INDEX($A45:$T45,MATCH(Lists!$F$6,$A$1:$T$1,0))&amp;""),""),2)="No","General comment",IF(IFERROR(TRIM(INDEX($A45:$T45,MATCH(Lists!$F$7,$A$1:$T$1,0))&amp;""),"")&lt;&gt;"",IFERROR(TRIM(INDEX($A45:$T45,MATCH(Lists!$F$7,$A$1:$T$1,0))&amp;""),""),IF(IFERROR(TRIM(INDEX($A45:$T45,MATCH(Lists!$F$8,$A$1:$T$1,0))&amp;""),"")&lt;&gt;"",IFERROR(TRIM(INDEX($A45:$T45,MATCH(Lists!$F$8,$A$1:$T$1,0))&amp;""),""),"(no item given)"))))</f>
        <v/>
      </c>
      <c r="AC45" s="21">
        <f>IF(Y45="","",IF(ISNUMBER(SEARCH("support",IFERROR(TRIM(INDEX($A45:$T45,MATCH(Lists!$F$9,$A$1:$T$1,0))&amp;""),""))),"Support",IF(ISNUMBER(SEARCH("oppose",IFERROR(TRIM(INDEX($A45:$T45,MATCH(Lists!$F$9,$A$1:$T$1,0))&amp;""),""))),"Oppose",IF(IFERROR(TRIM(INDEX($A45:$T45,MATCH(Lists!$F$9,$A$1:$T$1,0))&amp;""),"")="","No position","Neither"))))</f>
        <v/>
      </c>
      <c r="AD45" s="21">
        <f>IF(Y45="","",IF(ISNUMBER(SEARCH("in person",IFERROR(TRIM(INDEX($A45:$T45,MATCH(Lists!$F$13,$A$1:$T$1,0))&amp;""),""))),"In person",IF(ISNUMBER(SEARCH("online",IFERROR(TRIM(INDEX($A45:$T45,MATCH(Lists!$F$13,$A$1:$T$1,0))&amp;""),""))),"Online","Written only")))</f>
        <v/>
      </c>
      <c r="AE45" s="21">
        <f>IF(Y45="","",IFERROR(TRIM(INDEX($A45:$T45,MATCH(Lists!$F$11,$A$1:$T$1,0))&amp;""),""))</f>
        <v/>
      </c>
      <c r="AF45" s="21">
        <f>IF(Y45="","",IFERROR(TRIM(INDEX($A45:$T45,MATCH(Lists!$F$12,$A$1:$T$1,0))&amp;""),""))</f>
        <v/>
      </c>
      <c r="AG45" s="21">
        <f>IF(Y45="","",IFERROR(TRIM(INDEX($A45:$T45,MATCH(Lists!$F$14,$A$1:$T$1,0))&amp;""),""))</f>
        <v/>
      </c>
      <c r="AH45" s="21">
        <f>IF(Y45="","",LEFT(IFERROR(TRIM(INDEX($A45:$T45,MATCH(Lists!$F$10,$A$1:$T$1,0))&amp;""),""),80))</f>
        <v/>
      </c>
      <c r="AI45" s="21">
        <f>IF(Y45="",0,IF(OR(Tally!$B$5="",AA45=Tally!$B$5),1,0))</f>
        <v/>
      </c>
      <c r="AJ45" s="21">
        <f>IF(AI45=1,IF(COUNTIFS($AB$2:AB45,AB45,$AI$2:AI45,1)=1,1,0),0)</f>
        <v/>
      </c>
      <c r="AK45" s="21">
        <f>IF(AJ45=1,SUM($AJ$2:AJ45),"")</f>
        <v/>
      </c>
      <c r="AL45" s="21">
        <f>IF(AND(AI45=1,OR(AD45="In person",AD45="Online"),OR(Speakers!$B$5="",AB45=Speakers!$B$5)),N(Z45)+ROW()/1000000000,"")</f>
        <v/>
      </c>
    </row>
    <row r="46">
      <c r="U46" s="19" t="n"/>
      <c r="V46" s="24" t="n"/>
      <c r="W46" s="24" t="n"/>
      <c r="X46" s="19" t="n"/>
      <c r="Y46" s="21">
        <f>IFERROR(TRIM(INDEX($A46:$T46,MATCH(Lists!$F$2,$A$1:$T$1,0))&amp;""),"")</f>
        <v/>
      </c>
      <c r="Z46" s="22">
        <f>IF(Y46="","",IFERROR(IF(ISNUMBER(INDEX($A46:$T46,MATCH(Lists!$F$3,$A$1:$T$1,0))),INDEX($A46:$T46,MATCH(Lists!$F$3,$A$1:$T$1,0)),DATE(VALUE(LEFT(IFERROR(TRIM(INDEX($A46:$T46,MATCH(Lists!$F$3,$A$1:$T$1,0))&amp;""),""),4)),VALUE(MID(IFERROR(TRIM(INDEX($A46:$T46,MATCH(Lists!$F$3,$A$1:$T$1,0))&amp;""),""),6,2)),VALUE(MID(IFERROR(TRIM(INDEX($A46:$T46,MATCH(Lists!$F$3,$A$1:$T$1,0))&amp;""),""),9,2)))+TIME(VALUE(MID(IFERROR(TRIM(INDEX($A46:$T46,MATCH(Lists!$F$3,$A$1:$T$1,0))&amp;""),""),12,2)),VALUE(MID(IFERROR(TRIM(INDEX($A46:$T46,MATCH(Lists!$F$3,$A$1:$T$1,0))&amp;""),""),15,2)),VALUE(MID(IFERROR(TRIM(INDEX($A46:$T46,MATCH(Lists!$F$3,$A$1:$T$1,0))&amp;""),""),18,2)))),""))</f>
        <v/>
      </c>
      <c r="AA46" s="23">
        <f>IF(Y46="","",IF(ISNUMBER(IFERROR(IF(TRIM(INDEX($A46:$T46,MATCH(Lists!$F$4,$A$1:$T$1,0))&amp;"")="","",IF(ISNUMBER(INDEX($A46:$T46,MATCH(Lists!$F$4,$A$1:$T$1,0))),INT(INDEX($A46:$T46,MATCH(Lists!$F$4,$A$1:$T$1,0))),DATE(VALUE(LEFT(INDEX($A46:$T46,MATCH(Lists!$F$4,$A$1:$T$1,0)),4)),VALUE(MID(INDEX($A46:$T46,MATCH(Lists!$F$4,$A$1:$T$1,0)),6,2)),VALUE(MID(INDEX($A46:$T46,MATCH(Lists!$F$4,$A$1:$T$1,0)),9,2))))),"")),IFERROR(IF(TRIM(INDEX($A46:$T46,MATCH(Lists!$F$4,$A$1:$T$1,0))&amp;"")="","",IF(ISNUMBER(INDEX($A46:$T46,MATCH(Lists!$F$4,$A$1:$T$1,0))),INT(INDEX($A46:$T46,MATCH(Lists!$F$4,$A$1:$T$1,0))),DATE(VALUE(LEFT(INDEX($A46:$T46,MATCH(Lists!$F$4,$A$1:$T$1,0)),4)),VALUE(MID(INDEX($A46:$T46,MATCH(Lists!$F$4,$A$1:$T$1,0)),6,2)),VALUE(MID(INDEX($A46:$T46,MATCH(Lists!$F$4,$A$1:$T$1,0)),9,2))))),""),IFERROR(IF(TRIM(INDEX($A46:$T46,MATCH(Lists!$F$5,$A$1:$T$1,0))&amp;"")="","",IF(ISNUMBER(INDEX($A46:$T46,MATCH(Lists!$F$5,$A$1:$T$1,0))),INT(INDEX($A46:$T46,MATCH(Lists!$F$5,$A$1:$T$1,0))),DATE(VALUE(LEFT(INDEX($A46:$T46,MATCH(Lists!$F$5,$A$1:$T$1,0)),4)),VALUE(MID(INDEX($A46:$T46,MATCH(Lists!$F$5,$A$1:$T$1,0)),6,2)),VALUE(MID(INDEX($A46:$T46,MATCH(Lists!$F$5,$A$1:$T$1,0)),9,2))))),"")))</f>
        <v/>
      </c>
      <c r="AB46" s="21">
        <f>IF(Y46="","",IF(LEFT(IFERROR(TRIM(INDEX($A46:$T46,MATCH(Lists!$F$6,$A$1:$T$1,0))&amp;""),""),2)="No","General comment",IF(IFERROR(TRIM(INDEX($A46:$T46,MATCH(Lists!$F$7,$A$1:$T$1,0))&amp;""),"")&lt;&gt;"",IFERROR(TRIM(INDEX($A46:$T46,MATCH(Lists!$F$7,$A$1:$T$1,0))&amp;""),""),IF(IFERROR(TRIM(INDEX($A46:$T46,MATCH(Lists!$F$8,$A$1:$T$1,0))&amp;""),"")&lt;&gt;"",IFERROR(TRIM(INDEX($A46:$T46,MATCH(Lists!$F$8,$A$1:$T$1,0))&amp;""),""),"(no item given)"))))</f>
        <v/>
      </c>
      <c r="AC46" s="21">
        <f>IF(Y46="","",IF(ISNUMBER(SEARCH("support",IFERROR(TRIM(INDEX($A46:$T46,MATCH(Lists!$F$9,$A$1:$T$1,0))&amp;""),""))),"Support",IF(ISNUMBER(SEARCH("oppose",IFERROR(TRIM(INDEX($A46:$T46,MATCH(Lists!$F$9,$A$1:$T$1,0))&amp;""),""))),"Oppose",IF(IFERROR(TRIM(INDEX($A46:$T46,MATCH(Lists!$F$9,$A$1:$T$1,0))&amp;""),"")="","No position","Neither"))))</f>
        <v/>
      </c>
      <c r="AD46" s="21">
        <f>IF(Y46="","",IF(ISNUMBER(SEARCH("in person",IFERROR(TRIM(INDEX($A46:$T46,MATCH(Lists!$F$13,$A$1:$T$1,0))&amp;""),""))),"In person",IF(ISNUMBER(SEARCH("online",IFERROR(TRIM(INDEX($A46:$T46,MATCH(Lists!$F$13,$A$1:$T$1,0))&amp;""),""))),"Online","Written only")))</f>
        <v/>
      </c>
      <c r="AE46" s="21">
        <f>IF(Y46="","",IFERROR(TRIM(INDEX($A46:$T46,MATCH(Lists!$F$11,$A$1:$T$1,0))&amp;""),""))</f>
        <v/>
      </c>
      <c r="AF46" s="21">
        <f>IF(Y46="","",IFERROR(TRIM(INDEX($A46:$T46,MATCH(Lists!$F$12,$A$1:$T$1,0))&amp;""),""))</f>
        <v/>
      </c>
      <c r="AG46" s="21">
        <f>IF(Y46="","",IFERROR(TRIM(INDEX($A46:$T46,MATCH(Lists!$F$14,$A$1:$T$1,0))&amp;""),""))</f>
        <v/>
      </c>
      <c r="AH46" s="21">
        <f>IF(Y46="","",LEFT(IFERROR(TRIM(INDEX($A46:$T46,MATCH(Lists!$F$10,$A$1:$T$1,0))&amp;""),""),80))</f>
        <v/>
      </c>
      <c r="AI46" s="21">
        <f>IF(Y46="",0,IF(OR(Tally!$B$5="",AA46=Tally!$B$5),1,0))</f>
        <v/>
      </c>
      <c r="AJ46" s="21">
        <f>IF(AI46=1,IF(COUNTIFS($AB$2:AB46,AB46,$AI$2:AI46,1)=1,1,0),0)</f>
        <v/>
      </c>
      <c r="AK46" s="21">
        <f>IF(AJ46=1,SUM($AJ$2:AJ46),"")</f>
        <v/>
      </c>
      <c r="AL46" s="21">
        <f>IF(AND(AI46=1,OR(AD46="In person",AD46="Online"),OR(Speakers!$B$5="",AB46=Speakers!$B$5)),N(Z46)+ROW()/1000000000,"")</f>
        <v/>
      </c>
    </row>
    <row r="47">
      <c r="U47" s="19" t="n"/>
      <c r="V47" s="24" t="n"/>
      <c r="W47" s="24" t="n"/>
      <c r="X47" s="19" t="n"/>
      <c r="Y47" s="21">
        <f>IFERROR(TRIM(INDEX($A47:$T47,MATCH(Lists!$F$2,$A$1:$T$1,0))&amp;""),"")</f>
        <v/>
      </c>
      <c r="Z47" s="22">
        <f>IF(Y47="","",IFERROR(IF(ISNUMBER(INDEX($A47:$T47,MATCH(Lists!$F$3,$A$1:$T$1,0))),INDEX($A47:$T47,MATCH(Lists!$F$3,$A$1:$T$1,0)),DATE(VALUE(LEFT(IFERROR(TRIM(INDEX($A47:$T47,MATCH(Lists!$F$3,$A$1:$T$1,0))&amp;""),""),4)),VALUE(MID(IFERROR(TRIM(INDEX($A47:$T47,MATCH(Lists!$F$3,$A$1:$T$1,0))&amp;""),""),6,2)),VALUE(MID(IFERROR(TRIM(INDEX($A47:$T47,MATCH(Lists!$F$3,$A$1:$T$1,0))&amp;""),""),9,2)))+TIME(VALUE(MID(IFERROR(TRIM(INDEX($A47:$T47,MATCH(Lists!$F$3,$A$1:$T$1,0))&amp;""),""),12,2)),VALUE(MID(IFERROR(TRIM(INDEX($A47:$T47,MATCH(Lists!$F$3,$A$1:$T$1,0))&amp;""),""),15,2)),VALUE(MID(IFERROR(TRIM(INDEX($A47:$T47,MATCH(Lists!$F$3,$A$1:$T$1,0))&amp;""),""),18,2)))),""))</f>
        <v/>
      </c>
      <c r="AA47" s="23">
        <f>IF(Y47="","",IF(ISNUMBER(IFERROR(IF(TRIM(INDEX($A47:$T47,MATCH(Lists!$F$4,$A$1:$T$1,0))&amp;"")="","",IF(ISNUMBER(INDEX($A47:$T47,MATCH(Lists!$F$4,$A$1:$T$1,0))),INT(INDEX($A47:$T47,MATCH(Lists!$F$4,$A$1:$T$1,0))),DATE(VALUE(LEFT(INDEX($A47:$T47,MATCH(Lists!$F$4,$A$1:$T$1,0)),4)),VALUE(MID(INDEX($A47:$T47,MATCH(Lists!$F$4,$A$1:$T$1,0)),6,2)),VALUE(MID(INDEX($A47:$T47,MATCH(Lists!$F$4,$A$1:$T$1,0)),9,2))))),"")),IFERROR(IF(TRIM(INDEX($A47:$T47,MATCH(Lists!$F$4,$A$1:$T$1,0))&amp;"")="","",IF(ISNUMBER(INDEX($A47:$T47,MATCH(Lists!$F$4,$A$1:$T$1,0))),INT(INDEX($A47:$T47,MATCH(Lists!$F$4,$A$1:$T$1,0))),DATE(VALUE(LEFT(INDEX($A47:$T47,MATCH(Lists!$F$4,$A$1:$T$1,0)),4)),VALUE(MID(INDEX($A47:$T47,MATCH(Lists!$F$4,$A$1:$T$1,0)),6,2)),VALUE(MID(INDEX($A47:$T47,MATCH(Lists!$F$4,$A$1:$T$1,0)),9,2))))),""),IFERROR(IF(TRIM(INDEX($A47:$T47,MATCH(Lists!$F$5,$A$1:$T$1,0))&amp;"")="","",IF(ISNUMBER(INDEX($A47:$T47,MATCH(Lists!$F$5,$A$1:$T$1,0))),INT(INDEX($A47:$T47,MATCH(Lists!$F$5,$A$1:$T$1,0))),DATE(VALUE(LEFT(INDEX($A47:$T47,MATCH(Lists!$F$5,$A$1:$T$1,0)),4)),VALUE(MID(INDEX($A47:$T47,MATCH(Lists!$F$5,$A$1:$T$1,0)),6,2)),VALUE(MID(INDEX($A47:$T47,MATCH(Lists!$F$5,$A$1:$T$1,0)),9,2))))),"")))</f>
        <v/>
      </c>
      <c r="AB47" s="21">
        <f>IF(Y47="","",IF(LEFT(IFERROR(TRIM(INDEX($A47:$T47,MATCH(Lists!$F$6,$A$1:$T$1,0))&amp;""),""),2)="No","General comment",IF(IFERROR(TRIM(INDEX($A47:$T47,MATCH(Lists!$F$7,$A$1:$T$1,0))&amp;""),"")&lt;&gt;"",IFERROR(TRIM(INDEX($A47:$T47,MATCH(Lists!$F$7,$A$1:$T$1,0))&amp;""),""),IF(IFERROR(TRIM(INDEX($A47:$T47,MATCH(Lists!$F$8,$A$1:$T$1,0))&amp;""),"")&lt;&gt;"",IFERROR(TRIM(INDEX($A47:$T47,MATCH(Lists!$F$8,$A$1:$T$1,0))&amp;""),""),"(no item given)"))))</f>
        <v/>
      </c>
      <c r="AC47" s="21">
        <f>IF(Y47="","",IF(ISNUMBER(SEARCH("support",IFERROR(TRIM(INDEX($A47:$T47,MATCH(Lists!$F$9,$A$1:$T$1,0))&amp;""),""))),"Support",IF(ISNUMBER(SEARCH("oppose",IFERROR(TRIM(INDEX($A47:$T47,MATCH(Lists!$F$9,$A$1:$T$1,0))&amp;""),""))),"Oppose",IF(IFERROR(TRIM(INDEX($A47:$T47,MATCH(Lists!$F$9,$A$1:$T$1,0))&amp;""),"")="","No position","Neither"))))</f>
        <v/>
      </c>
      <c r="AD47" s="21">
        <f>IF(Y47="","",IF(ISNUMBER(SEARCH("in person",IFERROR(TRIM(INDEX($A47:$T47,MATCH(Lists!$F$13,$A$1:$T$1,0))&amp;""),""))),"In person",IF(ISNUMBER(SEARCH("online",IFERROR(TRIM(INDEX($A47:$T47,MATCH(Lists!$F$13,$A$1:$T$1,0))&amp;""),""))),"Online","Written only")))</f>
        <v/>
      </c>
      <c r="AE47" s="21">
        <f>IF(Y47="","",IFERROR(TRIM(INDEX($A47:$T47,MATCH(Lists!$F$11,$A$1:$T$1,0))&amp;""),""))</f>
        <v/>
      </c>
      <c r="AF47" s="21">
        <f>IF(Y47="","",IFERROR(TRIM(INDEX($A47:$T47,MATCH(Lists!$F$12,$A$1:$T$1,0))&amp;""),""))</f>
        <v/>
      </c>
      <c r="AG47" s="21">
        <f>IF(Y47="","",IFERROR(TRIM(INDEX($A47:$T47,MATCH(Lists!$F$14,$A$1:$T$1,0))&amp;""),""))</f>
        <v/>
      </c>
      <c r="AH47" s="21">
        <f>IF(Y47="","",LEFT(IFERROR(TRIM(INDEX($A47:$T47,MATCH(Lists!$F$10,$A$1:$T$1,0))&amp;""),""),80))</f>
        <v/>
      </c>
      <c r="AI47" s="21">
        <f>IF(Y47="",0,IF(OR(Tally!$B$5="",AA47=Tally!$B$5),1,0))</f>
        <v/>
      </c>
      <c r="AJ47" s="21">
        <f>IF(AI47=1,IF(COUNTIFS($AB$2:AB47,AB47,$AI$2:AI47,1)=1,1,0),0)</f>
        <v/>
      </c>
      <c r="AK47" s="21">
        <f>IF(AJ47=1,SUM($AJ$2:AJ47),"")</f>
        <v/>
      </c>
      <c r="AL47" s="21">
        <f>IF(AND(AI47=1,OR(AD47="In person",AD47="Online"),OR(Speakers!$B$5="",AB47=Speakers!$B$5)),N(Z47)+ROW()/1000000000,"")</f>
        <v/>
      </c>
    </row>
    <row r="48">
      <c r="U48" s="19" t="n"/>
      <c r="V48" s="24" t="n"/>
      <c r="W48" s="24" t="n"/>
      <c r="X48" s="19" t="n"/>
      <c r="Y48" s="21">
        <f>IFERROR(TRIM(INDEX($A48:$T48,MATCH(Lists!$F$2,$A$1:$T$1,0))&amp;""),"")</f>
        <v/>
      </c>
      <c r="Z48" s="22">
        <f>IF(Y48="","",IFERROR(IF(ISNUMBER(INDEX($A48:$T48,MATCH(Lists!$F$3,$A$1:$T$1,0))),INDEX($A48:$T48,MATCH(Lists!$F$3,$A$1:$T$1,0)),DATE(VALUE(LEFT(IFERROR(TRIM(INDEX($A48:$T48,MATCH(Lists!$F$3,$A$1:$T$1,0))&amp;""),""),4)),VALUE(MID(IFERROR(TRIM(INDEX($A48:$T48,MATCH(Lists!$F$3,$A$1:$T$1,0))&amp;""),""),6,2)),VALUE(MID(IFERROR(TRIM(INDEX($A48:$T48,MATCH(Lists!$F$3,$A$1:$T$1,0))&amp;""),""),9,2)))+TIME(VALUE(MID(IFERROR(TRIM(INDEX($A48:$T48,MATCH(Lists!$F$3,$A$1:$T$1,0))&amp;""),""),12,2)),VALUE(MID(IFERROR(TRIM(INDEX($A48:$T48,MATCH(Lists!$F$3,$A$1:$T$1,0))&amp;""),""),15,2)),VALUE(MID(IFERROR(TRIM(INDEX($A48:$T48,MATCH(Lists!$F$3,$A$1:$T$1,0))&amp;""),""),18,2)))),""))</f>
        <v/>
      </c>
      <c r="AA48" s="23">
        <f>IF(Y48="","",IF(ISNUMBER(IFERROR(IF(TRIM(INDEX($A48:$T48,MATCH(Lists!$F$4,$A$1:$T$1,0))&amp;"")="","",IF(ISNUMBER(INDEX($A48:$T48,MATCH(Lists!$F$4,$A$1:$T$1,0))),INT(INDEX($A48:$T48,MATCH(Lists!$F$4,$A$1:$T$1,0))),DATE(VALUE(LEFT(INDEX($A48:$T48,MATCH(Lists!$F$4,$A$1:$T$1,0)),4)),VALUE(MID(INDEX($A48:$T48,MATCH(Lists!$F$4,$A$1:$T$1,0)),6,2)),VALUE(MID(INDEX($A48:$T48,MATCH(Lists!$F$4,$A$1:$T$1,0)),9,2))))),"")),IFERROR(IF(TRIM(INDEX($A48:$T48,MATCH(Lists!$F$4,$A$1:$T$1,0))&amp;"")="","",IF(ISNUMBER(INDEX($A48:$T48,MATCH(Lists!$F$4,$A$1:$T$1,0))),INT(INDEX($A48:$T48,MATCH(Lists!$F$4,$A$1:$T$1,0))),DATE(VALUE(LEFT(INDEX($A48:$T48,MATCH(Lists!$F$4,$A$1:$T$1,0)),4)),VALUE(MID(INDEX($A48:$T48,MATCH(Lists!$F$4,$A$1:$T$1,0)),6,2)),VALUE(MID(INDEX($A48:$T48,MATCH(Lists!$F$4,$A$1:$T$1,0)),9,2))))),""),IFERROR(IF(TRIM(INDEX($A48:$T48,MATCH(Lists!$F$5,$A$1:$T$1,0))&amp;"")="","",IF(ISNUMBER(INDEX($A48:$T48,MATCH(Lists!$F$5,$A$1:$T$1,0))),INT(INDEX($A48:$T48,MATCH(Lists!$F$5,$A$1:$T$1,0))),DATE(VALUE(LEFT(INDEX($A48:$T48,MATCH(Lists!$F$5,$A$1:$T$1,0)),4)),VALUE(MID(INDEX($A48:$T48,MATCH(Lists!$F$5,$A$1:$T$1,0)),6,2)),VALUE(MID(INDEX($A48:$T48,MATCH(Lists!$F$5,$A$1:$T$1,0)),9,2))))),"")))</f>
        <v/>
      </c>
      <c r="AB48" s="21">
        <f>IF(Y48="","",IF(LEFT(IFERROR(TRIM(INDEX($A48:$T48,MATCH(Lists!$F$6,$A$1:$T$1,0))&amp;""),""),2)="No","General comment",IF(IFERROR(TRIM(INDEX($A48:$T48,MATCH(Lists!$F$7,$A$1:$T$1,0))&amp;""),"")&lt;&gt;"",IFERROR(TRIM(INDEX($A48:$T48,MATCH(Lists!$F$7,$A$1:$T$1,0))&amp;""),""),IF(IFERROR(TRIM(INDEX($A48:$T48,MATCH(Lists!$F$8,$A$1:$T$1,0))&amp;""),"")&lt;&gt;"",IFERROR(TRIM(INDEX($A48:$T48,MATCH(Lists!$F$8,$A$1:$T$1,0))&amp;""),""),"(no item given)"))))</f>
        <v/>
      </c>
      <c r="AC48" s="21">
        <f>IF(Y48="","",IF(ISNUMBER(SEARCH("support",IFERROR(TRIM(INDEX($A48:$T48,MATCH(Lists!$F$9,$A$1:$T$1,0))&amp;""),""))),"Support",IF(ISNUMBER(SEARCH("oppose",IFERROR(TRIM(INDEX($A48:$T48,MATCH(Lists!$F$9,$A$1:$T$1,0))&amp;""),""))),"Oppose",IF(IFERROR(TRIM(INDEX($A48:$T48,MATCH(Lists!$F$9,$A$1:$T$1,0))&amp;""),"")="","No position","Neither"))))</f>
        <v/>
      </c>
      <c r="AD48" s="21">
        <f>IF(Y48="","",IF(ISNUMBER(SEARCH("in person",IFERROR(TRIM(INDEX($A48:$T48,MATCH(Lists!$F$13,$A$1:$T$1,0))&amp;""),""))),"In person",IF(ISNUMBER(SEARCH("online",IFERROR(TRIM(INDEX($A48:$T48,MATCH(Lists!$F$13,$A$1:$T$1,0))&amp;""),""))),"Online","Written only")))</f>
        <v/>
      </c>
      <c r="AE48" s="21">
        <f>IF(Y48="","",IFERROR(TRIM(INDEX($A48:$T48,MATCH(Lists!$F$11,$A$1:$T$1,0))&amp;""),""))</f>
        <v/>
      </c>
      <c r="AF48" s="21">
        <f>IF(Y48="","",IFERROR(TRIM(INDEX($A48:$T48,MATCH(Lists!$F$12,$A$1:$T$1,0))&amp;""),""))</f>
        <v/>
      </c>
      <c r="AG48" s="21">
        <f>IF(Y48="","",IFERROR(TRIM(INDEX($A48:$T48,MATCH(Lists!$F$14,$A$1:$T$1,0))&amp;""),""))</f>
        <v/>
      </c>
      <c r="AH48" s="21">
        <f>IF(Y48="","",LEFT(IFERROR(TRIM(INDEX($A48:$T48,MATCH(Lists!$F$10,$A$1:$T$1,0))&amp;""),""),80))</f>
        <v/>
      </c>
      <c r="AI48" s="21">
        <f>IF(Y48="",0,IF(OR(Tally!$B$5="",AA48=Tally!$B$5),1,0))</f>
        <v/>
      </c>
      <c r="AJ48" s="21">
        <f>IF(AI48=1,IF(COUNTIFS($AB$2:AB48,AB48,$AI$2:AI48,1)=1,1,0),0)</f>
        <v/>
      </c>
      <c r="AK48" s="21">
        <f>IF(AJ48=1,SUM($AJ$2:AJ48),"")</f>
        <v/>
      </c>
      <c r="AL48" s="21">
        <f>IF(AND(AI48=1,OR(AD48="In person",AD48="Online"),OR(Speakers!$B$5="",AB48=Speakers!$B$5)),N(Z48)+ROW()/1000000000,"")</f>
        <v/>
      </c>
    </row>
    <row r="49">
      <c r="U49" s="19" t="n"/>
      <c r="V49" s="24" t="n"/>
      <c r="W49" s="24" t="n"/>
      <c r="X49" s="19" t="n"/>
      <c r="Y49" s="21">
        <f>IFERROR(TRIM(INDEX($A49:$T49,MATCH(Lists!$F$2,$A$1:$T$1,0))&amp;""),"")</f>
        <v/>
      </c>
      <c r="Z49" s="22">
        <f>IF(Y49="","",IFERROR(IF(ISNUMBER(INDEX($A49:$T49,MATCH(Lists!$F$3,$A$1:$T$1,0))),INDEX($A49:$T49,MATCH(Lists!$F$3,$A$1:$T$1,0)),DATE(VALUE(LEFT(IFERROR(TRIM(INDEX($A49:$T49,MATCH(Lists!$F$3,$A$1:$T$1,0))&amp;""),""),4)),VALUE(MID(IFERROR(TRIM(INDEX($A49:$T49,MATCH(Lists!$F$3,$A$1:$T$1,0))&amp;""),""),6,2)),VALUE(MID(IFERROR(TRIM(INDEX($A49:$T49,MATCH(Lists!$F$3,$A$1:$T$1,0))&amp;""),""),9,2)))+TIME(VALUE(MID(IFERROR(TRIM(INDEX($A49:$T49,MATCH(Lists!$F$3,$A$1:$T$1,0))&amp;""),""),12,2)),VALUE(MID(IFERROR(TRIM(INDEX($A49:$T49,MATCH(Lists!$F$3,$A$1:$T$1,0))&amp;""),""),15,2)),VALUE(MID(IFERROR(TRIM(INDEX($A49:$T49,MATCH(Lists!$F$3,$A$1:$T$1,0))&amp;""),""),18,2)))),""))</f>
        <v/>
      </c>
      <c r="AA49" s="23">
        <f>IF(Y49="","",IF(ISNUMBER(IFERROR(IF(TRIM(INDEX($A49:$T49,MATCH(Lists!$F$4,$A$1:$T$1,0))&amp;"")="","",IF(ISNUMBER(INDEX($A49:$T49,MATCH(Lists!$F$4,$A$1:$T$1,0))),INT(INDEX($A49:$T49,MATCH(Lists!$F$4,$A$1:$T$1,0))),DATE(VALUE(LEFT(INDEX($A49:$T49,MATCH(Lists!$F$4,$A$1:$T$1,0)),4)),VALUE(MID(INDEX($A49:$T49,MATCH(Lists!$F$4,$A$1:$T$1,0)),6,2)),VALUE(MID(INDEX($A49:$T49,MATCH(Lists!$F$4,$A$1:$T$1,0)),9,2))))),"")),IFERROR(IF(TRIM(INDEX($A49:$T49,MATCH(Lists!$F$4,$A$1:$T$1,0))&amp;"")="","",IF(ISNUMBER(INDEX($A49:$T49,MATCH(Lists!$F$4,$A$1:$T$1,0))),INT(INDEX($A49:$T49,MATCH(Lists!$F$4,$A$1:$T$1,0))),DATE(VALUE(LEFT(INDEX($A49:$T49,MATCH(Lists!$F$4,$A$1:$T$1,0)),4)),VALUE(MID(INDEX($A49:$T49,MATCH(Lists!$F$4,$A$1:$T$1,0)),6,2)),VALUE(MID(INDEX($A49:$T49,MATCH(Lists!$F$4,$A$1:$T$1,0)),9,2))))),""),IFERROR(IF(TRIM(INDEX($A49:$T49,MATCH(Lists!$F$5,$A$1:$T$1,0))&amp;"")="","",IF(ISNUMBER(INDEX($A49:$T49,MATCH(Lists!$F$5,$A$1:$T$1,0))),INT(INDEX($A49:$T49,MATCH(Lists!$F$5,$A$1:$T$1,0))),DATE(VALUE(LEFT(INDEX($A49:$T49,MATCH(Lists!$F$5,$A$1:$T$1,0)),4)),VALUE(MID(INDEX($A49:$T49,MATCH(Lists!$F$5,$A$1:$T$1,0)),6,2)),VALUE(MID(INDEX($A49:$T49,MATCH(Lists!$F$5,$A$1:$T$1,0)),9,2))))),"")))</f>
        <v/>
      </c>
      <c r="AB49" s="21">
        <f>IF(Y49="","",IF(LEFT(IFERROR(TRIM(INDEX($A49:$T49,MATCH(Lists!$F$6,$A$1:$T$1,0))&amp;""),""),2)="No","General comment",IF(IFERROR(TRIM(INDEX($A49:$T49,MATCH(Lists!$F$7,$A$1:$T$1,0))&amp;""),"")&lt;&gt;"",IFERROR(TRIM(INDEX($A49:$T49,MATCH(Lists!$F$7,$A$1:$T$1,0))&amp;""),""),IF(IFERROR(TRIM(INDEX($A49:$T49,MATCH(Lists!$F$8,$A$1:$T$1,0))&amp;""),"")&lt;&gt;"",IFERROR(TRIM(INDEX($A49:$T49,MATCH(Lists!$F$8,$A$1:$T$1,0))&amp;""),""),"(no item given)"))))</f>
        <v/>
      </c>
      <c r="AC49" s="21">
        <f>IF(Y49="","",IF(ISNUMBER(SEARCH("support",IFERROR(TRIM(INDEX($A49:$T49,MATCH(Lists!$F$9,$A$1:$T$1,0))&amp;""),""))),"Support",IF(ISNUMBER(SEARCH("oppose",IFERROR(TRIM(INDEX($A49:$T49,MATCH(Lists!$F$9,$A$1:$T$1,0))&amp;""),""))),"Oppose",IF(IFERROR(TRIM(INDEX($A49:$T49,MATCH(Lists!$F$9,$A$1:$T$1,0))&amp;""),"")="","No position","Neither"))))</f>
        <v/>
      </c>
      <c r="AD49" s="21">
        <f>IF(Y49="","",IF(ISNUMBER(SEARCH("in person",IFERROR(TRIM(INDEX($A49:$T49,MATCH(Lists!$F$13,$A$1:$T$1,0))&amp;""),""))),"In person",IF(ISNUMBER(SEARCH("online",IFERROR(TRIM(INDEX($A49:$T49,MATCH(Lists!$F$13,$A$1:$T$1,0))&amp;""),""))),"Online","Written only")))</f>
        <v/>
      </c>
      <c r="AE49" s="21">
        <f>IF(Y49="","",IFERROR(TRIM(INDEX($A49:$T49,MATCH(Lists!$F$11,$A$1:$T$1,0))&amp;""),""))</f>
        <v/>
      </c>
      <c r="AF49" s="21">
        <f>IF(Y49="","",IFERROR(TRIM(INDEX($A49:$T49,MATCH(Lists!$F$12,$A$1:$T$1,0))&amp;""),""))</f>
        <v/>
      </c>
      <c r="AG49" s="21">
        <f>IF(Y49="","",IFERROR(TRIM(INDEX($A49:$T49,MATCH(Lists!$F$14,$A$1:$T$1,0))&amp;""),""))</f>
        <v/>
      </c>
      <c r="AH49" s="21">
        <f>IF(Y49="","",LEFT(IFERROR(TRIM(INDEX($A49:$T49,MATCH(Lists!$F$10,$A$1:$T$1,0))&amp;""),""),80))</f>
        <v/>
      </c>
      <c r="AI49" s="21">
        <f>IF(Y49="",0,IF(OR(Tally!$B$5="",AA49=Tally!$B$5),1,0))</f>
        <v/>
      </c>
      <c r="AJ49" s="21">
        <f>IF(AI49=1,IF(COUNTIFS($AB$2:AB49,AB49,$AI$2:AI49,1)=1,1,0),0)</f>
        <v/>
      </c>
      <c r="AK49" s="21">
        <f>IF(AJ49=1,SUM($AJ$2:AJ49),"")</f>
        <v/>
      </c>
      <c r="AL49" s="21">
        <f>IF(AND(AI49=1,OR(AD49="In person",AD49="Online"),OR(Speakers!$B$5="",AB49=Speakers!$B$5)),N(Z49)+ROW()/1000000000,"")</f>
        <v/>
      </c>
    </row>
    <row r="50">
      <c r="U50" s="19" t="n"/>
      <c r="V50" s="24" t="n"/>
      <c r="W50" s="24" t="n"/>
      <c r="X50" s="19" t="n"/>
      <c r="Y50" s="21">
        <f>IFERROR(TRIM(INDEX($A50:$T50,MATCH(Lists!$F$2,$A$1:$T$1,0))&amp;""),"")</f>
        <v/>
      </c>
      <c r="Z50" s="22">
        <f>IF(Y50="","",IFERROR(IF(ISNUMBER(INDEX($A50:$T50,MATCH(Lists!$F$3,$A$1:$T$1,0))),INDEX($A50:$T50,MATCH(Lists!$F$3,$A$1:$T$1,0)),DATE(VALUE(LEFT(IFERROR(TRIM(INDEX($A50:$T50,MATCH(Lists!$F$3,$A$1:$T$1,0))&amp;""),""),4)),VALUE(MID(IFERROR(TRIM(INDEX($A50:$T50,MATCH(Lists!$F$3,$A$1:$T$1,0))&amp;""),""),6,2)),VALUE(MID(IFERROR(TRIM(INDEX($A50:$T50,MATCH(Lists!$F$3,$A$1:$T$1,0))&amp;""),""),9,2)))+TIME(VALUE(MID(IFERROR(TRIM(INDEX($A50:$T50,MATCH(Lists!$F$3,$A$1:$T$1,0))&amp;""),""),12,2)),VALUE(MID(IFERROR(TRIM(INDEX($A50:$T50,MATCH(Lists!$F$3,$A$1:$T$1,0))&amp;""),""),15,2)),VALUE(MID(IFERROR(TRIM(INDEX($A50:$T50,MATCH(Lists!$F$3,$A$1:$T$1,0))&amp;""),""),18,2)))),""))</f>
        <v/>
      </c>
      <c r="AA50" s="23">
        <f>IF(Y50="","",IF(ISNUMBER(IFERROR(IF(TRIM(INDEX($A50:$T50,MATCH(Lists!$F$4,$A$1:$T$1,0))&amp;"")="","",IF(ISNUMBER(INDEX($A50:$T50,MATCH(Lists!$F$4,$A$1:$T$1,0))),INT(INDEX($A50:$T50,MATCH(Lists!$F$4,$A$1:$T$1,0))),DATE(VALUE(LEFT(INDEX($A50:$T50,MATCH(Lists!$F$4,$A$1:$T$1,0)),4)),VALUE(MID(INDEX($A50:$T50,MATCH(Lists!$F$4,$A$1:$T$1,0)),6,2)),VALUE(MID(INDEX($A50:$T50,MATCH(Lists!$F$4,$A$1:$T$1,0)),9,2))))),"")),IFERROR(IF(TRIM(INDEX($A50:$T50,MATCH(Lists!$F$4,$A$1:$T$1,0))&amp;"")="","",IF(ISNUMBER(INDEX($A50:$T50,MATCH(Lists!$F$4,$A$1:$T$1,0))),INT(INDEX($A50:$T50,MATCH(Lists!$F$4,$A$1:$T$1,0))),DATE(VALUE(LEFT(INDEX($A50:$T50,MATCH(Lists!$F$4,$A$1:$T$1,0)),4)),VALUE(MID(INDEX($A50:$T50,MATCH(Lists!$F$4,$A$1:$T$1,0)),6,2)),VALUE(MID(INDEX($A50:$T50,MATCH(Lists!$F$4,$A$1:$T$1,0)),9,2))))),""),IFERROR(IF(TRIM(INDEX($A50:$T50,MATCH(Lists!$F$5,$A$1:$T$1,0))&amp;"")="","",IF(ISNUMBER(INDEX($A50:$T50,MATCH(Lists!$F$5,$A$1:$T$1,0))),INT(INDEX($A50:$T50,MATCH(Lists!$F$5,$A$1:$T$1,0))),DATE(VALUE(LEFT(INDEX($A50:$T50,MATCH(Lists!$F$5,$A$1:$T$1,0)),4)),VALUE(MID(INDEX($A50:$T50,MATCH(Lists!$F$5,$A$1:$T$1,0)),6,2)),VALUE(MID(INDEX($A50:$T50,MATCH(Lists!$F$5,$A$1:$T$1,0)),9,2))))),"")))</f>
        <v/>
      </c>
      <c r="AB50" s="21">
        <f>IF(Y50="","",IF(LEFT(IFERROR(TRIM(INDEX($A50:$T50,MATCH(Lists!$F$6,$A$1:$T$1,0))&amp;""),""),2)="No","General comment",IF(IFERROR(TRIM(INDEX($A50:$T50,MATCH(Lists!$F$7,$A$1:$T$1,0))&amp;""),"")&lt;&gt;"",IFERROR(TRIM(INDEX($A50:$T50,MATCH(Lists!$F$7,$A$1:$T$1,0))&amp;""),""),IF(IFERROR(TRIM(INDEX($A50:$T50,MATCH(Lists!$F$8,$A$1:$T$1,0))&amp;""),"")&lt;&gt;"",IFERROR(TRIM(INDEX($A50:$T50,MATCH(Lists!$F$8,$A$1:$T$1,0))&amp;""),""),"(no item given)"))))</f>
        <v/>
      </c>
      <c r="AC50" s="21">
        <f>IF(Y50="","",IF(ISNUMBER(SEARCH("support",IFERROR(TRIM(INDEX($A50:$T50,MATCH(Lists!$F$9,$A$1:$T$1,0))&amp;""),""))),"Support",IF(ISNUMBER(SEARCH("oppose",IFERROR(TRIM(INDEX($A50:$T50,MATCH(Lists!$F$9,$A$1:$T$1,0))&amp;""),""))),"Oppose",IF(IFERROR(TRIM(INDEX($A50:$T50,MATCH(Lists!$F$9,$A$1:$T$1,0))&amp;""),"")="","No position","Neither"))))</f>
        <v/>
      </c>
      <c r="AD50" s="21">
        <f>IF(Y50="","",IF(ISNUMBER(SEARCH("in person",IFERROR(TRIM(INDEX($A50:$T50,MATCH(Lists!$F$13,$A$1:$T$1,0))&amp;""),""))),"In person",IF(ISNUMBER(SEARCH("online",IFERROR(TRIM(INDEX($A50:$T50,MATCH(Lists!$F$13,$A$1:$T$1,0))&amp;""),""))),"Online","Written only")))</f>
        <v/>
      </c>
      <c r="AE50" s="21">
        <f>IF(Y50="","",IFERROR(TRIM(INDEX($A50:$T50,MATCH(Lists!$F$11,$A$1:$T$1,0))&amp;""),""))</f>
        <v/>
      </c>
      <c r="AF50" s="21">
        <f>IF(Y50="","",IFERROR(TRIM(INDEX($A50:$T50,MATCH(Lists!$F$12,$A$1:$T$1,0))&amp;""),""))</f>
        <v/>
      </c>
      <c r="AG50" s="21">
        <f>IF(Y50="","",IFERROR(TRIM(INDEX($A50:$T50,MATCH(Lists!$F$14,$A$1:$T$1,0))&amp;""),""))</f>
        <v/>
      </c>
      <c r="AH50" s="21">
        <f>IF(Y50="","",LEFT(IFERROR(TRIM(INDEX($A50:$T50,MATCH(Lists!$F$10,$A$1:$T$1,0))&amp;""),""),80))</f>
        <v/>
      </c>
      <c r="AI50" s="21">
        <f>IF(Y50="",0,IF(OR(Tally!$B$5="",AA50=Tally!$B$5),1,0))</f>
        <v/>
      </c>
      <c r="AJ50" s="21">
        <f>IF(AI50=1,IF(COUNTIFS($AB$2:AB50,AB50,$AI$2:AI50,1)=1,1,0),0)</f>
        <v/>
      </c>
      <c r="AK50" s="21">
        <f>IF(AJ50=1,SUM($AJ$2:AJ50),"")</f>
        <v/>
      </c>
      <c r="AL50" s="21">
        <f>IF(AND(AI50=1,OR(AD50="In person",AD50="Online"),OR(Speakers!$B$5="",AB50=Speakers!$B$5)),N(Z50)+ROW()/1000000000,"")</f>
        <v/>
      </c>
    </row>
    <row r="51">
      <c r="U51" s="19" t="n"/>
      <c r="V51" s="24" t="n"/>
      <c r="W51" s="24" t="n"/>
      <c r="X51" s="19" t="n"/>
      <c r="Y51" s="21">
        <f>IFERROR(TRIM(INDEX($A51:$T51,MATCH(Lists!$F$2,$A$1:$T$1,0))&amp;""),"")</f>
        <v/>
      </c>
      <c r="Z51" s="22">
        <f>IF(Y51="","",IFERROR(IF(ISNUMBER(INDEX($A51:$T51,MATCH(Lists!$F$3,$A$1:$T$1,0))),INDEX($A51:$T51,MATCH(Lists!$F$3,$A$1:$T$1,0)),DATE(VALUE(LEFT(IFERROR(TRIM(INDEX($A51:$T51,MATCH(Lists!$F$3,$A$1:$T$1,0))&amp;""),""),4)),VALUE(MID(IFERROR(TRIM(INDEX($A51:$T51,MATCH(Lists!$F$3,$A$1:$T$1,0))&amp;""),""),6,2)),VALUE(MID(IFERROR(TRIM(INDEX($A51:$T51,MATCH(Lists!$F$3,$A$1:$T$1,0))&amp;""),""),9,2)))+TIME(VALUE(MID(IFERROR(TRIM(INDEX($A51:$T51,MATCH(Lists!$F$3,$A$1:$T$1,0))&amp;""),""),12,2)),VALUE(MID(IFERROR(TRIM(INDEX($A51:$T51,MATCH(Lists!$F$3,$A$1:$T$1,0))&amp;""),""),15,2)),VALUE(MID(IFERROR(TRIM(INDEX($A51:$T51,MATCH(Lists!$F$3,$A$1:$T$1,0))&amp;""),""),18,2)))),""))</f>
        <v/>
      </c>
      <c r="AA51" s="23">
        <f>IF(Y51="","",IF(ISNUMBER(IFERROR(IF(TRIM(INDEX($A51:$T51,MATCH(Lists!$F$4,$A$1:$T$1,0))&amp;"")="","",IF(ISNUMBER(INDEX($A51:$T51,MATCH(Lists!$F$4,$A$1:$T$1,0))),INT(INDEX($A51:$T51,MATCH(Lists!$F$4,$A$1:$T$1,0))),DATE(VALUE(LEFT(INDEX($A51:$T51,MATCH(Lists!$F$4,$A$1:$T$1,0)),4)),VALUE(MID(INDEX($A51:$T51,MATCH(Lists!$F$4,$A$1:$T$1,0)),6,2)),VALUE(MID(INDEX($A51:$T51,MATCH(Lists!$F$4,$A$1:$T$1,0)),9,2))))),"")),IFERROR(IF(TRIM(INDEX($A51:$T51,MATCH(Lists!$F$4,$A$1:$T$1,0))&amp;"")="","",IF(ISNUMBER(INDEX($A51:$T51,MATCH(Lists!$F$4,$A$1:$T$1,0))),INT(INDEX($A51:$T51,MATCH(Lists!$F$4,$A$1:$T$1,0))),DATE(VALUE(LEFT(INDEX($A51:$T51,MATCH(Lists!$F$4,$A$1:$T$1,0)),4)),VALUE(MID(INDEX($A51:$T51,MATCH(Lists!$F$4,$A$1:$T$1,0)),6,2)),VALUE(MID(INDEX($A51:$T51,MATCH(Lists!$F$4,$A$1:$T$1,0)),9,2))))),""),IFERROR(IF(TRIM(INDEX($A51:$T51,MATCH(Lists!$F$5,$A$1:$T$1,0))&amp;"")="","",IF(ISNUMBER(INDEX($A51:$T51,MATCH(Lists!$F$5,$A$1:$T$1,0))),INT(INDEX($A51:$T51,MATCH(Lists!$F$5,$A$1:$T$1,0))),DATE(VALUE(LEFT(INDEX($A51:$T51,MATCH(Lists!$F$5,$A$1:$T$1,0)),4)),VALUE(MID(INDEX($A51:$T51,MATCH(Lists!$F$5,$A$1:$T$1,0)),6,2)),VALUE(MID(INDEX($A51:$T51,MATCH(Lists!$F$5,$A$1:$T$1,0)),9,2))))),"")))</f>
        <v/>
      </c>
      <c r="AB51" s="21">
        <f>IF(Y51="","",IF(LEFT(IFERROR(TRIM(INDEX($A51:$T51,MATCH(Lists!$F$6,$A$1:$T$1,0))&amp;""),""),2)="No","General comment",IF(IFERROR(TRIM(INDEX($A51:$T51,MATCH(Lists!$F$7,$A$1:$T$1,0))&amp;""),"")&lt;&gt;"",IFERROR(TRIM(INDEX($A51:$T51,MATCH(Lists!$F$7,$A$1:$T$1,0))&amp;""),""),IF(IFERROR(TRIM(INDEX($A51:$T51,MATCH(Lists!$F$8,$A$1:$T$1,0))&amp;""),"")&lt;&gt;"",IFERROR(TRIM(INDEX($A51:$T51,MATCH(Lists!$F$8,$A$1:$T$1,0))&amp;""),""),"(no item given)"))))</f>
        <v/>
      </c>
      <c r="AC51" s="21">
        <f>IF(Y51="","",IF(ISNUMBER(SEARCH("support",IFERROR(TRIM(INDEX($A51:$T51,MATCH(Lists!$F$9,$A$1:$T$1,0))&amp;""),""))),"Support",IF(ISNUMBER(SEARCH("oppose",IFERROR(TRIM(INDEX($A51:$T51,MATCH(Lists!$F$9,$A$1:$T$1,0))&amp;""),""))),"Oppose",IF(IFERROR(TRIM(INDEX($A51:$T51,MATCH(Lists!$F$9,$A$1:$T$1,0))&amp;""),"")="","No position","Neither"))))</f>
        <v/>
      </c>
      <c r="AD51" s="21">
        <f>IF(Y51="","",IF(ISNUMBER(SEARCH("in person",IFERROR(TRIM(INDEX($A51:$T51,MATCH(Lists!$F$13,$A$1:$T$1,0))&amp;""),""))),"In person",IF(ISNUMBER(SEARCH("online",IFERROR(TRIM(INDEX($A51:$T51,MATCH(Lists!$F$13,$A$1:$T$1,0))&amp;""),""))),"Online","Written only")))</f>
        <v/>
      </c>
      <c r="AE51" s="21">
        <f>IF(Y51="","",IFERROR(TRIM(INDEX($A51:$T51,MATCH(Lists!$F$11,$A$1:$T$1,0))&amp;""),""))</f>
        <v/>
      </c>
      <c r="AF51" s="21">
        <f>IF(Y51="","",IFERROR(TRIM(INDEX($A51:$T51,MATCH(Lists!$F$12,$A$1:$T$1,0))&amp;""),""))</f>
        <v/>
      </c>
      <c r="AG51" s="21">
        <f>IF(Y51="","",IFERROR(TRIM(INDEX($A51:$T51,MATCH(Lists!$F$14,$A$1:$T$1,0))&amp;""),""))</f>
        <v/>
      </c>
      <c r="AH51" s="21">
        <f>IF(Y51="","",LEFT(IFERROR(TRIM(INDEX($A51:$T51,MATCH(Lists!$F$10,$A$1:$T$1,0))&amp;""),""),80))</f>
        <v/>
      </c>
      <c r="AI51" s="21">
        <f>IF(Y51="",0,IF(OR(Tally!$B$5="",AA51=Tally!$B$5),1,0))</f>
        <v/>
      </c>
      <c r="AJ51" s="21">
        <f>IF(AI51=1,IF(COUNTIFS($AB$2:AB51,AB51,$AI$2:AI51,1)=1,1,0),0)</f>
        <v/>
      </c>
      <c r="AK51" s="21">
        <f>IF(AJ51=1,SUM($AJ$2:AJ51),"")</f>
        <v/>
      </c>
      <c r="AL51" s="21">
        <f>IF(AND(AI51=1,OR(AD51="In person",AD51="Online"),OR(Speakers!$B$5="",AB51=Speakers!$B$5)),N(Z51)+ROW()/1000000000,"")</f>
        <v/>
      </c>
    </row>
    <row r="52">
      <c r="U52" s="19" t="n"/>
      <c r="V52" s="24" t="n"/>
      <c r="W52" s="24" t="n"/>
      <c r="X52" s="19" t="n"/>
      <c r="Y52" s="21">
        <f>IFERROR(TRIM(INDEX($A52:$T52,MATCH(Lists!$F$2,$A$1:$T$1,0))&amp;""),"")</f>
        <v/>
      </c>
      <c r="Z52" s="22">
        <f>IF(Y52="","",IFERROR(IF(ISNUMBER(INDEX($A52:$T52,MATCH(Lists!$F$3,$A$1:$T$1,0))),INDEX($A52:$T52,MATCH(Lists!$F$3,$A$1:$T$1,0)),DATE(VALUE(LEFT(IFERROR(TRIM(INDEX($A52:$T52,MATCH(Lists!$F$3,$A$1:$T$1,0))&amp;""),""),4)),VALUE(MID(IFERROR(TRIM(INDEX($A52:$T52,MATCH(Lists!$F$3,$A$1:$T$1,0))&amp;""),""),6,2)),VALUE(MID(IFERROR(TRIM(INDEX($A52:$T52,MATCH(Lists!$F$3,$A$1:$T$1,0))&amp;""),""),9,2)))+TIME(VALUE(MID(IFERROR(TRIM(INDEX($A52:$T52,MATCH(Lists!$F$3,$A$1:$T$1,0))&amp;""),""),12,2)),VALUE(MID(IFERROR(TRIM(INDEX($A52:$T52,MATCH(Lists!$F$3,$A$1:$T$1,0))&amp;""),""),15,2)),VALUE(MID(IFERROR(TRIM(INDEX($A52:$T52,MATCH(Lists!$F$3,$A$1:$T$1,0))&amp;""),""),18,2)))),""))</f>
        <v/>
      </c>
      <c r="AA52" s="23">
        <f>IF(Y52="","",IF(ISNUMBER(IFERROR(IF(TRIM(INDEX($A52:$T52,MATCH(Lists!$F$4,$A$1:$T$1,0))&amp;"")="","",IF(ISNUMBER(INDEX($A52:$T52,MATCH(Lists!$F$4,$A$1:$T$1,0))),INT(INDEX($A52:$T52,MATCH(Lists!$F$4,$A$1:$T$1,0))),DATE(VALUE(LEFT(INDEX($A52:$T52,MATCH(Lists!$F$4,$A$1:$T$1,0)),4)),VALUE(MID(INDEX($A52:$T52,MATCH(Lists!$F$4,$A$1:$T$1,0)),6,2)),VALUE(MID(INDEX($A52:$T52,MATCH(Lists!$F$4,$A$1:$T$1,0)),9,2))))),"")),IFERROR(IF(TRIM(INDEX($A52:$T52,MATCH(Lists!$F$4,$A$1:$T$1,0))&amp;"")="","",IF(ISNUMBER(INDEX($A52:$T52,MATCH(Lists!$F$4,$A$1:$T$1,0))),INT(INDEX($A52:$T52,MATCH(Lists!$F$4,$A$1:$T$1,0))),DATE(VALUE(LEFT(INDEX($A52:$T52,MATCH(Lists!$F$4,$A$1:$T$1,0)),4)),VALUE(MID(INDEX($A52:$T52,MATCH(Lists!$F$4,$A$1:$T$1,0)),6,2)),VALUE(MID(INDEX($A52:$T52,MATCH(Lists!$F$4,$A$1:$T$1,0)),9,2))))),""),IFERROR(IF(TRIM(INDEX($A52:$T52,MATCH(Lists!$F$5,$A$1:$T$1,0))&amp;"")="","",IF(ISNUMBER(INDEX($A52:$T52,MATCH(Lists!$F$5,$A$1:$T$1,0))),INT(INDEX($A52:$T52,MATCH(Lists!$F$5,$A$1:$T$1,0))),DATE(VALUE(LEFT(INDEX($A52:$T52,MATCH(Lists!$F$5,$A$1:$T$1,0)),4)),VALUE(MID(INDEX($A52:$T52,MATCH(Lists!$F$5,$A$1:$T$1,0)),6,2)),VALUE(MID(INDEX($A52:$T52,MATCH(Lists!$F$5,$A$1:$T$1,0)),9,2))))),"")))</f>
        <v/>
      </c>
      <c r="AB52" s="21">
        <f>IF(Y52="","",IF(LEFT(IFERROR(TRIM(INDEX($A52:$T52,MATCH(Lists!$F$6,$A$1:$T$1,0))&amp;""),""),2)="No","General comment",IF(IFERROR(TRIM(INDEX($A52:$T52,MATCH(Lists!$F$7,$A$1:$T$1,0))&amp;""),"")&lt;&gt;"",IFERROR(TRIM(INDEX($A52:$T52,MATCH(Lists!$F$7,$A$1:$T$1,0))&amp;""),""),IF(IFERROR(TRIM(INDEX($A52:$T52,MATCH(Lists!$F$8,$A$1:$T$1,0))&amp;""),"")&lt;&gt;"",IFERROR(TRIM(INDEX($A52:$T52,MATCH(Lists!$F$8,$A$1:$T$1,0))&amp;""),""),"(no item given)"))))</f>
        <v/>
      </c>
      <c r="AC52" s="21">
        <f>IF(Y52="","",IF(ISNUMBER(SEARCH("support",IFERROR(TRIM(INDEX($A52:$T52,MATCH(Lists!$F$9,$A$1:$T$1,0))&amp;""),""))),"Support",IF(ISNUMBER(SEARCH("oppose",IFERROR(TRIM(INDEX($A52:$T52,MATCH(Lists!$F$9,$A$1:$T$1,0))&amp;""),""))),"Oppose",IF(IFERROR(TRIM(INDEX($A52:$T52,MATCH(Lists!$F$9,$A$1:$T$1,0))&amp;""),"")="","No position","Neither"))))</f>
        <v/>
      </c>
      <c r="AD52" s="21">
        <f>IF(Y52="","",IF(ISNUMBER(SEARCH("in person",IFERROR(TRIM(INDEX($A52:$T52,MATCH(Lists!$F$13,$A$1:$T$1,0))&amp;""),""))),"In person",IF(ISNUMBER(SEARCH("online",IFERROR(TRIM(INDEX($A52:$T52,MATCH(Lists!$F$13,$A$1:$T$1,0))&amp;""),""))),"Online","Written only")))</f>
        <v/>
      </c>
      <c r="AE52" s="21">
        <f>IF(Y52="","",IFERROR(TRIM(INDEX($A52:$T52,MATCH(Lists!$F$11,$A$1:$T$1,0))&amp;""),""))</f>
        <v/>
      </c>
      <c r="AF52" s="21">
        <f>IF(Y52="","",IFERROR(TRIM(INDEX($A52:$T52,MATCH(Lists!$F$12,$A$1:$T$1,0))&amp;""),""))</f>
        <v/>
      </c>
      <c r="AG52" s="21">
        <f>IF(Y52="","",IFERROR(TRIM(INDEX($A52:$T52,MATCH(Lists!$F$14,$A$1:$T$1,0))&amp;""),""))</f>
        <v/>
      </c>
      <c r="AH52" s="21">
        <f>IF(Y52="","",LEFT(IFERROR(TRIM(INDEX($A52:$T52,MATCH(Lists!$F$10,$A$1:$T$1,0))&amp;""),""),80))</f>
        <v/>
      </c>
      <c r="AI52" s="21">
        <f>IF(Y52="",0,IF(OR(Tally!$B$5="",AA52=Tally!$B$5),1,0))</f>
        <v/>
      </c>
      <c r="AJ52" s="21">
        <f>IF(AI52=1,IF(COUNTIFS($AB$2:AB52,AB52,$AI$2:AI52,1)=1,1,0),0)</f>
        <v/>
      </c>
      <c r="AK52" s="21">
        <f>IF(AJ52=1,SUM($AJ$2:AJ52),"")</f>
        <v/>
      </c>
      <c r="AL52" s="21">
        <f>IF(AND(AI52=1,OR(AD52="In person",AD52="Online"),OR(Speakers!$B$5="",AB52=Speakers!$B$5)),N(Z52)+ROW()/1000000000,"")</f>
        <v/>
      </c>
    </row>
    <row r="53">
      <c r="U53" s="19" t="n"/>
      <c r="V53" s="24" t="n"/>
      <c r="W53" s="24" t="n"/>
      <c r="X53" s="19" t="n"/>
      <c r="Y53" s="21">
        <f>IFERROR(TRIM(INDEX($A53:$T53,MATCH(Lists!$F$2,$A$1:$T$1,0))&amp;""),"")</f>
        <v/>
      </c>
      <c r="Z53" s="22">
        <f>IF(Y53="","",IFERROR(IF(ISNUMBER(INDEX($A53:$T53,MATCH(Lists!$F$3,$A$1:$T$1,0))),INDEX($A53:$T53,MATCH(Lists!$F$3,$A$1:$T$1,0)),DATE(VALUE(LEFT(IFERROR(TRIM(INDEX($A53:$T53,MATCH(Lists!$F$3,$A$1:$T$1,0))&amp;""),""),4)),VALUE(MID(IFERROR(TRIM(INDEX($A53:$T53,MATCH(Lists!$F$3,$A$1:$T$1,0))&amp;""),""),6,2)),VALUE(MID(IFERROR(TRIM(INDEX($A53:$T53,MATCH(Lists!$F$3,$A$1:$T$1,0))&amp;""),""),9,2)))+TIME(VALUE(MID(IFERROR(TRIM(INDEX($A53:$T53,MATCH(Lists!$F$3,$A$1:$T$1,0))&amp;""),""),12,2)),VALUE(MID(IFERROR(TRIM(INDEX($A53:$T53,MATCH(Lists!$F$3,$A$1:$T$1,0))&amp;""),""),15,2)),VALUE(MID(IFERROR(TRIM(INDEX($A53:$T53,MATCH(Lists!$F$3,$A$1:$T$1,0))&amp;""),""),18,2)))),""))</f>
        <v/>
      </c>
      <c r="AA53" s="23">
        <f>IF(Y53="","",IF(ISNUMBER(IFERROR(IF(TRIM(INDEX($A53:$T53,MATCH(Lists!$F$4,$A$1:$T$1,0))&amp;"")="","",IF(ISNUMBER(INDEX($A53:$T53,MATCH(Lists!$F$4,$A$1:$T$1,0))),INT(INDEX($A53:$T53,MATCH(Lists!$F$4,$A$1:$T$1,0))),DATE(VALUE(LEFT(INDEX($A53:$T53,MATCH(Lists!$F$4,$A$1:$T$1,0)),4)),VALUE(MID(INDEX($A53:$T53,MATCH(Lists!$F$4,$A$1:$T$1,0)),6,2)),VALUE(MID(INDEX($A53:$T53,MATCH(Lists!$F$4,$A$1:$T$1,0)),9,2))))),"")),IFERROR(IF(TRIM(INDEX($A53:$T53,MATCH(Lists!$F$4,$A$1:$T$1,0))&amp;"")="","",IF(ISNUMBER(INDEX($A53:$T53,MATCH(Lists!$F$4,$A$1:$T$1,0))),INT(INDEX($A53:$T53,MATCH(Lists!$F$4,$A$1:$T$1,0))),DATE(VALUE(LEFT(INDEX($A53:$T53,MATCH(Lists!$F$4,$A$1:$T$1,0)),4)),VALUE(MID(INDEX($A53:$T53,MATCH(Lists!$F$4,$A$1:$T$1,0)),6,2)),VALUE(MID(INDEX($A53:$T53,MATCH(Lists!$F$4,$A$1:$T$1,0)),9,2))))),""),IFERROR(IF(TRIM(INDEX($A53:$T53,MATCH(Lists!$F$5,$A$1:$T$1,0))&amp;"")="","",IF(ISNUMBER(INDEX($A53:$T53,MATCH(Lists!$F$5,$A$1:$T$1,0))),INT(INDEX($A53:$T53,MATCH(Lists!$F$5,$A$1:$T$1,0))),DATE(VALUE(LEFT(INDEX($A53:$T53,MATCH(Lists!$F$5,$A$1:$T$1,0)),4)),VALUE(MID(INDEX($A53:$T53,MATCH(Lists!$F$5,$A$1:$T$1,0)),6,2)),VALUE(MID(INDEX($A53:$T53,MATCH(Lists!$F$5,$A$1:$T$1,0)),9,2))))),"")))</f>
        <v/>
      </c>
      <c r="AB53" s="21">
        <f>IF(Y53="","",IF(LEFT(IFERROR(TRIM(INDEX($A53:$T53,MATCH(Lists!$F$6,$A$1:$T$1,0))&amp;""),""),2)="No","General comment",IF(IFERROR(TRIM(INDEX($A53:$T53,MATCH(Lists!$F$7,$A$1:$T$1,0))&amp;""),"")&lt;&gt;"",IFERROR(TRIM(INDEX($A53:$T53,MATCH(Lists!$F$7,$A$1:$T$1,0))&amp;""),""),IF(IFERROR(TRIM(INDEX($A53:$T53,MATCH(Lists!$F$8,$A$1:$T$1,0))&amp;""),"")&lt;&gt;"",IFERROR(TRIM(INDEX($A53:$T53,MATCH(Lists!$F$8,$A$1:$T$1,0))&amp;""),""),"(no item given)"))))</f>
        <v/>
      </c>
      <c r="AC53" s="21">
        <f>IF(Y53="","",IF(ISNUMBER(SEARCH("support",IFERROR(TRIM(INDEX($A53:$T53,MATCH(Lists!$F$9,$A$1:$T$1,0))&amp;""),""))),"Support",IF(ISNUMBER(SEARCH("oppose",IFERROR(TRIM(INDEX($A53:$T53,MATCH(Lists!$F$9,$A$1:$T$1,0))&amp;""),""))),"Oppose",IF(IFERROR(TRIM(INDEX($A53:$T53,MATCH(Lists!$F$9,$A$1:$T$1,0))&amp;""),"")="","No position","Neither"))))</f>
        <v/>
      </c>
      <c r="AD53" s="21">
        <f>IF(Y53="","",IF(ISNUMBER(SEARCH("in person",IFERROR(TRIM(INDEX($A53:$T53,MATCH(Lists!$F$13,$A$1:$T$1,0))&amp;""),""))),"In person",IF(ISNUMBER(SEARCH("online",IFERROR(TRIM(INDEX($A53:$T53,MATCH(Lists!$F$13,$A$1:$T$1,0))&amp;""),""))),"Online","Written only")))</f>
        <v/>
      </c>
      <c r="AE53" s="21">
        <f>IF(Y53="","",IFERROR(TRIM(INDEX($A53:$T53,MATCH(Lists!$F$11,$A$1:$T$1,0))&amp;""),""))</f>
        <v/>
      </c>
      <c r="AF53" s="21">
        <f>IF(Y53="","",IFERROR(TRIM(INDEX($A53:$T53,MATCH(Lists!$F$12,$A$1:$T$1,0))&amp;""),""))</f>
        <v/>
      </c>
      <c r="AG53" s="21">
        <f>IF(Y53="","",IFERROR(TRIM(INDEX($A53:$T53,MATCH(Lists!$F$14,$A$1:$T$1,0))&amp;""),""))</f>
        <v/>
      </c>
      <c r="AH53" s="21">
        <f>IF(Y53="","",LEFT(IFERROR(TRIM(INDEX($A53:$T53,MATCH(Lists!$F$10,$A$1:$T$1,0))&amp;""),""),80))</f>
        <v/>
      </c>
      <c r="AI53" s="21">
        <f>IF(Y53="",0,IF(OR(Tally!$B$5="",AA53=Tally!$B$5),1,0))</f>
        <v/>
      </c>
      <c r="AJ53" s="21">
        <f>IF(AI53=1,IF(COUNTIFS($AB$2:AB53,AB53,$AI$2:AI53,1)=1,1,0),0)</f>
        <v/>
      </c>
      <c r="AK53" s="21">
        <f>IF(AJ53=1,SUM($AJ$2:AJ53),"")</f>
        <v/>
      </c>
      <c r="AL53" s="21">
        <f>IF(AND(AI53=1,OR(AD53="In person",AD53="Online"),OR(Speakers!$B$5="",AB53=Speakers!$B$5)),N(Z53)+ROW()/1000000000,"")</f>
        <v/>
      </c>
    </row>
    <row r="54">
      <c r="U54" s="19" t="n"/>
      <c r="V54" s="24" t="n"/>
      <c r="W54" s="24" t="n"/>
      <c r="X54" s="19" t="n"/>
      <c r="Y54" s="21">
        <f>IFERROR(TRIM(INDEX($A54:$T54,MATCH(Lists!$F$2,$A$1:$T$1,0))&amp;""),"")</f>
        <v/>
      </c>
      <c r="Z54" s="22">
        <f>IF(Y54="","",IFERROR(IF(ISNUMBER(INDEX($A54:$T54,MATCH(Lists!$F$3,$A$1:$T$1,0))),INDEX($A54:$T54,MATCH(Lists!$F$3,$A$1:$T$1,0)),DATE(VALUE(LEFT(IFERROR(TRIM(INDEX($A54:$T54,MATCH(Lists!$F$3,$A$1:$T$1,0))&amp;""),""),4)),VALUE(MID(IFERROR(TRIM(INDEX($A54:$T54,MATCH(Lists!$F$3,$A$1:$T$1,0))&amp;""),""),6,2)),VALUE(MID(IFERROR(TRIM(INDEX($A54:$T54,MATCH(Lists!$F$3,$A$1:$T$1,0))&amp;""),""),9,2)))+TIME(VALUE(MID(IFERROR(TRIM(INDEX($A54:$T54,MATCH(Lists!$F$3,$A$1:$T$1,0))&amp;""),""),12,2)),VALUE(MID(IFERROR(TRIM(INDEX($A54:$T54,MATCH(Lists!$F$3,$A$1:$T$1,0))&amp;""),""),15,2)),VALUE(MID(IFERROR(TRIM(INDEX($A54:$T54,MATCH(Lists!$F$3,$A$1:$T$1,0))&amp;""),""),18,2)))),""))</f>
        <v/>
      </c>
      <c r="AA54" s="23">
        <f>IF(Y54="","",IF(ISNUMBER(IFERROR(IF(TRIM(INDEX($A54:$T54,MATCH(Lists!$F$4,$A$1:$T$1,0))&amp;"")="","",IF(ISNUMBER(INDEX($A54:$T54,MATCH(Lists!$F$4,$A$1:$T$1,0))),INT(INDEX($A54:$T54,MATCH(Lists!$F$4,$A$1:$T$1,0))),DATE(VALUE(LEFT(INDEX($A54:$T54,MATCH(Lists!$F$4,$A$1:$T$1,0)),4)),VALUE(MID(INDEX($A54:$T54,MATCH(Lists!$F$4,$A$1:$T$1,0)),6,2)),VALUE(MID(INDEX($A54:$T54,MATCH(Lists!$F$4,$A$1:$T$1,0)),9,2))))),"")),IFERROR(IF(TRIM(INDEX($A54:$T54,MATCH(Lists!$F$4,$A$1:$T$1,0))&amp;"")="","",IF(ISNUMBER(INDEX($A54:$T54,MATCH(Lists!$F$4,$A$1:$T$1,0))),INT(INDEX($A54:$T54,MATCH(Lists!$F$4,$A$1:$T$1,0))),DATE(VALUE(LEFT(INDEX($A54:$T54,MATCH(Lists!$F$4,$A$1:$T$1,0)),4)),VALUE(MID(INDEX($A54:$T54,MATCH(Lists!$F$4,$A$1:$T$1,0)),6,2)),VALUE(MID(INDEX($A54:$T54,MATCH(Lists!$F$4,$A$1:$T$1,0)),9,2))))),""),IFERROR(IF(TRIM(INDEX($A54:$T54,MATCH(Lists!$F$5,$A$1:$T$1,0))&amp;"")="","",IF(ISNUMBER(INDEX($A54:$T54,MATCH(Lists!$F$5,$A$1:$T$1,0))),INT(INDEX($A54:$T54,MATCH(Lists!$F$5,$A$1:$T$1,0))),DATE(VALUE(LEFT(INDEX($A54:$T54,MATCH(Lists!$F$5,$A$1:$T$1,0)),4)),VALUE(MID(INDEX($A54:$T54,MATCH(Lists!$F$5,$A$1:$T$1,0)),6,2)),VALUE(MID(INDEX($A54:$T54,MATCH(Lists!$F$5,$A$1:$T$1,0)),9,2))))),"")))</f>
        <v/>
      </c>
      <c r="AB54" s="21">
        <f>IF(Y54="","",IF(LEFT(IFERROR(TRIM(INDEX($A54:$T54,MATCH(Lists!$F$6,$A$1:$T$1,0))&amp;""),""),2)="No","General comment",IF(IFERROR(TRIM(INDEX($A54:$T54,MATCH(Lists!$F$7,$A$1:$T$1,0))&amp;""),"")&lt;&gt;"",IFERROR(TRIM(INDEX($A54:$T54,MATCH(Lists!$F$7,$A$1:$T$1,0))&amp;""),""),IF(IFERROR(TRIM(INDEX($A54:$T54,MATCH(Lists!$F$8,$A$1:$T$1,0))&amp;""),"")&lt;&gt;"",IFERROR(TRIM(INDEX($A54:$T54,MATCH(Lists!$F$8,$A$1:$T$1,0))&amp;""),""),"(no item given)"))))</f>
        <v/>
      </c>
      <c r="AC54" s="21">
        <f>IF(Y54="","",IF(ISNUMBER(SEARCH("support",IFERROR(TRIM(INDEX($A54:$T54,MATCH(Lists!$F$9,$A$1:$T$1,0))&amp;""),""))),"Support",IF(ISNUMBER(SEARCH("oppose",IFERROR(TRIM(INDEX($A54:$T54,MATCH(Lists!$F$9,$A$1:$T$1,0))&amp;""),""))),"Oppose",IF(IFERROR(TRIM(INDEX($A54:$T54,MATCH(Lists!$F$9,$A$1:$T$1,0))&amp;""),"")="","No position","Neither"))))</f>
        <v/>
      </c>
      <c r="AD54" s="21">
        <f>IF(Y54="","",IF(ISNUMBER(SEARCH("in person",IFERROR(TRIM(INDEX($A54:$T54,MATCH(Lists!$F$13,$A$1:$T$1,0))&amp;""),""))),"In person",IF(ISNUMBER(SEARCH("online",IFERROR(TRIM(INDEX($A54:$T54,MATCH(Lists!$F$13,$A$1:$T$1,0))&amp;""),""))),"Online","Written only")))</f>
        <v/>
      </c>
      <c r="AE54" s="21">
        <f>IF(Y54="","",IFERROR(TRIM(INDEX($A54:$T54,MATCH(Lists!$F$11,$A$1:$T$1,0))&amp;""),""))</f>
        <v/>
      </c>
      <c r="AF54" s="21">
        <f>IF(Y54="","",IFERROR(TRIM(INDEX($A54:$T54,MATCH(Lists!$F$12,$A$1:$T$1,0))&amp;""),""))</f>
        <v/>
      </c>
      <c r="AG54" s="21">
        <f>IF(Y54="","",IFERROR(TRIM(INDEX($A54:$T54,MATCH(Lists!$F$14,$A$1:$T$1,0))&amp;""),""))</f>
        <v/>
      </c>
      <c r="AH54" s="21">
        <f>IF(Y54="","",LEFT(IFERROR(TRIM(INDEX($A54:$T54,MATCH(Lists!$F$10,$A$1:$T$1,0))&amp;""),""),80))</f>
        <v/>
      </c>
      <c r="AI54" s="21">
        <f>IF(Y54="",0,IF(OR(Tally!$B$5="",AA54=Tally!$B$5),1,0))</f>
        <v/>
      </c>
      <c r="AJ54" s="21">
        <f>IF(AI54=1,IF(COUNTIFS($AB$2:AB54,AB54,$AI$2:AI54,1)=1,1,0),0)</f>
        <v/>
      </c>
      <c r="AK54" s="21">
        <f>IF(AJ54=1,SUM($AJ$2:AJ54),"")</f>
        <v/>
      </c>
      <c r="AL54" s="21">
        <f>IF(AND(AI54=1,OR(AD54="In person",AD54="Online"),OR(Speakers!$B$5="",AB54=Speakers!$B$5)),N(Z54)+ROW()/1000000000,"")</f>
        <v/>
      </c>
    </row>
    <row r="55">
      <c r="U55" s="19" t="n"/>
      <c r="V55" s="24" t="n"/>
      <c r="W55" s="24" t="n"/>
      <c r="X55" s="19" t="n"/>
      <c r="Y55" s="21">
        <f>IFERROR(TRIM(INDEX($A55:$T55,MATCH(Lists!$F$2,$A$1:$T$1,0))&amp;""),"")</f>
        <v/>
      </c>
      <c r="Z55" s="22">
        <f>IF(Y55="","",IFERROR(IF(ISNUMBER(INDEX($A55:$T55,MATCH(Lists!$F$3,$A$1:$T$1,0))),INDEX($A55:$T55,MATCH(Lists!$F$3,$A$1:$T$1,0)),DATE(VALUE(LEFT(IFERROR(TRIM(INDEX($A55:$T55,MATCH(Lists!$F$3,$A$1:$T$1,0))&amp;""),""),4)),VALUE(MID(IFERROR(TRIM(INDEX($A55:$T55,MATCH(Lists!$F$3,$A$1:$T$1,0))&amp;""),""),6,2)),VALUE(MID(IFERROR(TRIM(INDEX($A55:$T55,MATCH(Lists!$F$3,$A$1:$T$1,0))&amp;""),""),9,2)))+TIME(VALUE(MID(IFERROR(TRIM(INDEX($A55:$T55,MATCH(Lists!$F$3,$A$1:$T$1,0))&amp;""),""),12,2)),VALUE(MID(IFERROR(TRIM(INDEX($A55:$T55,MATCH(Lists!$F$3,$A$1:$T$1,0))&amp;""),""),15,2)),VALUE(MID(IFERROR(TRIM(INDEX($A55:$T55,MATCH(Lists!$F$3,$A$1:$T$1,0))&amp;""),""),18,2)))),""))</f>
        <v/>
      </c>
      <c r="AA55" s="23">
        <f>IF(Y55="","",IF(ISNUMBER(IFERROR(IF(TRIM(INDEX($A55:$T55,MATCH(Lists!$F$4,$A$1:$T$1,0))&amp;"")="","",IF(ISNUMBER(INDEX($A55:$T55,MATCH(Lists!$F$4,$A$1:$T$1,0))),INT(INDEX($A55:$T55,MATCH(Lists!$F$4,$A$1:$T$1,0))),DATE(VALUE(LEFT(INDEX($A55:$T55,MATCH(Lists!$F$4,$A$1:$T$1,0)),4)),VALUE(MID(INDEX($A55:$T55,MATCH(Lists!$F$4,$A$1:$T$1,0)),6,2)),VALUE(MID(INDEX($A55:$T55,MATCH(Lists!$F$4,$A$1:$T$1,0)),9,2))))),"")),IFERROR(IF(TRIM(INDEX($A55:$T55,MATCH(Lists!$F$4,$A$1:$T$1,0))&amp;"")="","",IF(ISNUMBER(INDEX($A55:$T55,MATCH(Lists!$F$4,$A$1:$T$1,0))),INT(INDEX($A55:$T55,MATCH(Lists!$F$4,$A$1:$T$1,0))),DATE(VALUE(LEFT(INDEX($A55:$T55,MATCH(Lists!$F$4,$A$1:$T$1,0)),4)),VALUE(MID(INDEX($A55:$T55,MATCH(Lists!$F$4,$A$1:$T$1,0)),6,2)),VALUE(MID(INDEX($A55:$T55,MATCH(Lists!$F$4,$A$1:$T$1,0)),9,2))))),""),IFERROR(IF(TRIM(INDEX($A55:$T55,MATCH(Lists!$F$5,$A$1:$T$1,0))&amp;"")="","",IF(ISNUMBER(INDEX($A55:$T55,MATCH(Lists!$F$5,$A$1:$T$1,0))),INT(INDEX($A55:$T55,MATCH(Lists!$F$5,$A$1:$T$1,0))),DATE(VALUE(LEFT(INDEX($A55:$T55,MATCH(Lists!$F$5,$A$1:$T$1,0)),4)),VALUE(MID(INDEX($A55:$T55,MATCH(Lists!$F$5,$A$1:$T$1,0)),6,2)),VALUE(MID(INDEX($A55:$T55,MATCH(Lists!$F$5,$A$1:$T$1,0)),9,2))))),"")))</f>
        <v/>
      </c>
      <c r="AB55" s="21">
        <f>IF(Y55="","",IF(LEFT(IFERROR(TRIM(INDEX($A55:$T55,MATCH(Lists!$F$6,$A$1:$T$1,0))&amp;""),""),2)="No","General comment",IF(IFERROR(TRIM(INDEX($A55:$T55,MATCH(Lists!$F$7,$A$1:$T$1,0))&amp;""),"")&lt;&gt;"",IFERROR(TRIM(INDEX($A55:$T55,MATCH(Lists!$F$7,$A$1:$T$1,0))&amp;""),""),IF(IFERROR(TRIM(INDEX($A55:$T55,MATCH(Lists!$F$8,$A$1:$T$1,0))&amp;""),"")&lt;&gt;"",IFERROR(TRIM(INDEX($A55:$T55,MATCH(Lists!$F$8,$A$1:$T$1,0))&amp;""),""),"(no item given)"))))</f>
        <v/>
      </c>
      <c r="AC55" s="21">
        <f>IF(Y55="","",IF(ISNUMBER(SEARCH("support",IFERROR(TRIM(INDEX($A55:$T55,MATCH(Lists!$F$9,$A$1:$T$1,0))&amp;""),""))),"Support",IF(ISNUMBER(SEARCH("oppose",IFERROR(TRIM(INDEX($A55:$T55,MATCH(Lists!$F$9,$A$1:$T$1,0))&amp;""),""))),"Oppose",IF(IFERROR(TRIM(INDEX($A55:$T55,MATCH(Lists!$F$9,$A$1:$T$1,0))&amp;""),"")="","No position","Neither"))))</f>
        <v/>
      </c>
      <c r="AD55" s="21">
        <f>IF(Y55="","",IF(ISNUMBER(SEARCH("in person",IFERROR(TRIM(INDEX($A55:$T55,MATCH(Lists!$F$13,$A$1:$T$1,0))&amp;""),""))),"In person",IF(ISNUMBER(SEARCH("online",IFERROR(TRIM(INDEX($A55:$T55,MATCH(Lists!$F$13,$A$1:$T$1,0))&amp;""),""))),"Online","Written only")))</f>
        <v/>
      </c>
      <c r="AE55" s="21">
        <f>IF(Y55="","",IFERROR(TRIM(INDEX($A55:$T55,MATCH(Lists!$F$11,$A$1:$T$1,0))&amp;""),""))</f>
        <v/>
      </c>
      <c r="AF55" s="21">
        <f>IF(Y55="","",IFERROR(TRIM(INDEX($A55:$T55,MATCH(Lists!$F$12,$A$1:$T$1,0))&amp;""),""))</f>
        <v/>
      </c>
      <c r="AG55" s="21">
        <f>IF(Y55="","",IFERROR(TRIM(INDEX($A55:$T55,MATCH(Lists!$F$14,$A$1:$T$1,0))&amp;""),""))</f>
        <v/>
      </c>
      <c r="AH55" s="21">
        <f>IF(Y55="","",LEFT(IFERROR(TRIM(INDEX($A55:$T55,MATCH(Lists!$F$10,$A$1:$T$1,0))&amp;""),""),80))</f>
        <v/>
      </c>
      <c r="AI55" s="21">
        <f>IF(Y55="",0,IF(OR(Tally!$B$5="",AA55=Tally!$B$5),1,0))</f>
        <v/>
      </c>
      <c r="AJ55" s="21">
        <f>IF(AI55=1,IF(COUNTIFS($AB$2:AB55,AB55,$AI$2:AI55,1)=1,1,0),0)</f>
        <v/>
      </c>
      <c r="AK55" s="21">
        <f>IF(AJ55=1,SUM($AJ$2:AJ55),"")</f>
        <v/>
      </c>
      <c r="AL55" s="21">
        <f>IF(AND(AI55=1,OR(AD55="In person",AD55="Online"),OR(Speakers!$B$5="",AB55=Speakers!$B$5)),N(Z55)+ROW()/1000000000,"")</f>
        <v/>
      </c>
    </row>
    <row r="56">
      <c r="U56" s="19" t="n"/>
      <c r="V56" s="24" t="n"/>
      <c r="W56" s="24" t="n"/>
      <c r="X56" s="19" t="n"/>
      <c r="Y56" s="21">
        <f>IFERROR(TRIM(INDEX($A56:$T56,MATCH(Lists!$F$2,$A$1:$T$1,0))&amp;""),"")</f>
        <v/>
      </c>
      <c r="Z56" s="22">
        <f>IF(Y56="","",IFERROR(IF(ISNUMBER(INDEX($A56:$T56,MATCH(Lists!$F$3,$A$1:$T$1,0))),INDEX($A56:$T56,MATCH(Lists!$F$3,$A$1:$T$1,0)),DATE(VALUE(LEFT(IFERROR(TRIM(INDEX($A56:$T56,MATCH(Lists!$F$3,$A$1:$T$1,0))&amp;""),""),4)),VALUE(MID(IFERROR(TRIM(INDEX($A56:$T56,MATCH(Lists!$F$3,$A$1:$T$1,0))&amp;""),""),6,2)),VALUE(MID(IFERROR(TRIM(INDEX($A56:$T56,MATCH(Lists!$F$3,$A$1:$T$1,0))&amp;""),""),9,2)))+TIME(VALUE(MID(IFERROR(TRIM(INDEX($A56:$T56,MATCH(Lists!$F$3,$A$1:$T$1,0))&amp;""),""),12,2)),VALUE(MID(IFERROR(TRIM(INDEX($A56:$T56,MATCH(Lists!$F$3,$A$1:$T$1,0))&amp;""),""),15,2)),VALUE(MID(IFERROR(TRIM(INDEX($A56:$T56,MATCH(Lists!$F$3,$A$1:$T$1,0))&amp;""),""),18,2)))),""))</f>
        <v/>
      </c>
      <c r="AA56" s="23">
        <f>IF(Y56="","",IF(ISNUMBER(IFERROR(IF(TRIM(INDEX($A56:$T56,MATCH(Lists!$F$4,$A$1:$T$1,0))&amp;"")="","",IF(ISNUMBER(INDEX($A56:$T56,MATCH(Lists!$F$4,$A$1:$T$1,0))),INT(INDEX($A56:$T56,MATCH(Lists!$F$4,$A$1:$T$1,0))),DATE(VALUE(LEFT(INDEX($A56:$T56,MATCH(Lists!$F$4,$A$1:$T$1,0)),4)),VALUE(MID(INDEX($A56:$T56,MATCH(Lists!$F$4,$A$1:$T$1,0)),6,2)),VALUE(MID(INDEX($A56:$T56,MATCH(Lists!$F$4,$A$1:$T$1,0)),9,2))))),"")),IFERROR(IF(TRIM(INDEX($A56:$T56,MATCH(Lists!$F$4,$A$1:$T$1,0))&amp;"")="","",IF(ISNUMBER(INDEX($A56:$T56,MATCH(Lists!$F$4,$A$1:$T$1,0))),INT(INDEX($A56:$T56,MATCH(Lists!$F$4,$A$1:$T$1,0))),DATE(VALUE(LEFT(INDEX($A56:$T56,MATCH(Lists!$F$4,$A$1:$T$1,0)),4)),VALUE(MID(INDEX($A56:$T56,MATCH(Lists!$F$4,$A$1:$T$1,0)),6,2)),VALUE(MID(INDEX($A56:$T56,MATCH(Lists!$F$4,$A$1:$T$1,0)),9,2))))),""),IFERROR(IF(TRIM(INDEX($A56:$T56,MATCH(Lists!$F$5,$A$1:$T$1,0))&amp;"")="","",IF(ISNUMBER(INDEX($A56:$T56,MATCH(Lists!$F$5,$A$1:$T$1,0))),INT(INDEX($A56:$T56,MATCH(Lists!$F$5,$A$1:$T$1,0))),DATE(VALUE(LEFT(INDEX($A56:$T56,MATCH(Lists!$F$5,$A$1:$T$1,0)),4)),VALUE(MID(INDEX($A56:$T56,MATCH(Lists!$F$5,$A$1:$T$1,0)),6,2)),VALUE(MID(INDEX($A56:$T56,MATCH(Lists!$F$5,$A$1:$T$1,0)),9,2))))),"")))</f>
        <v/>
      </c>
      <c r="AB56" s="21">
        <f>IF(Y56="","",IF(LEFT(IFERROR(TRIM(INDEX($A56:$T56,MATCH(Lists!$F$6,$A$1:$T$1,0))&amp;""),""),2)="No","General comment",IF(IFERROR(TRIM(INDEX($A56:$T56,MATCH(Lists!$F$7,$A$1:$T$1,0))&amp;""),"")&lt;&gt;"",IFERROR(TRIM(INDEX($A56:$T56,MATCH(Lists!$F$7,$A$1:$T$1,0))&amp;""),""),IF(IFERROR(TRIM(INDEX($A56:$T56,MATCH(Lists!$F$8,$A$1:$T$1,0))&amp;""),"")&lt;&gt;"",IFERROR(TRIM(INDEX($A56:$T56,MATCH(Lists!$F$8,$A$1:$T$1,0))&amp;""),""),"(no item given)"))))</f>
        <v/>
      </c>
      <c r="AC56" s="21">
        <f>IF(Y56="","",IF(ISNUMBER(SEARCH("support",IFERROR(TRIM(INDEX($A56:$T56,MATCH(Lists!$F$9,$A$1:$T$1,0))&amp;""),""))),"Support",IF(ISNUMBER(SEARCH("oppose",IFERROR(TRIM(INDEX($A56:$T56,MATCH(Lists!$F$9,$A$1:$T$1,0))&amp;""),""))),"Oppose",IF(IFERROR(TRIM(INDEX($A56:$T56,MATCH(Lists!$F$9,$A$1:$T$1,0))&amp;""),"")="","No position","Neither"))))</f>
        <v/>
      </c>
      <c r="AD56" s="21">
        <f>IF(Y56="","",IF(ISNUMBER(SEARCH("in person",IFERROR(TRIM(INDEX($A56:$T56,MATCH(Lists!$F$13,$A$1:$T$1,0))&amp;""),""))),"In person",IF(ISNUMBER(SEARCH("online",IFERROR(TRIM(INDEX($A56:$T56,MATCH(Lists!$F$13,$A$1:$T$1,0))&amp;""),""))),"Online","Written only")))</f>
        <v/>
      </c>
      <c r="AE56" s="21">
        <f>IF(Y56="","",IFERROR(TRIM(INDEX($A56:$T56,MATCH(Lists!$F$11,$A$1:$T$1,0))&amp;""),""))</f>
        <v/>
      </c>
      <c r="AF56" s="21">
        <f>IF(Y56="","",IFERROR(TRIM(INDEX($A56:$T56,MATCH(Lists!$F$12,$A$1:$T$1,0))&amp;""),""))</f>
        <v/>
      </c>
      <c r="AG56" s="21">
        <f>IF(Y56="","",IFERROR(TRIM(INDEX($A56:$T56,MATCH(Lists!$F$14,$A$1:$T$1,0))&amp;""),""))</f>
        <v/>
      </c>
      <c r="AH56" s="21">
        <f>IF(Y56="","",LEFT(IFERROR(TRIM(INDEX($A56:$T56,MATCH(Lists!$F$10,$A$1:$T$1,0))&amp;""),""),80))</f>
        <v/>
      </c>
      <c r="AI56" s="21">
        <f>IF(Y56="",0,IF(OR(Tally!$B$5="",AA56=Tally!$B$5),1,0))</f>
        <v/>
      </c>
      <c r="AJ56" s="21">
        <f>IF(AI56=1,IF(COUNTIFS($AB$2:AB56,AB56,$AI$2:AI56,1)=1,1,0),0)</f>
        <v/>
      </c>
      <c r="AK56" s="21">
        <f>IF(AJ56=1,SUM($AJ$2:AJ56),"")</f>
        <v/>
      </c>
      <c r="AL56" s="21">
        <f>IF(AND(AI56=1,OR(AD56="In person",AD56="Online"),OR(Speakers!$B$5="",AB56=Speakers!$B$5)),N(Z56)+ROW()/1000000000,"")</f>
        <v/>
      </c>
    </row>
    <row r="57">
      <c r="U57" s="19" t="n"/>
      <c r="V57" s="24" t="n"/>
      <c r="W57" s="24" t="n"/>
      <c r="X57" s="19" t="n"/>
      <c r="Y57" s="21">
        <f>IFERROR(TRIM(INDEX($A57:$T57,MATCH(Lists!$F$2,$A$1:$T$1,0))&amp;""),"")</f>
        <v/>
      </c>
      <c r="Z57" s="22">
        <f>IF(Y57="","",IFERROR(IF(ISNUMBER(INDEX($A57:$T57,MATCH(Lists!$F$3,$A$1:$T$1,0))),INDEX($A57:$T57,MATCH(Lists!$F$3,$A$1:$T$1,0)),DATE(VALUE(LEFT(IFERROR(TRIM(INDEX($A57:$T57,MATCH(Lists!$F$3,$A$1:$T$1,0))&amp;""),""),4)),VALUE(MID(IFERROR(TRIM(INDEX($A57:$T57,MATCH(Lists!$F$3,$A$1:$T$1,0))&amp;""),""),6,2)),VALUE(MID(IFERROR(TRIM(INDEX($A57:$T57,MATCH(Lists!$F$3,$A$1:$T$1,0))&amp;""),""),9,2)))+TIME(VALUE(MID(IFERROR(TRIM(INDEX($A57:$T57,MATCH(Lists!$F$3,$A$1:$T$1,0))&amp;""),""),12,2)),VALUE(MID(IFERROR(TRIM(INDEX($A57:$T57,MATCH(Lists!$F$3,$A$1:$T$1,0))&amp;""),""),15,2)),VALUE(MID(IFERROR(TRIM(INDEX($A57:$T57,MATCH(Lists!$F$3,$A$1:$T$1,0))&amp;""),""),18,2)))),""))</f>
        <v/>
      </c>
      <c r="AA57" s="23">
        <f>IF(Y57="","",IF(ISNUMBER(IFERROR(IF(TRIM(INDEX($A57:$T57,MATCH(Lists!$F$4,$A$1:$T$1,0))&amp;"")="","",IF(ISNUMBER(INDEX($A57:$T57,MATCH(Lists!$F$4,$A$1:$T$1,0))),INT(INDEX($A57:$T57,MATCH(Lists!$F$4,$A$1:$T$1,0))),DATE(VALUE(LEFT(INDEX($A57:$T57,MATCH(Lists!$F$4,$A$1:$T$1,0)),4)),VALUE(MID(INDEX($A57:$T57,MATCH(Lists!$F$4,$A$1:$T$1,0)),6,2)),VALUE(MID(INDEX($A57:$T57,MATCH(Lists!$F$4,$A$1:$T$1,0)),9,2))))),"")),IFERROR(IF(TRIM(INDEX($A57:$T57,MATCH(Lists!$F$4,$A$1:$T$1,0))&amp;"")="","",IF(ISNUMBER(INDEX($A57:$T57,MATCH(Lists!$F$4,$A$1:$T$1,0))),INT(INDEX($A57:$T57,MATCH(Lists!$F$4,$A$1:$T$1,0))),DATE(VALUE(LEFT(INDEX($A57:$T57,MATCH(Lists!$F$4,$A$1:$T$1,0)),4)),VALUE(MID(INDEX($A57:$T57,MATCH(Lists!$F$4,$A$1:$T$1,0)),6,2)),VALUE(MID(INDEX($A57:$T57,MATCH(Lists!$F$4,$A$1:$T$1,0)),9,2))))),""),IFERROR(IF(TRIM(INDEX($A57:$T57,MATCH(Lists!$F$5,$A$1:$T$1,0))&amp;"")="","",IF(ISNUMBER(INDEX($A57:$T57,MATCH(Lists!$F$5,$A$1:$T$1,0))),INT(INDEX($A57:$T57,MATCH(Lists!$F$5,$A$1:$T$1,0))),DATE(VALUE(LEFT(INDEX($A57:$T57,MATCH(Lists!$F$5,$A$1:$T$1,0)),4)),VALUE(MID(INDEX($A57:$T57,MATCH(Lists!$F$5,$A$1:$T$1,0)),6,2)),VALUE(MID(INDEX($A57:$T57,MATCH(Lists!$F$5,$A$1:$T$1,0)),9,2))))),"")))</f>
        <v/>
      </c>
      <c r="AB57" s="21">
        <f>IF(Y57="","",IF(LEFT(IFERROR(TRIM(INDEX($A57:$T57,MATCH(Lists!$F$6,$A$1:$T$1,0))&amp;""),""),2)="No","General comment",IF(IFERROR(TRIM(INDEX($A57:$T57,MATCH(Lists!$F$7,$A$1:$T$1,0))&amp;""),"")&lt;&gt;"",IFERROR(TRIM(INDEX($A57:$T57,MATCH(Lists!$F$7,$A$1:$T$1,0))&amp;""),""),IF(IFERROR(TRIM(INDEX($A57:$T57,MATCH(Lists!$F$8,$A$1:$T$1,0))&amp;""),"")&lt;&gt;"",IFERROR(TRIM(INDEX($A57:$T57,MATCH(Lists!$F$8,$A$1:$T$1,0))&amp;""),""),"(no item given)"))))</f>
        <v/>
      </c>
      <c r="AC57" s="21">
        <f>IF(Y57="","",IF(ISNUMBER(SEARCH("support",IFERROR(TRIM(INDEX($A57:$T57,MATCH(Lists!$F$9,$A$1:$T$1,0))&amp;""),""))),"Support",IF(ISNUMBER(SEARCH("oppose",IFERROR(TRIM(INDEX($A57:$T57,MATCH(Lists!$F$9,$A$1:$T$1,0))&amp;""),""))),"Oppose",IF(IFERROR(TRIM(INDEX($A57:$T57,MATCH(Lists!$F$9,$A$1:$T$1,0))&amp;""),"")="","No position","Neither"))))</f>
        <v/>
      </c>
      <c r="AD57" s="21">
        <f>IF(Y57="","",IF(ISNUMBER(SEARCH("in person",IFERROR(TRIM(INDEX($A57:$T57,MATCH(Lists!$F$13,$A$1:$T$1,0))&amp;""),""))),"In person",IF(ISNUMBER(SEARCH("online",IFERROR(TRIM(INDEX($A57:$T57,MATCH(Lists!$F$13,$A$1:$T$1,0))&amp;""),""))),"Online","Written only")))</f>
        <v/>
      </c>
      <c r="AE57" s="21">
        <f>IF(Y57="","",IFERROR(TRIM(INDEX($A57:$T57,MATCH(Lists!$F$11,$A$1:$T$1,0))&amp;""),""))</f>
        <v/>
      </c>
      <c r="AF57" s="21">
        <f>IF(Y57="","",IFERROR(TRIM(INDEX($A57:$T57,MATCH(Lists!$F$12,$A$1:$T$1,0))&amp;""),""))</f>
        <v/>
      </c>
      <c r="AG57" s="21">
        <f>IF(Y57="","",IFERROR(TRIM(INDEX($A57:$T57,MATCH(Lists!$F$14,$A$1:$T$1,0))&amp;""),""))</f>
        <v/>
      </c>
      <c r="AH57" s="21">
        <f>IF(Y57="","",LEFT(IFERROR(TRIM(INDEX($A57:$T57,MATCH(Lists!$F$10,$A$1:$T$1,0))&amp;""),""),80))</f>
        <v/>
      </c>
      <c r="AI57" s="21">
        <f>IF(Y57="",0,IF(OR(Tally!$B$5="",AA57=Tally!$B$5),1,0))</f>
        <v/>
      </c>
      <c r="AJ57" s="21">
        <f>IF(AI57=1,IF(COUNTIFS($AB$2:AB57,AB57,$AI$2:AI57,1)=1,1,0),0)</f>
        <v/>
      </c>
      <c r="AK57" s="21">
        <f>IF(AJ57=1,SUM($AJ$2:AJ57),"")</f>
        <v/>
      </c>
      <c r="AL57" s="21">
        <f>IF(AND(AI57=1,OR(AD57="In person",AD57="Online"),OR(Speakers!$B$5="",AB57=Speakers!$B$5)),N(Z57)+ROW()/1000000000,"")</f>
        <v/>
      </c>
    </row>
    <row r="58">
      <c r="U58" s="19" t="n"/>
      <c r="V58" s="24" t="n"/>
      <c r="W58" s="24" t="n"/>
      <c r="X58" s="19" t="n"/>
      <c r="Y58" s="21">
        <f>IFERROR(TRIM(INDEX($A58:$T58,MATCH(Lists!$F$2,$A$1:$T$1,0))&amp;""),"")</f>
        <v/>
      </c>
      <c r="Z58" s="22">
        <f>IF(Y58="","",IFERROR(IF(ISNUMBER(INDEX($A58:$T58,MATCH(Lists!$F$3,$A$1:$T$1,0))),INDEX($A58:$T58,MATCH(Lists!$F$3,$A$1:$T$1,0)),DATE(VALUE(LEFT(IFERROR(TRIM(INDEX($A58:$T58,MATCH(Lists!$F$3,$A$1:$T$1,0))&amp;""),""),4)),VALUE(MID(IFERROR(TRIM(INDEX($A58:$T58,MATCH(Lists!$F$3,$A$1:$T$1,0))&amp;""),""),6,2)),VALUE(MID(IFERROR(TRIM(INDEX($A58:$T58,MATCH(Lists!$F$3,$A$1:$T$1,0))&amp;""),""),9,2)))+TIME(VALUE(MID(IFERROR(TRIM(INDEX($A58:$T58,MATCH(Lists!$F$3,$A$1:$T$1,0))&amp;""),""),12,2)),VALUE(MID(IFERROR(TRIM(INDEX($A58:$T58,MATCH(Lists!$F$3,$A$1:$T$1,0))&amp;""),""),15,2)),VALUE(MID(IFERROR(TRIM(INDEX($A58:$T58,MATCH(Lists!$F$3,$A$1:$T$1,0))&amp;""),""),18,2)))),""))</f>
        <v/>
      </c>
      <c r="AA58" s="23">
        <f>IF(Y58="","",IF(ISNUMBER(IFERROR(IF(TRIM(INDEX($A58:$T58,MATCH(Lists!$F$4,$A$1:$T$1,0))&amp;"")="","",IF(ISNUMBER(INDEX($A58:$T58,MATCH(Lists!$F$4,$A$1:$T$1,0))),INT(INDEX($A58:$T58,MATCH(Lists!$F$4,$A$1:$T$1,0))),DATE(VALUE(LEFT(INDEX($A58:$T58,MATCH(Lists!$F$4,$A$1:$T$1,0)),4)),VALUE(MID(INDEX($A58:$T58,MATCH(Lists!$F$4,$A$1:$T$1,0)),6,2)),VALUE(MID(INDEX($A58:$T58,MATCH(Lists!$F$4,$A$1:$T$1,0)),9,2))))),"")),IFERROR(IF(TRIM(INDEX($A58:$T58,MATCH(Lists!$F$4,$A$1:$T$1,0))&amp;"")="","",IF(ISNUMBER(INDEX($A58:$T58,MATCH(Lists!$F$4,$A$1:$T$1,0))),INT(INDEX($A58:$T58,MATCH(Lists!$F$4,$A$1:$T$1,0))),DATE(VALUE(LEFT(INDEX($A58:$T58,MATCH(Lists!$F$4,$A$1:$T$1,0)),4)),VALUE(MID(INDEX($A58:$T58,MATCH(Lists!$F$4,$A$1:$T$1,0)),6,2)),VALUE(MID(INDEX($A58:$T58,MATCH(Lists!$F$4,$A$1:$T$1,0)),9,2))))),""),IFERROR(IF(TRIM(INDEX($A58:$T58,MATCH(Lists!$F$5,$A$1:$T$1,0))&amp;"")="","",IF(ISNUMBER(INDEX($A58:$T58,MATCH(Lists!$F$5,$A$1:$T$1,0))),INT(INDEX($A58:$T58,MATCH(Lists!$F$5,$A$1:$T$1,0))),DATE(VALUE(LEFT(INDEX($A58:$T58,MATCH(Lists!$F$5,$A$1:$T$1,0)),4)),VALUE(MID(INDEX($A58:$T58,MATCH(Lists!$F$5,$A$1:$T$1,0)),6,2)),VALUE(MID(INDEX($A58:$T58,MATCH(Lists!$F$5,$A$1:$T$1,0)),9,2))))),"")))</f>
        <v/>
      </c>
      <c r="AB58" s="21">
        <f>IF(Y58="","",IF(LEFT(IFERROR(TRIM(INDEX($A58:$T58,MATCH(Lists!$F$6,$A$1:$T$1,0))&amp;""),""),2)="No","General comment",IF(IFERROR(TRIM(INDEX($A58:$T58,MATCH(Lists!$F$7,$A$1:$T$1,0))&amp;""),"")&lt;&gt;"",IFERROR(TRIM(INDEX($A58:$T58,MATCH(Lists!$F$7,$A$1:$T$1,0))&amp;""),""),IF(IFERROR(TRIM(INDEX($A58:$T58,MATCH(Lists!$F$8,$A$1:$T$1,0))&amp;""),"")&lt;&gt;"",IFERROR(TRIM(INDEX($A58:$T58,MATCH(Lists!$F$8,$A$1:$T$1,0))&amp;""),""),"(no item given)"))))</f>
        <v/>
      </c>
      <c r="AC58" s="21">
        <f>IF(Y58="","",IF(ISNUMBER(SEARCH("support",IFERROR(TRIM(INDEX($A58:$T58,MATCH(Lists!$F$9,$A$1:$T$1,0))&amp;""),""))),"Support",IF(ISNUMBER(SEARCH("oppose",IFERROR(TRIM(INDEX($A58:$T58,MATCH(Lists!$F$9,$A$1:$T$1,0))&amp;""),""))),"Oppose",IF(IFERROR(TRIM(INDEX($A58:$T58,MATCH(Lists!$F$9,$A$1:$T$1,0))&amp;""),"")="","No position","Neither"))))</f>
        <v/>
      </c>
      <c r="AD58" s="21">
        <f>IF(Y58="","",IF(ISNUMBER(SEARCH("in person",IFERROR(TRIM(INDEX($A58:$T58,MATCH(Lists!$F$13,$A$1:$T$1,0))&amp;""),""))),"In person",IF(ISNUMBER(SEARCH("online",IFERROR(TRIM(INDEX($A58:$T58,MATCH(Lists!$F$13,$A$1:$T$1,0))&amp;""),""))),"Online","Written only")))</f>
        <v/>
      </c>
      <c r="AE58" s="21">
        <f>IF(Y58="","",IFERROR(TRIM(INDEX($A58:$T58,MATCH(Lists!$F$11,$A$1:$T$1,0))&amp;""),""))</f>
        <v/>
      </c>
      <c r="AF58" s="21">
        <f>IF(Y58="","",IFERROR(TRIM(INDEX($A58:$T58,MATCH(Lists!$F$12,$A$1:$T$1,0))&amp;""),""))</f>
        <v/>
      </c>
      <c r="AG58" s="21">
        <f>IF(Y58="","",IFERROR(TRIM(INDEX($A58:$T58,MATCH(Lists!$F$14,$A$1:$T$1,0))&amp;""),""))</f>
        <v/>
      </c>
      <c r="AH58" s="21">
        <f>IF(Y58="","",LEFT(IFERROR(TRIM(INDEX($A58:$T58,MATCH(Lists!$F$10,$A$1:$T$1,0))&amp;""),""),80))</f>
        <v/>
      </c>
      <c r="AI58" s="21">
        <f>IF(Y58="",0,IF(OR(Tally!$B$5="",AA58=Tally!$B$5),1,0))</f>
        <v/>
      </c>
      <c r="AJ58" s="21">
        <f>IF(AI58=1,IF(COUNTIFS($AB$2:AB58,AB58,$AI$2:AI58,1)=1,1,0),0)</f>
        <v/>
      </c>
      <c r="AK58" s="21">
        <f>IF(AJ58=1,SUM($AJ$2:AJ58),"")</f>
        <v/>
      </c>
      <c r="AL58" s="21">
        <f>IF(AND(AI58=1,OR(AD58="In person",AD58="Online"),OR(Speakers!$B$5="",AB58=Speakers!$B$5)),N(Z58)+ROW()/1000000000,"")</f>
        <v/>
      </c>
    </row>
    <row r="59">
      <c r="U59" s="19" t="n"/>
      <c r="V59" s="24" t="n"/>
      <c r="W59" s="24" t="n"/>
      <c r="X59" s="19" t="n"/>
      <c r="Y59" s="21">
        <f>IFERROR(TRIM(INDEX($A59:$T59,MATCH(Lists!$F$2,$A$1:$T$1,0))&amp;""),"")</f>
        <v/>
      </c>
      <c r="Z59" s="22">
        <f>IF(Y59="","",IFERROR(IF(ISNUMBER(INDEX($A59:$T59,MATCH(Lists!$F$3,$A$1:$T$1,0))),INDEX($A59:$T59,MATCH(Lists!$F$3,$A$1:$T$1,0)),DATE(VALUE(LEFT(IFERROR(TRIM(INDEX($A59:$T59,MATCH(Lists!$F$3,$A$1:$T$1,0))&amp;""),""),4)),VALUE(MID(IFERROR(TRIM(INDEX($A59:$T59,MATCH(Lists!$F$3,$A$1:$T$1,0))&amp;""),""),6,2)),VALUE(MID(IFERROR(TRIM(INDEX($A59:$T59,MATCH(Lists!$F$3,$A$1:$T$1,0))&amp;""),""),9,2)))+TIME(VALUE(MID(IFERROR(TRIM(INDEX($A59:$T59,MATCH(Lists!$F$3,$A$1:$T$1,0))&amp;""),""),12,2)),VALUE(MID(IFERROR(TRIM(INDEX($A59:$T59,MATCH(Lists!$F$3,$A$1:$T$1,0))&amp;""),""),15,2)),VALUE(MID(IFERROR(TRIM(INDEX($A59:$T59,MATCH(Lists!$F$3,$A$1:$T$1,0))&amp;""),""),18,2)))),""))</f>
        <v/>
      </c>
      <c r="AA59" s="23">
        <f>IF(Y59="","",IF(ISNUMBER(IFERROR(IF(TRIM(INDEX($A59:$T59,MATCH(Lists!$F$4,$A$1:$T$1,0))&amp;"")="","",IF(ISNUMBER(INDEX($A59:$T59,MATCH(Lists!$F$4,$A$1:$T$1,0))),INT(INDEX($A59:$T59,MATCH(Lists!$F$4,$A$1:$T$1,0))),DATE(VALUE(LEFT(INDEX($A59:$T59,MATCH(Lists!$F$4,$A$1:$T$1,0)),4)),VALUE(MID(INDEX($A59:$T59,MATCH(Lists!$F$4,$A$1:$T$1,0)),6,2)),VALUE(MID(INDEX($A59:$T59,MATCH(Lists!$F$4,$A$1:$T$1,0)),9,2))))),"")),IFERROR(IF(TRIM(INDEX($A59:$T59,MATCH(Lists!$F$4,$A$1:$T$1,0))&amp;"")="","",IF(ISNUMBER(INDEX($A59:$T59,MATCH(Lists!$F$4,$A$1:$T$1,0))),INT(INDEX($A59:$T59,MATCH(Lists!$F$4,$A$1:$T$1,0))),DATE(VALUE(LEFT(INDEX($A59:$T59,MATCH(Lists!$F$4,$A$1:$T$1,0)),4)),VALUE(MID(INDEX($A59:$T59,MATCH(Lists!$F$4,$A$1:$T$1,0)),6,2)),VALUE(MID(INDEX($A59:$T59,MATCH(Lists!$F$4,$A$1:$T$1,0)),9,2))))),""),IFERROR(IF(TRIM(INDEX($A59:$T59,MATCH(Lists!$F$5,$A$1:$T$1,0))&amp;"")="","",IF(ISNUMBER(INDEX($A59:$T59,MATCH(Lists!$F$5,$A$1:$T$1,0))),INT(INDEX($A59:$T59,MATCH(Lists!$F$5,$A$1:$T$1,0))),DATE(VALUE(LEFT(INDEX($A59:$T59,MATCH(Lists!$F$5,$A$1:$T$1,0)),4)),VALUE(MID(INDEX($A59:$T59,MATCH(Lists!$F$5,$A$1:$T$1,0)),6,2)),VALUE(MID(INDEX($A59:$T59,MATCH(Lists!$F$5,$A$1:$T$1,0)),9,2))))),"")))</f>
        <v/>
      </c>
      <c r="AB59" s="21">
        <f>IF(Y59="","",IF(LEFT(IFERROR(TRIM(INDEX($A59:$T59,MATCH(Lists!$F$6,$A$1:$T$1,0))&amp;""),""),2)="No","General comment",IF(IFERROR(TRIM(INDEX($A59:$T59,MATCH(Lists!$F$7,$A$1:$T$1,0))&amp;""),"")&lt;&gt;"",IFERROR(TRIM(INDEX($A59:$T59,MATCH(Lists!$F$7,$A$1:$T$1,0))&amp;""),""),IF(IFERROR(TRIM(INDEX($A59:$T59,MATCH(Lists!$F$8,$A$1:$T$1,0))&amp;""),"")&lt;&gt;"",IFERROR(TRIM(INDEX($A59:$T59,MATCH(Lists!$F$8,$A$1:$T$1,0))&amp;""),""),"(no item given)"))))</f>
        <v/>
      </c>
      <c r="AC59" s="21">
        <f>IF(Y59="","",IF(ISNUMBER(SEARCH("support",IFERROR(TRIM(INDEX($A59:$T59,MATCH(Lists!$F$9,$A$1:$T$1,0))&amp;""),""))),"Support",IF(ISNUMBER(SEARCH("oppose",IFERROR(TRIM(INDEX($A59:$T59,MATCH(Lists!$F$9,$A$1:$T$1,0))&amp;""),""))),"Oppose",IF(IFERROR(TRIM(INDEX($A59:$T59,MATCH(Lists!$F$9,$A$1:$T$1,0))&amp;""),"")="","No position","Neither"))))</f>
        <v/>
      </c>
      <c r="AD59" s="21">
        <f>IF(Y59="","",IF(ISNUMBER(SEARCH("in person",IFERROR(TRIM(INDEX($A59:$T59,MATCH(Lists!$F$13,$A$1:$T$1,0))&amp;""),""))),"In person",IF(ISNUMBER(SEARCH("online",IFERROR(TRIM(INDEX($A59:$T59,MATCH(Lists!$F$13,$A$1:$T$1,0))&amp;""),""))),"Online","Written only")))</f>
        <v/>
      </c>
      <c r="AE59" s="21">
        <f>IF(Y59="","",IFERROR(TRIM(INDEX($A59:$T59,MATCH(Lists!$F$11,$A$1:$T$1,0))&amp;""),""))</f>
        <v/>
      </c>
      <c r="AF59" s="21">
        <f>IF(Y59="","",IFERROR(TRIM(INDEX($A59:$T59,MATCH(Lists!$F$12,$A$1:$T$1,0))&amp;""),""))</f>
        <v/>
      </c>
      <c r="AG59" s="21">
        <f>IF(Y59="","",IFERROR(TRIM(INDEX($A59:$T59,MATCH(Lists!$F$14,$A$1:$T$1,0))&amp;""),""))</f>
        <v/>
      </c>
      <c r="AH59" s="21">
        <f>IF(Y59="","",LEFT(IFERROR(TRIM(INDEX($A59:$T59,MATCH(Lists!$F$10,$A$1:$T$1,0))&amp;""),""),80))</f>
        <v/>
      </c>
      <c r="AI59" s="21">
        <f>IF(Y59="",0,IF(OR(Tally!$B$5="",AA59=Tally!$B$5),1,0))</f>
        <v/>
      </c>
      <c r="AJ59" s="21">
        <f>IF(AI59=1,IF(COUNTIFS($AB$2:AB59,AB59,$AI$2:AI59,1)=1,1,0),0)</f>
        <v/>
      </c>
      <c r="AK59" s="21">
        <f>IF(AJ59=1,SUM($AJ$2:AJ59),"")</f>
        <v/>
      </c>
      <c r="AL59" s="21">
        <f>IF(AND(AI59=1,OR(AD59="In person",AD59="Online"),OR(Speakers!$B$5="",AB59=Speakers!$B$5)),N(Z59)+ROW()/1000000000,"")</f>
        <v/>
      </c>
    </row>
    <row r="60">
      <c r="U60" s="19" t="n"/>
      <c r="V60" s="24" t="n"/>
      <c r="W60" s="24" t="n"/>
      <c r="X60" s="19" t="n"/>
      <c r="Y60" s="21">
        <f>IFERROR(TRIM(INDEX($A60:$T60,MATCH(Lists!$F$2,$A$1:$T$1,0))&amp;""),"")</f>
        <v/>
      </c>
      <c r="Z60" s="22">
        <f>IF(Y60="","",IFERROR(IF(ISNUMBER(INDEX($A60:$T60,MATCH(Lists!$F$3,$A$1:$T$1,0))),INDEX($A60:$T60,MATCH(Lists!$F$3,$A$1:$T$1,0)),DATE(VALUE(LEFT(IFERROR(TRIM(INDEX($A60:$T60,MATCH(Lists!$F$3,$A$1:$T$1,0))&amp;""),""),4)),VALUE(MID(IFERROR(TRIM(INDEX($A60:$T60,MATCH(Lists!$F$3,$A$1:$T$1,0))&amp;""),""),6,2)),VALUE(MID(IFERROR(TRIM(INDEX($A60:$T60,MATCH(Lists!$F$3,$A$1:$T$1,0))&amp;""),""),9,2)))+TIME(VALUE(MID(IFERROR(TRIM(INDEX($A60:$T60,MATCH(Lists!$F$3,$A$1:$T$1,0))&amp;""),""),12,2)),VALUE(MID(IFERROR(TRIM(INDEX($A60:$T60,MATCH(Lists!$F$3,$A$1:$T$1,0))&amp;""),""),15,2)),VALUE(MID(IFERROR(TRIM(INDEX($A60:$T60,MATCH(Lists!$F$3,$A$1:$T$1,0))&amp;""),""),18,2)))),""))</f>
        <v/>
      </c>
      <c r="AA60" s="23">
        <f>IF(Y60="","",IF(ISNUMBER(IFERROR(IF(TRIM(INDEX($A60:$T60,MATCH(Lists!$F$4,$A$1:$T$1,0))&amp;"")="","",IF(ISNUMBER(INDEX($A60:$T60,MATCH(Lists!$F$4,$A$1:$T$1,0))),INT(INDEX($A60:$T60,MATCH(Lists!$F$4,$A$1:$T$1,0))),DATE(VALUE(LEFT(INDEX($A60:$T60,MATCH(Lists!$F$4,$A$1:$T$1,0)),4)),VALUE(MID(INDEX($A60:$T60,MATCH(Lists!$F$4,$A$1:$T$1,0)),6,2)),VALUE(MID(INDEX($A60:$T60,MATCH(Lists!$F$4,$A$1:$T$1,0)),9,2))))),"")),IFERROR(IF(TRIM(INDEX($A60:$T60,MATCH(Lists!$F$4,$A$1:$T$1,0))&amp;"")="","",IF(ISNUMBER(INDEX($A60:$T60,MATCH(Lists!$F$4,$A$1:$T$1,0))),INT(INDEX($A60:$T60,MATCH(Lists!$F$4,$A$1:$T$1,0))),DATE(VALUE(LEFT(INDEX($A60:$T60,MATCH(Lists!$F$4,$A$1:$T$1,0)),4)),VALUE(MID(INDEX($A60:$T60,MATCH(Lists!$F$4,$A$1:$T$1,0)),6,2)),VALUE(MID(INDEX($A60:$T60,MATCH(Lists!$F$4,$A$1:$T$1,0)),9,2))))),""),IFERROR(IF(TRIM(INDEX($A60:$T60,MATCH(Lists!$F$5,$A$1:$T$1,0))&amp;"")="","",IF(ISNUMBER(INDEX($A60:$T60,MATCH(Lists!$F$5,$A$1:$T$1,0))),INT(INDEX($A60:$T60,MATCH(Lists!$F$5,$A$1:$T$1,0))),DATE(VALUE(LEFT(INDEX($A60:$T60,MATCH(Lists!$F$5,$A$1:$T$1,0)),4)),VALUE(MID(INDEX($A60:$T60,MATCH(Lists!$F$5,$A$1:$T$1,0)),6,2)),VALUE(MID(INDEX($A60:$T60,MATCH(Lists!$F$5,$A$1:$T$1,0)),9,2))))),"")))</f>
        <v/>
      </c>
      <c r="AB60" s="21">
        <f>IF(Y60="","",IF(LEFT(IFERROR(TRIM(INDEX($A60:$T60,MATCH(Lists!$F$6,$A$1:$T$1,0))&amp;""),""),2)="No","General comment",IF(IFERROR(TRIM(INDEX($A60:$T60,MATCH(Lists!$F$7,$A$1:$T$1,0))&amp;""),"")&lt;&gt;"",IFERROR(TRIM(INDEX($A60:$T60,MATCH(Lists!$F$7,$A$1:$T$1,0))&amp;""),""),IF(IFERROR(TRIM(INDEX($A60:$T60,MATCH(Lists!$F$8,$A$1:$T$1,0))&amp;""),"")&lt;&gt;"",IFERROR(TRIM(INDEX($A60:$T60,MATCH(Lists!$F$8,$A$1:$T$1,0))&amp;""),""),"(no item given)"))))</f>
        <v/>
      </c>
      <c r="AC60" s="21">
        <f>IF(Y60="","",IF(ISNUMBER(SEARCH("support",IFERROR(TRIM(INDEX($A60:$T60,MATCH(Lists!$F$9,$A$1:$T$1,0))&amp;""),""))),"Support",IF(ISNUMBER(SEARCH("oppose",IFERROR(TRIM(INDEX($A60:$T60,MATCH(Lists!$F$9,$A$1:$T$1,0))&amp;""),""))),"Oppose",IF(IFERROR(TRIM(INDEX($A60:$T60,MATCH(Lists!$F$9,$A$1:$T$1,0))&amp;""),"")="","No position","Neither"))))</f>
        <v/>
      </c>
      <c r="AD60" s="21">
        <f>IF(Y60="","",IF(ISNUMBER(SEARCH("in person",IFERROR(TRIM(INDEX($A60:$T60,MATCH(Lists!$F$13,$A$1:$T$1,0))&amp;""),""))),"In person",IF(ISNUMBER(SEARCH("online",IFERROR(TRIM(INDEX($A60:$T60,MATCH(Lists!$F$13,$A$1:$T$1,0))&amp;""),""))),"Online","Written only")))</f>
        <v/>
      </c>
      <c r="AE60" s="21">
        <f>IF(Y60="","",IFERROR(TRIM(INDEX($A60:$T60,MATCH(Lists!$F$11,$A$1:$T$1,0))&amp;""),""))</f>
        <v/>
      </c>
      <c r="AF60" s="21">
        <f>IF(Y60="","",IFERROR(TRIM(INDEX($A60:$T60,MATCH(Lists!$F$12,$A$1:$T$1,0))&amp;""),""))</f>
        <v/>
      </c>
      <c r="AG60" s="21">
        <f>IF(Y60="","",IFERROR(TRIM(INDEX($A60:$T60,MATCH(Lists!$F$14,$A$1:$T$1,0))&amp;""),""))</f>
        <v/>
      </c>
      <c r="AH60" s="21">
        <f>IF(Y60="","",LEFT(IFERROR(TRIM(INDEX($A60:$T60,MATCH(Lists!$F$10,$A$1:$T$1,0))&amp;""),""),80))</f>
        <v/>
      </c>
      <c r="AI60" s="21">
        <f>IF(Y60="",0,IF(OR(Tally!$B$5="",AA60=Tally!$B$5),1,0))</f>
        <v/>
      </c>
      <c r="AJ60" s="21">
        <f>IF(AI60=1,IF(COUNTIFS($AB$2:AB60,AB60,$AI$2:AI60,1)=1,1,0),0)</f>
        <v/>
      </c>
      <c r="AK60" s="21">
        <f>IF(AJ60=1,SUM($AJ$2:AJ60),"")</f>
        <v/>
      </c>
      <c r="AL60" s="21">
        <f>IF(AND(AI60=1,OR(AD60="In person",AD60="Online"),OR(Speakers!$B$5="",AB60=Speakers!$B$5)),N(Z60)+ROW()/1000000000,"")</f>
        <v/>
      </c>
    </row>
    <row r="61">
      <c r="U61" s="19" t="n"/>
      <c r="V61" s="24" t="n"/>
      <c r="W61" s="24" t="n"/>
      <c r="X61" s="19" t="n"/>
      <c r="Y61" s="21">
        <f>IFERROR(TRIM(INDEX($A61:$T61,MATCH(Lists!$F$2,$A$1:$T$1,0))&amp;""),"")</f>
        <v/>
      </c>
      <c r="Z61" s="22">
        <f>IF(Y61="","",IFERROR(IF(ISNUMBER(INDEX($A61:$T61,MATCH(Lists!$F$3,$A$1:$T$1,0))),INDEX($A61:$T61,MATCH(Lists!$F$3,$A$1:$T$1,0)),DATE(VALUE(LEFT(IFERROR(TRIM(INDEX($A61:$T61,MATCH(Lists!$F$3,$A$1:$T$1,0))&amp;""),""),4)),VALUE(MID(IFERROR(TRIM(INDEX($A61:$T61,MATCH(Lists!$F$3,$A$1:$T$1,0))&amp;""),""),6,2)),VALUE(MID(IFERROR(TRIM(INDEX($A61:$T61,MATCH(Lists!$F$3,$A$1:$T$1,0))&amp;""),""),9,2)))+TIME(VALUE(MID(IFERROR(TRIM(INDEX($A61:$T61,MATCH(Lists!$F$3,$A$1:$T$1,0))&amp;""),""),12,2)),VALUE(MID(IFERROR(TRIM(INDEX($A61:$T61,MATCH(Lists!$F$3,$A$1:$T$1,0))&amp;""),""),15,2)),VALUE(MID(IFERROR(TRIM(INDEX($A61:$T61,MATCH(Lists!$F$3,$A$1:$T$1,0))&amp;""),""),18,2)))),""))</f>
        <v/>
      </c>
      <c r="AA61" s="23">
        <f>IF(Y61="","",IF(ISNUMBER(IFERROR(IF(TRIM(INDEX($A61:$T61,MATCH(Lists!$F$4,$A$1:$T$1,0))&amp;"")="","",IF(ISNUMBER(INDEX($A61:$T61,MATCH(Lists!$F$4,$A$1:$T$1,0))),INT(INDEX($A61:$T61,MATCH(Lists!$F$4,$A$1:$T$1,0))),DATE(VALUE(LEFT(INDEX($A61:$T61,MATCH(Lists!$F$4,$A$1:$T$1,0)),4)),VALUE(MID(INDEX($A61:$T61,MATCH(Lists!$F$4,$A$1:$T$1,0)),6,2)),VALUE(MID(INDEX($A61:$T61,MATCH(Lists!$F$4,$A$1:$T$1,0)),9,2))))),"")),IFERROR(IF(TRIM(INDEX($A61:$T61,MATCH(Lists!$F$4,$A$1:$T$1,0))&amp;"")="","",IF(ISNUMBER(INDEX($A61:$T61,MATCH(Lists!$F$4,$A$1:$T$1,0))),INT(INDEX($A61:$T61,MATCH(Lists!$F$4,$A$1:$T$1,0))),DATE(VALUE(LEFT(INDEX($A61:$T61,MATCH(Lists!$F$4,$A$1:$T$1,0)),4)),VALUE(MID(INDEX($A61:$T61,MATCH(Lists!$F$4,$A$1:$T$1,0)),6,2)),VALUE(MID(INDEX($A61:$T61,MATCH(Lists!$F$4,$A$1:$T$1,0)),9,2))))),""),IFERROR(IF(TRIM(INDEX($A61:$T61,MATCH(Lists!$F$5,$A$1:$T$1,0))&amp;"")="","",IF(ISNUMBER(INDEX($A61:$T61,MATCH(Lists!$F$5,$A$1:$T$1,0))),INT(INDEX($A61:$T61,MATCH(Lists!$F$5,$A$1:$T$1,0))),DATE(VALUE(LEFT(INDEX($A61:$T61,MATCH(Lists!$F$5,$A$1:$T$1,0)),4)),VALUE(MID(INDEX($A61:$T61,MATCH(Lists!$F$5,$A$1:$T$1,0)),6,2)),VALUE(MID(INDEX($A61:$T61,MATCH(Lists!$F$5,$A$1:$T$1,0)),9,2))))),"")))</f>
        <v/>
      </c>
      <c r="AB61" s="21">
        <f>IF(Y61="","",IF(LEFT(IFERROR(TRIM(INDEX($A61:$T61,MATCH(Lists!$F$6,$A$1:$T$1,0))&amp;""),""),2)="No","General comment",IF(IFERROR(TRIM(INDEX($A61:$T61,MATCH(Lists!$F$7,$A$1:$T$1,0))&amp;""),"")&lt;&gt;"",IFERROR(TRIM(INDEX($A61:$T61,MATCH(Lists!$F$7,$A$1:$T$1,0))&amp;""),""),IF(IFERROR(TRIM(INDEX($A61:$T61,MATCH(Lists!$F$8,$A$1:$T$1,0))&amp;""),"")&lt;&gt;"",IFERROR(TRIM(INDEX($A61:$T61,MATCH(Lists!$F$8,$A$1:$T$1,0))&amp;""),""),"(no item given)"))))</f>
        <v/>
      </c>
      <c r="AC61" s="21">
        <f>IF(Y61="","",IF(ISNUMBER(SEARCH("support",IFERROR(TRIM(INDEX($A61:$T61,MATCH(Lists!$F$9,$A$1:$T$1,0))&amp;""),""))),"Support",IF(ISNUMBER(SEARCH("oppose",IFERROR(TRIM(INDEX($A61:$T61,MATCH(Lists!$F$9,$A$1:$T$1,0))&amp;""),""))),"Oppose",IF(IFERROR(TRIM(INDEX($A61:$T61,MATCH(Lists!$F$9,$A$1:$T$1,0))&amp;""),"")="","No position","Neither"))))</f>
        <v/>
      </c>
      <c r="AD61" s="21">
        <f>IF(Y61="","",IF(ISNUMBER(SEARCH("in person",IFERROR(TRIM(INDEX($A61:$T61,MATCH(Lists!$F$13,$A$1:$T$1,0))&amp;""),""))),"In person",IF(ISNUMBER(SEARCH("online",IFERROR(TRIM(INDEX($A61:$T61,MATCH(Lists!$F$13,$A$1:$T$1,0))&amp;""),""))),"Online","Written only")))</f>
        <v/>
      </c>
      <c r="AE61" s="21">
        <f>IF(Y61="","",IFERROR(TRIM(INDEX($A61:$T61,MATCH(Lists!$F$11,$A$1:$T$1,0))&amp;""),""))</f>
        <v/>
      </c>
      <c r="AF61" s="21">
        <f>IF(Y61="","",IFERROR(TRIM(INDEX($A61:$T61,MATCH(Lists!$F$12,$A$1:$T$1,0))&amp;""),""))</f>
        <v/>
      </c>
      <c r="AG61" s="21">
        <f>IF(Y61="","",IFERROR(TRIM(INDEX($A61:$T61,MATCH(Lists!$F$14,$A$1:$T$1,0))&amp;""),""))</f>
        <v/>
      </c>
      <c r="AH61" s="21">
        <f>IF(Y61="","",LEFT(IFERROR(TRIM(INDEX($A61:$T61,MATCH(Lists!$F$10,$A$1:$T$1,0))&amp;""),""),80))</f>
        <v/>
      </c>
      <c r="AI61" s="21">
        <f>IF(Y61="",0,IF(OR(Tally!$B$5="",AA61=Tally!$B$5),1,0))</f>
        <v/>
      </c>
      <c r="AJ61" s="21">
        <f>IF(AI61=1,IF(COUNTIFS($AB$2:AB61,AB61,$AI$2:AI61,1)=1,1,0),0)</f>
        <v/>
      </c>
      <c r="AK61" s="21">
        <f>IF(AJ61=1,SUM($AJ$2:AJ61),"")</f>
        <v/>
      </c>
      <c r="AL61" s="21">
        <f>IF(AND(AI61=1,OR(AD61="In person",AD61="Online"),OR(Speakers!$B$5="",AB61=Speakers!$B$5)),N(Z61)+ROW()/1000000000,"")</f>
        <v/>
      </c>
    </row>
    <row r="62">
      <c r="U62" s="19" t="n"/>
      <c r="V62" s="24" t="n"/>
      <c r="W62" s="24" t="n"/>
      <c r="X62" s="19" t="n"/>
      <c r="Y62" s="21">
        <f>IFERROR(TRIM(INDEX($A62:$T62,MATCH(Lists!$F$2,$A$1:$T$1,0))&amp;""),"")</f>
        <v/>
      </c>
      <c r="Z62" s="22">
        <f>IF(Y62="","",IFERROR(IF(ISNUMBER(INDEX($A62:$T62,MATCH(Lists!$F$3,$A$1:$T$1,0))),INDEX($A62:$T62,MATCH(Lists!$F$3,$A$1:$T$1,0)),DATE(VALUE(LEFT(IFERROR(TRIM(INDEX($A62:$T62,MATCH(Lists!$F$3,$A$1:$T$1,0))&amp;""),""),4)),VALUE(MID(IFERROR(TRIM(INDEX($A62:$T62,MATCH(Lists!$F$3,$A$1:$T$1,0))&amp;""),""),6,2)),VALUE(MID(IFERROR(TRIM(INDEX($A62:$T62,MATCH(Lists!$F$3,$A$1:$T$1,0))&amp;""),""),9,2)))+TIME(VALUE(MID(IFERROR(TRIM(INDEX($A62:$T62,MATCH(Lists!$F$3,$A$1:$T$1,0))&amp;""),""),12,2)),VALUE(MID(IFERROR(TRIM(INDEX($A62:$T62,MATCH(Lists!$F$3,$A$1:$T$1,0))&amp;""),""),15,2)),VALUE(MID(IFERROR(TRIM(INDEX($A62:$T62,MATCH(Lists!$F$3,$A$1:$T$1,0))&amp;""),""),18,2)))),""))</f>
        <v/>
      </c>
      <c r="AA62" s="23">
        <f>IF(Y62="","",IF(ISNUMBER(IFERROR(IF(TRIM(INDEX($A62:$T62,MATCH(Lists!$F$4,$A$1:$T$1,0))&amp;"")="","",IF(ISNUMBER(INDEX($A62:$T62,MATCH(Lists!$F$4,$A$1:$T$1,0))),INT(INDEX($A62:$T62,MATCH(Lists!$F$4,$A$1:$T$1,0))),DATE(VALUE(LEFT(INDEX($A62:$T62,MATCH(Lists!$F$4,$A$1:$T$1,0)),4)),VALUE(MID(INDEX($A62:$T62,MATCH(Lists!$F$4,$A$1:$T$1,0)),6,2)),VALUE(MID(INDEX($A62:$T62,MATCH(Lists!$F$4,$A$1:$T$1,0)),9,2))))),"")),IFERROR(IF(TRIM(INDEX($A62:$T62,MATCH(Lists!$F$4,$A$1:$T$1,0))&amp;"")="","",IF(ISNUMBER(INDEX($A62:$T62,MATCH(Lists!$F$4,$A$1:$T$1,0))),INT(INDEX($A62:$T62,MATCH(Lists!$F$4,$A$1:$T$1,0))),DATE(VALUE(LEFT(INDEX($A62:$T62,MATCH(Lists!$F$4,$A$1:$T$1,0)),4)),VALUE(MID(INDEX($A62:$T62,MATCH(Lists!$F$4,$A$1:$T$1,0)),6,2)),VALUE(MID(INDEX($A62:$T62,MATCH(Lists!$F$4,$A$1:$T$1,0)),9,2))))),""),IFERROR(IF(TRIM(INDEX($A62:$T62,MATCH(Lists!$F$5,$A$1:$T$1,0))&amp;"")="","",IF(ISNUMBER(INDEX($A62:$T62,MATCH(Lists!$F$5,$A$1:$T$1,0))),INT(INDEX($A62:$T62,MATCH(Lists!$F$5,$A$1:$T$1,0))),DATE(VALUE(LEFT(INDEX($A62:$T62,MATCH(Lists!$F$5,$A$1:$T$1,0)),4)),VALUE(MID(INDEX($A62:$T62,MATCH(Lists!$F$5,$A$1:$T$1,0)),6,2)),VALUE(MID(INDEX($A62:$T62,MATCH(Lists!$F$5,$A$1:$T$1,0)),9,2))))),"")))</f>
        <v/>
      </c>
      <c r="AB62" s="21">
        <f>IF(Y62="","",IF(LEFT(IFERROR(TRIM(INDEX($A62:$T62,MATCH(Lists!$F$6,$A$1:$T$1,0))&amp;""),""),2)="No","General comment",IF(IFERROR(TRIM(INDEX($A62:$T62,MATCH(Lists!$F$7,$A$1:$T$1,0))&amp;""),"")&lt;&gt;"",IFERROR(TRIM(INDEX($A62:$T62,MATCH(Lists!$F$7,$A$1:$T$1,0))&amp;""),""),IF(IFERROR(TRIM(INDEX($A62:$T62,MATCH(Lists!$F$8,$A$1:$T$1,0))&amp;""),"")&lt;&gt;"",IFERROR(TRIM(INDEX($A62:$T62,MATCH(Lists!$F$8,$A$1:$T$1,0))&amp;""),""),"(no item given)"))))</f>
        <v/>
      </c>
      <c r="AC62" s="21">
        <f>IF(Y62="","",IF(ISNUMBER(SEARCH("support",IFERROR(TRIM(INDEX($A62:$T62,MATCH(Lists!$F$9,$A$1:$T$1,0))&amp;""),""))),"Support",IF(ISNUMBER(SEARCH("oppose",IFERROR(TRIM(INDEX($A62:$T62,MATCH(Lists!$F$9,$A$1:$T$1,0))&amp;""),""))),"Oppose",IF(IFERROR(TRIM(INDEX($A62:$T62,MATCH(Lists!$F$9,$A$1:$T$1,0))&amp;""),"")="","No position","Neither"))))</f>
        <v/>
      </c>
      <c r="AD62" s="21">
        <f>IF(Y62="","",IF(ISNUMBER(SEARCH("in person",IFERROR(TRIM(INDEX($A62:$T62,MATCH(Lists!$F$13,$A$1:$T$1,0))&amp;""),""))),"In person",IF(ISNUMBER(SEARCH("online",IFERROR(TRIM(INDEX($A62:$T62,MATCH(Lists!$F$13,$A$1:$T$1,0))&amp;""),""))),"Online","Written only")))</f>
        <v/>
      </c>
      <c r="AE62" s="21">
        <f>IF(Y62="","",IFERROR(TRIM(INDEX($A62:$T62,MATCH(Lists!$F$11,$A$1:$T$1,0))&amp;""),""))</f>
        <v/>
      </c>
      <c r="AF62" s="21">
        <f>IF(Y62="","",IFERROR(TRIM(INDEX($A62:$T62,MATCH(Lists!$F$12,$A$1:$T$1,0))&amp;""),""))</f>
        <v/>
      </c>
      <c r="AG62" s="21">
        <f>IF(Y62="","",IFERROR(TRIM(INDEX($A62:$T62,MATCH(Lists!$F$14,$A$1:$T$1,0))&amp;""),""))</f>
        <v/>
      </c>
      <c r="AH62" s="21">
        <f>IF(Y62="","",LEFT(IFERROR(TRIM(INDEX($A62:$T62,MATCH(Lists!$F$10,$A$1:$T$1,0))&amp;""),""),80))</f>
        <v/>
      </c>
      <c r="AI62" s="21">
        <f>IF(Y62="",0,IF(OR(Tally!$B$5="",AA62=Tally!$B$5),1,0))</f>
        <v/>
      </c>
      <c r="AJ62" s="21">
        <f>IF(AI62=1,IF(COUNTIFS($AB$2:AB62,AB62,$AI$2:AI62,1)=1,1,0),0)</f>
        <v/>
      </c>
      <c r="AK62" s="21">
        <f>IF(AJ62=1,SUM($AJ$2:AJ62),"")</f>
        <v/>
      </c>
      <c r="AL62" s="21">
        <f>IF(AND(AI62=1,OR(AD62="In person",AD62="Online"),OR(Speakers!$B$5="",AB62=Speakers!$B$5)),N(Z62)+ROW()/1000000000,"")</f>
        <v/>
      </c>
    </row>
    <row r="63">
      <c r="U63" s="19" t="n"/>
      <c r="V63" s="24" t="n"/>
      <c r="W63" s="24" t="n"/>
      <c r="X63" s="19" t="n"/>
      <c r="Y63" s="21">
        <f>IFERROR(TRIM(INDEX($A63:$T63,MATCH(Lists!$F$2,$A$1:$T$1,0))&amp;""),"")</f>
        <v/>
      </c>
      <c r="Z63" s="22">
        <f>IF(Y63="","",IFERROR(IF(ISNUMBER(INDEX($A63:$T63,MATCH(Lists!$F$3,$A$1:$T$1,0))),INDEX($A63:$T63,MATCH(Lists!$F$3,$A$1:$T$1,0)),DATE(VALUE(LEFT(IFERROR(TRIM(INDEX($A63:$T63,MATCH(Lists!$F$3,$A$1:$T$1,0))&amp;""),""),4)),VALUE(MID(IFERROR(TRIM(INDEX($A63:$T63,MATCH(Lists!$F$3,$A$1:$T$1,0))&amp;""),""),6,2)),VALUE(MID(IFERROR(TRIM(INDEX($A63:$T63,MATCH(Lists!$F$3,$A$1:$T$1,0))&amp;""),""),9,2)))+TIME(VALUE(MID(IFERROR(TRIM(INDEX($A63:$T63,MATCH(Lists!$F$3,$A$1:$T$1,0))&amp;""),""),12,2)),VALUE(MID(IFERROR(TRIM(INDEX($A63:$T63,MATCH(Lists!$F$3,$A$1:$T$1,0))&amp;""),""),15,2)),VALUE(MID(IFERROR(TRIM(INDEX($A63:$T63,MATCH(Lists!$F$3,$A$1:$T$1,0))&amp;""),""),18,2)))),""))</f>
        <v/>
      </c>
      <c r="AA63" s="23">
        <f>IF(Y63="","",IF(ISNUMBER(IFERROR(IF(TRIM(INDEX($A63:$T63,MATCH(Lists!$F$4,$A$1:$T$1,0))&amp;"")="","",IF(ISNUMBER(INDEX($A63:$T63,MATCH(Lists!$F$4,$A$1:$T$1,0))),INT(INDEX($A63:$T63,MATCH(Lists!$F$4,$A$1:$T$1,0))),DATE(VALUE(LEFT(INDEX($A63:$T63,MATCH(Lists!$F$4,$A$1:$T$1,0)),4)),VALUE(MID(INDEX($A63:$T63,MATCH(Lists!$F$4,$A$1:$T$1,0)),6,2)),VALUE(MID(INDEX($A63:$T63,MATCH(Lists!$F$4,$A$1:$T$1,0)),9,2))))),"")),IFERROR(IF(TRIM(INDEX($A63:$T63,MATCH(Lists!$F$4,$A$1:$T$1,0))&amp;"")="","",IF(ISNUMBER(INDEX($A63:$T63,MATCH(Lists!$F$4,$A$1:$T$1,0))),INT(INDEX($A63:$T63,MATCH(Lists!$F$4,$A$1:$T$1,0))),DATE(VALUE(LEFT(INDEX($A63:$T63,MATCH(Lists!$F$4,$A$1:$T$1,0)),4)),VALUE(MID(INDEX($A63:$T63,MATCH(Lists!$F$4,$A$1:$T$1,0)),6,2)),VALUE(MID(INDEX($A63:$T63,MATCH(Lists!$F$4,$A$1:$T$1,0)),9,2))))),""),IFERROR(IF(TRIM(INDEX($A63:$T63,MATCH(Lists!$F$5,$A$1:$T$1,0))&amp;"")="","",IF(ISNUMBER(INDEX($A63:$T63,MATCH(Lists!$F$5,$A$1:$T$1,0))),INT(INDEX($A63:$T63,MATCH(Lists!$F$5,$A$1:$T$1,0))),DATE(VALUE(LEFT(INDEX($A63:$T63,MATCH(Lists!$F$5,$A$1:$T$1,0)),4)),VALUE(MID(INDEX($A63:$T63,MATCH(Lists!$F$5,$A$1:$T$1,0)),6,2)),VALUE(MID(INDEX($A63:$T63,MATCH(Lists!$F$5,$A$1:$T$1,0)),9,2))))),"")))</f>
        <v/>
      </c>
      <c r="AB63" s="21">
        <f>IF(Y63="","",IF(LEFT(IFERROR(TRIM(INDEX($A63:$T63,MATCH(Lists!$F$6,$A$1:$T$1,0))&amp;""),""),2)="No","General comment",IF(IFERROR(TRIM(INDEX($A63:$T63,MATCH(Lists!$F$7,$A$1:$T$1,0))&amp;""),"")&lt;&gt;"",IFERROR(TRIM(INDEX($A63:$T63,MATCH(Lists!$F$7,$A$1:$T$1,0))&amp;""),""),IF(IFERROR(TRIM(INDEX($A63:$T63,MATCH(Lists!$F$8,$A$1:$T$1,0))&amp;""),"")&lt;&gt;"",IFERROR(TRIM(INDEX($A63:$T63,MATCH(Lists!$F$8,$A$1:$T$1,0))&amp;""),""),"(no item given)"))))</f>
        <v/>
      </c>
      <c r="AC63" s="21">
        <f>IF(Y63="","",IF(ISNUMBER(SEARCH("support",IFERROR(TRIM(INDEX($A63:$T63,MATCH(Lists!$F$9,$A$1:$T$1,0))&amp;""),""))),"Support",IF(ISNUMBER(SEARCH("oppose",IFERROR(TRIM(INDEX($A63:$T63,MATCH(Lists!$F$9,$A$1:$T$1,0))&amp;""),""))),"Oppose",IF(IFERROR(TRIM(INDEX($A63:$T63,MATCH(Lists!$F$9,$A$1:$T$1,0))&amp;""),"")="","No position","Neither"))))</f>
        <v/>
      </c>
      <c r="AD63" s="21">
        <f>IF(Y63="","",IF(ISNUMBER(SEARCH("in person",IFERROR(TRIM(INDEX($A63:$T63,MATCH(Lists!$F$13,$A$1:$T$1,0))&amp;""),""))),"In person",IF(ISNUMBER(SEARCH("online",IFERROR(TRIM(INDEX($A63:$T63,MATCH(Lists!$F$13,$A$1:$T$1,0))&amp;""),""))),"Online","Written only")))</f>
        <v/>
      </c>
      <c r="AE63" s="21">
        <f>IF(Y63="","",IFERROR(TRIM(INDEX($A63:$T63,MATCH(Lists!$F$11,$A$1:$T$1,0))&amp;""),""))</f>
        <v/>
      </c>
      <c r="AF63" s="21">
        <f>IF(Y63="","",IFERROR(TRIM(INDEX($A63:$T63,MATCH(Lists!$F$12,$A$1:$T$1,0))&amp;""),""))</f>
        <v/>
      </c>
      <c r="AG63" s="21">
        <f>IF(Y63="","",IFERROR(TRIM(INDEX($A63:$T63,MATCH(Lists!$F$14,$A$1:$T$1,0))&amp;""),""))</f>
        <v/>
      </c>
      <c r="AH63" s="21">
        <f>IF(Y63="","",LEFT(IFERROR(TRIM(INDEX($A63:$T63,MATCH(Lists!$F$10,$A$1:$T$1,0))&amp;""),""),80))</f>
        <v/>
      </c>
      <c r="AI63" s="21">
        <f>IF(Y63="",0,IF(OR(Tally!$B$5="",AA63=Tally!$B$5),1,0))</f>
        <v/>
      </c>
      <c r="AJ63" s="21">
        <f>IF(AI63=1,IF(COUNTIFS($AB$2:AB63,AB63,$AI$2:AI63,1)=1,1,0),0)</f>
        <v/>
      </c>
      <c r="AK63" s="21">
        <f>IF(AJ63=1,SUM($AJ$2:AJ63),"")</f>
        <v/>
      </c>
      <c r="AL63" s="21">
        <f>IF(AND(AI63=1,OR(AD63="In person",AD63="Online"),OR(Speakers!$B$5="",AB63=Speakers!$B$5)),N(Z63)+ROW()/1000000000,"")</f>
        <v/>
      </c>
    </row>
    <row r="64">
      <c r="U64" s="19" t="n"/>
      <c r="V64" s="24" t="n"/>
      <c r="W64" s="24" t="n"/>
      <c r="X64" s="19" t="n"/>
      <c r="Y64" s="21">
        <f>IFERROR(TRIM(INDEX($A64:$T64,MATCH(Lists!$F$2,$A$1:$T$1,0))&amp;""),"")</f>
        <v/>
      </c>
      <c r="Z64" s="22">
        <f>IF(Y64="","",IFERROR(IF(ISNUMBER(INDEX($A64:$T64,MATCH(Lists!$F$3,$A$1:$T$1,0))),INDEX($A64:$T64,MATCH(Lists!$F$3,$A$1:$T$1,0)),DATE(VALUE(LEFT(IFERROR(TRIM(INDEX($A64:$T64,MATCH(Lists!$F$3,$A$1:$T$1,0))&amp;""),""),4)),VALUE(MID(IFERROR(TRIM(INDEX($A64:$T64,MATCH(Lists!$F$3,$A$1:$T$1,0))&amp;""),""),6,2)),VALUE(MID(IFERROR(TRIM(INDEX($A64:$T64,MATCH(Lists!$F$3,$A$1:$T$1,0))&amp;""),""),9,2)))+TIME(VALUE(MID(IFERROR(TRIM(INDEX($A64:$T64,MATCH(Lists!$F$3,$A$1:$T$1,0))&amp;""),""),12,2)),VALUE(MID(IFERROR(TRIM(INDEX($A64:$T64,MATCH(Lists!$F$3,$A$1:$T$1,0))&amp;""),""),15,2)),VALUE(MID(IFERROR(TRIM(INDEX($A64:$T64,MATCH(Lists!$F$3,$A$1:$T$1,0))&amp;""),""),18,2)))),""))</f>
        <v/>
      </c>
      <c r="AA64" s="23">
        <f>IF(Y64="","",IF(ISNUMBER(IFERROR(IF(TRIM(INDEX($A64:$T64,MATCH(Lists!$F$4,$A$1:$T$1,0))&amp;"")="","",IF(ISNUMBER(INDEX($A64:$T64,MATCH(Lists!$F$4,$A$1:$T$1,0))),INT(INDEX($A64:$T64,MATCH(Lists!$F$4,$A$1:$T$1,0))),DATE(VALUE(LEFT(INDEX($A64:$T64,MATCH(Lists!$F$4,$A$1:$T$1,0)),4)),VALUE(MID(INDEX($A64:$T64,MATCH(Lists!$F$4,$A$1:$T$1,0)),6,2)),VALUE(MID(INDEX($A64:$T64,MATCH(Lists!$F$4,$A$1:$T$1,0)),9,2))))),"")),IFERROR(IF(TRIM(INDEX($A64:$T64,MATCH(Lists!$F$4,$A$1:$T$1,0))&amp;"")="","",IF(ISNUMBER(INDEX($A64:$T64,MATCH(Lists!$F$4,$A$1:$T$1,0))),INT(INDEX($A64:$T64,MATCH(Lists!$F$4,$A$1:$T$1,0))),DATE(VALUE(LEFT(INDEX($A64:$T64,MATCH(Lists!$F$4,$A$1:$T$1,0)),4)),VALUE(MID(INDEX($A64:$T64,MATCH(Lists!$F$4,$A$1:$T$1,0)),6,2)),VALUE(MID(INDEX($A64:$T64,MATCH(Lists!$F$4,$A$1:$T$1,0)),9,2))))),""),IFERROR(IF(TRIM(INDEX($A64:$T64,MATCH(Lists!$F$5,$A$1:$T$1,0))&amp;"")="","",IF(ISNUMBER(INDEX($A64:$T64,MATCH(Lists!$F$5,$A$1:$T$1,0))),INT(INDEX($A64:$T64,MATCH(Lists!$F$5,$A$1:$T$1,0))),DATE(VALUE(LEFT(INDEX($A64:$T64,MATCH(Lists!$F$5,$A$1:$T$1,0)),4)),VALUE(MID(INDEX($A64:$T64,MATCH(Lists!$F$5,$A$1:$T$1,0)),6,2)),VALUE(MID(INDEX($A64:$T64,MATCH(Lists!$F$5,$A$1:$T$1,0)),9,2))))),"")))</f>
        <v/>
      </c>
      <c r="AB64" s="21">
        <f>IF(Y64="","",IF(LEFT(IFERROR(TRIM(INDEX($A64:$T64,MATCH(Lists!$F$6,$A$1:$T$1,0))&amp;""),""),2)="No","General comment",IF(IFERROR(TRIM(INDEX($A64:$T64,MATCH(Lists!$F$7,$A$1:$T$1,0))&amp;""),"")&lt;&gt;"",IFERROR(TRIM(INDEX($A64:$T64,MATCH(Lists!$F$7,$A$1:$T$1,0))&amp;""),""),IF(IFERROR(TRIM(INDEX($A64:$T64,MATCH(Lists!$F$8,$A$1:$T$1,0))&amp;""),"")&lt;&gt;"",IFERROR(TRIM(INDEX($A64:$T64,MATCH(Lists!$F$8,$A$1:$T$1,0))&amp;""),""),"(no item given)"))))</f>
        <v/>
      </c>
      <c r="AC64" s="21">
        <f>IF(Y64="","",IF(ISNUMBER(SEARCH("support",IFERROR(TRIM(INDEX($A64:$T64,MATCH(Lists!$F$9,$A$1:$T$1,0))&amp;""),""))),"Support",IF(ISNUMBER(SEARCH("oppose",IFERROR(TRIM(INDEX($A64:$T64,MATCH(Lists!$F$9,$A$1:$T$1,0))&amp;""),""))),"Oppose",IF(IFERROR(TRIM(INDEX($A64:$T64,MATCH(Lists!$F$9,$A$1:$T$1,0))&amp;""),"")="","No position","Neither"))))</f>
        <v/>
      </c>
      <c r="AD64" s="21">
        <f>IF(Y64="","",IF(ISNUMBER(SEARCH("in person",IFERROR(TRIM(INDEX($A64:$T64,MATCH(Lists!$F$13,$A$1:$T$1,0))&amp;""),""))),"In person",IF(ISNUMBER(SEARCH("online",IFERROR(TRIM(INDEX($A64:$T64,MATCH(Lists!$F$13,$A$1:$T$1,0))&amp;""),""))),"Online","Written only")))</f>
        <v/>
      </c>
      <c r="AE64" s="21">
        <f>IF(Y64="","",IFERROR(TRIM(INDEX($A64:$T64,MATCH(Lists!$F$11,$A$1:$T$1,0))&amp;""),""))</f>
        <v/>
      </c>
      <c r="AF64" s="21">
        <f>IF(Y64="","",IFERROR(TRIM(INDEX($A64:$T64,MATCH(Lists!$F$12,$A$1:$T$1,0))&amp;""),""))</f>
        <v/>
      </c>
      <c r="AG64" s="21">
        <f>IF(Y64="","",IFERROR(TRIM(INDEX($A64:$T64,MATCH(Lists!$F$14,$A$1:$T$1,0))&amp;""),""))</f>
        <v/>
      </c>
      <c r="AH64" s="21">
        <f>IF(Y64="","",LEFT(IFERROR(TRIM(INDEX($A64:$T64,MATCH(Lists!$F$10,$A$1:$T$1,0))&amp;""),""),80))</f>
        <v/>
      </c>
      <c r="AI64" s="21">
        <f>IF(Y64="",0,IF(OR(Tally!$B$5="",AA64=Tally!$B$5),1,0))</f>
        <v/>
      </c>
      <c r="AJ64" s="21">
        <f>IF(AI64=1,IF(COUNTIFS($AB$2:AB64,AB64,$AI$2:AI64,1)=1,1,0),0)</f>
        <v/>
      </c>
      <c r="AK64" s="21">
        <f>IF(AJ64=1,SUM($AJ$2:AJ64),"")</f>
        <v/>
      </c>
      <c r="AL64" s="21">
        <f>IF(AND(AI64=1,OR(AD64="In person",AD64="Online"),OR(Speakers!$B$5="",AB64=Speakers!$B$5)),N(Z64)+ROW()/1000000000,"")</f>
        <v/>
      </c>
    </row>
    <row r="65">
      <c r="U65" s="19" t="n"/>
      <c r="V65" s="24" t="n"/>
      <c r="W65" s="24" t="n"/>
      <c r="X65" s="19" t="n"/>
      <c r="Y65" s="21">
        <f>IFERROR(TRIM(INDEX($A65:$T65,MATCH(Lists!$F$2,$A$1:$T$1,0))&amp;""),"")</f>
        <v/>
      </c>
      <c r="Z65" s="22">
        <f>IF(Y65="","",IFERROR(IF(ISNUMBER(INDEX($A65:$T65,MATCH(Lists!$F$3,$A$1:$T$1,0))),INDEX($A65:$T65,MATCH(Lists!$F$3,$A$1:$T$1,0)),DATE(VALUE(LEFT(IFERROR(TRIM(INDEX($A65:$T65,MATCH(Lists!$F$3,$A$1:$T$1,0))&amp;""),""),4)),VALUE(MID(IFERROR(TRIM(INDEX($A65:$T65,MATCH(Lists!$F$3,$A$1:$T$1,0))&amp;""),""),6,2)),VALUE(MID(IFERROR(TRIM(INDEX($A65:$T65,MATCH(Lists!$F$3,$A$1:$T$1,0))&amp;""),""),9,2)))+TIME(VALUE(MID(IFERROR(TRIM(INDEX($A65:$T65,MATCH(Lists!$F$3,$A$1:$T$1,0))&amp;""),""),12,2)),VALUE(MID(IFERROR(TRIM(INDEX($A65:$T65,MATCH(Lists!$F$3,$A$1:$T$1,0))&amp;""),""),15,2)),VALUE(MID(IFERROR(TRIM(INDEX($A65:$T65,MATCH(Lists!$F$3,$A$1:$T$1,0))&amp;""),""),18,2)))),""))</f>
        <v/>
      </c>
      <c r="AA65" s="23">
        <f>IF(Y65="","",IF(ISNUMBER(IFERROR(IF(TRIM(INDEX($A65:$T65,MATCH(Lists!$F$4,$A$1:$T$1,0))&amp;"")="","",IF(ISNUMBER(INDEX($A65:$T65,MATCH(Lists!$F$4,$A$1:$T$1,0))),INT(INDEX($A65:$T65,MATCH(Lists!$F$4,$A$1:$T$1,0))),DATE(VALUE(LEFT(INDEX($A65:$T65,MATCH(Lists!$F$4,$A$1:$T$1,0)),4)),VALUE(MID(INDEX($A65:$T65,MATCH(Lists!$F$4,$A$1:$T$1,0)),6,2)),VALUE(MID(INDEX($A65:$T65,MATCH(Lists!$F$4,$A$1:$T$1,0)),9,2))))),"")),IFERROR(IF(TRIM(INDEX($A65:$T65,MATCH(Lists!$F$4,$A$1:$T$1,0))&amp;"")="","",IF(ISNUMBER(INDEX($A65:$T65,MATCH(Lists!$F$4,$A$1:$T$1,0))),INT(INDEX($A65:$T65,MATCH(Lists!$F$4,$A$1:$T$1,0))),DATE(VALUE(LEFT(INDEX($A65:$T65,MATCH(Lists!$F$4,$A$1:$T$1,0)),4)),VALUE(MID(INDEX($A65:$T65,MATCH(Lists!$F$4,$A$1:$T$1,0)),6,2)),VALUE(MID(INDEX($A65:$T65,MATCH(Lists!$F$4,$A$1:$T$1,0)),9,2))))),""),IFERROR(IF(TRIM(INDEX($A65:$T65,MATCH(Lists!$F$5,$A$1:$T$1,0))&amp;"")="","",IF(ISNUMBER(INDEX($A65:$T65,MATCH(Lists!$F$5,$A$1:$T$1,0))),INT(INDEX($A65:$T65,MATCH(Lists!$F$5,$A$1:$T$1,0))),DATE(VALUE(LEFT(INDEX($A65:$T65,MATCH(Lists!$F$5,$A$1:$T$1,0)),4)),VALUE(MID(INDEX($A65:$T65,MATCH(Lists!$F$5,$A$1:$T$1,0)),6,2)),VALUE(MID(INDEX($A65:$T65,MATCH(Lists!$F$5,$A$1:$T$1,0)),9,2))))),"")))</f>
        <v/>
      </c>
      <c r="AB65" s="21">
        <f>IF(Y65="","",IF(LEFT(IFERROR(TRIM(INDEX($A65:$T65,MATCH(Lists!$F$6,$A$1:$T$1,0))&amp;""),""),2)="No","General comment",IF(IFERROR(TRIM(INDEX($A65:$T65,MATCH(Lists!$F$7,$A$1:$T$1,0))&amp;""),"")&lt;&gt;"",IFERROR(TRIM(INDEX($A65:$T65,MATCH(Lists!$F$7,$A$1:$T$1,0))&amp;""),""),IF(IFERROR(TRIM(INDEX($A65:$T65,MATCH(Lists!$F$8,$A$1:$T$1,0))&amp;""),"")&lt;&gt;"",IFERROR(TRIM(INDEX($A65:$T65,MATCH(Lists!$F$8,$A$1:$T$1,0))&amp;""),""),"(no item given)"))))</f>
        <v/>
      </c>
      <c r="AC65" s="21">
        <f>IF(Y65="","",IF(ISNUMBER(SEARCH("support",IFERROR(TRIM(INDEX($A65:$T65,MATCH(Lists!$F$9,$A$1:$T$1,0))&amp;""),""))),"Support",IF(ISNUMBER(SEARCH("oppose",IFERROR(TRIM(INDEX($A65:$T65,MATCH(Lists!$F$9,$A$1:$T$1,0))&amp;""),""))),"Oppose",IF(IFERROR(TRIM(INDEX($A65:$T65,MATCH(Lists!$F$9,$A$1:$T$1,0))&amp;""),"")="","No position","Neither"))))</f>
        <v/>
      </c>
      <c r="AD65" s="21">
        <f>IF(Y65="","",IF(ISNUMBER(SEARCH("in person",IFERROR(TRIM(INDEX($A65:$T65,MATCH(Lists!$F$13,$A$1:$T$1,0))&amp;""),""))),"In person",IF(ISNUMBER(SEARCH("online",IFERROR(TRIM(INDEX($A65:$T65,MATCH(Lists!$F$13,$A$1:$T$1,0))&amp;""),""))),"Online","Written only")))</f>
        <v/>
      </c>
      <c r="AE65" s="21">
        <f>IF(Y65="","",IFERROR(TRIM(INDEX($A65:$T65,MATCH(Lists!$F$11,$A$1:$T$1,0))&amp;""),""))</f>
        <v/>
      </c>
      <c r="AF65" s="21">
        <f>IF(Y65="","",IFERROR(TRIM(INDEX($A65:$T65,MATCH(Lists!$F$12,$A$1:$T$1,0))&amp;""),""))</f>
        <v/>
      </c>
      <c r="AG65" s="21">
        <f>IF(Y65="","",IFERROR(TRIM(INDEX($A65:$T65,MATCH(Lists!$F$14,$A$1:$T$1,0))&amp;""),""))</f>
        <v/>
      </c>
      <c r="AH65" s="21">
        <f>IF(Y65="","",LEFT(IFERROR(TRIM(INDEX($A65:$T65,MATCH(Lists!$F$10,$A$1:$T$1,0))&amp;""),""),80))</f>
        <v/>
      </c>
      <c r="AI65" s="21">
        <f>IF(Y65="",0,IF(OR(Tally!$B$5="",AA65=Tally!$B$5),1,0))</f>
        <v/>
      </c>
      <c r="AJ65" s="21">
        <f>IF(AI65=1,IF(COUNTIFS($AB$2:AB65,AB65,$AI$2:AI65,1)=1,1,0),0)</f>
        <v/>
      </c>
      <c r="AK65" s="21">
        <f>IF(AJ65=1,SUM($AJ$2:AJ65),"")</f>
        <v/>
      </c>
      <c r="AL65" s="21">
        <f>IF(AND(AI65=1,OR(AD65="In person",AD65="Online"),OR(Speakers!$B$5="",AB65=Speakers!$B$5)),N(Z65)+ROW()/1000000000,"")</f>
        <v/>
      </c>
    </row>
    <row r="66">
      <c r="U66" s="19" t="n"/>
      <c r="V66" s="24" t="n"/>
      <c r="W66" s="24" t="n"/>
      <c r="X66" s="19" t="n"/>
      <c r="Y66" s="21">
        <f>IFERROR(TRIM(INDEX($A66:$T66,MATCH(Lists!$F$2,$A$1:$T$1,0))&amp;""),"")</f>
        <v/>
      </c>
      <c r="Z66" s="22">
        <f>IF(Y66="","",IFERROR(IF(ISNUMBER(INDEX($A66:$T66,MATCH(Lists!$F$3,$A$1:$T$1,0))),INDEX($A66:$T66,MATCH(Lists!$F$3,$A$1:$T$1,0)),DATE(VALUE(LEFT(IFERROR(TRIM(INDEX($A66:$T66,MATCH(Lists!$F$3,$A$1:$T$1,0))&amp;""),""),4)),VALUE(MID(IFERROR(TRIM(INDEX($A66:$T66,MATCH(Lists!$F$3,$A$1:$T$1,0))&amp;""),""),6,2)),VALUE(MID(IFERROR(TRIM(INDEX($A66:$T66,MATCH(Lists!$F$3,$A$1:$T$1,0))&amp;""),""),9,2)))+TIME(VALUE(MID(IFERROR(TRIM(INDEX($A66:$T66,MATCH(Lists!$F$3,$A$1:$T$1,0))&amp;""),""),12,2)),VALUE(MID(IFERROR(TRIM(INDEX($A66:$T66,MATCH(Lists!$F$3,$A$1:$T$1,0))&amp;""),""),15,2)),VALUE(MID(IFERROR(TRIM(INDEX($A66:$T66,MATCH(Lists!$F$3,$A$1:$T$1,0))&amp;""),""),18,2)))),""))</f>
        <v/>
      </c>
      <c r="AA66" s="23">
        <f>IF(Y66="","",IF(ISNUMBER(IFERROR(IF(TRIM(INDEX($A66:$T66,MATCH(Lists!$F$4,$A$1:$T$1,0))&amp;"")="","",IF(ISNUMBER(INDEX($A66:$T66,MATCH(Lists!$F$4,$A$1:$T$1,0))),INT(INDEX($A66:$T66,MATCH(Lists!$F$4,$A$1:$T$1,0))),DATE(VALUE(LEFT(INDEX($A66:$T66,MATCH(Lists!$F$4,$A$1:$T$1,0)),4)),VALUE(MID(INDEX($A66:$T66,MATCH(Lists!$F$4,$A$1:$T$1,0)),6,2)),VALUE(MID(INDEX($A66:$T66,MATCH(Lists!$F$4,$A$1:$T$1,0)),9,2))))),"")),IFERROR(IF(TRIM(INDEX($A66:$T66,MATCH(Lists!$F$4,$A$1:$T$1,0))&amp;"")="","",IF(ISNUMBER(INDEX($A66:$T66,MATCH(Lists!$F$4,$A$1:$T$1,0))),INT(INDEX($A66:$T66,MATCH(Lists!$F$4,$A$1:$T$1,0))),DATE(VALUE(LEFT(INDEX($A66:$T66,MATCH(Lists!$F$4,$A$1:$T$1,0)),4)),VALUE(MID(INDEX($A66:$T66,MATCH(Lists!$F$4,$A$1:$T$1,0)),6,2)),VALUE(MID(INDEX($A66:$T66,MATCH(Lists!$F$4,$A$1:$T$1,0)),9,2))))),""),IFERROR(IF(TRIM(INDEX($A66:$T66,MATCH(Lists!$F$5,$A$1:$T$1,0))&amp;"")="","",IF(ISNUMBER(INDEX($A66:$T66,MATCH(Lists!$F$5,$A$1:$T$1,0))),INT(INDEX($A66:$T66,MATCH(Lists!$F$5,$A$1:$T$1,0))),DATE(VALUE(LEFT(INDEX($A66:$T66,MATCH(Lists!$F$5,$A$1:$T$1,0)),4)),VALUE(MID(INDEX($A66:$T66,MATCH(Lists!$F$5,$A$1:$T$1,0)),6,2)),VALUE(MID(INDEX($A66:$T66,MATCH(Lists!$F$5,$A$1:$T$1,0)),9,2))))),"")))</f>
        <v/>
      </c>
      <c r="AB66" s="21">
        <f>IF(Y66="","",IF(LEFT(IFERROR(TRIM(INDEX($A66:$T66,MATCH(Lists!$F$6,$A$1:$T$1,0))&amp;""),""),2)="No","General comment",IF(IFERROR(TRIM(INDEX($A66:$T66,MATCH(Lists!$F$7,$A$1:$T$1,0))&amp;""),"")&lt;&gt;"",IFERROR(TRIM(INDEX($A66:$T66,MATCH(Lists!$F$7,$A$1:$T$1,0))&amp;""),""),IF(IFERROR(TRIM(INDEX($A66:$T66,MATCH(Lists!$F$8,$A$1:$T$1,0))&amp;""),"")&lt;&gt;"",IFERROR(TRIM(INDEX($A66:$T66,MATCH(Lists!$F$8,$A$1:$T$1,0))&amp;""),""),"(no item given)"))))</f>
        <v/>
      </c>
      <c r="AC66" s="21">
        <f>IF(Y66="","",IF(ISNUMBER(SEARCH("support",IFERROR(TRIM(INDEX($A66:$T66,MATCH(Lists!$F$9,$A$1:$T$1,0))&amp;""),""))),"Support",IF(ISNUMBER(SEARCH("oppose",IFERROR(TRIM(INDEX($A66:$T66,MATCH(Lists!$F$9,$A$1:$T$1,0))&amp;""),""))),"Oppose",IF(IFERROR(TRIM(INDEX($A66:$T66,MATCH(Lists!$F$9,$A$1:$T$1,0))&amp;""),"")="","No position","Neither"))))</f>
        <v/>
      </c>
      <c r="AD66" s="21">
        <f>IF(Y66="","",IF(ISNUMBER(SEARCH("in person",IFERROR(TRIM(INDEX($A66:$T66,MATCH(Lists!$F$13,$A$1:$T$1,0))&amp;""),""))),"In person",IF(ISNUMBER(SEARCH("online",IFERROR(TRIM(INDEX($A66:$T66,MATCH(Lists!$F$13,$A$1:$T$1,0))&amp;""),""))),"Online","Written only")))</f>
        <v/>
      </c>
      <c r="AE66" s="21">
        <f>IF(Y66="","",IFERROR(TRIM(INDEX($A66:$T66,MATCH(Lists!$F$11,$A$1:$T$1,0))&amp;""),""))</f>
        <v/>
      </c>
      <c r="AF66" s="21">
        <f>IF(Y66="","",IFERROR(TRIM(INDEX($A66:$T66,MATCH(Lists!$F$12,$A$1:$T$1,0))&amp;""),""))</f>
        <v/>
      </c>
      <c r="AG66" s="21">
        <f>IF(Y66="","",IFERROR(TRIM(INDEX($A66:$T66,MATCH(Lists!$F$14,$A$1:$T$1,0))&amp;""),""))</f>
        <v/>
      </c>
      <c r="AH66" s="21">
        <f>IF(Y66="","",LEFT(IFERROR(TRIM(INDEX($A66:$T66,MATCH(Lists!$F$10,$A$1:$T$1,0))&amp;""),""),80))</f>
        <v/>
      </c>
      <c r="AI66" s="21">
        <f>IF(Y66="",0,IF(OR(Tally!$B$5="",AA66=Tally!$B$5),1,0))</f>
        <v/>
      </c>
      <c r="AJ66" s="21">
        <f>IF(AI66=1,IF(COUNTIFS($AB$2:AB66,AB66,$AI$2:AI66,1)=1,1,0),0)</f>
        <v/>
      </c>
      <c r="AK66" s="21">
        <f>IF(AJ66=1,SUM($AJ$2:AJ66),"")</f>
        <v/>
      </c>
      <c r="AL66" s="21">
        <f>IF(AND(AI66=1,OR(AD66="In person",AD66="Online"),OR(Speakers!$B$5="",AB66=Speakers!$B$5)),N(Z66)+ROW()/1000000000,"")</f>
        <v/>
      </c>
    </row>
    <row r="67">
      <c r="U67" s="19" t="n"/>
      <c r="V67" s="24" t="n"/>
      <c r="W67" s="24" t="n"/>
      <c r="X67" s="19" t="n"/>
      <c r="Y67" s="21">
        <f>IFERROR(TRIM(INDEX($A67:$T67,MATCH(Lists!$F$2,$A$1:$T$1,0))&amp;""),"")</f>
        <v/>
      </c>
      <c r="Z67" s="22">
        <f>IF(Y67="","",IFERROR(IF(ISNUMBER(INDEX($A67:$T67,MATCH(Lists!$F$3,$A$1:$T$1,0))),INDEX($A67:$T67,MATCH(Lists!$F$3,$A$1:$T$1,0)),DATE(VALUE(LEFT(IFERROR(TRIM(INDEX($A67:$T67,MATCH(Lists!$F$3,$A$1:$T$1,0))&amp;""),""),4)),VALUE(MID(IFERROR(TRIM(INDEX($A67:$T67,MATCH(Lists!$F$3,$A$1:$T$1,0))&amp;""),""),6,2)),VALUE(MID(IFERROR(TRIM(INDEX($A67:$T67,MATCH(Lists!$F$3,$A$1:$T$1,0))&amp;""),""),9,2)))+TIME(VALUE(MID(IFERROR(TRIM(INDEX($A67:$T67,MATCH(Lists!$F$3,$A$1:$T$1,0))&amp;""),""),12,2)),VALUE(MID(IFERROR(TRIM(INDEX($A67:$T67,MATCH(Lists!$F$3,$A$1:$T$1,0))&amp;""),""),15,2)),VALUE(MID(IFERROR(TRIM(INDEX($A67:$T67,MATCH(Lists!$F$3,$A$1:$T$1,0))&amp;""),""),18,2)))),""))</f>
        <v/>
      </c>
      <c r="AA67" s="23">
        <f>IF(Y67="","",IF(ISNUMBER(IFERROR(IF(TRIM(INDEX($A67:$T67,MATCH(Lists!$F$4,$A$1:$T$1,0))&amp;"")="","",IF(ISNUMBER(INDEX($A67:$T67,MATCH(Lists!$F$4,$A$1:$T$1,0))),INT(INDEX($A67:$T67,MATCH(Lists!$F$4,$A$1:$T$1,0))),DATE(VALUE(LEFT(INDEX($A67:$T67,MATCH(Lists!$F$4,$A$1:$T$1,0)),4)),VALUE(MID(INDEX($A67:$T67,MATCH(Lists!$F$4,$A$1:$T$1,0)),6,2)),VALUE(MID(INDEX($A67:$T67,MATCH(Lists!$F$4,$A$1:$T$1,0)),9,2))))),"")),IFERROR(IF(TRIM(INDEX($A67:$T67,MATCH(Lists!$F$4,$A$1:$T$1,0))&amp;"")="","",IF(ISNUMBER(INDEX($A67:$T67,MATCH(Lists!$F$4,$A$1:$T$1,0))),INT(INDEX($A67:$T67,MATCH(Lists!$F$4,$A$1:$T$1,0))),DATE(VALUE(LEFT(INDEX($A67:$T67,MATCH(Lists!$F$4,$A$1:$T$1,0)),4)),VALUE(MID(INDEX($A67:$T67,MATCH(Lists!$F$4,$A$1:$T$1,0)),6,2)),VALUE(MID(INDEX($A67:$T67,MATCH(Lists!$F$4,$A$1:$T$1,0)),9,2))))),""),IFERROR(IF(TRIM(INDEX($A67:$T67,MATCH(Lists!$F$5,$A$1:$T$1,0))&amp;"")="","",IF(ISNUMBER(INDEX($A67:$T67,MATCH(Lists!$F$5,$A$1:$T$1,0))),INT(INDEX($A67:$T67,MATCH(Lists!$F$5,$A$1:$T$1,0))),DATE(VALUE(LEFT(INDEX($A67:$T67,MATCH(Lists!$F$5,$A$1:$T$1,0)),4)),VALUE(MID(INDEX($A67:$T67,MATCH(Lists!$F$5,$A$1:$T$1,0)),6,2)),VALUE(MID(INDEX($A67:$T67,MATCH(Lists!$F$5,$A$1:$T$1,0)),9,2))))),"")))</f>
        <v/>
      </c>
      <c r="AB67" s="21">
        <f>IF(Y67="","",IF(LEFT(IFERROR(TRIM(INDEX($A67:$T67,MATCH(Lists!$F$6,$A$1:$T$1,0))&amp;""),""),2)="No","General comment",IF(IFERROR(TRIM(INDEX($A67:$T67,MATCH(Lists!$F$7,$A$1:$T$1,0))&amp;""),"")&lt;&gt;"",IFERROR(TRIM(INDEX($A67:$T67,MATCH(Lists!$F$7,$A$1:$T$1,0))&amp;""),""),IF(IFERROR(TRIM(INDEX($A67:$T67,MATCH(Lists!$F$8,$A$1:$T$1,0))&amp;""),"")&lt;&gt;"",IFERROR(TRIM(INDEX($A67:$T67,MATCH(Lists!$F$8,$A$1:$T$1,0))&amp;""),""),"(no item given)"))))</f>
        <v/>
      </c>
      <c r="AC67" s="21">
        <f>IF(Y67="","",IF(ISNUMBER(SEARCH("support",IFERROR(TRIM(INDEX($A67:$T67,MATCH(Lists!$F$9,$A$1:$T$1,0))&amp;""),""))),"Support",IF(ISNUMBER(SEARCH("oppose",IFERROR(TRIM(INDEX($A67:$T67,MATCH(Lists!$F$9,$A$1:$T$1,0))&amp;""),""))),"Oppose",IF(IFERROR(TRIM(INDEX($A67:$T67,MATCH(Lists!$F$9,$A$1:$T$1,0))&amp;""),"")="","No position","Neither"))))</f>
        <v/>
      </c>
      <c r="AD67" s="21">
        <f>IF(Y67="","",IF(ISNUMBER(SEARCH("in person",IFERROR(TRIM(INDEX($A67:$T67,MATCH(Lists!$F$13,$A$1:$T$1,0))&amp;""),""))),"In person",IF(ISNUMBER(SEARCH("online",IFERROR(TRIM(INDEX($A67:$T67,MATCH(Lists!$F$13,$A$1:$T$1,0))&amp;""),""))),"Online","Written only")))</f>
        <v/>
      </c>
      <c r="AE67" s="21">
        <f>IF(Y67="","",IFERROR(TRIM(INDEX($A67:$T67,MATCH(Lists!$F$11,$A$1:$T$1,0))&amp;""),""))</f>
        <v/>
      </c>
      <c r="AF67" s="21">
        <f>IF(Y67="","",IFERROR(TRIM(INDEX($A67:$T67,MATCH(Lists!$F$12,$A$1:$T$1,0))&amp;""),""))</f>
        <v/>
      </c>
      <c r="AG67" s="21">
        <f>IF(Y67="","",IFERROR(TRIM(INDEX($A67:$T67,MATCH(Lists!$F$14,$A$1:$T$1,0))&amp;""),""))</f>
        <v/>
      </c>
      <c r="AH67" s="21">
        <f>IF(Y67="","",LEFT(IFERROR(TRIM(INDEX($A67:$T67,MATCH(Lists!$F$10,$A$1:$T$1,0))&amp;""),""),80))</f>
        <v/>
      </c>
      <c r="AI67" s="21">
        <f>IF(Y67="",0,IF(OR(Tally!$B$5="",AA67=Tally!$B$5),1,0))</f>
        <v/>
      </c>
      <c r="AJ67" s="21">
        <f>IF(AI67=1,IF(COUNTIFS($AB$2:AB67,AB67,$AI$2:AI67,1)=1,1,0),0)</f>
        <v/>
      </c>
      <c r="AK67" s="21">
        <f>IF(AJ67=1,SUM($AJ$2:AJ67),"")</f>
        <v/>
      </c>
      <c r="AL67" s="21">
        <f>IF(AND(AI67=1,OR(AD67="In person",AD67="Online"),OR(Speakers!$B$5="",AB67=Speakers!$B$5)),N(Z67)+ROW()/1000000000,"")</f>
        <v/>
      </c>
    </row>
    <row r="68">
      <c r="U68" s="19" t="n"/>
      <c r="V68" s="24" t="n"/>
      <c r="W68" s="24" t="n"/>
      <c r="X68" s="19" t="n"/>
      <c r="Y68" s="21">
        <f>IFERROR(TRIM(INDEX($A68:$T68,MATCH(Lists!$F$2,$A$1:$T$1,0))&amp;""),"")</f>
        <v/>
      </c>
      <c r="Z68" s="22">
        <f>IF(Y68="","",IFERROR(IF(ISNUMBER(INDEX($A68:$T68,MATCH(Lists!$F$3,$A$1:$T$1,0))),INDEX($A68:$T68,MATCH(Lists!$F$3,$A$1:$T$1,0)),DATE(VALUE(LEFT(IFERROR(TRIM(INDEX($A68:$T68,MATCH(Lists!$F$3,$A$1:$T$1,0))&amp;""),""),4)),VALUE(MID(IFERROR(TRIM(INDEX($A68:$T68,MATCH(Lists!$F$3,$A$1:$T$1,0))&amp;""),""),6,2)),VALUE(MID(IFERROR(TRIM(INDEX($A68:$T68,MATCH(Lists!$F$3,$A$1:$T$1,0))&amp;""),""),9,2)))+TIME(VALUE(MID(IFERROR(TRIM(INDEX($A68:$T68,MATCH(Lists!$F$3,$A$1:$T$1,0))&amp;""),""),12,2)),VALUE(MID(IFERROR(TRIM(INDEX($A68:$T68,MATCH(Lists!$F$3,$A$1:$T$1,0))&amp;""),""),15,2)),VALUE(MID(IFERROR(TRIM(INDEX($A68:$T68,MATCH(Lists!$F$3,$A$1:$T$1,0))&amp;""),""),18,2)))),""))</f>
        <v/>
      </c>
      <c r="AA68" s="23">
        <f>IF(Y68="","",IF(ISNUMBER(IFERROR(IF(TRIM(INDEX($A68:$T68,MATCH(Lists!$F$4,$A$1:$T$1,0))&amp;"")="","",IF(ISNUMBER(INDEX($A68:$T68,MATCH(Lists!$F$4,$A$1:$T$1,0))),INT(INDEX($A68:$T68,MATCH(Lists!$F$4,$A$1:$T$1,0))),DATE(VALUE(LEFT(INDEX($A68:$T68,MATCH(Lists!$F$4,$A$1:$T$1,0)),4)),VALUE(MID(INDEX($A68:$T68,MATCH(Lists!$F$4,$A$1:$T$1,0)),6,2)),VALUE(MID(INDEX($A68:$T68,MATCH(Lists!$F$4,$A$1:$T$1,0)),9,2))))),"")),IFERROR(IF(TRIM(INDEX($A68:$T68,MATCH(Lists!$F$4,$A$1:$T$1,0))&amp;"")="","",IF(ISNUMBER(INDEX($A68:$T68,MATCH(Lists!$F$4,$A$1:$T$1,0))),INT(INDEX($A68:$T68,MATCH(Lists!$F$4,$A$1:$T$1,0))),DATE(VALUE(LEFT(INDEX($A68:$T68,MATCH(Lists!$F$4,$A$1:$T$1,0)),4)),VALUE(MID(INDEX($A68:$T68,MATCH(Lists!$F$4,$A$1:$T$1,0)),6,2)),VALUE(MID(INDEX($A68:$T68,MATCH(Lists!$F$4,$A$1:$T$1,0)),9,2))))),""),IFERROR(IF(TRIM(INDEX($A68:$T68,MATCH(Lists!$F$5,$A$1:$T$1,0))&amp;"")="","",IF(ISNUMBER(INDEX($A68:$T68,MATCH(Lists!$F$5,$A$1:$T$1,0))),INT(INDEX($A68:$T68,MATCH(Lists!$F$5,$A$1:$T$1,0))),DATE(VALUE(LEFT(INDEX($A68:$T68,MATCH(Lists!$F$5,$A$1:$T$1,0)),4)),VALUE(MID(INDEX($A68:$T68,MATCH(Lists!$F$5,$A$1:$T$1,0)),6,2)),VALUE(MID(INDEX($A68:$T68,MATCH(Lists!$F$5,$A$1:$T$1,0)),9,2))))),"")))</f>
        <v/>
      </c>
      <c r="AB68" s="21">
        <f>IF(Y68="","",IF(LEFT(IFERROR(TRIM(INDEX($A68:$T68,MATCH(Lists!$F$6,$A$1:$T$1,0))&amp;""),""),2)="No","General comment",IF(IFERROR(TRIM(INDEX($A68:$T68,MATCH(Lists!$F$7,$A$1:$T$1,0))&amp;""),"")&lt;&gt;"",IFERROR(TRIM(INDEX($A68:$T68,MATCH(Lists!$F$7,$A$1:$T$1,0))&amp;""),""),IF(IFERROR(TRIM(INDEX($A68:$T68,MATCH(Lists!$F$8,$A$1:$T$1,0))&amp;""),"")&lt;&gt;"",IFERROR(TRIM(INDEX($A68:$T68,MATCH(Lists!$F$8,$A$1:$T$1,0))&amp;""),""),"(no item given)"))))</f>
        <v/>
      </c>
      <c r="AC68" s="21">
        <f>IF(Y68="","",IF(ISNUMBER(SEARCH("support",IFERROR(TRIM(INDEX($A68:$T68,MATCH(Lists!$F$9,$A$1:$T$1,0))&amp;""),""))),"Support",IF(ISNUMBER(SEARCH("oppose",IFERROR(TRIM(INDEX($A68:$T68,MATCH(Lists!$F$9,$A$1:$T$1,0))&amp;""),""))),"Oppose",IF(IFERROR(TRIM(INDEX($A68:$T68,MATCH(Lists!$F$9,$A$1:$T$1,0))&amp;""),"")="","No position","Neither"))))</f>
        <v/>
      </c>
      <c r="AD68" s="21">
        <f>IF(Y68="","",IF(ISNUMBER(SEARCH("in person",IFERROR(TRIM(INDEX($A68:$T68,MATCH(Lists!$F$13,$A$1:$T$1,0))&amp;""),""))),"In person",IF(ISNUMBER(SEARCH("online",IFERROR(TRIM(INDEX($A68:$T68,MATCH(Lists!$F$13,$A$1:$T$1,0))&amp;""),""))),"Online","Written only")))</f>
        <v/>
      </c>
      <c r="AE68" s="21">
        <f>IF(Y68="","",IFERROR(TRIM(INDEX($A68:$T68,MATCH(Lists!$F$11,$A$1:$T$1,0))&amp;""),""))</f>
        <v/>
      </c>
      <c r="AF68" s="21">
        <f>IF(Y68="","",IFERROR(TRIM(INDEX($A68:$T68,MATCH(Lists!$F$12,$A$1:$T$1,0))&amp;""),""))</f>
        <v/>
      </c>
      <c r="AG68" s="21">
        <f>IF(Y68="","",IFERROR(TRIM(INDEX($A68:$T68,MATCH(Lists!$F$14,$A$1:$T$1,0))&amp;""),""))</f>
        <v/>
      </c>
      <c r="AH68" s="21">
        <f>IF(Y68="","",LEFT(IFERROR(TRIM(INDEX($A68:$T68,MATCH(Lists!$F$10,$A$1:$T$1,0))&amp;""),""),80))</f>
        <v/>
      </c>
      <c r="AI68" s="21">
        <f>IF(Y68="",0,IF(OR(Tally!$B$5="",AA68=Tally!$B$5),1,0))</f>
        <v/>
      </c>
      <c r="AJ68" s="21">
        <f>IF(AI68=1,IF(COUNTIFS($AB$2:AB68,AB68,$AI$2:AI68,1)=1,1,0),0)</f>
        <v/>
      </c>
      <c r="AK68" s="21">
        <f>IF(AJ68=1,SUM($AJ$2:AJ68),"")</f>
        <v/>
      </c>
      <c r="AL68" s="21">
        <f>IF(AND(AI68=1,OR(AD68="In person",AD68="Online"),OR(Speakers!$B$5="",AB68=Speakers!$B$5)),N(Z68)+ROW()/1000000000,"")</f>
        <v/>
      </c>
    </row>
    <row r="69">
      <c r="U69" s="19" t="n"/>
      <c r="V69" s="24" t="n"/>
      <c r="W69" s="24" t="n"/>
      <c r="X69" s="19" t="n"/>
      <c r="Y69" s="21">
        <f>IFERROR(TRIM(INDEX($A69:$T69,MATCH(Lists!$F$2,$A$1:$T$1,0))&amp;""),"")</f>
        <v/>
      </c>
      <c r="Z69" s="22">
        <f>IF(Y69="","",IFERROR(IF(ISNUMBER(INDEX($A69:$T69,MATCH(Lists!$F$3,$A$1:$T$1,0))),INDEX($A69:$T69,MATCH(Lists!$F$3,$A$1:$T$1,0)),DATE(VALUE(LEFT(IFERROR(TRIM(INDEX($A69:$T69,MATCH(Lists!$F$3,$A$1:$T$1,0))&amp;""),""),4)),VALUE(MID(IFERROR(TRIM(INDEX($A69:$T69,MATCH(Lists!$F$3,$A$1:$T$1,0))&amp;""),""),6,2)),VALUE(MID(IFERROR(TRIM(INDEX($A69:$T69,MATCH(Lists!$F$3,$A$1:$T$1,0))&amp;""),""),9,2)))+TIME(VALUE(MID(IFERROR(TRIM(INDEX($A69:$T69,MATCH(Lists!$F$3,$A$1:$T$1,0))&amp;""),""),12,2)),VALUE(MID(IFERROR(TRIM(INDEX($A69:$T69,MATCH(Lists!$F$3,$A$1:$T$1,0))&amp;""),""),15,2)),VALUE(MID(IFERROR(TRIM(INDEX($A69:$T69,MATCH(Lists!$F$3,$A$1:$T$1,0))&amp;""),""),18,2)))),""))</f>
        <v/>
      </c>
      <c r="AA69" s="23">
        <f>IF(Y69="","",IF(ISNUMBER(IFERROR(IF(TRIM(INDEX($A69:$T69,MATCH(Lists!$F$4,$A$1:$T$1,0))&amp;"")="","",IF(ISNUMBER(INDEX($A69:$T69,MATCH(Lists!$F$4,$A$1:$T$1,0))),INT(INDEX($A69:$T69,MATCH(Lists!$F$4,$A$1:$T$1,0))),DATE(VALUE(LEFT(INDEX($A69:$T69,MATCH(Lists!$F$4,$A$1:$T$1,0)),4)),VALUE(MID(INDEX($A69:$T69,MATCH(Lists!$F$4,$A$1:$T$1,0)),6,2)),VALUE(MID(INDEX($A69:$T69,MATCH(Lists!$F$4,$A$1:$T$1,0)),9,2))))),"")),IFERROR(IF(TRIM(INDEX($A69:$T69,MATCH(Lists!$F$4,$A$1:$T$1,0))&amp;"")="","",IF(ISNUMBER(INDEX($A69:$T69,MATCH(Lists!$F$4,$A$1:$T$1,0))),INT(INDEX($A69:$T69,MATCH(Lists!$F$4,$A$1:$T$1,0))),DATE(VALUE(LEFT(INDEX($A69:$T69,MATCH(Lists!$F$4,$A$1:$T$1,0)),4)),VALUE(MID(INDEX($A69:$T69,MATCH(Lists!$F$4,$A$1:$T$1,0)),6,2)),VALUE(MID(INDEX($A69:$T69,MATCH(Lists!$F$4,$A$1:$T$1,0)),9,2))))),""),IFERROR(IF(TRIM(INDEX($A69:$T69,MATCH(Lists!$F$5,$A$1:$T$1,0))&amp;"")="","",IF(ISNUMBER(INDEX($A69:$T69,MATCH(Lists!$F$5,$A$1:$T$1,0))),INT(INDEX($A69:$T69,MATCH(Lists!$F$5,$A$1:$T$1,0))),DATE(VALUE(LEFT(INDEX($A69:$T69,MATCH(Lists!$F$5,$A$1:$T$1,0)),4)),VALUE(MID(INDEX($A69:$T69,MATCH(Lists!$F$5,$A$1:$T$1,0)),6,2)),VALUE(MID(INDEX($A69:$T69,MATCH(Lists!$F$5,$A$1:$T$1,0)),9,2))))),"")))</f>
        <v/>
      </c>
      <c r="AB69" s="21">
        <f>IF(Y69="","",IF(LEFT(IFERROR(TRIM(INDEX($A69:$T69,MATCH(Lists!$F$6,$A$1:$T$1,0))&amp;""),""),2)="No","General comment",IF(IFERROR(TRIM(INDEX($A69:$T69,MATCH(Lists!$F$7,$A$1:$T$1,0))&amp;""),"")&lt;&gt;"",IFERROR(TRIM(INDEX($A69:$T69,MATCH(Lists!$F$7,$A$1:$T$1,0))&amp;""),""),IF(IFERROR(TRIM(INDEX($A69:$T69,MATCH(Lists!$F$8,$A$1:$T$1,0))&amp;""),"")&lt;&gt;"",IFERROR(TRIM(INDEX($A69:$T69,MATCH(Lists!$F$8,$A$1:$T$1,0))&amp;""),""),"(no item given)"))))</f>
        <v/>
      </c>
      <c r="AC69" s="21">
        <f>IF(Y69="","",IF(ISNUMBER(SEARCH("support",IFERROR(TRIM(INDEX($A69:$T69,MATCH(Lists!$F$9,$A$1:$T$1,0))&amp;""),""))),"Support",IF(ISNUMBER(SEARCH("oppose",IFERROR(TRIM(INDEX($A69:$T69,MATCH(Lists!$F$9,$A$1:$T$1,0))&amp;""),""))),"Oppose",IF(IFERROR(TRIM(INDEX($A69:$T69,MATCH(Lists!$F$9,$A$1:$T$1,0))&amp;""),"")="","No position","Neither"))))</f>
        <v/>
      </c>
      <c r="AD69" s="21">
        <f>IF(Y69="","",IF(ISNUMBER(SEARCH("in person",IFERROR(TRIM(INDEX($A69:$T69,MATCH(Lists!$F$13,$A$1:$T$1,0))&amp;""),""))),"In person",IF(ISNUMBER(SEARCH("online",IFERROR(TRIM(INDEX($A69:$T69,MATCH(Lists!$F$13,$A$1:$T$1,0))&amp;""),""))),"Online","Written only")))</f>
        <v/>
      </c>
      <c r="AE69" s="21">
        <f>IF(Y69="","",IFERROR(TRIM(INDEX($A69:$T69,MATCH(Lists!$F$11,$A$1:$T$1,0))&amp;""),""))</f>
        <v/>
      </c>
      <c r="AF69" s="21">
        <f>IF(Y69="","",IFERROR(TRIM(INDEX($A69:$T69,MATCH(Lists!$F$12,$A$1:$T$1,0))&amp;""),""))</f>
        <v/>
      </c>
      <c r="AG69" s="21">
        <f>IF(Y69="","",IFERROR(TRIM(INDEX($A69:$T69,MATCH(Lists!$F$14,$A$1:$T$1,0))&amp;""),""))</f>
        <v/>
      </c>
      <c r="AH69" s="21">
        <f>IF(Y69="","",LEFT(IFERROR(TRIM(INDEX($A69:$T69,MATCH(Lists!$F$10,$A$1:$T$1,0))&amp;""),""),80))</f>
        <v/>
      </c>
      <c r="AI69" s="21">
        <f>IF(Y69="",0,IF(OR(Tally!$B$5="",AA69=Tally!$B$5),1,0))</f>
        <v/>
      </c>
      <c r="AJ69" s="21">
        <f>IF(AI69=1,IF(COUNTIFS($AB$2:AB69,AB69,$AI$2:AI69,1)=1,1,0),0)</f>
        <v/>
      </c>
      <c r="AK69" s="21">
        <f>IF(AJ69=1,SUM($AJ$2:AJ69),"")</f>
        <v/>
      </c>
      <c r="AL69" s="21">
        <f>IF(AND(AI69=1,OR(AD69="In person",AD69="Online"),OR(Speakers!$B$5="",AB69=Speakers!$B$5)),N(Z69)+ROW()/1000000000,"")</f>
        <v/>
      </c>
    </row>
    <row r="70">
      <c r="U70" s="19" t="n"/>
      <c r="V70" s="24" t="n"/>
      <c r="W70" s="24" t="n"/>
      <c r="X70" s="19" t="n"/>
      <c r="Y70" s="21">
        <f>IFERROR(TRIM(INDEX($A70:$T70,MATCH(Lists!$F$2,$A$1:$T$1,0))&amp;""),"")</f>
        <v/>
      </c>
      <c r="Z70" s="22">
        <f>IF(Y70="","",IFERROR(IF(ISNUMBER(INDEX($A70:$T70,MATCH(Lists!$F$3,$A$1:$T$1,0))),INDEX($A70:$T70,MATCH(Lists!$F$3,$A$1:$T$1,0)),DATE(VALUE(LEFT(IFERROR(TRIM(INDEX($A70:$T70,MATCH(Lists!$F$3,$A$1:$T$1,0))&amp;""),""),4)),VALUE(MID(IFERROR(TRIM(INDEX($A70:$T70,MATCH(Lists!$F$3,$A$1:$T$1,0))&amp;""),""),6,2)),VALUE(MID(IFERROR(TRIM(INDEX($A70:$T70,MATCH(Lists!$F$3,$A$1:$T$1,0))&amp;""),""),9,2)))+TIME(VALUE(MID(IFERROR(TRIM(INDEX($A70:$T70,MATCH(Lists!$F$3,$A$1:$T$1,0))&amp;""),""),12,2)),VALUE(MID(IFERROR(TRIM(INDEX($A70:$T70,MATCH(Lists!$F$3,$A$1:$T$1,0))&amp;""),""),15,2)),VALUE(MID(IFERROR(TRIM(INDEX($A70:$T70,MATCH(Lists!$F$3,$A$1:$T$1,0))&amp;""),""),18,2)))),""))</f>
        <v/>
      </c>
      <c r="AA70" s="23">
        <f>IF(Y70="","",IF(ISNUMBER(IFERROR(IF(TRIM(INDEX($A70:$T70,MATCH(Lists!$F$4,$A$1:$T$1,0))&amp;"")="","",IF(ISNUMBER(INDEX($A70:$T70,MATCH(Lists!$F$4,$A$1:$T$1,0))),INT(INDEX($A70:$T70,MATCH(Lists!$F$4,$A$1:$T$1,0))),DATE(VALUE(LEFT(INDEX($A70:$T70,MATCH(Lists!$F$4,$A$1:$T$1,0)),4)),VALUE(MID(INDEX($A70:$T70,MATCH(Lists!$F$4,$A$1:$T$1,0)),6,2)),VALUE(MID(INDEX($A70:$T70,MATCH(Lists!$F$4,$A$1:$T$1,0)),9,2))))),"")),IFERROR(IF(TRIM(INDEX($A70:$T70,MATCH(Lists!$F$4,$A$1:$T$1,0))&amp;"")="","",IF(ISNUMBER(INDEX($A70:$T70,MATCH(Lists!$F$4,$A$1:$T$1,0))),INT(INDEX($A70:$T70,MATCH(Lists!$F$4,$A$1:$T$1,0))),DATE(VALUE(LEFT(INDEX($A70:$T70,MATCH(Lists!$F$4,$A$1:$T$1,0)),4)),VALUE(MID(INDEX($A70:$T70,MATCH(Lists!$F$4,$A$1:$T$1,0)),6,2)),VALUE(MID(INDEX($A70:$T70,MATCH(Lists!$F$4,$A$1:$T$1,0)),9,2))))),""),IFERROR(IF(TRIM(INDEX($A70:$T70,MATCH(Lists!$F$5,$A$1:$T$1,0))&amp;"")="","",IF(ISNUMBER(INDEX($A70:$T70,MATCH(Lists!$F$5,$A$1:$T$1,0))),INT(INDEX($A70:$T70,MATCH(Lists!$F$5,$A$1:$T$1,0))),DATE(VALUE(LEFT(INDEX($A70:$T70,MATCH(Lists!$F$5,$A$1:$T$1,0)),4)),VALUE(MID(INDEX($A70:$T70,MATCH(Lists!$F$5,$A$1:$T$1,0)),6,2)),VALUE(MID(INDEX($A70:$T70,MATCH(Lists!$F$5,$A$1:$T$1,0)),9,2))))),"")))</f>
        <v/>
      </c>
      <c r="AB70" s="21">
        <f>IF(Y70="","",IF(LEFT(IFERROR(TRIM(INDEX($A70:$T70,MATCH(Lists!$F$6,$A$1:$T$1,0))&amp;""),""),2)="No","General comment",IF(IFERROR(TRIM(INDEX($A70:$T70,MATCH(Lists!$F$7,$A$1:$T$1,0))&amp;""),"")&lt;&gt;"",IFERROR(TRIM(INDEX($A70:$T70,MATCH(Lists!$F$7,$A$1:$T$1,0))&amp;""),""),IF(IFERROR(TRIM(INDEX($A70:$T70,MATCH(Lists!$F$8,$A$1:$T$1,0))&amp;""),"")&lt;&gt;"",IFERROR(TRIM(INDEX($A70:$T70,MATCH(Lists!$F$8,$A$1:$T$1,0))&amp;""),""),"(no item given)"))))</f>
        <v/>
      </c>
      <c r="AC70" s="21">
        <f>IF(Y70="","",IF(ISNUMBER(SEARCH("support",IFERROR(TRIM(INDEX($A70:$T70,MATCH(Lists!$F$9,$A$1:$T$1,0))&amp;""),""))),"Support",IF(ISNUMBER(SEARCH("oppose",IFERROR(TRIM(INDEX($A70:$T70,MATCH(Lists!$F$9,$A$1:$T$1,0))&amp;""),""))),"Oppose",IF(IFERROR(TRIM(INDEX($A70:$T70,MATCH(Lists!$F$9,$A$1:$T$1,0))&amp;""),"")="","No position","Neither"))))</f>
        <v/>
      </c>
      <c r="AD70" s="21">
        <f>IF(Y70="","",IF(ISNUMBER(SEARCH("in person",IFERROR(TRIM(INDEX($A70:$T70,MATCH(Lists!$F$13,$A$1:$T$1,0))&amp;""),""))),"In person",IF(ISNUMBER(SEARCH("online",IFERROR(TRIM(INDEX($A70:$T70,MATCH(Lists!$F$13,$A$1:$T$1,0))&amp;""),""))),"Online","Written only")))</f>
        <v/>
      </c>
      <c r="AE70" s="21">
        <f>IF(Y70="","",IFERROR(TRIM(INDEX($A70:$T70,MATCH(Lists!$F$11,$A$1:$T$1,0))&amp;""),""))</f>
        <v/>
      </c>
      <c r="AF70" s="21">
        <f>IF(Y70="","",IFERROR(TRIM(INDEX($A70:$T70,MATCH(Lists!$F$12,$A$1:$T$1,0))&amp;""),""))</f>
        <v/>
      </c>
      <c r="AG70" s="21">
        <f>IF(Y70="","",IFERROR(TRIM(INDEX($A70:$T70,MATCH(Lists!$F$14,$A$1:$T$1,0))&amp;""),""))</f>
        <v/>
      </c>
      <c r="AH70" s="21">
        <f>IF(Y70="","",LEFT(IFERROR(TRIM(INDEX($A70:$T70,MATCH(Lists!$F$10,$A$1:$T$1,0))&amp;""),""),80))</f>
        <v/>
      </c>
      <c r="AI70" s="21">
        <f>IF(Y70="",0,IF(OR(Tally!$B$5="",AA70=Tally!$B$5),1,0))</f>
        <v/>
      </c>
      <c r="AJ70" s="21">
        <f>IF(AI70=1,IF(COUNTIFS($AB$2:AB70,AB70,$AI$2:AI70,1)=1,1,0),0)</f>
        <v/>
      </c>
      <c r="AK70" s="21">
        <f>IF(AJ70=1,SUM($AJ$2:AJ70),"")</f>
        <v/>
      </c>
      <c r="AL70" s="21">
        <f>IF(AND(AI70=1,OR(AD70="In person",AD70="Online"),OR(Speakers!$B$5="",AB70=Speakers!$B$5)),N(Z70)+ROW()/1000000000,"")</f>
        <v/>
      </c>
    </row>
    <row r="71">
      <c r="U71" s="19" t="n"/>
      <c r="V71" s="24" t="n"/>
      <c r="W71" s="24" t="n"/>
      <c r="X71" s="19" t="n"/>
      <c r="Y71" s="21">
        <f>IFERROR(TRIM(INDEX($A71:$T71,MATCH(Lists!$F$2,$A$1:$T$1,0))&amp;""),"")</f>
        <v/>
      </c>
      <c r="Z71" s="22">
        <f>IF(Y71="","",IFERROR(IF(ISNUMBER(INDEX($A71:$T71,MATCH(Lists!$F$3,$A$1:$T$1,0))),INDEX($A71:$T71,MATCH(Lists!$F$3,$A$1:$T$1,0)),DATE(VALUE(LEFT(IFERROR(TRIM(INDEX($A71:$T71,MATCH(Lists!$F$3,$A$1:$T$1,0))&amp;""),""),4)),VALUE(MID(IFERROR(TRIM(INDEX($A71:$T71,MATCH(Lists!$F$3,$A$1:$T$1,0))&amp;""),""),6,2)),VALUE(MID(IFERROR(TRIM(INDEX($A71:$T71,MATCH(Lists!$F$3,$A$1:$T$1,0))&amp;""),""),9,2)))+TIME(VALUE(MID(IFERROR(TRIM(INDEX($A71:$T71,MATCH(Lists!$F$3,$A$1:$T$1,0))&amp;""),""),12,2)),VALUE(MID(IFERROR(TRIM(INDEX($A71:$T71,MATCH(Lists!$F$3,$A$1:$T$1,0))&amp;""),""),15,2)),VALUE(MID(IFERROR(TRIM(INDEX($A71:$T71,MATCH(Lists!$F$3,$A$1:$T$1,0))&amp;""),""),18,2)))),""))</f>
        <v/>
      </c>
      <c r="AA71" s="23">
        <f>IF(Y71="","",IF(ISNUMBER(IFERROR(IF(TRIM(INDEX($A71:$T71,MATCH(Lists!$F$4,$A$1:$T$1,0))&amp;"")="","",IF(ISNUMBER(INDEX($A71:$T71,MATCH(Lists!$F$4,$A$1:$T$1,0))),INT(INDEX($A71:$T71,MATCH(Lists!$F$4,$A$1:$T$1,0))),DATE(VALUE(LEFT(INDEX($A71:$T71,MATCH(Lists!$F$4,$A$1:$T$1,0)),4)),VALUE(MID(INDEX($A71:$T71,MATCH(Lists!$F$4,$A$1:$T$1,0)),6,2)),VALUE(MID(INDEX($A71:$T71,MATCH(Lists!$F$4,$A$1:$T$1,0)),9,2))))),"")),IFERROR(IF(TRIM(INDEX($A71:$T71,MATCH(Lists!$F$4,$A$1:$T$1,0))&amp;"")="","",IF(ISNUMBER(INDEX($A71:$T71,MATCH(Lists!$F$4,$A$1:$T$1,0))),INT(INDEX($A71:$T71,MATCH(Lists!$F$4,$A$1:$T$1,0))),DATE(VALUE(LEFT(INDEX($A71:$T71,MATCH(Lists!$F$4,$A$1:$T$1,0)),4)),VALUE(MID(INDEX($A71:$T71,MATCH(Lists!$F$4,$A$1:$T$1,0)),6,2)),VALUE(MID(INDEX($A71:$T71,MATCH(Lists!$F$4,$A$1:$T$1,0)),9,2))))),""),IFERROR(IF(TRIM(INDEX($A71:$T71,MATCH(Lists!$F$5,$A$1:$T$1,0))&amp;"")="","",IF(ISNUMBER(INDEX($A71:$T71,MATCH(Lists!$F$5,$A$1:$T$1,0))),INT(INDEX($A71:$T71,MATCH(Lists!$F$5,$A$1:$T$1,0))),DATE(VALUE(LEFT(INDEX($A71:$T71,MATCH(Lists!$F$5,$A$1:$T$1,0)),4)),VALUE(MID(INDEX($A71:$T71,MATCH(Lists!$F$5,$A$1:$T$1,0)),6,2)),VALUE(MID(INDEX($A71:$T71,MATCH(Lists!$F$5,$A$1:$T$1,0)),9,2))))),"")))</f>
        <v/>
      </c>
      <c r="AB71" s="21">
        <f>IF(Y71="","",IF(LEFT(IFERROR(TRIM(INDEX($A71:$T71,MATCH(Lists!$F$6,$A$1:$T$1,0))&amp;""),""),2)="No","General comment",IF(IFERROR(TRIM(INDEX($A71:$T71,MATCH(Lists!$F$7,$A$1:$T$1,0))&amp;""),"")&lt;&gt;"",IFERROR(TRIM(INDEX($A71:$T71,MATCH(Lists!$F$7,$A$1:$T$1,0))&amp;""),""),IF(IFERROR(TRIM(INDEX($A71:$T71,MATCH(Lists!$F$8,$A$1:$T$1,0))&amp;""),"")&lt;&gt;"",IFERROR(TRIM(INDEX($A71:$T71,MATCH(Lists!$F$8,$A$1:$T$1,0))&amp;""),""),"(no item given)"))))</f>
        <v/>
      </c>
      <c r="AC71" s="21">
        <f>IF(Y71="","",IF(ISNUMBER(SEARCH("support",IFERROR(TRIM(INDEX($A71:$T71,MATCH(Lists!$F$9,$A$1:$T$1,0))&amp;""),""))),"Support",IF(ISNUMBER(SEARCH("oppose",IFERROR(TRIM(INDEX($A71:$T71,MATCH(Lists!$F$9,$A$1:$T$1,0))&amp;""),""))),"Oppose",IF(IFERROR(TRIM(INDEX($A71:$T71,MATCH(Lists!$F$9,$A$1:$T$1,0))&amp;""),"")="","No position","Neither"))))</f>
        <v/>
      </c>
      <c r="AD71" s="21">
        <f>IF(Y71="","",IF(ISNUMBER(SEARCH("in person",IFERROR(TRIM(INDEX($A71:$T71,MATCH(Lists!$F$13,$A$1:$T$1,0))&amp;""),""))),"In person",IF(ISNUMBER(SEARCH("online",IFERROR(TRIM(INDEX($A71:$T71,MATCH(Lists!$F$13,$A$1:$T$1,0))&amp;""),""))),"Online","Written only")))</f>
        <v/>
      </c>
      <c r="AE71" s="21">
        <f>IF(Y71="","",IFERROR(TRIM(INDEX($A71:$T71,MATCH(Lists!$F$11,$A$1:$T$1,0))&amp;""),""))</f>
        <v/>
      </c>
      <c r="AF71" s="21">
        <f>IF(Y71="","",IFERROR(TRIM(INDEX($A71:$T71,MATCH(Lists!$F$12,$A$1:$T$1,0))&amp;""),""))</f>
        <v/>
      </c>
      <c r="AG71" s="21">
        <f>IF(Y71="","",IFERROR(TRIM(INDEX($A71:$T71,MATCH(Lists!$F$14,$A$1:$T$1,0))&amp;""),""))</f>
        <v/>
      </c>
      <c r="AH71" s="21">
        <f>IF(Y71="","",LEFT(IFERROR(TRIM(INDEX($A71:$T71,MATCH(Lists!$F$10,$A$1:$T$1,0))&amp;""),""),80))</f>
        <v/>
      </c>
      <c r="AI71" s="21">
        <f>IF(Y71="",0,IF(OR(Tally!$B$5="",AA71=Tally!$B$5),1,0))</f>
        <v/>
      </c>
      <c r="AJ71" s="21">
        <f>IF(AI71=1,IF(COUNTIFS($AB$2:AB71,AB71,$AI$2:AI71,1)=1,1,0),0)</f>
        <v/>
      </c>
      <c r="AK71" s="21">
        <f>IF(AJ71=1,SUM($AJ$2:AJ71),"")</f>
        <v/>
      </c>
      <c r="AL71" s="21">
        <f>IF(AND(AI71=1,OR(AD71="In person",AD71="Online"),OR(Speakers!$B$5="",AB71=Speakers!$B$5)),N(Z71)+ROW()/1000000000,"")</f>
        <v/>
      </c>
    </row>
    <row r="72">
      <c r="U72" s="19" t="n"/>
      <c r="V72" s="24" t="n"/>
      <c r="W72" s="24" t="n"/>
      <c r="X72" s="19" t="n"/>
      <c r="Y72" s="21">
        <f>IFERROR(TRIM(INDEX($A72:$T72,MATCH(Lists!$F$2,$A$1:$T$1,0))&amp;""),"")</f>
        <v/>
      </c>
      <c r="Z72" s="22">
        <f>IF(Y72="","",IFERROR(IF(ISNUMBER(INDEX($A72:$T72,MATCH(Lists!$F$3,$A$1:$T$1,0))),INDEX($A72:$T72,MATCH(Lists!$F$3,$A$1:$T$1,0)),DATE(VALUE(LEFT(IFERROR(TRIM(INDEX($A72:$T72,MATCH(Lists!$F$3,$A$1:$T$1,0))&amp;""),""),4)),VALUE(MID(IFERROR(TRIM(INDEX($A72:$T72,MATCH(Lists!$F$3,$A$1:$T$1,0))&amp;""),""),6,2)),VALUE(MID(IFERROR(TRIM(INDEX($A72:$T72,MATCH(Lists!$F$3,$A$1:$T$1,0))&amp;""),""),9,2)))+TIME(VALUE(MID(IFERROR(TRIM(INDEX($A72:$T72,MATCH(Lists!$F$3,$A$1:$T$1,0))&amp;""),""),12,2)),VALUE(MID(IFERROR(TRIM(INDEX($A72:$T72,MATCH(Lists!$F$3,$A$1:$T$1,0))&amp;""),""),15,2)),VALUE(MID(IFERROR(TRIM(INDEX($A72:$T72,MATCH(Lists!$F$3,$A$1:$T$1,0))&amp;""),""),18,2)))),""))</f>
        <v/>
      </c>
      <c r="AA72" s="23">
        <f>IF(Y72="","",IF(ISNUMBER(IFERROR(IF(TRIM(INDEX($A72:$T72,MATCH(Lists!$F$4,$A$1:$T$1,0))&amp;"")="","",IF(ISNUMBER(INDEX($A72:$T72,MATCH(Lists!$F$4,$A$1:$T$1,0))),INT(INDEX($A72:$T72,MATCH(Lists!$F$4,$A$1:$T$1,0))),DATE(VALUE(LEFT(INDEX($A72:$T72,MATCH(Lists!$F$4,$A$1:$T$1,0)),4)),VALUE(MID(INDEX($A72:$T72,MATCH(Lists!$F$4,$A$1:$T$1,0)),6,2)),VALUE(MID(INDEX($A72:$T72,MATCH(Lists!$F$4,$A$1:$T$1,0)),9,2))))),"")),IFERROR(IF(TRIM(INDEX($A72:$T72,MATCH(Lists!$F$4,$A$1:$T$1,0))&amp;"")="","",IF(ISNUMBER(INDEX($A72:$T72,MATCH(Lists!$F$4,$A$1:$T$1,0))),INT(INDEX($A72:$T72,MATCH(Lists!$F$4,$A$1:$T$1,0))),DATE(VALUE(LEFT(INDEX($A72:$T72,MATCH(Lists!$F$4,$A$1:$T$1,0)),4)),VALUE(MID(INDEX($A72:$T72,MATCH(Lists!$F$4,$A$1:$T$1,0)),6,2)),VALUE(MID(INDEX($A72:$T72,MATCH(Lists!$F$4,$A$1:$T$1,0)),9,2))))),""),IFERROR(IF(TRIM(INDEX($A72:$T72,MATCH(Lists!$F$5,$A$1:$T$1,0))&amp;"")="","",IF(ISNUMBER(INDEX($A72:$T72,MATCH(Lists!$F$5,$A$1:$T$1,0))),INT(INDEX($A72:$T72,MATCH(Lists!$F$5,$A$1:$T$1,0))),DATE(VALUE(LEFT(INDEX($A72:$T72,MATCH(Lists!$F$5,$A$1:$T$1,0)),4)),VALUE(MID(INDEX($A72:$T72,MATCH(Lists!$F$5,$A$1:$T$1,0)),6,2)),VALUE(MID(INDEX($A72:$T72,MATCH(Lists!$F$5,$A$1:$T$1,0)),9,2))))),"")))</f>
        <v/>
      </c>
      <c r="AB72" s="21">
        <f>IF(Y72="","",IF(LEFT(IFERROR(TRIM(INDEX($A72:$T72,MATCH(Lists!$F$6,$A$1:$T$1,0))&amp;""),""),2)="No","General comment",IF(IFERROR(TRIM(INDEX($A72:$T72,MATCH(Lists!$F$7,$A$1:$T$1,0))&amp;""),"")&lt;&gt;"",IFERROR(TRIM(INDEX($A72:$T72,MATCH(Lists!$F$7,$A$1:$T$1,0))&amp;""),""),IF(IFERROR(TRIM(INDEX($A72:$T72,MATCH(Lists!$F$8,$A$1:$T$1,0))&amp;""),"")&lt;&gt;"",IFERROR(TRIM(INDEX($A72:$T72,MATCH(Lists!$F$8,$A$1:$T$1,0))&amp;""),""),"(no item given)"))))</f>
        <v/>
      </c>
      <c r="AC72" s="21">
        <f>IF(Y72="","",IF(ISNUMBER(SEARCH("support",IFERROR(TRIM(INDEX($A72:$T72,MATCH(Lists!$F$9,$A$1:$T$1,0))&amp;""),""))),"Support",IF(ISNUMBER(SEARCH("oppose",IFERROR(TRIM(INDEX($A72:$T72,MATCH(Lists!$F$9,$A$1:$T$1,0))&amp;""),""))),"Oppose",IF(IFERROR(TRIM(INDEX($A72:$T72,MATCH(Lists!$F$9,$A$1:$T$1,0))&amp;""),"")="","No position","Neither"))))</f>
        <v/>
      </c>
      <c r="AD72" s="21">
        <f>IF(Y72="","",IF(ISNUMBER(SEARCH("in person",IFERROR(TRIM(INDEX($A72:$T72,MATCH(Lists!$F$13,$A$1:$T$1,0))&amp;""),""))),"In person",IF(ISNUMBER(SEARCH("online",IFERROR(TRIM(INDEX($A72:$T72,MATCH(Lists!$F$13,$A$1:$T$1,0))&amp;""),""))),"Online","Written only")))</f>
        <v/>
      </c>
      <c r="AE72" s="21">
        <f>IF(Y72="","",IFERROR(TRIM(INDEX($A72:$T72,MATCH(Lists!$F$11,$A$1:$T$1,0))&amp;""),""))</f>
        <v/>
      </c>
      <c r="AF72" s="21">
        <f>IF(Y72="","",IFERROR(TRIM(INDEX($A72:$T72,MATCH(Lists!$F$12,$A$1:$T$1,0))&amp;""),""))</f>
        <v/>
      </c>
      <c r="AG72" s="21">
        <f>IF(Y72="","",IFERROR(TRIM(INDEX($A72:$T72,MATCH(Lists!$F$14,$A$1:$T$1,0))&amp;""),""))</f>
        <v/>
      </c>
      <c r="AH72" s="21">
        <f>IF(Y72="","",LEFT(IFERROR(TRIM(INDEX($A72:$T72,MATCH(Lists!$F$10,$A$1:$T$1,0))&amp;""),""),80))</f>
        <v/>
      </c>
      <c r="AI72" s="21">
        <f>IF(Y72="",0,IF(OR(Tally!$B$5="",AA72=Tally!$B$5),1,0))</f>
        <v/>
      </c>
      <c r="AJ72" s="21">
        <f>IF(AI72=1,IF(COUNTIFS($AB$2:AB72,AB72,$AI$2:AI72,1)=1,1,0),0)</f>
        <v/>
      </c>
      <c r="AK72" s="21">
        <f>IF(AJ72=1,SUM($AJ$2:AJ72),"")</f>
        <v/>
      </c>
      <c r="AL72" s="21">
        <f>IF(AND(AI72=1,OR(AD72="In person",AD72="Online"),OR(Speakers!$B$5="",AB72=Speakers!$B$5)),N(Z72)+ROW()/1000000000,"")</f>
        <v/>
      </c>
    </row>
    <row r="73">
      <c r="U73" s="19" t="n"/>
      <c r="V73" s="24" t="n"/>
      <c r="W73" s="24" t="n"/>
      <c r="X73" s="19" t="n"/>
      <c r="Y73" s="21">
        <f>IFERROR(TRIM(INDEX($A73:$T73,MATCH(Lists!$F$2,$A$1:$T$1,0))&amp;""),"")</f>
        <v/>
      </c>
      <c r="Z73" s="22">
        <f>IF(Y73="","",IFERROR(IF(ISNUMBER(INDEX($A73:$T73,MATCH(Lists!$F$3,$A$1:$T$1,0))),INDEX($A73:$T73,MATCH(Lists!$F$3,$A$1:$T$1,0)),DATE(VALUE(LEFT(IFERROR(TRIM(INDEX($A73:$T73,MATCH(Lists!$F$3,$A$1:$T$1,0))&amp;""),""),4)),VALUE(MID(IFERROR(TRIM(INDEX($A73:$T73,MATCH(Lists!$F$3,$A$1:$T$1,0))&amp;""),""),6,2)),VALUE(MID(IFERROR(TRIM(INDEX($A73:$T73,MATCH(Lists!$F$3,$A$1:$T$1,0))&amp;""),""),9,2)))+TIME(VALUE(MID(IFERROR(TRIM(INDEX($A73:$T73,MATCH(Lists!$F$3,$A$1:$T$1,0))&amp;""),""),12,2)),VALUE(MID(IFERROR(TRIM(INDEX($A73:$T73,MATCH(Lists!$F$3,$A$1:$T$1,0))&amp;""),""),15,2)),VALUE(MID(IFERROR(TRIM(INDEX($A73:$T73,MATCH(Lists!$F$3,$A$1:$T$1,0))&amp;""),""),18,2)))),""))</f>
        <v/>
      </c>
      <c r="AA73" s="23">
        <f>IF(Y73="","",IF(ISNUMBER(IFERROR(IF(TRIM(INDEX($A73:$T73,MATCH(Lists!$F$4,$A$1:$T$1,0))&amp;"")="","",IF(ISNUMBER(INDEX($A73:$T73,MATCH(Lists!$F$4,$A$1:$T$1,0))),INT(INDEX($A73:$T73,MATCH(Lists!$F$4,$A$1:$T$1,0))),DATE(VALUE(LEFT(INDEX($A73:$T73,MATCH(Lists!$F$4,$A$1:$T$1,0)),4)),VALUE(MID(INDEX($A73:$T73,MATCH(Lists!$F$4,$A$1:$T$1,0)),6,2)),VALUE(MID(INDEX($A73:$T73,MATCH(Lists!$F$4,$A$1:$T$1,0)),9,2))))),"")),IFERROR(IF(TRIM(INDEX($A73:$T73,MATCH(Lists!$F$4,$A$1:$T$1,0))&amp;"")="","",IF(ISNUMBER(INDEX($A73:$T73,MATCH(Lists!$F$4,$A$1:$T$1,0))),INT(INDEX($A73:$T73,MATCH(Lists!$F$4,$A$1:$T$1,0))),DATE(VALUE(LEFT(INDEX($A73:$T73,MATCH(Lists!$F$4,$A$1:$T$1,0)),4)),VALUE(MID(INDEX($A73:$T73,MATCH(Lists!$F$4,$A$1:$T$1,0)),6,2)),VALUE(MID(INDEX($A73:$T73,MATCH(Lists!$F$4,$A$1:$T$1,0)),9,2))))),""),IFERROR(IF(TRIM(INDEX($A73:$T73,MATCH(Lists!$F$5,$A$1:$T$1,0))&amp;"")="","",IF(ISNUMBER(INDEX($A73:$T73,MATCH(Lists!$F$5,$A$1:$T$1,0))),INT(INDEX($A73:$T73,MATCH(Lists!$F$5,$A$1:$T$1,0))),DATE(VALUE(LEFT(INDEX($A73:$T73,MATCH(Lists!$F$5,$A$1:$T$1,0)),4)),VALUE(MID(INDEX($A73:$T73,MATCH(Lists!$F$5,$A$1:$T$1,0)),6,2)),VALUE(MID(INDEX($A73:$T73,MATCH(Lists!$F$5,$A$1:$T$1,0)),9,2))))),"")))</f>
        <v/>
      </c>
      <c r="AB73" s="21">
        <f>IF(Y73="","",IF(LEFT(IFERROR(TRIM(INDEX($A73:$T73,MATCH(Lists!$F$6,$A$1:$T$1,0))&amp;""),""),2)="No","General comment",IF(IFERROR(TRIM(INDEX($A73:$T73,MATCH(Lists!$F$7,$A$1:$T$1,0))&amp;""),"")&lt;&gt;"",IFERROR(TRIM(INDEX($A73:$T73,MATCH(Lists!$F$7,$A$1:$T$1,0))&amp;""),""),IF(IFERROR(TRIM(INDEX($A73:$T73,MATCH(Lists!$F$8,$A$1:$T$1,0))&amp;""),"")&lt;&gt;"",IFERROR(TRIM(INDEX($A73:$T73,MATCH(Lists!$F$8,$A$1:$T$1,0))&amp;""),""),"(no item given)"))))</f>
        <v/>
      </c>
      <c r="AC73" s="21">
        <f>IF(Y73="","",IF(ISNUMBER(SEARCH("support",IFERROR(TRIM(INDEX($A73:$T73,MATCH(Lists!$F$9,$A$1:$T$1,0))&amp;""),""))),"Support",IF(ISNUMBER(SEARCH("oppose",IFERROR(TRIM(INDEX($A73:$T73,MATCH(Lists!$F$9,$A$1:$T$1,0))&amp;""),""))),"Oppose",IF(IFERROR(TRIM(INDEX($A73:$T73,MATCH(Lists!$F$9,$A$1:$T$1,0))&amp;""),"")="","No position","Neither"))))</f>
        <v/>
      </c>
      <c r="AD73" s="21">
        <f>IF(Y73="","",IF(ISNUMBER(SEARCH("in person",IFERROR(TRIM(INDEX($A73:$T73,MATCH(Lists!$F$13,$A$1:$T$1,0))&amp;""),""))),"In person",IF(ISNUMBER(SEARCH("online",IFERROR(TRIM(INDEX($A73:$T73,MATCH(Lists!$F$13,$A$1:$T$1,0))&amp;""),""))),"Online","Written only")))</f>
        <v/>
      </c>
      <c r="AE73" s="21">
        <f>IF(Y73="","",IFERROR(TRIM(INDEX($A73:$T73,MATCH(Lists!$F$11,$A$1:$T$1,0))&amp;""),""))</f>
        <v/>
      </c>
      <c r="AF73" s="21">
        <f>IF(Y73="","",IFERROR(TRIM(INDEX($A73:$T73,MATCH(Lists!$F$12,$A$1:$T$1,0))&amp;""),""))</f>
        <v/>
      </c>
      <c r="AG73" s="21">
        <f>IF(Y73="","",IFERROR(TRIM(INDEX($A73:$T73,MATCH(Lists!$F$14,$A$1:$T$1,0))&amp;""),""))</f>
        <v/>
      </c>
      <c r="AH73" s="21">
        <f>IF(Y73="","",LEFT(IFERROR(TRIM(INDEX($A73:$T73,MATCH(Lists!$F$10,$A$1:$T$1,0))&amp;""),""),80))</f>
        <v/>
      </c>
      <c r="AI73" s="21">
        <f>IF(Y73="",0,IF(OR(Tally!$B$5="",AA73=Tally!$B$5),1,0))</f>
        <v/>
      </c>
      <c r="AJ73" s="21">
        <f>IF(AI73=1,IF(COUNTIFS($AB$2:AB73,AB73,$AI$2:AI73,1)=1,1,0),0)</f>
        <v/>
      </c>
      <c r="AK73" s="21">
        <f>IF(AJ73=1,SUM($AJ$2:AJ73),"")</f>
        <v/>
      </c>
      <c r="AL73" s="21">
        <f>IF(AND(AI73=1,OR(AD73="In person",AD73="Online"),OR(Speakers!$B$5="",AB73=Speakers!$B$5)),N(Z73)+ROW()/1000000000,"")</f>
        <v/>
      </c>
    </row>
    <row r="74">
      <c r="U74" s="19" t="n"/>
      <c r="V74" s="24" t="n"/>
      <c r="W74" s="24" t="n"/>
      <c r="X74" s="19" t="n"/>
      <c r="Y74" s="21">
        <f>IFERROR(TRIM(INDEX($A74:$T74,MATCH(Lists!$F$2,$A$1:$T$1,0))&amp;""),"")</f>
        <v/>
      </c>
      <c r="Z74" s="22">
        <f>IF(Y74="","",IFERROR(IF(ISNUMBER(INDEX($A74:$T74,MATCH(Lists!$F$3,$A$1:$T$1,0))),INDEX($A74:$T74,MATCH(Lists!$F$3,$A$1:$T$1,0)),DATE(VALUE(LEFT(IFERROR(TRIM(INDEX($A74:$T74,MATCH(Lists!$F$3,$A$1:$T$1,0))&amp;""),""),4)),VALUE(MID(IFERROR(TRIM(INDEX($A74:$T74,MATCH(Lists!$F$3,$A$1:$T$1,0))&amp;""),""),6,2)),VALUE(MID(IFERROR(TRIM(INDEX($A74:$T74,MATCH(Lists!$F$3,$A$1:$T$1,0))&amp;""),""),9,2)))+TIME(VALUE(MID(IFERROR(TRIM(INDEX($A74:$T74,MATCH(Lists!$F$3,$A$1:$T$1,0))&amp;""),""),12,2)),VALUE(MID(IFERROR(TRIM(INDEX($A74:$T74,MATCH(Lists!$F$3,$A$1:$T$1,0))&amp;""),""),15,2)),VALUE(MID(IFERROR(TRIM(INDEX($A74:$T74,MATCH(Lists!$F$3,$A$1:$T$1,0))&amp;""),""),18,2)))),""))</f>
        <v/>
      </c>
      <c r="AA74" s="23">
        <f>IF(Y74="","",IF(ISNUMBER(IFERROR(IF(TRIM(INDEX($A74:$T74,MATCH(Lists!$F$4,$A$1:$T$1,0))&amp;"")="","",IF(ISNUMBER(INDEX($A74:$T74,MATCH(Lists!$F$4,$A$1:$T$1,0))),INT(INDEX($A74:$T74,MATCH(Lists!$F$4,$A$1:$T$1,0))),DATE(VALUE(LEFT(INDEX($A74:$T74,MATCH(Lists!$F$4,$A$1:$T$1,0)),4)),VALUE(MID(INDEX($A74:$T74,MATCH(Lists!$F$4,$A$1:$T$1,0)),6,2)),VALUE(MID(INDEX($A74:$T74,MATCH(Lists!$F$4,$A$1:$T$1,0)),9,2))))),"")),IFERROR(IF(TRIM(INDEX($A74:$T74,MATCH(Lists!$F$4,$A$1:$T$1,0))&amp;"")="","",IF(ISNUMBER(INDEX($A74:$T74,MATCH(Lists!$F$4,$A$1:$T$1,0))),INT(INDEX($A74:$T74,MATCH(Lists!$F$4,$A$1:$T$1,0))),DATE(VALUE(LEFT(INDEX($A74:$T74,MATCH(Lists!$F$4,$A$1:$T$1,0)),4)),VALUE(MID(INDEX($A74:$T74,MATCH(Lists!$F$4,$A$1:$T$1,0)),6,2)),VALUE(MID(INDEX($A74:$T74,MATCH(Lists!$F$4,$A$1:$T$1,0)),9,2))))),""),IFERROR(IF(TRIM(INDEX($A74:$T74,MATCH(Lists!$F$5,$A$1:$T$1,0))&amp;"")="","",IF(ISNUMBER(INDEX($A74:$T74,MATCH(Lists!$F$5,$A$1:$T$1,0))),INT(INDEX($A74:$T74,MATCH(Lists!$F$5,$A$1:$T$1,0))),DATE(VALUE(LEFT(INDEX($A74:$T74,MATCH(Lists!$F$5,$A$1:$T$1,0)),4)),VALUE(MID(INDEX($A74:$T74,MATCH(Lists!$F$5,$A$1:$T$1,0)),6,2)),VALUE(MID(INDEX($A74:$T74,MATCH(Lists!$F$5,$A$1:$T$1,0)),9,2))))),"")))</f>
        <v/>
      </c>
      <c r="AB74" s="21">
        <f>IF(Y74="","",IF(LEFT(IFERROR(TRIM(INDEX($A74:$T74,MATCH(Lists!$F$6,$A$1:$T$1,0))&amp;""),""),2)="No","General comment",IF(IFERROR(TRIM(INDEX($A74:$T74,MATCH(Lists!$F$7,$A$1:$T$1,0))&amp;""),"")&lt;&gt;"",IFERROR(TRIM(INDEX($A74:$T74,MATCH(Lists!$F$7,$A$1:$T$1,0))&amp;""),""),IF(IFERROR(TRIM(INDEX($A74:$T74,MATCH(Lists!$F$8,$A$1:$T$1,0))&amp;""),"")&lt;&gt;"",IFERROR(TRIM(INDEX($A74:$T74,MATCH(Lists!$F$8,$A$1:$T$1,0))&amp;""),""),"(no item given)"))))</f>
        <v/>
      </c>
      <c r="AC74" s="21">
        <f>IF(Y74="","",IF(ISNUMBER(SEARCH("support",IFERROR(TRIM(INDEX($A74:$T74,MATCH(Lists!$F$9,$A$1:$T$1,0))&amp;""),""))),"Support",IF(ISNUMBER(SEARCH("oppose",IFERROR(TRIM(INDEX($A74:$T74,MATCH(Lists!$F$9,$A$1:$T$1,0))&amp;""),""))),"Oppose",IF(IFERROR(TRIM(INDEX($A74:$T74,MATCH(Lists!$F$9,$A$1:$T$1,0))&amp;""),"")="","No position","Neither"))))</f>
        <v/>
      </c>
      <c r="AD74" s="21">
        <f>IF(Y74="","",IF(ISNUMBER(SEARCH("in person",IFERROR(TRIM(INDEX($A74:$T74,MATCH(Lists!$F$13,$A$1:$T$1,0))&amp;""),""))),"In person",IF(ISNUMBER(SEARCH("online",IFERROR(TRIM(INDEX($A74:$T74,MATCH(Lists!$F$13,$A$1:$T$1,0))&amp;""),""))),"Online","Written only")))</f>
        <v/>
      </c>
      <c r="AE74" s="21">
        <f>IF(Y74="","",IFERROR(TRIM(INDEX($A74:$T74,MATCH(Lists!$F$11,$A$1:$T$1,0))&amp;""),""))</f>
        <v/>
      </c>
      <c r="AF74" s="21">
        <f>IF(Y74="","",IFERROR(TRIM(INDEX($A74:$T74,MATCH(Lists!$F$12,$A$1:$T$1,0))&amp;""),""))</f>
        <v/>
      </c>
      <c r="AG74" s="21">
        <f>IF(Y74="","",IFERROR(TRIM(INDEX($A74:$T74,MATCH(Lists!$F$14,$A$1:$T$1,0))&amp;""),""))</f>
        <v/>
      </c>
      <c r="AH74" s="21">
        <f>IF(Y74="","",LEFT(IFERROR(TRIM(INDEX($A74:$T74,MATCH(Lists!$F$10,$A$1:$T$1,0))&amp;""),""),80))</f>
        <v/>
      </c>
      <c r="AI74" s="21">
        <f>IF(Y74="",0,IF(OR(Tally!$B$5="",AA74=Tally!$B$5),1,0))</f>
        <v/>
      </c>
      <c r="AJ74" s="21">
        <f>IF(AI74=1,IF(COUNTIFS($AB$2:AB74,AB74,$AI$2:AI74,1)=1,1,0),0)</f>
        <v/>
      </c>
      <c r="AK74" s="21">
        <f>IF(AJ74=1,SUM($AJ$2:AJ74),"")</f>
        <v/>
      </c>
      <c r="AL74" s="21">
        <f>IF(AND(AI74=1,OR(AD74="In person",AD74="Online"),OR(Speakers!$B$5="",AB74=Speakers!$B$5)),N(Z74)+ROW()/1000000000,"")</f>
        <v/>
      </c>
    </row>
    <row r="75">
      <c r="U75" s="19" t="n"/>
      <c r="V75" s="24" t="n"/>
      <c r="W75" s="24" t="n"/>
      <c r="X75" s="19" t="n"/>
      <c r="Y75" s="21">
        <f>IFERROR(TRIM(INDEX($A75:$T75,MATCH(Lists!$F$2,$A$1:$T$1,0))&amp;""),"")</f>
        <v/>
      </c>
      <c r="Z75" s="22">
        <f>IF(Y75="","",IFERROR(IF(ISNUMBER(INDEX($A75:$T75,MATCH(Lists!$F$3,$A$1:$T$1,0))),INDEX($A75:$T75,MATCH(Lists!$F$3,$A$1:$T$1,0)),DATE(VALUE(LEFT(IFERROR(TRIM(INDEX($A75:$T75,MATCH(Lists!$F$3,$A$1:$T$1,0))&amp;""),""),4)),VALUE(MID(IFERROR(TRIM(INDEX($A75:$T75,MATCH(Lists!$F$3,$A$1:$T$1,0))&amp;""),""),6,2)),VALUE(MID(IFERROR(TRIM(INDEX($A75:$T75,MATCH(Lists!$F$3,$A$1:$T$1,0))&amp;""),""),9,2)))+TIME(VALUE(MID(IFERROR(TRIM(INDEX($A75:$T75,MATCH(Lists!$F$3,$A$1:$T$1,0))&amp;""),""),12,2)),VALUE(MID(IFERROR(TRIM(INDEX($A75:$T75,MATCH(Lists!$F$3,$A$1:$T$1,0))&amp;""),""),15,2)),VALUE(MID(IFERROR(TRIM(INDEX($A75:$T75,MATCH(Lists!$F$3,$A$1:$T$1,0))&amp;""),""),18,2)))),""))</f>
        <v/>
      </c>
      <c r="AA75" s="23">
        <f>IF(Y75="","",IF(ISNUMBER(IFERROR(IF(TRIM(INDEX($A75:$T75,MATCH(Lists!$F$4,$A$1:$T$1,0))&amp;"")="","",IF(ISNUMBER(INDEX($A75:$T75,MATCH(Lists!$F$4,$A$1:$T$1,0))),INT(INDEX($A75:$T75,MATCH(Lists!$F$4,$A$1:$T$1,0))),DATE(VALUE(LEFT(INDEX($A75:$T75,MATCH(Lists!$F$4,$A$1:$T$1,0)),4)),VALUE(MID(INDEX($A75:$T75,MATCH(Lists!$F$4,$A$1:$T$1,0)),6,2)),VALUE(MID(INDEX($A75:$T75,MATCH(Lists!$F$4,$A$1:$T$1,0)),9,2))))),"")),IFERROR(IF(TRIM(INDEX($A75:$T75,MATCH(Lists!$F$4,$A$1:$T$1,0))&amp;"")="","",IF(ISNUMBER(INDEX($A75:$T75,MATCH(Lists!$F$4,$A$1:$T$1,0))),INT(INDEX($A75:$T75,MATCH(Lists!$F$4,$A$1:$T$1,0))),DATE(VALUE(LEFT(INDEX($A75:$T75,MATCH(Lists!$F$4,$A$1:$T$1,0)),4)),VALUE(MID(INDEX($A75:$T75,MATCH(Lists!$F$4,$A$1:$T$1,0)),6,2)),VALUE(MID(INDEX($A75:$T75,MATCH(Lists!$F$4,$A$1:$T$1,0)),9,2))))),""),IFERROR(IF(TRIM(INDEX($A75:$T75,MATCH(Lists!$F$5,$A$1:$T$1,0))&amp;"")="","",IF(ISNUMBER(INDEX($A75:$T75,MATCH(Lists!$F$5,$A$1:$T$1,0))),INT(INDEX($A75:$T75,MATCH(Lists!$F$5,$A$1:$T$1,0))),DATE(VALUE(LEFT(INDEX($A75:$T75,MATCH(Lists!$F$5,$A$1:$T$1,0)),4)),VALUE(MID(INDEX($A75:$T75,MATCH(Lists!$F$5,$A$1:$T$1,0)),6,2)),VALUE(MID(INDEX($A75:$T75,MATCH(Lists!$F$5,$A$1:$T$1,0)),9,2))))),"")))</f>
        <v/>
      </c>
      <c r="AB75" s="21">
        <f>IF(Y75="","",IF(LEFT(IFERROR(TRIM(INDEX($A75:$T75,MATCH(Lists!$F$6,$A$1:$T$1,0))&amp;""),""),2)="No","General comment",IF(IFERROR(TRIM(INDEX($A75:$T75,MATCH(Lists!$F$7,$A$1:$T$1,0))&amp;""),"")&lt;&gt;"",IFERROR(TRIM(INDEX($A75:$T75,MATCH(Lists!$F$7,$A$1:$T$1,0))&amp;""),""),IF(IFERROR(TRIM(INDEX($A75:$T75,MATCH(Lists!$F$8,$A$1:$T$1,0))&amp;""),"")&lt;&gt;"",IFERROR(TRIM(INDEX($A75:$T75,MATCH(Lists!$F$8,$A$1:$T$1,0))&amp;""),""),"(no item given)"))))</f>
        <v/>
      </c>
      <c r="AC75" s="21">
        <f>IF(Y75="","",IF(ISNUMBER(SEARCH("support",IFERROR(TRIM(INDEX($A75:$T75,MATCH(Lists!$F$9,$A$1:$T$1,0))&amp;""),""))),"Support",IF(ISNUMBER(SEARCH("oppose",IFERROR(TRIM(INDEX($A75:$T75,MATCH(Lists!$F$9,$A$1:$T$1,0))&amp;""),""))),"Oppose",IF(IFERROR(TRIM(INDEX($A75:$T75,MATCH(Lists!$F$9,$A$1:$T$1,0))&amp;""),"")="","No position","Neither"))))</f>
        <v/>
      </c>
      <c r="AD75" s="21">
        <f>IF(Y75="","",IF(ISNUMBER(SEARCH("in person",IFERROR(TRIM(INDEX($A75:$T75,MATCH(Lists!$F$13,$A$1:$T$1,0))&amp;""),""))),"In person",IF(ISNUMBER(SEARCH("online",IFERROR(TRIM(INDEX($A75:$T75,MATCH(Lists!$F$13,$A$1:$T$1,0))&amp;""),""))),"Online","Written only")))</f>
        <v/>
      </c>
      <c r="AE75" s="21">
        <f>IF(Y75="","",IFERROR(TRIM(INDEX($A75:$T75,MATCH(Lists!$F$11,$A$1:$T$1,0))&amp;""),""))</f>
        <v/>
      </c>
      <c r="AF75" s="21">
        <f>IF(Y75="","",IFERROR(TRIM(INDEX($A75:$T75,MATCH(Lists!$F$12,$A$1:$T$1,0))&amp;""),""))</f>
        <v/>
      </c>
      <c r="AG75" s="21">
        <f>IF(Y75="","",IFERROR(TRIM(INDEX($A75:$T75,MATCH(Lists!$F$14,$A$1:$T$1,0))&amp;""),""))</f>
        <v/>
      </c>
      <c r="AH75" s="21">
        <f>IF(Y75="","",LEFT(IFERROR(TRIM(INDEX($A75:$T75,MATCH(Lists!$F$10,$A$1:$T$1,0))&amp;""),""),80))</f>
        <v/>
      </c>
      <c r="AI75" s="21">
        <f>IF(Y75="",0,IF(OR(Tally!$B$5="",AA75=Tally!$B$5),1,0))</f>
        <v/>
      </c>
      <c r="AJ75" s="21">
        <f>IF(AI75=1,IF(COUNTIFS($AB$2:AB75,AB75,$AI$2:AI75,1)=1,1,0),0)</f>
        <v/>
      </c>
      <c r="AK75" s="21">
        <f>IF(AJ75=1,SUM($AJ$2:AJ75),"")</f>
        <v/>
      </c>
      <c r="AL75" s="21">
        <f>IF(AND(AI75=1,OR(AD75="In person",AD75="Online"),OR(Speakers!$B$5="",AB75=Speakers!$B$5)),N(Z75)+ROW()/1000000000,"")</f>
        <v/>
      </c>
    </row>
    <row r="76">
      <c r="U76" s="19" t="n"/>
      <c r="V76" s="24" t="n"/>
      <c r="W76" s="24" t="n"/>
      <c r="X76" s="19" t="n"/>
      <c r="Y76" s="21">
        <f>IFERROR(TRIM(INDEX($A76:$T76,MATCH(Lists!$F$2,$A$1:$T$1,0))&amp;""),"")</f>
        <v/>
      </c>
      <c r="Z76" s="22">
        <f>IF(Y76="","",IFERROR(IF(ISNUMBER(INDEX($A76:$T76,MATCH(Lists!$F$3,$A$1:$T$1,0))),INDEX($A76:$T76,MATCH(Lists!$F$3,$A$1:$T$1,0)),DATE(VALUE(LEFT(IFERROR(TRIM(INDEX($A76:$T76,MATCH(Lists!$F$3,$A$1:$T$1,0))&amp;""),""),4)),VALUE(MID(IFERROR(TRIM(INDEX($A76:$T76,MATCH(Lists!$F$3,$A$1:$T$1,0))&amp;""),""),6,2)),VALUE(MID(IFERROR(TRIM(INDEX($A76:$T76,MATCH(Lists!$F$3,$A$1:$T$1,0))&amp;""),""),9,2)))+TIME(VALUE(MID(IFERROR(TRIM(INDEX($A76:$T76,MATCH(Lists!$F$3,$A$1:$T$1,0))&amp;""),""),12,2)),VALUE(MID(IFERROR(TRIM(INDEX($A76:$T76,MATCH(Lists!$F$3,$A$1:$T$1,0))&amp;""),""),15,2)),VALUE(MID(IFERROR(TRIM(INDEX($A76:$T76,MATCH(Lists!$F$3,$A$1:$T$1,0))&amp;""),""),18,2)))),""))</f>
        <v/>
      </c>
      <c r="AA76" s="23">
        <f>IF(Y76="","",IF(ISNUMBER(IFERROR(IF(TRIM(INDEX($A76:$T76,MATCH(Lists!$F$4,$A$1:$T$1,0))&amp;"")="","",IF(ISNUMBER(INDEX($A76:$T76,MATCH(Lists!$F$4,$A$1:$T$1,0))),INT(INDEX($A76:$T76,MATCH(Lists!$F$4,$A$1:$T$1,0))),DATE(VALUE(LEFT(INDEX($A76:$T76,MATCH(Lists!$F$4,$A$1:$T$1,0)),4)),VALUE(MID(INDEX($A76:$T76,MATCH(Lists!$F$4,$A$1:$T$1,0)),6,2)),VALUE(MID(INDEX($A76:$T76,MATCH(Lists!$F$4,$A$1:$T$1,0)),9,2))))),"")),IFERROR(IF(TRIM(INDEX($A76:$T76,MATCH(Lists!$F$4,$A$1:$T$1,0))&amp;"")="","",IF(ISNUMBER(INDEX($A76:$T76,MATCH(Lists!$F$4,$A$1:$T$1,0))),INT(INDEX($A76:$T76,MATCH(Lists!$F$4,$A$1:$T$1,0))),DATE(VALUE(LEFT(INDEX($A76:$T76,MATCH(Lists!$F$4,$A$1:$T$1,0)),4)),VALUE(MID(INDEX($A76:$T76,MATCH(Lists!$F$4,$A$1:$T$1,0)),6,2)),VALUE(MID(INDEX($A76:$T76,MATCH(Lists!$F$4,$A$1:$T$1,0)),9,2))))),""),IFERROR(IF(TRIM(INDEX($A76:$T76,MATCH(Lists!$F$5,$A$1:$T$1,0))&amp;"")="","",IF(ISNUMBER(INDEX($A76:$T76,MATCH(Lists!$F$5,$A$1:$T$1,0))),INT(INDEX($A76:$T76,MATCH(Lists!$F$5,$A$1:$T$1,0))),DATE(VALUE(LEFT(INDEX($A76:$T76,MATCH(Lists!$F$5,$A$1:$T$1,0)),4)),VALUE(MID(INDEX($A76:$T76,MATCH(Lists!$F$5,$A$1:$T$1,0)),6,2)),VALUE(MID(INDEX($A76:$T76,MATCH(Lists!$F$5,$A$1:$T$1,0)),9,2))))),"")))</f>
        <v/>
      </c>
      <c r="AB76" s="21">
        <f>IF(Y76="","",IF(LEFT(IFERROR(TRIM(INDEX($A76:$T76,MATCH(Lists!$F$6,$A$1:$T$1,0))&amp;""),""),2)="No","General comment",IF(IFERROR(TRIM(INDEX($A76:$T76,MATCH(Lists!$F$7,$A$1:$T$1,0))&amp;""),"")&lt;&gt;"",IFERROR(TRIM(INDEX($A76:$T76,MATCH(Lists!$F$7,$A$1:$T$1,0))&amp;""),""),IF(IFERROR(TRIM(INDEX($A76:$T76,MATCH(Lists!$F$8,$A$1:$T$1,0))&amp;""),"")&lt;&gt;"",IFERROR(TRIM(INDEX($A76:$T76,MATCH(Lists!$F$8,$A$1:$T$1,0))&amp;""),""),"(no item given)"))))</f>
        <v/>
      </c>
      <c r="AC76" s="21">
        <f>IF(Y76="","",IF(ISNUMBER(SEARCH("support",IFERROR(TRIM(INDEX($A76:$T76,MATCH(Lists!$F$9,$A$1:$T$1,0))&amp;""),""))),"Support",IF(ISNUMBER(SEARCH("oppose",IFERROR(TRIM(INDEX($A76:$T76,MATCH(Lists!$F$9,$A$1:$T$1,0))&amp;""),""))),"Oppose",IF(IFERROR(TRIM(INDEX($A76:$T76,MATCH(Lists!$F$9,$A$1:$T$1,0))&amp;""),"")="","No position","Neither"))))</f>
        <v/>
      </c>
      <c r="AD76" s="21">
        <f>IF(Y76="","",IF(ISNUMBER(SEARCH("in person",IFERROR(TRIM(INDEX($A76:$T76,MATCH(Lists!$F$13,$A$1:$T$1,0))&amp;""),""))),"In person",IF(ISNUMBER(SEARCH("online",IFERROR(TRIM(INDEX($A76:$T76,MATCH(Lists!$F$13,$A$1:$T$1,0))&amp;""),""))),"Online","Written only")))</f>
        <v/>
      </c>
      <c r="AE76" s="21">
        <f>IF(Y76="","",IFERROR(TRIM(INDEX($A76:$T76,MATCH(Lists!$F$11,$A$1:$T$1,0))&amp;""),""))</f>
        <v/>
      </c>
      <c r="AF76" s="21">
        <f>IF(Y76="","",IFERROR(TRIM(INDEX($A76:$T76,MATCH(Lists!$F$12,$A$1:$T$1,0))&amp;""),""))</f>
        <v/>
      </c>
      <c r="AG76" s="21">
        <f>IF(Y76="","",IFERROR(TRIM(INDEX($A76:$T76,MATCH(Lists!$F$14,$A$1:$T$1,0))&amp;""),""))</f>
        <v/>
      </c>
      <c r="AH76" s="21">
        <f>IF(Y76="","",LEFT(IFERROR(TRIM(INDEX($A76:$T76,MATCH(Lists!$F$10,$A$1:$T$1,0))&amp;""),""),80))</f>
        <v/>
      </c>
      <c r="AI76" s="21">
        <f>IF(Y76="",0,IF(OR(Tally!$B$5="",AA76=Tally!$B$5),1,0))</f>
        <v/>
      </c>
      <c r="AJ76" s="21">
        <f>IF(AI76=1,IF(COUNTIFS($AB$2:AB76,AB76,$AI$2:AI76,1)=1,1,0),0)</f>
        <v/>
      </c>
      <c r="AK76" s="21">
        <f>IF(AJ76=1,SUM($AJ$2:AJ76),"")</f>
        <v/>
      </c>
      <c r="AL76" s="21">
        <f>IF(AND(AI76=1,OR(AD76="In person",AD76="Online"),OR(Speakers!$B$5="",AB76=Speakers!$B$5)),N(Z76)+ROW()/1000000000,"")</f>
        <v/>
      </c>
    </row>
    <row r="77">
      <c r="U77" s="19" t="n"/>
      <c r="V77" s="24" t="n"/>
      <c r="W77" s="24" t="n"/>
      <c r="X77" s="19" t="n"/>
      <c r="Y77" s="21">
        <f>IFERROR(TRIM(INDEX($A77:$T77,MATCH(Lists!$F$2,$A$1:$T$1,0))&amp;""),"")</f>
        <v/>
      </c>
      <c r="Z77" s="22">
        <f>IF(Y77="","",IFERROR(IF(ISNUMBER(INDEX($A77:$T77,MATCH(Lists!$F$3,$A$1:$T$1,0))),INDEX($A77:$T77,MATCH(Lists!$F$3,$A$1:$T$1,0)),DATE(VALUE(LEFT(IFERROR(TRIM(INDEX($A77:$T77,MATCH(Lists!$F$3,$A$1:$T$1,0))&amp;""),""),4)),VALUE(MID(IFERROR(TRIM(INDEX($A77:$T77,MATCH(Lists!$F$3,$A$1:$T$1,0))&amp;""),""),6,2)),VALUE(MID(IFERROR(TRIM(INDEX($A77:$T77,MATCH(Lists!$F$3,$A$1:$T$1,0))&amp;""),""),9,2)))+TIME(VALUE(MID(IFERROR(TRIM(INDEX($A77:$T77,MATCH(Lists!$F$3,$A$1:$T$1,0))&amp;""),""),12,2)),VALUE(MID(IFERROR(TRIM(INDEX($A77:$T77,MATCH(Lists!$F$3,$A$1:$T$1,0))&amp;""),""),15,2)),VALUE(MID(IFERROR(TRIM(INDEX($A77:$T77,MATCH(Lists!$F$3,$A$1:$T$1,0))&amp;""),""),18,2)))),""))</f>
        <v/>
      </c>
      <c r="AA77" s="23">
        <f>IF(Y77="","",IF(ISNUMBER(IFERROR(IF(TRIM(INDEX($A77:$T77,MATCH(Lists!$F$4,$A$1:$T$1,0))&amp;"")="","",IF(ISNUMBER(INDEX($A77:$T77,MATCH(Lists!$F$4,$A$1:$T$1,0))),INT(INDEX($A77:$T77,MATCH(Lists!$F$4,$A$1:$T$1,0))),DATE(VALUE(LEFT(INDEX($A77:$T77,MATCH(Lists!$F$4,$A$1:$T$1,0)),4)),VALUE(MID(INDEX($A77:$T77,MATCH(Lists!$F$4,$A$1:$T$1,0)),6,2)),VALUE(MID(INDEX($A77:$T77,MATCH(Lists!$F$4,$A$1:$T$1,0)),9,2))))),"")),IFERROR(IF(TRIM(INDEX($A77:$T77,MATCH(Lists!$F$4,$A$1:$T$1,0))&amp;"")="","",IF(ISNUMBER(INDEX($A77:$T77,MATCH(Lists!$F$4,$A$1:$T$1,0))),INT(INDEX($A77:$T77,MATCH(Lists!$F$4,$A$1:$T$1,0))),DATE(VALUE(LEFT(INDEX($A77:$T77,MATCH(Lists!$F$4,$A$1:$T$1,0)),4)),VALUE(MID(INDEX($A77:$T77,MATCH(Lists!$F$4,$A$1:$T$1,0)),6,2)),VALUE(MID(INDEX($A77:$T77,MATCH(Lists!$F$4,$A$1:$T$1,0)),9,2))))),""),IFERROR(IF(TRIM(INDEX($A77:$T77,MATCH(Lists!$F$5,$A$1:$T$1,0))&amp;"")="","",IF(ISNUMBER(INDEX($A77:$T77,MATCH(Lists!$F$5,$A$1:$T$1,0))),INT(INDEX($A77:$T77,MATCH(Lists!$F$5,$A$1:$T$1,0))),DATE(VALUE(LEFT(INDEX($A77:$T77,MATCH(Lists!$F$5,$A$1:$T$1,0)),4)),VALUE(MID(INDEX($A77:$T77,MATCH(Lists!$F$5,$A$1:$T$1,0)),6,2)),VALUE(MID(INDEX($A77:$T77,MATCH(Lists!$F$5,$A$1:$T$1,0)),9,2))))),"")))</f>
        <v/>
      </c>
      <c r="AB77" s="21">
        <f>IF(Y77="","",IF(LEFT(IFERROR(TRIM(INDEX($A77:$T77,MATCH(Lists!$F$6,$A$1:$T$1,0))&amp;""),""),2)="No","General comment",IF(IFERROR(TRIM(INDEX($A77:$T77,MATCH(Lists!$F$7,$A$1:$T$1,0))&amp;""),"")&lt;&gt;"",IFERROR(TRIM(INDEX($A77:$T77,MATCH(Lists!$F$7,$A$1:$T$1,0))&amp;""),""),IF(IFERROR(TRIM(INDEX($A77:$T77,MATCH(Lists!$F$8,$A$1:$T$1,0))&amp;""),"")&lt;&gt;"",IFERROR(TRIM(INDEX($A77:$T77,MATCH(Lists!$F$8,$A$1:$T$1,0))&amp;""),""),"(no item given)"))))</f>
        <v/>
      </c>
      <c r="AC77" s="21">
        <f>IF(Y77="","",IF(ISNUMBER(SEARCH("support",IFERROR(TRIM(INDEX($A77:$T77,MATCH(Lists!$F$9,$A$1:$T$1,0))&amp;""),""))),"Support",IF(ISNUMBER(SEARCH("oppose",IFERROR(TRIM(INDEX($A77:$T77,MATCH(Lists!$F$9,$A$1:$T$1,0))&amp;""),""))),"Oppose",IF(IFERROR(TRIM(INDEX($A77:$T77,MATCH(Lists!$F$9,$A$1:$T$1,0))&amp;""),"")="","No position","Neither"))))</f>
        <v/>
      </c>
      <c r="AD77" s="21">
        <f>IF(Y77="","",IF(ISNUMBER(SEARCH("in person",IFERROR(TRIM(INDEX($A77:$T77,MATCH(Lists!$F$13,$A$1:$T$1,0))&amp;""),""))),"In person",IF(ISNUMBER(SEARCH("online",IFERROR(TRIM(INDEX($A77:$T77,MATCH(Lists!$F$13,$A$1:$T$1,0))&amp;""),""))),"Online","Written only")))</f>
        <v/>
      </c>
      <c r="AE77" s="21">
        <f>IF(Y77="","",IFERROR(TRIM(INDEX($A77:$T77,MATCH(Lists!$F$11,$A$1:$T$1,0))&amp;""),""))</f>
        <v/>
      </c>
      <c r="AF77" s="21">
        <f>IF(Y77="","",IFERROR(TRIM(INDEX($A77:$T77,MATCH(Lists!$F$12,$A$1:$T$1,0))&amp;""),""))</f>
        <v/>
      </c>
      <c r="AG77" s="21">
        <f>IF(Y77="","",IFERROR(TRIM(INDEX($A77:$T77,MATCH(Lists!$F$14,$A$1:$T$1,0))&amp;""),""))</f>
        <v/>
      </c>
      <c r="AH77" s="21">
        <f>IF(Y77="","",LEFT(IFERROR(TRIM(INDEX($A77:$T77,MATCH(Lists!$F$10,$A$1:$T$1,0))&amp;""),""),80))</f>
        <v/>
      </c>
      <c r="AI77" s="21">
        <f>IF(Y77="",0,IF(OR(Tally!$B$5="",AA77=Tally!$B$5),1,0))</f>
        <v/>
      </c>
      <c r="AJ77" s="21">
        <f>IF(AI77=1,IF(COUNTIFS($AB$2:AB77,AB77,$AI$2:AI77,1)=1,1,0),0)</f>
        <v/>
      </c>
      <c r="AK77" s="21">
        <f>IF(AJ77=1,SUM($AJ$2:AJ77),"")</f>
        <v/>
      </c>
      <c r="AL77" s="21">
        <f>IF(AND(AI77=1,OR(AD77="In person",AD77="Online"),OR(Speakers!$B$5="",AB77=Speakers!$B$5)),N(Z77)+ROW()/1000000000,"")</f>
        <v/>
      </c>
    </row>
    <row r="78">
      <c r="U78" s="19" t="n"/>
      <c r="V78" s="24" t="n"/>
      <c r="W78" s="24" t="n"/>
      <c r="X78" s="19" t="n"/>
      <c r="Y78" s="21">
        <f>IFERROR(TRIM(INDEX($A78:$T78,MATCH(Lists!$F$2,$A$1:$T$1,0))&amp;""),"")</f>
        <v/>
      </c>
      <c r="Z78" s="22">
        <f>IF(Y78="","",IFERROR(IF(ISNUMBER(INDEX($A78:$T78,MATCH(Lists!$F$3,$A$1:$T$1,0))),INDEX($A78:$T78,MATCH(Lists!$F$3,$A$1:$T$1,0)),DATE(VALUE(LEFT(IFERROR(TRIM(INDEX($A78:$T78,MATCH(Lists!$F$3,$A$1:$T$1,0))&amp;""),""),4)),VALUE(MID(IFERROR(TRIM(INDEX($A78:$T78,MATCH(Lists!$F$3,$A$1:$T$1,0))&amp;""),""),6,2)),VALUE(MID(IFERROR(TRIM(INDEX($A78:$T78,MATCH(Lists!$F$3,$A$1:$T$1,0))&amp;""),""),9,2)))+TIME(VALUE(MID(IFERROR(TRIM(INDEX($A78:$T78,MATCH(Lists!$F$3,$A$1:$T$1,0))&amp;""),""),12,2)),VALUE(MID(IFERROR(TRIM(INDEX($A78:$T78,MATCH(Lists!$F$3,$A$1:$T$1,0))&amp;""),""),15,2)),VALUE(MID(IFERROR(TRIM(INDEX($A78:$T78,MATCH(Lists!$F$3,$A$1:$T$1,0))&amp;""),""),18,2)))),""))</f>
        <v/>
      </c>
      <c r="AA78" s="23">
        <f>IF(Y78="","",IF(ISNUMBER(IFERROR(IF(TRIM(INDEX($A78:$T78,MATCH(Lists!$F$4,$A$1:$T$1,0))&amp;"")="","",IF(ISNUMBER(INDEX($A78:$T78,MATCH(Lists!$F$4,$A$1:$T$1,0))),INT(INDEX($A78:$T78,MATCH(Lists!$F$4,$A$1:$T$1,0))),DATE(VALUE(LEFT(INDEX($A78:$T78,MATCH(Lists!$F$4,$A$1:$T$1,0)),4)),VALUE(MID(INDEX($A78:$T78,MATCH(Lists!$F$4,$A$1:$T$1,0)),6,2)),VALUE(MID(INDEX($A78:$T78,MATCH(Lists!$F$4,$A$1:$T$1,0)),9,2))))),"")),IFERROR(IF(TRIM(INDEX($A78:$T78,MATCH(Lists!$F$4,$A$1:$T$1,0))&amp;"")="","",IF(ISNUMBER(INDEX($A78:$T78,MATCH(Lists!$F$4,$A$1:$T$1,0))),INT(INDEX($A78:$T78,MATCH(Lists!$F$4,$A$1:$T$1,0))),DATE(VALUE(LEFT(INDEX($A78:$T78,MATCH(Lists!$F$4,$A$1:$T$1,0)),4)),VALUE(MID(INDEX($A78:$T78,MATCH(Lists!$F$4,$A$1:$T$1,0)),6,2)),VALUE(MID(INDEX($A78:$T78,MATCH(Lists!$F$4,$A$1:$T$1,0)),9,2))))),""),IFERROR(IF(TRIM(INDEX($A78:$T78,MATCH(Lists!$F$5,$A$1:$T$1,0))&amp;"")="","",IF(ISNUMBER(INDEX($A78:$T78,MATCH(Lists!$F$5,$A$1:$T$1,0))),INT(INDEX($A78:$T78,MATCH(Lists!$F$5,$A$1:$T$1,0))),DATE(VALUE(LEFT(INDEX($A78:$T78,MATCH(Lists!$F$5,$A$1:$T$1,0)),4)),VALUE(MID(INDEX($A78:$T78,MATCH(Lists!$F$5,$A$1:$T$1,0)),6,2)),VALUE(MID(INDEX($A78:$T78,MATCH(Lists!$F$5,$A$1:$T$1,0)),9,2))))),"")))</f>
        <v/>
      </c>
      <c r="AB78" s="21">
        <f>IF(Y78="","",IF(LEFT(IFERROR(TRIM(INDEX($A78:$T78,MATCH(Lists!$F$6,$A$1:$T$1,0))&amp;""),""),2)="No","General comment",IF(IFERROR(TRIM(INDEX($A78:$T78,MATCH(Lists!$F$7,$A$1:$T$1,0))&amp;""),"")&lt;&gt;"",IFERROR(TRIM(INDEX($A78:$T78,MATCH(Lists!$F$7,$A$1:$T$1,0))&amp;""),""),IF(IFERROR(TRIM(INDEX($A78:$T78,MATCH(Lists!$F$8,$A$1:$T$1,0))&amp;""),"")&lt;&gt;"",IFERROR(TRIM(INDEX($A78:$T78,MATCH(Lists!$F$8,$A$1:$T$1,0))&amp;""),""),"(no item given)"))))</f>
        <v/>
      </c>
      <c r="AC78" s="21">
        <f>IF(Y78="","",IF(ISNUMBER(SEARCH("support",IFERROR(TRIM(INDEX($A78:$T78,MATCH(Lists!$F$9,$A$1:$T$1,0))&amp;""),""))),"Support",IF(ISNUMBER(SEARCH("oppose",IFERROR(TRIM(INDEX($A78:$T78,MATCH(Lists!$F$9,$A$1:$T$1,0))&amp;""),""))),"Oppose",IF(IFERROR(TRIM(INDEX($A78:$T78,MATCH(Lists!$F$9,$A$1:$T$1,0))&amp;""),"")="","No position","Neither"))))</f>
        <v/>
      </c>
      <c r="AD78" s="21">
        <f>IF(Y78="","",IF(ISNUMBER(SEARCH("in person",IFERROR(TRIM(INDEX($A78:$T78,MATCH(Lists!$F$13,$A$1:$T$1,0))&amp;""),""))),"In person",IF(ISNUMBER(SEARCH("online",IFERROR(TRIM(INDEX($A78:$T78,MATCH(Lists!$F$13,$A$1:$T$1,0))&amp;""),""))),"Online","Written only")))</f>
        <v/>
      </c>
      <c r="AE78" s="21">
        <f>IF(Y78="","",IFERROR(TRIM(INDEX($A78:$T78,MATCH(Lists!$F$11,$A$1:$T$1,0))&amp;""),""))</f>
        <v/>
      </c>
      <c r="AF78" s="21">
        <f>IF(Y78="","",IFERROR(TRIM(INDEX($A78:$T78,MATCH(Lists!$F$12,$A$1:$T$1,0))&amp;""),""))</f>
        <v/>
      </c>
      <c r="AG78" s="21">
        <f>IF(Y78="","",IFERROR(TRIM(INDEX($A78:$T78,MATCH(Lists!$F$14,$A$1:$T$1,0))&amp;""),""))</f>
        <v/>
      </c>
      <c r="AH78" s="21">
        <f>IF(Y78="","",LEFT(IFERROR(TRIM(INDEX($A78:$T78,MATCH(Lists!$F$10,$A$1:$T$1,0))&amp;""),""),80))</f>
        <v/>
      </c>
      <c r="AI78" s="21">
        <f>IF(Y78="",0,IF(OR(Tally!$B$5="",AA78=Tally!$B$5),1,0))</f>
        <v/>
      </c>
      <c r="AJ78" s="21">
        <f>IF(AI78=1,IF(COUNTIFS($AB$2:AB78,AB78,$AI$2:AI78,1)=1,1,0),0)</f>
        <v/>
      </c>
      <c r="AK78" s="21">
        <f>IF(AJ78=1,SUM($AJ$2:AJ78),"")</f>
        <v/>
      </c>
      <c r="AL78" s="21">
        <f>IF(AND(AI78=1,OR(AD78="In person",AD78="Online"),OR(Speakers!$B$5="",AB78=Speakers!$B$5)),N(Z78)+ROW()/1000000000,"")</f>
        <v/>
      </c>
    </row>
    <row r="79">
      <c r="U79" s="19" t="n"/>
      <c r="V79" s="24" t="n"/>
      <c r="W79" s="24" t="n"/>
      <c r="X79" s="19" t="n"/>
      <c r="Y79" s="21">
        <f>IFERROR(TRIM(INDEX($A79:$T79,MATCH(Lists!$F$2,$A$1:$T$1,0))&amp;""),"")</f>
        <v/>
      </c>
      <c r="Z79" s="22">
        <f>IF(Y79="","",IFERROR(IF(ISNUMBER(INDEX($A79:$T79,MATCH(Lists!$F$3,$A$1:$T$1,0))),INDEX($A79:$T79,MATCH(Lists!$F$3,$A$1:$T$1,0)),DATE(VALUE(LEFT(IFERROR(TRIM(INDEX($A79:$T79,MATCH(Lists!$F$3,$A$1:$T$1,0))&amp;""),""),4)),VALUE(MID(IFERROR(TRIM(INDEX($A79:$T79,MATCH(Lists!$F$3,$A$1:$T$1,0))&amp;""),""),6,2)),VALUE(MID(IFERROR(TRIM(INDEX($A79:$T79,MATCH(Lists!$F$3,$A$1:$T$1,0))&amp;""),""),9,2)))+TIME(VALUE(MID(IFERROR(TRIM(INDEX($A79:$T79,MATCH(Lists!$F$3,$A$1:$T$1,0))&amp;""),""),12,2)),VALUE(MID(IFERROR(TRIM(INDEX($A79:$T79,MATCH(Lists!$F$3,$A$1:$T$1,0))&amp;""),""),15,2)),VALUE(MID(IFERROR(TRIM(INDEX($A79:$T79,MATCH(Lists!$F$3,$A$1:$T$1,0))&amp;""),""),18,2)))),""))</f>
        <v/>
      </c>
      <c r="AA79" s="23">
        <f>IF(Y79="","",IF(ISNUMBER(IFERROR(IF(TRIM(INDEX($A79:$T79,MATCH(Lists!$F$4,$A$1:$T$1,0))&amp;"")="","",IF(ISNUMBER(INDEX($A79:$T79,MATCH(Lists!$F$4,$A$1:$T$1,0))),INT(INDEX($A79:$T79,MATCH(Lists!$F$4,$A$1:$T$1,0))),DATE(VALUE(LEFT(INDEX($A79:$T79,MATCH(Lists!$F$4,$A$1:$T$1,0)),4)),VALUE(MID(INDEX($A79:$T79,MATCH(Lists!$F$4,$A$1:$T$1,0)),6,2)),VALUE(MID(INDEX($A79:$T79,MATCH(Lists!$F$4,$A$1:$T$1,0)),9,2))))),"")),IFERROR(IF(TRIM(INDEX($A79:$T79,MATCH(Lists!$F$4,$A$1:$T$1,0))&amp;"")="","",IF(ISNUMBER(INDEX($A79:$T79,MATCH(Lists!$F$4,$A$1:$T$1,0))),INT(INDEX($A79:$T79,MATCH(Lists!$F$4,$A$1:$T$1,0))),DATE(VALUE(LEFT(INDEX($A79:$T79,MATCH(Lists!$F$4,$A$1:$T$1,0)),4)),VALUE(MID(INDEX($A79:$T79,MATCH(Lists!$F$4,$A$1:$T$1,0)),6,2)),VALUE(MID(INDEX($A79:$T79,MATCH(Lists!$F$4,$A$1:$T$1,0)),9,2))))),""),IFERROR(IF(TRIM(INDEX($A79:$T79,MATCH(Lists!$F$5,$A$1:$T$1,0))&amp;"")="","",IF(ISNUMBER(INDEX($A79:$T79,MATCH(Lists!$F$5,$A$1:$T$1,0))),INT(INDEX($A79:$T79,MATCH(Lists!$F$5,$A$1:$T$1,0))),DATE(VALUE(LEFT(INDEX($A79:$T79,MATCH(Lists!$F$5,$A$1:$T$1,0)),4)),VALUE(MID(INDEX($A79:$T79,MATCH(Lists!$F$5,$A$1:$T$1,0)),6,2)),VALUE(MID(INDEX($A79:$T79,MATCH(Lists!$F$5,$A$1:$T$1,0)),9,2))))),"")))</f>
        <v/>
      </c>
      <c r="AB79" s="21">
        <f>IF(Y79="","",IF(LEFT(IFERROR(TRIM(INDEX($A79:$T79,MATCH(Lists!$F$6,$A$1:$T$1,0))&amp;""),""),2)="No","General comment",IF(IFERROR(TRIM(INDEX($A79:$T79,MATCH(Lists!$F$7,$A$1:$T$1,0))&amp;""),"")&lt;&gt;"",IFERROR(TRIM(INDEX($A79:$T79,MATCH(Lists!$F$7,$A$1:$T$1,0))&amp;""),""),IF(IFERROR(TRIM(INDEX($A79:$T79,MATCH(Lists!$F$8,$A$1:$T$1,0))&amp;""),"")&lt;&gt;"",IFERROR(TRIM(INDEX($A79:$T79,MATCH(Lists!$F$8,$A$1:$T$1,0))&amp;""),""),"(no item given)"))))</f>
        <v/>
      </c>
      <c r="AC79" s="21">
        <f>IF(Y79="","",IF(ISNUMBER(SEARCH("support",IFERROR(TRIM(INDEX($A79:$T79,MATCH(Lists!$F$9,$A$1:$T$1,0))&amp;""),""))),"Support",IF(ISNUMBER(SEARCH("oppose",IFERROR(TRIM(INDEX($A79:$T79,MATCH(Lists!$F$9,$A$1:$T$1,0))&amp;""),""))),"Oppose",IF(IFERROR(TRIM(INDEX($A79:$T79,MATCH(Lists!$F$9,$A$1:$T$1,0))&amp;""),"")="","No position","Neither"))))</f>
        <v/>
      </c>
      <c r="AD79" s="21">
        <f>IF(Y79="","",IF(ISNUMBER(SEARCH("in person",IFERROR(TRIM(INDEX($A79:$T79,MATCH(Lists!$F$13,$A$1:$T$1,0))&amp;""),""))),"In person",IF(ISNUMBER(SEARCH("online",IFERROR(TRIM(INDEX($A79:$T79,MATCH(Lists!$F$13,$A$1:$T$1,0))&amp;""),""))),"Online","Written only")))</f>
        <v/>
      </c>
      <c r="AE79" s="21">
        <f>IF(Y79="","",IFERROR(TRIM(INDEX($A79:$T79,MATCH(Lists!$F$11,$A$1:$T$1,0))&amp;""),""))</f>
        <v/>
      </c>
      <c r="AF79" s="21">
        <f>IF(Y79="","",IFERROR(TRIM(INDEX($A79:$T79,MATCH(Lists!$F$12,$A$1:$T$1,0))&amp;""),""))</f>
        <v/>
      </c>
      <c r="AG79" s="21">
        <f>IF(Y79="","",IFERROR(TRIM(INDEX($A79:$T79,MATCH(Lists!$F$14,$A$1:$T$1,0))&amp;""),""))</f>
        <v/>
      </c>
      <c r="AH79" s="21">
        <f>IF(Y79="","",LEFT(IFERROR(TRIM(INDEX($A79:$T79,MATCH(Lists!$F$10,$A$1:$T$1,0))&amp;""),""),80))</f>
        <v/>
      </c>
      <c r="AI79" s="21">
        <f>IF(Y79="",0,IF(OR(Tally!$B$5="",AA79=Tally!$B$5),1,0))</f>
        <v/>
      </c>
      <c r="AJ79" s="21">
        <f>IF(AI79=1,IF(COUNTIFS($AB$2:AB79,AB79,$AI$2:AI79,1)=1,1,0),0)</f>
        <v/>
      </c>
      <c r="AK79" s="21">
        <f>IF(AJ79=1,SUM($AJ$2:AJ79),"")</f>
        <v/>
      </c>
      <c r="AL79" s="21">
        <f>IF(AND(AI79=1,OR(AD79="In person",AD79="Online"),OR(Speakers!$B$5="",AB79=Speakers!$B$5)),N(Z79)+ROW()/1000000000,"")</f>
        <v/>
      </c>
    </row>
    <row r="80">
      <c r="U80" s="19" t="n"/>
      <c r="V80" s="24" t="n"/>
      <c r="W80" s="24" t="n"/>
      <c r="X80" s="19" t="n"/>
      <c r="Y80" s="21">
        <f>IFERROR(TRIM(INDEX($A80:$T80,MATCH(Lists!$F$2,$A$1:$T$1,0))&amp;""),"")</f>
        <v/>
      </c>
      <c r="Z80" s="22">
        <f>IF(Y80="","",IFERROR(IF(ISNUMBER(INDEX($A80:$T80,MATCH(Lists!$F$3,$A$1:$T$1,0))),INDEX($A80:$T80,MATCH(Lists!$F$3,$A$1:$T$1,0)),DATE(VALUE(LEFT(IFERROR(TRIM(INDEX($A80:$T80,MATCH(Lists!$F$3,$A$1:$T$1,0))&amp;""),""),4)),VALUE(MID(IFERROR(TRIM(INDEX($A80:$T80,MATCH(Lists!$F$3,$A$1:$T$1,0))&amp;""),""),6,2)),VALUE(MID(IFERROR(TRIM(INDEX($A80:$T80,MATCH(Lists!$F$3,$A$1:$T$1,0))&amp;""),""),9,2)))+TIME(VALUE(MID(IFERROR(TRIM(INDEX($A80:$T80,MATCH(Lists!$F$3,$A$1:$T$1,0))&amp;""),""),12,2)),VALUE(MID(IFERROR(TRIM(INDEX($A80:$T80,MATCH(Lists!$F$3,$A$1:$T$1,0))&amp;""),""),15,2)),VALUE(MID(IFERROR(TRIM(INDEX($A80:$T80,MATCH(Lists!$F$3,$A$1:$T$1,0))&amp;""),""),18,2)))),""))</f>
        <v/>
      </c>
      <c r="AA80" s="23">
        <f>IF(Y80="","",IF(ISNUMBER(IFERROR(IF(TRIM(INDEX($A80:$T80,MATCH(Lists!$F$4,$A$1:$T$1,0))&amp;"")="","",IF(ISNUMBER(INDEX($A80:$T80,MATCH(Lists!$F$4,$A$1:$T$1,0))),INT(INDEX($A80:$T80,MATCH(Lists!$F$4,$A$1:$T$1,0))),DATE(VALUE(LEFT(INDEX($A80:$T80,MATCH(Lists!$F$4,$A$1:$T$1,0)),4)),VALUE(MID(INDEX($A80:$T80,MATCH(Lists!$F$4,$A$1:$T$1,0)),6,2)),VALUE(MID(INDEX($A80:$T80,MATCH(Lists!$F$4,$A$1:$T$1,0)),9,2))))),"")),IFERROR(IF(TRIM(INDEX($A80:$T80,MATCH(Lists!$F$4,$A$1:$T$1,0))&amp;"")="","",IF(ISNUMBER(INDEX($A80:$T80,MATCH(Lists!$F$4,$A$1:$T$1,0))),INT(INDEX($A80:$T80,MATCH(Lists!$F$4,$A$1:$T$1,0))),DATE(VALUE(LEFT(INDEX($A80:$T80,MATCH(Lists!$F$4,$A$1:$T$1,0)),4)),VALUE(MID(INDEX($A80:$T80,MATCH(Lists!$F$4,$A$1:$T$1,0)),6,2)),VALUE(MID(INDEX($A80:$T80,MATCH(Lists!$F$4,$A$1:$T$1,0)),9,2))))),""),IFERROR(IF(TRIM(INDEX($A80:$T80,MATCH(Lists!$F$5,$A$1:$T$1,0))&amp;"")="","",IF(ISNUMBER(INDEX($A80:$T80,MATCH(Lists!$F$5,$A$1:$T$1,0))),INT(INDEX($A80:$T80,MATCH(Lists!$F$5,$A$1:$T$1,0))),DATE(VALUE(LEFT(INDEX($A80:$T80,MATCH(Lists!$F$5,$A$1:$T$1,0)),4)),VALUE(MID(INDEX($A80:$T80,MATCH(Lists!$F$5,$A$1:$T$1,0)),6,2)),VALUE(MID(INDEX($A80:$T80,MATCH(Lists!$F$5,$A$1:$T$1,0)),9,2))))),"")))</f>
        <v/>
      </c>
      <c r="AB80" s="21">
        <f>IF(Y80="","",IF(LEFT(IFERROR(TRIM(INDEX($A80:$T80,MATCH(Lists!$F$6,$A$1:$T$1,0))&amp;""),""),2)="No","General comment",IF(IFERROR(TRIM(INDEX($A80:$T80,MATCH(Lists!$F$7,$A$1:$T$1,0))&amp;""),"")&lt;&gt;"",IFERROR(TRIM(INDEX($A80:$T80,MATCH(Lists!$F$7,$A$1:$T$1,0))&amp;""),""),IF(IFERROR(TRIM(INDEX($A80:$T80,MATCH(Lists!$F$8,$A$1:$T$1,0))&amp;""),"")&lt;&gt;"",IFERROR(TRIM(INDEX($A80:$T80,MATCH(Lists!$F$8,$A$1:$T$1,0))&amp;""),""),"(no item given)"))))</f>
        <v/>
      </c>
      <c r="AC80" s="21">
        <f>IF(Y80="","",IF(ISNUMBER(SEARCH("support",IFERROR(TRIM(INDEX($A80:$T80,MATCH(Lists!$F$9,$A$1:$T$1,0))&amp;""),""))),"Support",IF(ISNUMBER(SEARCH("oppose",IFERROR(TRIM(INDEX($A80:$T80,MATCH(Lists!$F$9,$A$1:$T$1,0))&amp;""),""))),"Oppose",IF(IFERROR(TRIM(INDEX($A80:$T80,MATCH(Lists!$F$9,$A$1:$T$1,0))&amp;""),"")="","No position","Neither"))))</f>
        <v/>
      </c>
      <c r="AD80" s="21">
        <f>IF(Y80="","",IF(ISNUMBER(SEARCH("in person",IFERROR(TRIM(INDEX($A80:$T80,MATCH(Lists!$F$13,$A$1:$T$1,0))&amp;""),""))),"In person",IF(ISNUMBER(SEARCH("online",IFERROR(TRIM(INDEX($A80:$T80,MATCH(Lists!$F$13,$A$1:$T$1,0))&amp;""),""))),"Online","Written only")))</f>
        <v/>
      </c>
      <c r="AE80" s="21">
        <f>IF(Y80="","",IFERROR(TRIM(INDEX($A80:$T80,MATCH(Lists!$F$11,$A$1:$T$1,0))&amp;""),""))</f>
        <v/>
      </c>
      <c r="AF80" s="21">
        <f>IF(Y80="","",IFERROR(TRIM(INDEX($A80:$T80,MATCH(Lists!$F$12,$A$1:$T$1,0))&amp;""),""))</f>
        <v/>
      </c>
      <c r="AG80" s="21">
        <f>IF(Y80="","",IFERROR(TRIM(INDEX($A80:$T80,MATCH(Lists!$F$14,$A$1:$T$1,0))&amp;""),""))</f>
        <v/>
      </c>
      <c r="AH80" s="21">
        <f>IF(Y80="","",LEFT(IFERROR(TRIM(INDEX($A80:$T80,MATCH(Lists!$F$10,$A$1:$T$1,0))&amp;""),""),80))</f>
        <v/>
      </c>
      <c r="AI80" s="21">
        <f>IF(Y80="",0,IF(OR(Tally!$B$5="",AA80=Tally!$B$5),1,0))</f>
        <v/>
      </c>
      <c r="AJ80" s="21">
        <f>IF(AI80=1,IF(COUNTIFS($AB$2:AB80,AB80,$AI$2:AI80,1)=1,1,0),0)</f>
        <v/>
      </c>
      <c r="AK80" s="21">
        <f>IF(AJ80=1,SUM($AJ$2:AJ80),"")</f>
        <v/>
      </c>
      <c r="AL80" s="21">
        <f>IF(AND(AI80=1,OR(AD80="In person",AD80="Online"),OR(Speakers!$B$5="",AB80=Speakers!$B$5)),N(Z80)+ROW()/1000000000,"")</f>
        <v/>
      </c>
    </row>
    <row r="81">
      <c r="U81" s="19" t="n"/>
      <c r="V81" s="24" t="n"/>
      <c r="W81" s="24" t="n"/>
      <c r="X81" s="19" t="n"/>
      <c r="Y81" s="21">
        <f>IFERROR(TRIM(INDEX($A81:$T81,MATCH(Lists!$F$2,$A$1:$T$1,0))&amp;""),"")</f>
        <v/>
      </c>
      <c r="Z81" s="22">
        <f>IF(Y81="","",IFERROR(IF(ISNUMBER(INDEX($A81:$T81,MATCH(Lists!$F$3,$A$1:$T$1,0))),INDEX($A81:$T81,MATCH(Lists!$F$3,$A$1:$T$1,0)),DATE(VALUE(LEFT(IFERROR(TRIM(INDEX($A81:$T81,MATCH(Lists!$F$3,$A$1:$T$1,0))&amp;""),""),4)),VALUE(MID(IFERROR(TRIM(INDEX($A81:$T81,MATCH(Lists!$F$3,$A$1:$T$1,0))&amp;""),""),6,2)),VALUE(MID(IFERROR(TRIM(INDEX($A81:$T81,MATCH(Lists!$F$3,$A$1:$T$1,0))&amp;""),""),9,2)))+TIME(VALUE(MID(IFERROR(TRIM(INDEX($A81:$T81,MATCH(Lists!$F$3,$A$1:$T$1,0))&amp;""),""),12,2)),VALUE(MID(IFERROR(TRIM(INDEX($A81:$T81,MATCH(Lists!$F$3,$A$1:$T$1,0))&amp;""),""),15,2)),VALUE(MID(IFERROR(TRIM(INDEX($A81:$T81,MATCH(Lists!$F$3,$A$1:$T$1,0))&amp;""),""),18,2)))),""))</f>
        <v/>
      </c>
      <c r="AA81" s="23">
        <f>IF(Y81="","",IF(ISNUMBER(IFERROR(IF(TRIM(INDEX($A81:$T81,MATCH(Lists!$F$4,$A$1:$T$1,0))&amp;"")="","",IF(ISNUMBER(INDEX($A81:$T81,MATCH(Lists!$F$4,$A$1:$T$1,0))),INT(INDEX($A81:$T81,MATCH(Lists!$F$4,$A$1:$T$1,0))),DATE(VALUE(LEFT(INDEX($A81:$T81,MATCH(Lists!$F$4,$A$1:$T$1,0)),4)),VALUE(MID(INDEX($A81:$T81,MATCH(Lists!$F$4,$A$1:$T$1,0)),6,2)),VALUE(MID(INDEX($A81:$T81,MATCH(Lists!$F$4,$A$1:$T$1,0)),9,2))))),"")),IFERROR(IF(TRIM(INDEX($A81:$T81,MATCH(Lists!$F$4,$A$1:$T$1,0))&amp;"")="","",IF(ISNUMBER(INDEX($A81:$T81,MATCH(Lists!$F$4,$A$1:$T$1,0))),INT(INDEX($A81:$T81,MATCH(Lists!$F$4,$A$1:$T$1,0))),DATE(VALUE(LEFT(INDEX($A81:$T81,MATCH(Lists!$F$4,$A$1:$T$1,0)),4)),VALUE(MID(INDEX($A81:$T81,MATCH(Lists!$F$4,$A$1:$T$1,0)),6,2)),VALUE(MID(INDEX($A81:$T81,MATCH(Lists!$F$4,$A$1:$T$1,0)),9,2))))),""),IFERROR(IF(TRIM(INDEX($A81:$T81,MATCH(Lists!$F$5,$A$1:$T$1,0))&amp;"")="","",IF(ISNUMBER(INDEX($A81:$T81,MATCH(Lists!$F$5,$A$1:$T$1,0))),INT(INDEX($A81:$T81,MATCH(Lists!$F$5,$A$1:$T$1,0))),DATE(VALUE(LEFT(INDEX($A81:$T81,MATCH(Lists!$F$5,$A$1:$T$1,0)),4)),VALUE(MID(INDEX($A81:$T81,MATCH(Lists!$F$5,$A$1:$T$1,0)),6,2)),VALUE(MID(INDEX($A81:$T81,MATCH(Lists!$F$5,$A$1:$T$1,0)),9,2))))),"")))</f>
        <v/>
      </c>
      <c r="AB81" s="21">
        <f>IF(Y81="","",IF(LEFT(IFERROR(TRIM(INDEX($A81:$T81,MATCH(Lists!$F$6,$A$1:$T$1,0))&amp;""),""),2)="No","General comment",IF(IFERROR(TRIM(INDEX($A81:$T81,MATCH(Lists!$F$7,$A$1:$T$1,0))&amp;""),"")&lt;&gt;"",IFERROR(TRIM(INDEX($A81:$T81,MATCH(Lists!$F$7,$A$1:$T$1,0))&amp;""),""),IF(IFERROR(TRIM(INDEX($A81:$T81,MATCH(Lists!$F$8,$A$1:$T$1,0))&amp;""),"")&lt;&gt;"",IFERROR(TRIM(INDEX($A81:$T81,MATCH(Lists!$F$8,$A$1:$T$1,0))&amp;""),""),"(no item given)"))))</f>
        <v/>
      </c>
      <c r="AC81" s="21">
        <f>IF(Y81="","",IF(ISNUMBER(SEARCH("support",IFERROR(TRIM(INDEX($A81:$T81,MATCH(Lists!$F$9,$A$1:$T$1,0))&amp;""),""))),"Support",IF(ISNUMBER(SEARCH("oppose",IFERROR(TRIM(INDEX($A81:$T81,MATCH(Lists!$F$9,$A$1:$T$1,0))&amp;""),""))),"Oppose",IF(IFERROR(TRIM(INDEX($A81:$T81,MATCH(Lists!$F$9,$A$1:$T$1,0))&amp;""),"")="","No position","Neither"))))</f>
        <v/>
      </c>
      <c r="AD81" s="21">
        <f>IF(Y81="","",IF(ISNUMBER(SEARCH("in person",IFERROR(TRIM(INDEX($A81:$T81,MATCH(Lists!$F$13,$A$1:$T$1,0))&amp;""),""))),"In person",IF(ISNUMBER(SEARCH("online",IFERROR(TRIM(INDEX($A81:$T81,MATCH(Lists!$F$13,$A$1:$T$1,0))&amp;""),""))),"Online","Written only")))</f>
        <v/>
      </c>
      <c r="AE81" s="21">
        <f>IF(Y81="","",IFERROR(TRIM(INDEX($A81:$T81,MATCH(Lists!$F$11,$A$1:$T$1,0))&amp;""),""))</f>
        <v/>
      </c>
      <c r="AF81" s="21">
        <f>IF(Y81="","",IFERROR(TRIM(INDEX($A81:$T81,MATCH(Lists!$F$12,$A$1:$T$1,0))&amp;""),""))</f>
        <v/>
      </c>
      <c r="AG81" s="21">
        <f>IF(Y81="","",IFERROR(TRIM(INDEX($A81:$T81,MATCH(Lists!$F$14,$A$1:$T$1,0))&amp;""),""))</f>
        <v/>
      </c>
      <c r="AH81" s="21">
        <f>IF(Y81="","",LEFT(IFERROR(TRIM(INDEX($A81:$T81,MATCH(Lists!$F$10,$A$1:$T$1,0))&amp;""),""),80))</f>
        <v/>
      </c>
      <c r="AI81" s="21">
        <f>IF(Y81="",0,IF(OR(Tally!$B$5="",AA81=Tally!$B$5),1,0))</f>
        <v/>
      </c>
      <c r="AJ81" s="21">
        <f>IF(AI81=1,IF(COUNTIFS($AB$2:AB81,AB81,$AI$2:AI81,1)=1,1,0),0)</f>
        <v/>
      </c>
      <c r="AK81" s="21">
        <f>IF(AJ81=1,SUM($AJ$2:AJ81),"")</f>
        <v/>
      </c>
      <c r="AL81" s="21">
        <f>IF(AND(AI81=1,OR(AD81="In person",AD81="Online"),OR(Speakers!$B$5="",AB81=Speakers!$B$5)),N(Z81)+ROW()/1000000000,"")</f>
        <v/>
      </c>
    </row>
    <row r="82">
      <c r="U82" s="19" t="n"/>
      <c r="V82" s="24" t="n"/>
      <c r="W82" s="24" t="n"/>
      <c r="X82" s="19" t="n"/>
      <c r="Y82" s="21">
        <f>IFERROR(TRIM(INDEX($A82:$T82,MATCH(Lists!$F$2,$A$1:$T$1,0))&amp;""),"")</f>
        <v/>
      </c>
      <c r="Z82" s="22">
        <f>IF(Y82="","",IFERROR(IF(ISNUMBER(INDEX($A82:$T82,MATCH(Lists!$F$3,$A$1:$T$1,0))),INDEX($A82:$T82,MATCH(Lists!$F$3,$A$1:$T$1,0)),DATE(VALUE(LEFT(IFERROR(TRIM(INDEX($A82:$T82,MATCH(Lists!$F$3,$A$1:$T$1,0))&amp;""),""),4)),VALUE(MID(IFERROR(TRIM(INDEX($A82:$T82,MATCH(Lists!$F$3,$A$1:$T$1,0))&amp;""),""),6,2)),VALUE(MID(IFERROR(TRIM(INDEX($A82:$T82,MATCH(Lists!$F$3,$A$1:$T$1,0))&amp;""),""),9,2)))+TIME(VALUE(MID(IFERROR(TRIM(INDEX($A82:$T82,MATCH(Lists!$F$3,$A$1:$T$1,0))&amp;""),""),12,2)),VALUE(MID(IFERROR(TRIM(INDEX($A82:$T82,MATCH(Lists!$F$3,$A$1:$T$1,0))&amp;""),""),15,2)),VALUE(MID(IFERROR(TRIM(INDEX($A82:$T82,MATCH(Lists!$F$3,$A$1:$T$1,0))&amp;""),""),18,2)))),""))</f>
        <v/>
      </c>
      <c r="AA82" s="23">
        <f>IF(Y82="","",IF(ISNUMBER(IFERROR(IF(TRIM(INDEX($A82:$T82,MATCH(Lists!$F$4,$A$1:$T$1,0))&amp;"")="","",IF(ISNUMBER(INDEX($A82:$T82,MATCH(Lists!$F$4,$A$1:$T$1,0))),INT(INDEX($A82:$T82,MATCH(Lists!$F$4,$A$1:$T$1,0))),DATE(VALUE(LEFT(INDEX($A82:$T82,MATCH(Lists!$F$4,$A$1:$T$1,0)),4)),VALUE(MID(INDEX($A82:$T82,MATCH(Lists!$F$4,$A$1:$T$1,0)),6,2)),VALUE(MID(INDEX($A82:$T82,MATCH(Lists!$F$4,$A$1:$T$1,0)),9,2))))),"")),IFERROR(IF(TRIM(INDEX($A82:$T82,MATCH(Lists!$F$4,$A$1:$T$1,0))&amp;"")="","",IF(ISNUMBER(INDEX($A82:$T82,MATCH(Lists!$F$4,$A$1:$T$1,0))),INT(INDEX($A82:$T82,MATCH(Lists!$F$4,$A$1:$T$1,0))),DATE(VALUE(LEFT(INDEX($A82:$T82,MATCH(Lists!$F$4,$A$1:$T$1,0)),4)),VALUE(MID(INDEX($A82:$T82,MATCH(Lists!$F$4,$A$1:$T$1,0)),6,2)),VALUE(MID(INDEX($A82:$T82,MATCH(Lists!$F$4,$A$1:$T$1,0)),9,2))))),""),IFERROR(IF(TRIM(INDEX($A82:$T82,MATCH(Lists!$F$5,$A$1:$T$1,0))&amp;"")="","",IF(ISNUMBER(INDEX($A82:$T82,MATCH(Lists!$F$5,$A$1:$T$1,0))),INT(INDEX($A82:$T82,MATCH(Lists!$F$5,$A$1:$T$1,0))),DATE(VALUE(LEFT(INDEX($A82:$T82,MATCH(Lists!$F$5,$A$1:$T$1,0)),4)),VALUE(MID(INDEX($A82:$T82,MATCH(Lists!$F$5,$A$1:$T$1,0)),6,2)),VALUE(MID(INDEX($A82:$T82,MATCH(Lists!$F$5,$A$1:$T$1,0)),9,2))))),"")))</f>
        <v/>
      </c>
      <c r="AB82" s="21">
        <f>IF(Y82="","",IF(LEFT(IFERROR(TRIM(INDEX($A82:$T82,MATCH(Lists!$F$6,$A$1:$T$1,0))&amp;""),""),2)="No","General comment",IF(IFERROR(TRIM(INDEX($A82:$T82,MATCH(Lists!$F$7,$A$1:$T$1,0))&amp;""),"")&lt;&gt;"",IFERROR(TRIM(INDEX($A82:$T82,MATCH(Lists!$F$7,$A$1:$T$1,0))&amp;""),""),IF(IFERROR(TRIM(INDEX($A82:$T82,MATCH(Lists!$F$8,$A$1:$T$1,0))&amp;""),"")&lt;&gt;"",IFERROR(TRIM(INDEX($A82:$T82,MATCH(Lists!$F$8,$A$1:$T$1,0))&amp;""),""),"(no item given)"))))</f>
        <v/>
      </c>
      <c r="AC82" s="21">
        <f>IF(Y82="","",IF(ISNUMBER(SEARCH("support",IFERROR(TRIM(INDEX($A82:$T82,MATCH(Lists!$F$9,$A$1:$T$1,0))&amp;""),""))),"Support",IF(ISNUMBER(SEARCH("oppose",IFERROR(TRIM(INDEX($A82:$T82,MATCH(Lists!$F$9,$A$1:$T$1,0))&amp;""),""))),"Oppose",IF(IFERROR(TRIM(INDEX($A82:$T82,MATCH(Lists!$F$9,$A$1:$T$1,0))&amp;""),"")="","No position","Neither"))))</f>
        <v/>
      </c>
      <c r="AD82" s="21">
        <f>IF(Y82="","",IF(ISNUMBER(SEARCH("in person",IFERROR(TRIM(INDEX($A82:$T82,MATCH(Lists!$F$13,$A$1:$T$1,0))&amp;""),""))),"In person",IF(ISNUMBER(SEARCH("online",IFERROR(TRIM(INDEX($A82:$T82,MATCH(Lists!$F$13,$A$1:$T$1,0))&amp;""),""))),"Online","Written only")))</f>
        <v/>
      </c>
      <c r="AE82" s="21">
        <f>IF(Y82="","",IFERROR(TRIM(INDEX($A82:$T82,MATCH(Lists!$F$11,$A$1:$T$1,0))&amp;""),""))</f>
        <v/>
      </c>
      <c r="AF82" s="21">
        <f>IF(Y82="","",IFERROR(TRIM(INDEX($A82:$T82,MATCH(Lists!$F$12,$A$1:$T$1,0))&amp;""),""))</f>
        <v/>
      </c>
      <c r="AG82" s="21">
        <f>IF(Y82="","",IFERROR(TRIM(INDEX($A82:$T82,MATCH(Lists!$F$14,$A$1:$T$1,0))&amp;""),""))</f>
        <v/>
      </c>
      <c r="AH82" s="21">
        <f>IF(Y82="","",LEFT(IFERROR(TRIM(INDEX($A82:$T82,MATCH(Lists!$F$10,$A$1:$T$1,0))&amp;""),""),80))</f>
        <v/>
      </c>
      <c r="AI82" s="21">
        <f>IF(Y82="",0,IF(OR(Tally!$B$5="",AA82=Tally!$B$5),1,0))</f>
        <v/>
      </c>
      <c r="AJ82" s="21">
        <f>IF(AI82=1,IF(COUNTIFS($AB$2:AB82,AB82,$AI$2:AI82,1)=1,1,0),0)</f>
        <v/>
      </c>
      <c r="AK82" s="21">
        <f>IF(AJ82=1,SUM($AJ$2:AJ82),"")</f>
        <v/>
      </c>
      <c r="AL82" s="21">
        <f>IF(AND(AI82=1,OR(AD82="In person",AD82="Online"),OR(Speakers!$B$5="",AB82=Speakers!$B$5)),N(Z82)+ROW()/1000000000,"")</f>
        <v/>
      </c>
    </row>
    <row r="83">
      <c r="U83" s="19" t="n"/>
      <c r="V83" s="24" t="n"/>
      <c r="W83" s="24" t="n"/>
      <c r="X83" s="19" t="n"/>
      <c r="Y83" s="21">
        <f>IFERROR(TRIM(INDEX($A83:$T83,MATCH(Lists!$F$2,$A$1:$T$1,0))&amp;""),"")</f>
        <v/>
      </c>
      <c r="Z83" s="22">
        <f>IF(Y83="","",IFERROR(IF(ISNUMBER(INDEX($A83:$T83,MATCH(Lists!$F$3,$A$1:$T$1,0))),INDEX($A83:$T83,MATCH(Lists!$F$3,$A$1:$T$1,0)),DATE(VALUE(LEFT(IFERROR(TRIM(INDEX($A83:$T83,MATCH(Lists!$F$3,$A$1:$T$1,0))&amp;""),""),4)),VALUE(MID(IFERROR(TRIM(INDEX($A83:$T83,MATCH(Lists!$F$3,$A$1:$T$1,0))&amp;""),""),6,2)),VALUE(MID(IFERROR(TRIM(INDEX($A83:$T83,MATCH(Lists!$F$3,$A$1:$T$1,0))&amp;""),""),9,2)))+TIME(VALUE(MID(IFERROR(TRIM(INDEX($A83:$T83,MATCH(Lists!$F$3,$A$1:$T$1,0))&amp;""),""),12,2)),VALUE(MID(IFERROR(TRIM(INDEX($A83:$T83,MATCH(Lists!$F$3,$A$1:$T$1,0))&amp;""),""),15,2)),VALUE(MID(IFERROR(TRIM(INDEX($A83:$T83,MATCH(Lists!$F$3,$A$1:$T$1,0))&amp;""),""),18,2)))),""))</f>
        <v/>
      </c>
      <c r="AA83" s="23">
        <f>IF(Y83="","",IF(ISNUMBER(IFERROR(IF(TRIM(INDEX($A83:$T83,MATCH(Lists!$F$4,$A$1:$T$1,0))&amp;"")="","",IF(ISNUMBER(INDEX($A83:$T83,MATCH(Lists!$F$4,$A$1:$T$1,0))),INT(INDEX($A83:$T83,MATCH(Lists!$F$4,$A$1:$T$1,0))),DATE(VALUE(LEFT(INDEX($A83:$T83,MATCH(Lists!$F$4,$A$1:$T$1,0)),4)),VALUE(MID(INDEX($A83:$T83,MATCH(Lists!$F$4,$A$1:$T$1,0)),6,2)),VALUE(MID(INDEX($A83:$T83,MATCH(Lists!$F$4,$A$1:$T$1,0)),9,2))))),"")),IFERROR(IF(TRIM(INDEX($A83:$T83,MATCH(Lists!$F$4,$A$1:$T$1,0))&amp;"")="","",IF(ISNUMBER(INDEX($A83:$T83,MATCH(Lists!$F$4,$A$1:$T$1,0))),INT(INDEX($A83:$T83,MATCH(Lists!$F$4,$A$1:$T$1,0))),DATE(VALUE(LEFT(INDEX($A83:$T83,MATCH(Lists!$F$4,$A$1:$T$1,0)),4)),VALUE(MID(INDEX($A83:$T83,MATCH(Lists!$F$4,$A$1:$T$1,0)),6,2)),VALUE(MID(INDEX($A83:$T83,MATCH(Lists!$F$4,$A$1:$T$1,0)),9,2))))),""),IFERROR(IF(TRIM(INDEX($A83:$T83,MATCH(Lists!$F$5,$A$1:$T$1,0))&amp;"")="","",IF(ISNUMBER(INDEX($A83:$T83,MATCH(Lists!$F$5,$A$1:$T$1,0))),INT(INDEX($A83:$T83,MATCH(Lists!$F$5,$A$1:$T$1,0))),DATE(VALUE(LEFT(INDEX($A83:$T83,MATCH(Lists!$F$5,$A$1:$T$1,0)),4)),VALUE(MID(INDEX($A83:$T83,MATCH(Lists!$F$5,$A$1:$T$1,0)),6,2)),VALUE(MID(INDEX($A83:$T83,MATCH(Lists!$F$5,$A$1:$T$1,0)),9,2))))),"")))</f>
        <v/>
      </c>
      <c r="AB83" s="21">
        <f>IF(Y83="","",IF(LEFT(IFERROR(TRIM(INDEX($A83:$T83,MATCH(Lists!$F$6,$A$1:$T$1,0))&amp;""),""),2)="No","General comment",IF(IFERROR(TRIM(INDEX($A83:$T83,MATCH(Lists!$F$7,$A$1:$T$1,0))&amp;""),"")&lt;&gt;"",IFERROR(TRIM(INDEX($A83:$T83,MATCH(Lists!$F$7,$A$1:$T$1,0))&amp;""),""),IF(IFERROR(TRIM(INDEX($A83:$T83,MATCH(Lists!$F$8,$A$1:$T$1,0))&amp;""),"")&lt;&gt;"",IFERROR(TRIM(INDEX($A83:$T83,MATCH(Lists!$F$8,$A$1:$T$1,0))&amp;""),""),"(no item given)"))))</f>
        <v/>
      </c>
      <c r="AC83" s="21">
        <f>IF(Y83="","",IF(ISNUMBER(SEARCH("support",IFERROR(TRIM(INDEX($A83:$T83,MATCH(Lists!$F$9,$A$1:$T$1,0))&amp;""),""))),"Support",IF(ISNUMBER(SEARCH("oppose",IFERROR(TRIM(INDEX($A83:$T83,MATCH(Lists!$F$9,$A$1:$T$1,0))&amp;""),""))),"Oppose",IF(IFERROR(TRIM(INDEX($A83:$T83,MATCH(Lists!$F$9,$A$1:$T$1,0))&amp;""),"")="","No position","Neither"))))</f>
        <v/>
      </c>
      <c r="AD83" s="21">
        <f>IF(Y83="","",IF(ISNUMBER(SEARCH("in person",IFERROR(TRIM(INDEX($A83:$T83,MATCH(Lists!$F$13,$A$1:$T$1,0))&amp;""),""))),"In person",IF(ISNUMBER(SEARCH("online",IFERROR(TRIM(INDEX($A83:$T83,MATCH(Lists!$F$13,$A$1:$T$1,0))&amp;""),""))),"Online","Written only")))</f>
        <v/>
      </c>
      <c r="AE83" s="21">
        <f>IF(Y83="","",IFERROR(TRIM(INDEX($A83:$T83,MATCH(Lists!$F$11,$A$1:$T$1,0))&amp;""),""))</f>
        <v/>
      </c>
      <c r="AF83" s="21">
        <f>IF(Y83="","",IFERROR(TRIM(INDEX($A83:$T83,MATCH(Lists!$F$12,$A$1:$T$1,0))&amp;""),""))</f>
        <v/>
      </c>
      <c r="AG83" s="21">
        <f>IF(Y83="","",IFERROR(TRIM(INDEX($A83:$T83,MATCH(Lists!$F$14,$A$1:$T$1,0))&amp;""),""))</f>
        <v/>
      </c>
      <c r="AH83" s="21">
        <f>IF(Y83="","",LEFT(IFERROR(TRIM(INDEX($A83:$T83,MATCH(Lists!$F$10,$A$1:$T$1,0))&amp;""),""),80))</f>
        <v/>
      </c>
      <c r="AI83" s="21">
        <f>IF(Y83="",0,IF(OR(Tally!$B$5="",AA83=Tally!$B$5),1,0))</f>
        <v/>
      </c>
      <c r="AJ83" s="21">
        <f>IF(AI83=1,IF(COUNTIFS($AB$2:AB83,AB83,$AI$2:AI83,1)=1,1,0),0)</f>
        <v/>
      </c>
      <c r="AK83" s="21">
        <f>IF(AJ83=1,SUM($AJ$2:AJ83),"")</f>
        <v/>
      </c>
      <c r="AL83" s="21">
        <f>IF(AND(AI83=1,OR(AD83="In person",AD83="Online"),OR(Speakers!$B$5="",AB83=Speakers!$B$5)),N(Z83)+ROW()/1000000000,"")</f>
        <v/>
      </c>
    </row>
    <row r="84">
      <c r="U84" s="19" t="n"/>
      <c r="V84" s="24" t="n"/>
      <c r="W84" s="24" t="n"/>
      <c r="X84" s="19" t="n"/>
      <c r="Y84" s="21">
        <f>IFERROR(TRIM(INDEX($A84:$T84,MATCH(Lists!$F$2,$A$1:$T$1,0))&amp;""),"")</f>
        <v/>
      </c>
      <c r="Z84" s="22">
        <f>IF(Y84="","",IFERROR(IF(ISNUMBER(INDEX($A84:$T84,MATCH(Lists!$F$3,$A$1:$T$1,0))),INDEX($A84:$T84,MATCH(Lists!$F$3,$A$1:$T$1,0)),DATE(VALUE(LEFT(IFERROR(TRIM(INDEX($A84:$T84,MATCH(Lists!$F$3,$A$1:$T$1,0))&amp;""),""),4)),VALUE(MID(IFERROR(TRIM(INDEX($A84:$T84,MATCH(Lists!$F$3,$A$1:$T$1,0))&amp;""),""),6,2)),VALUE(MID(IFERROR(TRIM(INDEX($A84:$T84,MATCH(Lists!$F$3,$A$1:$T$1,0))&amp;""),""),9,2)))+TIME(VALUE(MID(IFERROR(TRIM(INDEX($A84:$T84,MATCH(Lists!$F$3,$A$1:$T$1,0))&amp;""),""),12,2)),VALUE(MID(IFERROR(TRIM(INDEX($A84:$T84,MATCH(Lists!$F$3,$A$1:$T$1,0))&amp;""),""),15,2)),VALUE(MID(IFERROR(TRIM(INDEX($A84:$T84,MATCH(Lists!$F$3,$A$1:$T$1,0))&amp;""),""),18,2)))),""))</f>
        <v/>
      </c>
      <c r="AA84" s="23">
        <f>IF(Y84="","",IF(ISNUMBER(IFERROR(IF(TRIM(INDEX($A84:$T84,MATCH(Lists!$F$4,$A$1:$T$1,0))&amp;"")="","",IF(ISNUMBER(INDEX($A84:$T84,MATCH(Lists!$F$4,$A$1:$T$1,0))),INT(INDEX($A84:$T84,MATCH(Lists!$F$4,$A$1:$T$1,0))),DATE(VALUE(LEFT(INDEX($A84:$T84,MATCH(Lists!$F$4,$A$1:$T$1,0)),4)),VALUE(MID(INDEX($A84:$T84,MATCH(Lists!$F$4,$A$1:$T$1,0)),6,2)),VALUE(MID(INDEX($A84:$T84,MATCH(Lists!$F$4,$A$1:$T$1,0)),9,2))))),"")),IFERROR(IF(TRIM(INDEX($A84:$T84,MATCH(Lists!$F$4,$A$1:$T$1,0))&amp;"")="","",IF(ISNUMBER(INDEX($A84:$T84,MATCH(Lists!$F$4,$A$1:$T$1,0))),INT(INDEX($A84:$T84,MATCH(Lists!$F$4,$A$1:$T$1,0))),DATE(VALUE(LEFT(INDEX($A84:$T84,MATCH(Lists!$F$4,$A$1:$T$1,0)),4)),VALUE(MID(INDEX($A84:$T84,MATCH(Lists!$F$4,$A$1:$T$1,0)),6,2)),VALUE(MID(INDEX($A84:$T84,MATCH(Lists!$F$4,$A$1:$T$1,0)),9,2))))),""),IFERROR(IF(TRIM(INDEX($A84:$T84,MATCH(Lists!$F$5,$A$1:$T$1,0))&amp;"")="","",IF(ISNUMBER(INDEX($A84:$T84,MATCH(Lists!$F$5,$A$1:$T$1,0))),INT(INDEX($A84:$T84,MATCH(Lists!$F$5,$A$1:$T$1,0))),DATE(VALUE(LEFT(INDEX($A84:$T84,MATCH(Lists!$F$5,$A$1:$T$1,0)),4)),VALUE(MID(INDEX($A84:$T84,MATCH(Lists!$F$5,$A$1:$T$1,0)),6,2)),VALUE(MID(INDEX($A84:$T84,MATCH(Lists!$F$5,$A$1:$T$1,0)),9,2))))),"")))</f>
        <v/>
      </c>
      <c r="AB84" s="21">
        <f>IF(Y84="","",IF(LEFT(IFERROR(TRIM(INDEX($A84:$T84,MATCH(Lists!$F$6,$A$1:$T$1,0))&amp;""),""),2)="No","General comment",IF(IFERROR(TRIM(INDEX($A84:$T84,MATCH(Lists!$F$7,$A$1:$T$1,0))&amp;""),"")&lt;&gt;"",IFERROR(TRIM(INDEX($A84:$T84,MATCH(Lists!$F$7,$A$1:$T$1,0))&amp;""),""),IF(IFERROR(TRIM(INDEX($A84:$T84,MATCH(Lists!$F$8,$A$1:$T$1,0))&amp;""),"")&lt;&gt;"",IFERROR(TRIM(INDEX($A84:$T84,MATCH(Lists!$F$8,$A$1:$T$1,0))&amp;""),""),"(no item given)"))))</f>
        <v/>
      </c>
      <c r="AC84" s="21">
        <f>IF(Y84="","",IF(ISNUMBER(SEARCH("support",IFERROR(TRIM(INDEX($A84:$T84,MATCH(Lists!$F$9,$A$1:$T$1,0))&amp;""),""))),"Support",IF(ISNUMBER(SEARCH("oppose",IFERROR(TRIM(INDEX($A84:$T84,MATCH(Lists!$F$9,$A$1:$T$1,0))&amp;""),""))),"Oppose",IF(IFERROR(TRIM(INDEX($A84:$T84,MATCH(Lists!$F$9,$A$1:$T$1,0))&amp;""),"")="","No position","Neither"))))</f>
        <v/>
      </c>
      <c r="AD84" s="21">
        <f>IF(Y84="","",IF(ISNUMBER(SEARCH("in person",IFERROR(TRIM(INDEX($A84:$T84,MATCH(Lists!$F$13,$A$1:$T$1,0))&amp;""),""))),"In person",IF(ISNUMBER(SEARCH("online",IFERROR(TRIM(INDEX($A84:$T84,MATCH(Lists!$F$13,$A$1:$T$1,0))&amp;""),""))),"Online","Written only")))</f>
        <v/>
      </c>
      <c r="AE84" s="21">
        <f>IF(Y84="","",IFERROR(TRIM(INDEX($A84:$T84,MATCH(Lists!$F$11,$A$1:$T$1,0))&amp;""),""))</f>
        <v/>
      </c>
      <c r="AF84" s="21">
        <f>IF(Y84="","",IFERROR(TRIM(INDEX($A84:$T84,MATCH(Lists!$F$12,$A$1:$T$1,0))&amp;""),""))</f>
        <v/>
      </c>
      <c r="AG84" s="21">
        <f>IF(Y84="","",IFERROR(TRIM(INDEX($A84:$T84,MATCH(Lists!$F$14,$A$1:$T$1,0))&amp;""),""))</f>
        <v/>
      </c>
      <c r="AH84" s="21">
        <f>IF(Y84="","",LEFT(IFERROR(TRIM(INDEX($A84:$T84,MATCH(Lists!$F$10,$A$1:$T$1,0))&amp;""),""),80))</f>
        <v/>
      </c>
      <c r="AI84" s="21">
        <f>IF(Y84="",0,IF(OR(Tally!$B$5="",AA84=Tally!$B$5),1,0))</f>
        <v/>
      </c>
      <c r="AJ84" s="21">
        <f>IF(AI84=1,IF(COUNTIFS($AB$2:AB84,AB84,$AI$2:AI84,1)=1,1,0),0)</f>
        <v/>
      </c>
      <c r="AK84" s="21">
        <f>IF(AJ84=1,SUM($AJ$2:AJ84),"")</f>
        <v/>
      </c>
      <c r="AL84" s="21">
        <f>IF(AND(AI84=1,OR(AD84="In person",AD84="Online"),OR(Speakers!$B$5="",AB84=Speakers!$B$5)),N(Z84)+ROW()/1000000000,"")</f>
        <v/>
      </c>
    </row>
    <row r="85">
      <c r="U85" s="19" t="n"/>
      <c r="V85" s="24" t="n"/>
      <c r="W85" s="24" t="n"/>
      <c r="X85" s="19" t="n"/>
      <c r="Y85" s="21">
        <f>IFERROR(TRIM(INDEX($A85:$T85,MATCH(Lists!$F$2,$A$1:$T$1,0))&amp;""),"")</f>
        <v/>
      </c>
      <c r="Z85" s="22">
        <f>IF(Y85="","",IFERROR(IF(ISNUMBER(INDEX($A85:$T85,MATCH(Lists!$F$3,$A$1:$T$1,0))),INDEX($A85:$T85,MATCH(Lists!$F$3,$A$1:$T$1,0)),DATE(VALUE(LEFT(IFERROR(TRIM(INDEX($A85:$T85,MATCH(Lists!$F$3,$A$1:$T$1,0))&amp;""),""),4)),VALUE(MID(IFERROR(TRIM(INDEX($A85:$T85,MATCH(Lists!$F$3,$A$1:$T$1,0))&amp;""),""),6,2)),VALUE(MID(IFERROR(TRIM(INDEX($A85:$T85,MATCH(Lists!$F$3,$A$1:$T$1,0))&amp;""),""),9,2)))+TIME(VALUE(MID(IFERROR(TRIM(INDEX($A85:$T85,MATCH(Lists!$F$3,$A$1:$T$1,0))&amp;""),""),12,2)),VALUE(MID(IFERROR(TRIM(INDEX($A85:$T85,MATCH(Lists!$F$3,$A$1:$T$1,0))&amp;""),""),15,2)),VALUE(MID(IFERROR(TRIM(INDEX($A85:$T85,MATCH(Lists!$F$3,$A$1:$T$1,0))&amp;""),""),18,2)))),""))</f>
        <v/>
      </c>
      <c r="AA85" s="23">
        <f>IF(Y85="","",IF(ISNUMBER(IFERROR(IF(TRIM(INDEX($A85:$T85,MATCH(Lists!$F$4,$A$1:$T$1,0))&amp;"")="","",IF(ISNUMBER(INDEX($A85:$T85,MATCH(Lists!$F$4,$A$1:$T$1,0))),INT(INDEX($A85:$T85,MATCH(Lists!$F$4,$A$1:$T$1,0))),DATE(VALUE(LEFT(INDEX($A85:$T85,MATCH(Lists!$F$4,$A$1:$T$1,0)),4)),VALUE(MID(INDEX($A85:$T85,MATCH(Lists!$F$4,$A$1:$T$1,0)),6,2)),VALUE(MID(INDEX($A85:$T85,MATCH(Lists!$F$4,$A$1:$T$1,0)),9,2))))),"")),IFERROR(IF(TRIM(INDEX($A85:$T85,MATCH(Lists!$F$4,$A$1:$T$1,0))&amp;"")="","",IF(ISNUMBER(INDEX($A85:$T85,MATCH(Lists!$F$4,$A$1:$T$1,0))),INT(INDEX($A85:$T85,MATCH(Lists!$F$4,$A$1:$T$1,0))),DATE(VALUE(LEFT(INDEX($A85:$T85,MATCH(Lists!$F$4,$A$1:$T$1,0)),4)),VALUE(MID(INDEX($A85:$T85,MATCH(Lists!$F$4,$A$1:$T$1,0)),6,2)),VALUE(MID(INDEX($A85:$T85,MATCH(Lists!$F$4,$A$1:$T$1,0)),9,2))))),""),IFERROR(IF(TRIM(INDEX($A85:$T85,MATCH(Lists!$F$5,$A$1:$T$1,0))&amp;"")="","",IF(ISNUMBER(INDEX($A85:$T85,MATCH(Lists!$F$5,$A$1:$T$1,0))),INT(INDEX($A85:$T85,MATCH(Lists!$F$5,$A$1:$T$1,0))),DATE(VALUE(LEFT(INDEX($A85:$T85,MATCH(Lists!$F$5,$A$1:$T$1,0)),4)),VALUE(MID(INDEX($A85:$T85,MATCH(Lists!$F$5,$A$1:$T$1,0)),6,2)),VALUE(MID(INDEX($A85:$T85,MATCH(Lists!$F$5,$A$1:$T$1,0)),9,2))))),"")))</f>
        <v/>
      </c>
      <c r="AB85" s="21">
        <f>IF(Y85="","",IF(LEFT(IFERROR(TRIM(INDEX($A85:$T85,MATCH(Lists!$F$6,$A$1:$T$1,0))&amp;""),""),2)="No","General comment",IF(IFERROR(TRIM(INDEX($A85:$T85,MATCH(Lists!$F$7,$A$1:$T$1,0))&amp;""),"")&lt;&gt;"",IFERROR(TRIM(INDEX($A85:$T85,MATCH(Lists!$F$7,$A$1:$T$1,0))&amp;""),""),IF(IFERROR(TRIM(INDEX($A85:$T85,MATCH(Lists!$F$8,$A$1:$T$1,0))&amp;""),"")&lt;&gt;"",IFERROR(TRIM(INDEX($A85:$T85,MATCH(Lists!$F$8,$A$1:$T$1,0))&amp;""),""),"(no item given)"))))</f>
        <v/>
      </c>
      <c r="AC85" s="21">
        <f>IF(Y85="","",IF(ISNUMBER(SEARCH("support",IFERROR(TRIM(INDEX($A85:$T85,MATCH(Lists!$F$9,$A$1:$T$1,0))&amp;""),""))),"Support",IF(ISNUMBER(SEARCH("oppose",IFERROR(TRIM(INDEX($A85:$T85,MATCH(Lists!$F$9,$A$1:$T$1,0))&amp;""),""))),"Oppose",IF(IFERROR(TRIM(INDEX($A85:$T85,MATCH(Lists!$F$9,$A$1:$T$1,0))&amp;""),"")="","No position","Neither"))))</f>
        <v/>
      </c>
      <c r="AD85" s="21">
        <f>IF(Y85="","",IF(ISNUMBER(SEARCH("in person",IFERROR(TRIM(INDEX($A85:$T85,MATCH(Lists!$F$13,$A$1:$T$1,0))&amp;""),""))),"In person",IF(ISNUMBER(SEARCH("online",IFERROR(TRIM(INDEX($A85:$T85,MATCH(Lists!$F$13,$A$1:$T$1,0))&amp;""),""))),"Online","Written only")))</f>
        <v/>
      </c>
      <c r="AE85" s="21">
        <f>IF(Y85="","",IFERROR(TRIM(INDEX($A85:$T85,MATCH(Lists!$F$11,$A$1:$T$1,0))&amp;""),""))</f>
        <v/>
      </c>
      <c r="AF85" s="21">
        <f>IF(Y85="","",IFERROR(TRIM(INDEX($A85:$T85,MATCH(Lists!$F$12,$A$1:$T$1,0))&amp;""),""))</f>
        <v/>
      </c>
      <c r="AG85" s="21">
        <f>IF(Y85="","",IFERROR(TRIM(INDEX($A85:$T85,MATCH(Lists!$F$14,$A$1:$T$1,0))&amp;""),""))</f>
        <v/>
      </c>
      <c r="AH85" s="21">
        <f>IF(Y85="","",LEFT(IFERROR(TRIM(INDEX($A85:$T85,MATCH(Lists!$F$10,$A$1:$T$1,0))&amp;""),""),80))</f>
        <v/>
      </c>
      <c r="AI85" s="21">
        <f>IF(Y85="",0,IF(OR(Tally!$B$5="",AA85=Tally!$B$5),1,0))</f>
        <v/>
      </c>
      <c r="AJ85" s="21">
        <f>IF(AI85=1,IF(COUNTIFS($AB$2:AB85,AB85,$AI$2:AI85,1)=1,1,0),0)</f>
        <v/>
      </c>
      <c r="AK85" s="21">
        <f>IF(AJ85=1,SUM($AJ$2:AJ85),"")</f>
        <v/>
      </c>
      <c r="AL85" s="21">
        <f>IF(AND(AI85=1,OR(AD85="In person",AD85="Online"),OR(Speakers!$B$5="",AB85=Speakers!$B$5)),N(Z85)+ROW()/1000000000,"")</f>
        <v/>
      </c>
    </row>
    <row r="86">
      <c r="U86" s="19" t="n"/>
      <c r="V86" s="24" t="n"/>
      <c r="W86" s="24" t="n"/>
      <c r="X86" s="19" t="n"/>
      <c r="Y86" s="21">
        <f>IFERROR(TRIM(INDEX($A86:$T86,MATCH(Lists!$F$2,$A$1:$T$1,0))&amp;""),"")</f>
        <v/>
      </c>
      <c r="Z86" s="22">
        <f>IF(Y86="","",IFERROR(IF(ISNUMBER(INDEX($A86:$T86,MATCH(Lists!$F$3,$A$1:$T$1,0))),INDEX($A86:$T86,MATCH(Lists!$F$3,$A$1:$T$1,0)),DATE(VALUE(LEFT(IFERROR(TRIM(INDEX($A86:$T86,MATCH(Lists!$F$3,$A$1:$T$1,0))&amp;""),""),4)),VALUE(MID(IFERROR(TRIM(INDEX($A86:$T86,MATCH(Lists!$F$3,$A$1:$T$1,0))&amp;""),""),6,2)),VALUE(MID(IFERROR(TRIM(INDEX($A86:$T86,MATCH(Lists!$F$3,$A$1:$T$1,0))&amp;""),""),9,2)))+TIME(VALUE(MID(IFERROR(TRIM(INDEX($A86:$T86,MATCH(Lists!$F$3,$A$1:$T$1,0))&amp;""),""),12,2)),VALUE(MID(IFERROR(TRIM(INDEX($A86:$T86,MATCH(Lists!$F$3,$A$1:$T$1,0))&amp;""),""),15,2)),VALUE(MID(IFERROR(TRIM(INDEX($A86:$T86,MATCH(Lists!$F$3,$A$1:$T$1,0))&amp;""),""),18,2)))),""))</f>
        <v/>
      </c>
      <c r="AA86" s="23">
        <f>IF(Y86="","",IF(ISNUMBER(IFERROR(IF(TRIM(INDEX($A86:$T86,MATCH(Lists!$F$4,$A$1:$T$1,0))&amp;"")="","",IF(ISNUMBER(INDEX($A86:$T86,MATCH(Lists!$F$4,$A$1:$T$1,0))),INT(INDEX($A86:$T86,MATCH(Lists!$F$4,$A$1:$T$1,0))),DATE(VALUE(LEFT(INDEX($A86:$T86,MATCH(Lists!$F$4,$A$1:$T$1,0)),4)),VALUE(MID(INDEX($A86:$T86,MATCH(Lists!$F$4,$A$1:$T$1,0)),6,2)),VALUE(MID(INDEX($A86:$T86,MATCH(Lists!$F$4,$A$1:$T$1,0)),9,2))))),"")),IFERROR(IF(TRIM(INDEX($A86:$T86,MATCH(Lists!$F$4,$A$1:$T$1,0))&amp;"")="","",IF(ISNUMBER(INDEX($A86:$T86,MATCH(Lists!$F$4,$A$1:$T$1,0))),INT(INDEX($A86:$T86,MATCH(Lists!$F$4,$A$1:$T$1,0))),DATE(VALUE(LEFT(INDEX($A86:$T86,MATCH(Lists!$F$4,$A$1:$T$1,0)),4)),VALUE(MID(INDEX($A86:$T86,MATCH(Lists!$F$4,$A$1:$T$1,0)),6,2)),VALUE(MID(INDEX($A86:$T86,MATCH(Lists!$F$4,$A$1:$T$1,0)),9,2))))),""),IFERROR(IF(TRIM(INDEX($A86:$T86,MATCH(Lists!$F$5,$A$1:$T$1,0))&amp;"")="","",IF(ISNUMBER(INDEX($A86:$T86,MATCH(Lists!$F$5,$A$1:$T$1,0))),INT(INDEX($A86:$T86,MATCH(Lists!$F$5,$A$1:$T$1,0))),DATE(VALUE(LEFT(INDEX($A86:$T86,MATCH(Lists!$F$5,$A$1:$T$1,0)),4)),VALUE(MID(INDEX($A86:$T86,MATCH(Lists!$F$5,$A$1:$T$1,0)),6,2)),VALUE(MID(INDEX($A86:$T86,MATCH(Lists!$F$5,$A$1:$T$1,0)),9,2))))),"")))</f>
        <v/>
      </c>
      <c r="AB86" s="21">
        <f>IF(Y86="","",IF(LEFT(IFERROR(TRIM(INDEX($A86:$T86,MATCH(Lists!$F$6,$A$1:$T$1,0))&amp;""),""),2)="No","General comment",IF(IFERROR(TRIM(INDEX($A86:$T86,MATCH(Lists!$F$7,$A$1:$T$1,0))&amp;""),"")&lt;&gt;"",IFERROR(TRIM(INDEX($A86:$T86,MATCH(Lists!$F$7,$A$1:$T$1,0))&amp;""),""),IF(IFERROR(TRIM(INDEX($A86:$T86,MATCH(Lists!$F$8,$A$1:$T$1,0))&amp;""),"")&lt;&gt;"",IFERROR(TRIM(INDEX($A86:$T86,MATCH(Lists!$F$8,$A$1:$T$1,0))&amp;""),""),"(no item given)"))))</f>
        <v/>
      </c>
      <c r="AC86" s="21">
        <f>IF(Y86="","",IF(ISNUMBER(SEARCH("support",IFERROR(TRIM(INDEX($A86:$T86,MATCH(Lists!$F$9,$A$1:$T$1,0))&amp;""),""))),"Support",IF(ISNUMBER(SEARCH("oppose",IFERROR(TRIM(INDEX($A86:$T86,MATCH(Lists!$F$9,$A$1:$T$1,0))&amp;""),""))),"Oppose",IF(IFERROR(TRIM(INDEX($A86:$T86,MATCH(Lists!$F$9,$A$1:$T$1,0))&amp;""),"")="","No position","Neither"))))</f>
        <v/>
      </c>
      <c r="AD86" s="21">
        <f>IF(Y86="","",IF(ISNUMBER(SEARCH("in person",IFERROR(TRIM(INDEX($A86:$T86,MATCH(Lists!$F$13,$A$1:$T$1,0))&amp;""),""))),"In person",IF(ISNUMBER(SEARCH("online",IFERROR(TRIM(INDEX($A86:$T86,MATCH(Lists!$F$13,$A$1:$T$1,0))&amp;""),""))),"Online","Written only")))</f>
        <v/>
      </c>
      <c r="AE86" s="21">
        <f>IF(Y86="","",IFERROR(TRIM(INDEX($A86:$T86,MATCH(Lists!$F$11,$A$1:$T$1,0))&amp;""),""))</f>
        <v/>
      </c>
      <c r="AF86" s="21">
        <f>IF(Y86="","",IFERROR(TRIM(INDEX($A86:$T86,MATCH(Lists!$F$12,$A$1:$T$1,0))&amp;""),""))</f>
        <v/>
      </c>
      <c r="AG86" s="21">
        <f>IF(Y86="","",IFERROR(TRIM(INDEX($A86:$T86,MATCH(Lists!$F$14,$A$1:$T$1,0))&amp;""),""))</f>
        <v/>
      </c>
      <c r="AH86" s="21">
        <f>IF(Y86="","",LEFT(IFERROR(TRIM(INDEX($A86:$T86,MATCH(Lists!$F$10,$A$1:$T$1,0))&amp;""),""),80))</f>
        <v/>
      </c>
      <c r="AI86" s="21">
        <f>IF(Y86="",0,IF(OR(Tally!$B$5="",AA86=Tally!$B$5),1,0))</f>
        <v/>
      </c>
      <c r="AJ86" s="21">
        <f>IF(AI86=1,IF(COUNTIFS($AB$2:AB86,AB86,$AI$2:AI86,1)=1,1,0),0)</f>
        <v/>
      </c>
      <c r="AK86" s="21">
        <f>IF(AJ86=1,SUM($AJ$2:AJ86),"")</f>
        <v/>
      </c>
      <c r="AL86" s="21">
        <f>IF(AND(AI86=1,OR(AD86="In person",AD86="Online"),OR(Speakers!$B$5="",AB86=Speakers!$B$5)),N(Z86)+ROW()/1000000000,"")</f>
        <v/>
      </c>
    </row>
    <row r="87">
      <c r="U87" s="19" t="n"/>
      <c r="V87" s="24" t="n"/>
      <c r="W87" s="24" t="n"/>
      <c r="X87" s="19" t="n"/>
      <c r="Y87" s="21">
        <f>IFERROR(TRIM(INDEX($A87:$T87,MATCH(Lists!$F$2,$A$1:$T$1,0))&amp;""),"")</f>
        <v/>
      </c>
      <c r="Z87" s="22">
        <f>IF(Y87="","",IFERROR(IF(ISNUMBER(INDEX($A87:$T87,MATCH(Lists!$F$3,$A$1:$T$1,0))),INDEX($A87:$T87,MATCH(Lists!$F$3,$A$1:$T$1,0)),DATE(VALUE(LEFT(IFERROR(TRIM(INDEX($A87:$T87,MATCH(Lists!$F$3,$A$1:$T$1,0))&amp;""),""),4)),VALUE(MID(IFERROR(TRIM(INDEX($A87:$T87,MATCH(Lists!$F$3,$A$1:$T$1,0))&amp;""),""),6,2)),VALUE(MID(IFERROR(TRIM(INDEX($A87:$T87,MATCH(Lists!$F$3,$A$1:$T$1,0))&amp;""),""),9,2)))+TIME(VALUE(MID(IFERROR(TRIM(INDEX($A87:$T87,MATCH(Lists!$F$3,$A$1:$T$1,0))&amp;""),""),12,2)),VALUE(MID(IFERROR(TRIM(INDEX($A87:$T87,MATCH(Lists!$F$3,$A$1:$T$1,0))&amp;""),""),15,2)),VALUE(MID(IFERROR(TRIM(INDEX($A87:$T87,MATCH(Lists!$F$3,$A$1:$T$1,0))&amp;""),""),18,2)))),""))</f>
        <v/>
      </c>
      <c r="AA87" s="23">
        <f>IF(Y87="","",IF(ISNUMBER(IFERROR(IF(TRIM(INDEX($A87:$T87,MATCH(Lists!$F$4,$A$1:$T$1,0))&amp;"")="","",IF(ISNUMBER(INDEX($A87:$T87,MATCH(Lists!$F$4,$A$1:$T$1,0))),INT(INDEX($A87:$T87,MATCH(Lists!$F$4,$A$1:$T$1,0))),DATE(VALUE(LEFT(INDEX($A87:$T87,MATCH(Lists!$F$4,$A$1:$T$1,0)),4)),VALUE(MID(INDEX($A87:$T87,MATCH(Lists!$F$4,$A$1:$T$1,0)),6,2)),VALUE(MID(INDEX($A87:$T87,MATCH(Lists!$F$4,$A$1:$T$1,0)),9,2))))),"")),IFERROR(IF(TRIM(INDEX($A87:$T87,MATCH(Lists!$F$4,$A$1:$T$1,0))&amp;"")="","",IF(ISNUMBER(INDEX($A87:$T87,MATCH(Lists!$F$4,$A$1:$T$1,0))),INT(INDEX($A87:$T87,MATCH(Lists!$F$4,$A$1:$T$1,0))),DATE(VALUE(LEFT(INDEX($A87:$T87,MATCH(Lists!$F$4,$A$1:$T$1,0)),4)),VALUE(MID(INDEX($A87:$T87,MATCH(Lists!$F$4,$A$1:$T$1,0)),6,2)),VALUE(MID(INDEX($A87:$T87,MATCH(Lists!$F$4,$A$1:$T$1,0)),9,2))))),""),IFERROR(IF(TRIM(INDEX($A87:$T87,MATCH(Lists!$F$5,$A$1:$T$1,0))&amp;"")="","",IF(ISNUMBER(INDEX($A87:$T87,MATCH(Lists!$F$5,$A$1:$T$1,0))),INT(INDEX($A87:$T87,MATCH(Lists!$F$5,$A$1:$T$1,0))),DATE(VALUE(LEFT(INDEX($A87:$T87,MATCH(Lists!$F$5,$A$1:$T$1,0)),4)),VALUE(MID(INDEX($A87:$T87,MATCH(Lists!$F$5,$A$1:$T$1,0)),6,2)),VALUE(MID(INDEX($A87:$T87,MATCH(Lists!$F$5,$A$1:$T$1,0)),9,2))))),"")))</f>
        <v/>
      </c>
      <c r="AB87" s="21">
        <f>IF(Y87="","",IF(LEFT(IFERROR(TRIM(INDEX($A87:$T87,MATCH(Lists!$F$6,$A$1:$T$1,0))&amp;""),""),2)="No","General comment",IF(IFERROR(TRIM(INDEX($A87:$T87,MATCH(Lists!$F$7,$A$1:$T$1,0))&amp;""),"")&lt;&gt;"",IFERROR(TRIM(INDEX($A87:$T87,MATCH(Lists!$F$7,$A$1:$T$1,0))&amp;""),""),IF(IFERROR(TRIM(INDEX($A87:$T87,MATCH(Lists!$F$8,$A$1:$T$1,0))&amp;""),"")&lt;&gt;"",IFERROR(TRIM(INDEX($A87:$T87,MATCH(Lists!$F$8,$A$1:$T$1,0))&amp;""),""),"(no item given)"))))</f>
        <v/>
      </c>
      <c r="AC87" s="21">
        <f>IF(Y87="","",IF(ISNUMBER(SEARCH("support",IFERROR(TRIM(INDEX($A87:$T87,MATCH(Lists!$F$9,$A$1:$T$1,0))&amp;""),""))),"Support",IF(ISNUMBER(SEARCH("oppose",IFERROR(TRIM(INDEX($A87:$T87,MATCH(Lists!$F$9,$A$1:$T$1,0))&amp;""),""))),"Oppose",IF(IFERROR(TRIM(INDEX($A87:$T87,MATCH(Lists!$F$9,$A$1:$T$1,0))&amp;""),"")="","No position","Neither"))))</f>
        <v/>
      </c>
      <c r="AD87" s="21">
        <f>IF(Y87="","",IF(ISNUMBER(SEARCH("in person",IFERROR(TRIM(INDEX($A87:$T87,MATCH(Lists!$F$13,$A$1:$T$1,0))&amp;""),""))),"In person",IF(ISNUMBER(SEARCH("online",IFERROR(TRIM(INDEX($A87:$T87,MATCH(Lists!$F$13,$A$1:$T$1,0))&amp;""),""))),"Online","Written only")))</f>
        <v/>
      </c>
      <c r="AE87" s="21">
        <f>IF(Y87="","",IFERROR(TRIM(INDEX($A87:$T87,MATCH(Lists!$F$11,$A$1:$T$1,0))&amp;""),""))</f>
        <v/>
      </c>
      <c r="AF87" s="21">
        <f>IF(Y87="","",IFERROR(TRIM(INDEX($A87:$T87,MATCH(Lists!$F$12,$A$1:$T$1,0))&amp;""),""))</f>
        <v/>
      </c>
      <c r="AG87" s="21">
        <f>IF(Y87="","",IFERROR(TRIM(INDEX($A87:$T87,MATCH(Lists!$F$14,$A$1:$T$1,0))&amp;""),""))</f>
        <v/>
      </c>
      <c r="AH87" s="21">
        <f>IF(Y87="","",LEFT(IFERROR(TRIM(INDEX($A87:$T87,MATCH(Lists!$F$10,$A$1:$T$1,0))&amp;""),""),80))</f>
        <v/>
      </c>
      <c r="AI87" s="21">
        <f>IF(Y87="",0,IF(OR(Tally!$B$5="",AA87=Tally!$B$5),1,0))</f>
        <v/>
      </c>
      <c r="AJ87" s="21">
        <f>IF(AI87=1,IF(COUNTIFS($AB$2:AB87,AB87,$AI$2:AI87,1)=1,1,0),0)</f>
        <v/>
      </c>
      <c r="AK87" s="21">
        <f>IF(AJ87=1,SUM($AJ$2:AJ87),"")</f>
        <v/>
      </c>
      <c r="AL87" s="21">
        <f>IF(AND(AI87=1,OR(AD87="In person",AD87="Online"),OR(Speakers!$B$5="",AB87=Speakers!$B$5)),N(Z87)+ROW()/1000000000,"")</f>
        <v/>
      </c>
    </row>
    <row r="88">
      <c r="U88" s="19" t="n"/>
      <c r="V88" s="24" t="n"/>
      <c r="W88" s="24" t="n"/>
      <c r="X88" s="19" t="n"/>
      <c r="Y88" s="21">
        <f>IFERROR(TRIM(INDEX($A88:$T88,MATCH(Lists!$F$2,$A$1:$T$1,0))&amp;""),"")</f>
        <v/>
      </c>
      <c r="Z88" s="22">
        <f>IF(Y88="","",IFERROR(IF(ISNUMBER(INDEX($A88:$T88,MATCH(Lists!$F$3,$A$1:$T$1,0))),INDEX($A88:$T88,MATCH(Lists!$F$3,$A$1:$T$1,0)),DATE(VALUE(LEFT(IFERROR(TRIM(INDEX($A88:$T88,MATCH(Lists!$F$3,$A$1:$T$1,0))&amp;""),""),4)),VALUE(MID(IFERROR(TRIM(INDEX($A88:$T88,MATCH(Lists!$F$3,$A$1:$T$1,0))&amp;""),""),6,2)),VALUE(MID(IFERROR(TRIM(INDEX($A88:$T88,MATCH(Lists!$F$3,$A$1:$T$1,0))&amp;""),""),9,2)))+TIME(VALUE(MID(IFERROR(TRIM(INDEX($A88:$T88,MATCH(Lists!$F$3,$A$1:$T$1,0))&amp;""),""),12,2)),VALUE(MID(IFERROR(TRIM(INDEX($A88:$T88,MATCH(Lists!$F$3,$A$1:$T$1,0))&amp;""),""),15,2)),VALUE(MID(IFERROR(TRIM(INDEX($A88:$T88,MATCH(Lists!$F$3,$A$1:$T$1,0))&amp;""),""),18,2)))),""))</f>
        <v/>
      </c>
      <c r="AA88" s="23">
        <f>IF(Y88="","",IF(ISNUMBER(IFERROR(IF(TRIM(INDEX($A88:$T88,MATCH(Lists!$F$4,$A$1:$T$1,0))&amp;"")="","",IF(ISNUMBER(INDEX($A88:$T88,MATCH(Lists!$F$4,$A$1:$T$1,0))),INT(INDEX($A88:$T88,MATCH(Lists!$F$4,$A$1:$T$1,0))),DATE(VALUE(LEFT(INDEX($A88:$T88,MATCH(Lists!$F$4,$A$1:$T$1,0)),4)),VALUE(MID(INDEX($A88:$T88,MATCH(Lists!$F$4,$A$1:$T$1,0)),6,2)),VALUE(MID(INDEX($A88:$T88,MATCH(Lists!$F$4,$A$1:$T$1,0)),9,2))))),"")),IFERROR(IF(TRIM(INDEX($A88:$T88,MATCH(Lists!$F$4,$A$1:$T$1,0))&amp;"")="","",IF(ISNUMBER(INDEX($A88:$T88,MATCH(Lists!$F$4,$A$1:$T$1,0))),INT(INDEX($A88:$T88,MATCH(Lists!$F$4,$A$1:$T$1,0))),DATE(VALUE(LEFT(INDEX($A88:$T88,MATCH(Lists!$F$4,$A$1:$T$1,0)),4)),VALUE(MID(INDEX($A88:$T88,MATCH(Lists!$F$4,$A$1:$T$1,0)),6,2)),VALUE(MID(INDEX($A88:$T88,MATCH(Lists!$F$4,$A$1:$T$1,0)),9,2))))),""),IFERROR(IF(TRIM(INDEX($A88:$T88,MATCH(Lists!$F$5,$A$1:$T$1,0))&amp;"")="","",IF(ISNUMBER(INDEX($A88:$T88,MATCH(Lists!$F$5,$A$1:$T$1,0))),INT(INDEX($A88:$T88,MATCH(Lists!$F$5,$A$1:$T$1,0))),DATE(VALUE(LEFT(INDEX($A88:$T88,MATCH(Lists!$F$5,$A$1:$T$1,0)),4)),VALUE(MID(INDEX($A88:$T88,MATCH(Lists!$F$5,$A$1:$T$1,0)),6,2)),VALUE(MID(INDEX($A88:$T88,MATCH(Lists!$F$5,$A$1:$T$1,0)),9,2))))),"")))</f>
        <v/>
      </c>
      <c r="AB88" s="21">
        <f>IF(Y88="","",IF(LEFT(IFERROR(TRIM(INDEX($A88:$T88,MATCH(Lists!$F$6,$A$1:$T$1,0))&amp;""),""),2)="No","General comment",IF(IFERROR(TRIM(INDEX($A88:$T88,MATCH(Lists!$F$7,$A$1:$T$1,0))&amp;""),"")&lt;&gt;"",IFERROR(TRIM(INDEX($A88:$T88,MATCH(Lists!$F$7,$A$1:$T$1,0))&amp;""),""),IF(IFERROR(TRIM(INDEX($A88:$T88,MATCH(Lists!$F$8,$A$1:$T$1,0))&amp;""),"")&lt;&gt;"",IFERROR(TRIM(INDEX($A88:$T88,MATCH(Lists!$F$8,$A$1:$T$1,0))&amp;""),""),"(no item given)"))))</f>
        <v/>
      </c>
      <c r="AC88" s="21">
        <f>IF(Y88="","",IF(ISNUMBER(SEARCH("support",IFERROR(TRIM(INDEX($A88:$T88,MATCH(Lists!$F$9,$A$1:$T$1,0))&amp;""),""))),"Support",IF(ISNUMBER(SEARCH("oppose",IFERROR(TRIM(INDEX($A88:$T88,MATCH(Lists!$F$9,$A$1:$T$1,0))&amp;""),""))),"Oppose",IF(IFERROR(TRIM(INDEX($A88:$T88,MATCH(Lists!$F$9,$A$1:$T$1,0))&amp;""),"")="","No position","Neither"))))</f>
        <v/>
      </c>
      <c r="AD88" s="21">
        <f>IF(Y88="","",IF(ISNUMBER(SEARCH("in person",IFERROR(TRIM(INDEX($A88:$T88,MATCH(Lists!$F$13,$A$1:$T$1,0))&amp;""),""))),"In person",IF(ISNUMBER(SEARCH("online",IFERROR(TRIM(INDEX($A88:$T88,MATCH(Lists!$F$13,$A$1:$T$1,0))&amp;""),""))),"Online","Written only")))</f>
        <v/>
      </c>
      <c r="AE88" s="21">
        <f>IF(Y88="","",IFERROR(TRIM(INDEX($A88:$T88,MATCH(Lists!$F$11,$A$1:$T$1,0))&amp;""),""))</f>
        <v/>
      </c>
      <c r="AF88" s="21">
        <f>IF(Y88="","",IFERROR(TRIM(INDEX($A88:$T88,MATCH(Lists!$F$12,$A$1:$T$1,0))&amp;""),""))</f>
        <v/>
      </c>
      <c r="AG88" s="21">
        <f>IF(Y88="","",IFERROR(TRIM(INDEX($A88:$T88,MATCH(Lists!$F$14,$A$1:$T$1,0))&amp;""),""))</f>
        <v/>
      </c>
      <c r="AH88" s="21">
        <f>IF(Y88="","",LEFT(IFERROR(TRIM(INDEX($A88:$T88,MATCH(Lists!$F$10,$A$1:$T$1,0))&amp;""),""),80))</f>
        <v/>
      </c>
      <c r="AI88" s="21">
        <f>IF(Y88="",0,IF(OR(Tally!$B$5="",AA88=Tally!$B$5),1,0))</f>
        <v/>
      </c>
      <c r="AJ88" s="21">
        <f>IF(AI88=1,IF(COUNTIFS($AB$2:AB88,AB88,$AI$2:AI88,1)=1,1,0),0)</f>
        <v/>
      </c>
      <c r="AK88" s="21">
        <f>IF(AJ88=1,SUM($AJ$2:AJ88),"")</f>
        <v/>
      </c>
      <c r="AL88" s="21">
        <f>IF(AND(AI88=1,OR(AD88="In person",AD88="Online"),OR(Speakers!$B$5="",AB88=Speakers!$B$5)),N(Z88)+ROW()/1000000000,"")</f>
        <v/>
      </c>
    </row>
    <row r="89">
      <c r="U89" s="19" t="n"/>
      <c r="V89" s="24" t="n"/>
      <c r="W89" s="24" t="n"/>
      <c r="X89" s="19" t="n"/>
      <c r="Y89" s="21">
        <f>IFERROR(TRIM(INDEX($A89:$T89,MATCH(Lists!$F$2,$A$1:$T$1,0))&amp;""),"")</f>
        <v/>
      </c>
      <c r="Z89" s="22">
        <f>IF(Y89="","",IFERROR(IF(ISNUMBER(INDEX($A89:$T89,MATCH(Lists!$F$3,$A$1:$T$1,0))),INDEX($A89:$T89,MATCH(Lists!$F$3,$A$1:$T$1,0)),DATE(VALUE(LEFT(IFERROR(TRIM(INDEX($A89:$T89,MATCH(Lists!$F$3,$A$1:$T$1,0))&amp;""),""),4)),VALUE(MID(IFERROR(TRIM(INDEX($A89:$T89,MATCH(Lists!$F$3,$A$1:$T$1,0))&amp;""),""),6,2)),VALUE(MID(IFERROR(TRIM(INDEX($A89:$T89,MATCH(Lists!$F$3,$A$1:$T$1,0))&amp;""),""),9,2)))+TIME(VALUE(MID(IFERROR(TRIM(INDEX($A89:$T89,MATCH(Lists!$F$3,$A$1:$T$1,0))&amp;""),""),12,2)),VALUE(MID(IFERROR(TRIM(INDEX($A89:$T89,MATCH(Lists!$F$3,$A$1:$T$1,0))&amp;""),""),15,2)),VALUE(MID(IFERROR(TRIM(INDEX($A89:$T89,MATCH(Lists!$F$3,$A$1:$T$1,0))&amp;""),""),18,2)))),""))</f>
        <v/>
      </c>
      <c r="AA89" s="23">
        <f>IF(Y89="","",IF(ISNUMBER(IFERROR(IF(TRIM(INDEX($A89:$T89,MATCH(Lists!$F$4,$A$1:$T$1,0))&amp;"")="","",IF(ISNUMBER(INDEX($A89:$T89,MATCH(Lists!$F$4,$A$1:$T$1,0))),INT(INDEX($A89:$T89,MATCH(Lists!$F$4,$A$1:$T$1,0))),DATE(VALUE(LEFT(INDEX($A89:$T89,MATCH(Lists!$F$4,$A$1:$T$1,0)),4)),VALUE(MID(INDEX($A89:$T89,MATCH(Lists!$F$4,$A$1:$T$1,0)),6,2)),VALUE(MID(INDEX($A89:$T89,MATCH(Lists!$F$4,$A$1:$T$1,0)),9,2))))),"")),IFERROR(IF(TRIM(INDEX($A89:$T89,MATCH(Lists!$F$4,$A$1:$T$1,0))&amp;"")="","",IF(ISNUMBER(INDEX($A89:$T89,MATCH(Lists!$F$4,$A$1:$T$1,0))),INT(INDEX($A89:$T89,MATCH(Lists!$F$4,$A$1:$T$1,0))),DATE(VALUE(LEFT(INDEX($A89:$T89,MATCH(Lists!$F$4,$A$1:$T$1,0)),4)),VALUE(MID(INDEX($A89:$T89,MATCH(Lists!$F$4,$A$1:$T$1,0)),6,2)),VALUE(MID(INDEX($A89:$T89,MATCH(Lists!$F$4,$A$1:$T$1,0)),9,2))))),""),IFERROR(IF(TRIM(INDEX($A89:$T89,MATCH(Lists!$F$5,$A$1:$T$1,0))&amp;"")="","",IF(ISNUMBER(INDEX($A89:$T89,MATCH(Lists!$F$5,$A$1:$T$1,0))),INT(INDEX($A89:$T89,MATCH(Lists!$F$5,$A$1:$T$1,0))),DATE(VALUE(LEFT(INDEX($A89:$T89,MATCH(Lists!$F$5,$A$1:$T$1,0)),4)),VALUE(MID(INDEX($A89:$T89,MATCH(Lists!$F$5,$A$1:$T$1,0)),6,2)),VALUE(MID(INDEX($A89:$T89,MATCH(Lists!$F$5,$A$1:$T$1,0)),9,2))))),"")))</f>
        <v/>
      </c>
      <c r="AB89" s="21">
        <f>IF(Y89="","",IF(LEFT(IFERROR(TRIM(INDEX($A89:$T89,MATCH(Lists!$F$6,$A$1:$T$1,0))&amp;""),""),2)="No","General comment",IF(IFERROR(TRIM(INDEX($A89:$T89,MATCH(Lists!$F$7,$A$1:$T$1,0))&amp;""),"")&lt;&gt;"",IFERROR(TRIM(INDEX($A89:$T89,MATCH(Lists!$F$7,$A$1:$T$1,0))&amp;""),""),IF(IFERROR(TRIM(INDEX($A89:$T89,MATCH(Lists!$F$8,$A$1:$T$1,0))&amp;""),"")&lt;&gt;"",IFERROR(TRIM(INDEX($A89:$T89,MATCH(Lists!$F$8,$A$1:$T$1,0))&amp;""),""),"(no item given)"))))</f>
        <v/>
      </c>
      <c r="AC89" s="21">
        <f>IF(Y89="","",IF(ISNUMBER(SEARCH("support",IFERROR(TRIM(INDEX($A89:$T89,MATCH(Lists!$F$9,$A$1:$T$1,0))&amp;""),""))),"Support",IF(ISNUMBER(SEARCH("oppose",IFERROR(TRIM(INDEX($A89:$T89,MATCH(Lists!$F$9,$A$1:$T$1,0))&amp;""),""))),"Oppose",IF(IFERROR(TRIM(INDEX($A89:$T89,MATCH(Lists!$F$9,$A$1:$T$1,0))&amp;""),"")="","No position","Neither"))))</f>
        <v/>
      </c>
      <c r="AD89" s="21">
        <f>IF(Y89="","",IF(ISNUMBER(SEARCH("in person",IFERROR(TRIM(INDEX($A89:$T89,MATCH(Lists!$F$13,$A$1:$T$1,0))&amp;""),""))),"In person",IF(ISNUMBER(SEARCH("online",IFERROR(TRIM(INDEX($A89:$T89,MATCH(Lists!$F$13,$A$1:$T$1,0))&amp;""),""))),"Online","Written only")))</f>
        <v/>
      </c>
      <c r="AE89" s="21">
        <f>IF(Y89="","",IFERROR(TRIM(INDEX($A89:$T89,MATCH(Lists!$F$11,$A$1:$T$1,0))&amp;""),""))</f>
        <v/>
      </c>
      <c r="AF89" s="21">
        <f>IF(Y89="","",IFERROR(TRIM(INDEX($A89:$T89,MATCH(Lists!$F$12,$A$1:$T$1,0))&amp;""),""))</f>
        <v/>
      </c>
      <c r="AG89" s="21">
        <f>IF(Y89="","",IFERROR(TRIM(INDEX($A89:$T89,MATCH(Lists!$F$14,$A$1:$T$1,0))&amp;""),""))</f>
        <v/>
      </c>
      <c r="AH89" s="21">
        <f>IF(Y89="","",LEFT(IFERROR(TRIM(INDEX($A89:$T89,MATCH(Lists!$F$10,$A$1:$T$1,0))&amp;""),""),80))</f>
        <v/>
      </c>
      <c r="AI89" s="21">
        <f>IF(Y89="",0,IF(OR(Tally!$B$5="",AA89=Tally!$B$5),1,0))</f>
        <v/>
      </c>
      <c r="AJ89" s="21">
        <f>IF(AI89=1,IF(COUNTIFS($AB$2:AB89,AB89,$AI$2:AI89,1)=1,1,0),0)</f>
        <v/>
      </c>
      <c r="AK89" s="21">
        <f>IF(AJ89=1,SUM($AJ$2:AJ89),"")</f>
        <v/>
      </c>
      <c r="AL89" s="21">
        <f>IF(AND(AI89=1,OR(AD89="In person",AD89="Online"),OR(Speakers!$B$5="",AB89=Speakers!$B$5)),N(Z89)+ROW()/1000000000,"")</f>
        <v/>
      </c>
    </row>
    <row r="90">
      <c r="U90" s="19" t="n"/>
      <c r="V90" s="24" t="n"/>
      <c r="W90" s="24" t="n"/>
      <c r="X90" s="19" t="n"/>
      <c r="Y90" s="21">
        <f>IFERROR(TRIM(INDEX($A90:$T90,MATCH(Lists!$F$2,$A$1:$T$1,0))&amp;""),"")</f>
        <v/>
      </c>
      <c r="Z90" s="22">
        <f>IF(Y90="","",IFERROR(IF(ISNUMBER(INDEX($A90:$T90,MATCH(Lists!$F$3,$A$1:$T$1,0))),INDEX($A90:$T90,MATCH(Lists!$F$3,$A$1:$T$1,0)),DATE(VALUE(LEFT(IFERROR(TRIM(INDEX($A90:$T90,MATCH(Lists!$F$3,$A$1:$T$1,0))&amp;""),""),4)),VALUE(MID(IFERROR(TRIM(INDEX($A90:$T90,MATCH(Lists!$F$3,$A$1:$T$1,0))&amp;""),""),6,2)),VALUE(MID(IFERROR(TRIM(INDEX($A90:$T90,MATCH(Lists!$F$3,$A$1:$T$1,0))&amp;""),""),9,2)))+TIME(VALUE(MID(IFERROR(TRIM(INDEX($A90:$T90,MATCH(Lists!$F$3,$A$1:$T$1,0))&amp;""),""),12,2)),VALUE(MID(IFERROR(TRIM(INDEX($A90:$T90,MATCH(Lists!$F$3,$A$1:$T$1,0))&amp;""),""),15,2)),VALUE(MID(IFERROR(TRIM(INDEX($A90:$T90,MATCH(Lists!$F$3,$A$1:$T$1,0))&amp;""),""),18,2)))),""))</f>
        <v/>
      </c>
      <c r="AA90" s="23">
        <f>IF(Y90="","",IF(ISNUMBER(IFERROR(IF(TRIM(INDEX($A90:$T90,MATCH(Lists!$F$4,$A$1:$T$1,0))&amp;"")="","",IF(ISNUMBER(INDEX($A90:$T90,MATCH(Lists!$F$4,$A$1:$T$1,0))),INT(INDEX($A90:$T90,MATCH(Lists!$F$4,$A$1:$T$1,0))),DATE(VALUE(LEFT(INDEX($A90:$T90,MATCH(Lists!$F$4,$A$1:$T$1,0)),4)),VALUE(MID(INDEX($A90:$T90,MATCH(Lists!$F$4,$A$1:$T$1,0)),6,2)),VALUE(MID(INDEX($A90:$T90,MATCH(Lists!$F$4,$A$1:$T$1,0)),9,2))))),"")),IFERROR(IF(TRIM(INDEX($A90:$T90,MATCH(Lists!$F$4,$A$1:$T$1,0))&amp;"")="","",IF(ISNUMBER(INDEX($A90:$T90,MATCH(Lists!$F$4,$A$1:$T$1,0))),INT(INDEX($A90:$T90,MATCH(Lists!$F$4,$A$1:$T$1,0))),DATE(VALUE(LEFT(INDEX($A90:$T90,MATCH(Lists!$F$4,$A$1:$T$1,0)),4)),VALUE(MID(INDEX($A90:$T90,MATCH(Lists!$F$4,$A$1:$T$1,0)),6,2)),VALUE(MID(INDEX($A90:$T90,MATCH(Lists!$F$4,$A$1:$T$1,0)),9,2))))),""),IFERROR(IF(TRIM(INDEX($A90:$T90,MATCH(Lists!$F$5,$A$1:$T$1,0))&amp;"")="","",IF(ISNUMBER(INDEX($A90:$T90,MATCH(Lists!$F$5,$A$1:$T$1,0))),INT(INDEX($A90:$T90,MATCH(Lists!$F$5,$A$1:$T$1,0))),DATE(VALUE(LEFT(INDEX($A90:$T90,MATCH(Lists!$F$5,$A$1:$T$1,0)),4)),VALUE(MID(INDEX($A90:$T90,MATCH(Lists!$F$5,$A$1:$T$1,0)),6,2)),VALUE(MID(INDEX($A90:$T90,MATCH(Lists!$F$5,$A$1:$T$1,0)),9,2))))),"")))</f>
        <v/>
      </c>
      <c r="AB90" s="21">
        <f>IF(Y90="","",IF(LEFT(IFERROR(TRIM(INDEX($A90:$T90,MATCH(Lists!$F$6,$A$1:$T$1,0))&amp;""),""),2)="No","General comment",IF(IFERROR(TRIM(INDEX($A90:$T90,MATCH(Lists!$F$7,$A$1:$T$1,0))&amp;""),"")&lt;&gt;"",IFERROR(TRIM(INDEX($A90:$T90,MATCH(Lists!$F$7,$A$1:$T$1,0))&amp;""),""),IF(IFERROR(TRIM(INDEX($A90:$T90,MATCH(Lists!$F$8,$A$1:$T$1,0))&amp;""),"")&lt;&gt;"",IFERROR(TRIM(INDEX($A90:$T90,MATCH(Lists!$F$8,$A$1:$T$1,0))&amp;""),""),"(no item given)"))))</f>
        <v/>
      </c>
      <c r="AC90" s="21">
        <f>IF(Y90="","",IF(ISNUMBER(SEARCH("support",IFERROR(TRIM(INDEX($A90:$T90,MATCH(Lists!$F$9,$A$1:$T$1,0))&amp;""),""))),"Support",IF(ISNUMBER(SEARCH("oppose",IFERROR(TRIM(INDEX($A90:$T90,MATCH(Lists!$F$9,$A$1:$T$1,0))&amp;""),""))),"Oppose",IF(IFERROR(TRIM(INDEX($A90:$T90,MATCH(Lists!$F$9,$A$1:$T$1,0))&amp;""),"")="","No position","Neither"))))</f>
        <v/>
      </c>
      <c r="AD90" s="21">
        <f>IF(Y90="","",IF(ISNUMBER(SEARCH("in person",IFERROR(TRIM(INDEX($A90:$T90,MATCH(Lists!$F$13,$A$1:$T$1,0))&amp;""),""))),"In person",IF(ISNUMBER(SEARCH("online",IFERROR(TRIM(INDEX($A90:$T90,MATCH(Lists!$F$13,$A$1:$T$1,0))&amp;""),""))),"Online","Written only")))</f>
        <v/>
      </c>
      <c r="AE90" s="21">
        <f>IF(Y90="","",IFERROR(TRIM(INDEX($A90:$T90,MATCH(Lists!$F$11,$A$1:$T$1,0))&amp;""),""))</f>
        <v/>
      </c>
      <c r="AF90" s="21">
        <f>IF(Y90="","",IFERROR(TRIM(INDEX($A90:$T90,MATCH(Lists!$F$12,$A$1:$T$1,0))&amp;""),""))</f>
        <v/>
      </c>
      <c r="AG90" s="21">
        <f>IF(Y90="","",IFERROR(TRIM(INDEX($A90:$T90,MATCH(Lists!$F$14,$A$1:$T$1,0))&amp;""),""))</f>
        <v/>
      </c>
      <c r="AH90" s="21">
        <f>IF(Y90="","",LEFT(IFERROR(TRIM(INDEX($A90:$T90,MATCH(Lists!$F$10,$A$1:$T$1,0))&amp;""),""),80))</f>
        <v/>
      </c>
      <c r="AI90" s="21">
        <f>IF(Y90="",0,IF(OR(Tally!$B$5="",AA90=Tally!$B$5),1,0))</f>
        <v/>
      </c>
      <c r="AJ90" s="21">
        <f>IF(AI90=1,IF(COUNTIFS($AB$2:AB90,AB90,$AI$2:AI90,1)=1,1,0),0)</f>
        <v/>
      </c>
      <c r="AK90" s="21">
        <f>IF(AJ90=1,SUM($AJ$2:AJ90),"")</f>
        <v/>
      </c>
      <c r="AL90" s="21">
        <f>IF(AND(AI90=1,OR(AD90="In person",AD90="Online"),OR(Speakers!$B$5="",AB90=Speakers!$B$5)),N(Z90)+ROW()/1000000000,"")</f>
        <v/>
      </c>
    </row>
    <row r="91">
      <c r="U91" s="19" t="n"/>
      <c r="V91" s="24" t="n"/>
      <c r="W91" s="24" t="n"/>
      <c r="X91" s="19" t="n"/>
      <c r="Y91" s="21">
        <f>IFERROR(TRIM(INDEX($A91:$T91,MATCH(Lists!$F$2,$A$1:$T$1,0))&amp;""),"")</f>
        <v/>
      </c>
      <c r="Z91" s="22">
        <f>IF(Y91="","",IFERROR(IF(ISNUMBER(INDEX($A91:$T91,MATCH(Lists!$F$3,$A$1:$T$1,0))),INDEX($A91:$T91,MATCH(Lists!$F$3,$A$1:$T$1,0)),DATE(VALUE(LEFT(IFERROR(TRIM(INDEX($A91:$T91,MATCH(Lists!$F$3,$A$1:$T$1,0))&amp;""),""),4)),VALUE(MID(IFERROR(TRIM(INDEX($A91:$T91,MATCH(Lists!$F$3,$A$1:$T$1,0))&amp;""),""),6,2)),VALUE(MID(IFERROR(TRIM(INDEX($A91:$T91,MATCH(Lists!$F$3,$A$1:$T$1,0))&amp;""),""),9,2)))+TIME(VALUE(MID(IFERROR(TRIM(INDEX($A91:$T91,MATCH(Lists!$F$3,$A$1:$T$1,0))&amp;""),""),12,2)),VALUE(MID(IFERROR(TRIM(INDEX($A91:$T91,MATCH(Lists!$F$3,$A$1:$T$1,0))&amp;""),""),15,2)),VALUE(MID(IFERROR(TRIM(INDEX($A91:$T91,MATCH(Lists!$F$3,$A$1:$T$1,0))&amp;""),""),18,2)))),""))</f>
        <v/>
      </c>
      <c r="AA91" s="23">
        <f>IF(Y91="","",IF(ISNUMBER(IFERROR(IF(TRIM(INDEX($A91:$T91,MATCH(Lists!$F$4,$A$1:$T$1,0))&amp;"")="","",IF(ISNUMBER(INDEX($A91:$T91,MATCH(Lists!$F$4,$A$1:$T$1,0))),INT(INDEX($A91:$T91,MATCH(Lists!$F$4,$A$1:$T$1,0))),DATE(VALUE(LEFT(INDEX($A91:$T91,MATCH(Lists!$F$4,$A$1:$T$1,0)),4)),VALUE(MID(INDEX($A91:$T91,MATCH(Lists!$F$4,$A$1:$T$1,0)),6,2)),VALUE(MID(INDEX($A91:$T91,MATCH(Lists!$F$4,$A$1:$T$1,0)),9,2))))),"")),IFERROR(IF(TRIM(INDEX($A91:$T91,MATCH(Lists!$F$4,$A$1:$T$1,0))&amp;"")="","",IF(ISNUMBER(INDEX($A91:$T91,MATCH(Lists!$F$4,$A$1:$T$1,0))),INT(INDEX($A91:$T91,MATCH(Lists!$F$4,$A$1:$T$1,0))),DATE(VALUE(LEFT(INDEX($A91:$T91,MATCH(Lists!$F$4,$A$1:$T$1,0)),4)),VALUE(MID(INDEX($A91:$T91,MATCH(Lists!$F$4,$A$1:$T$1,0)),6,2)),VALUE(MID(INDEX($A91:$T91,MATCH(Lists!$F$4,$A$1:$T$1,0)),9,2))))),""),IFERROR(IF(TRIM(INDEX($A91:$T91,MATCH(Lists!$F$5,$A$1:$T$1,0))&amp;"")="","",IF(ISNUMBER(INDEX($A91:$T91,MATCH(Lists!$F$5,$A$1:$T$1,0))),INT(INDEX($A91:$T91,MATCH(Lists!$F$5,$A$1:$T$1,0))),DATE(VALUE(LEFT(INDEX($A91:$T91,MATCH(Lists!$F$5,$A$1:$T$1,0)),4)),VALUE(MID(INDEX($A91:$T91,MATCH(Lists!$F$5,$A$1:$T$1,0)),6,2)),VALUE(MID(INDEX($A91:$T91,MATCH(Lists!$F$5,$A$1:$T$1,0)),9,2))))),"")))</f>
        <v/>
      </c>
      <c r="AB91" s="21">
        <f>IF(Y91="","",IF(LEFT(IFERROR(TRIM(INDEX($A91:$T91,MATCH(Lists!$F$6,$A$1:$T$1,0))&amp;""),""),2)="No","General comment",IF(IFERROR(TRIM(INDEX($A91:$T91,MATCH(Lists!$F$7,$A$1:$T$1,0))&amp;""),"")&lt;&gt;"",IFERROR(TRIM(INDEX($A91:$T91,MATCH(Lists!$F$7,$A$1:$T$1,0))&amp;""),""),IF(IFERROR(TRIM(INDEX($A91:$T91,MATCH(Lists!$F$8,$A$1:$T$1,0))&amp;""),"")&lt;&gt;"",IFERROR(TRIM(INDEX($A91:$T91,MATCH(Lists!$F$8,$A$1:$T$1,0))&amp;""),""),"(no item given)"))))</f>
        <v/>
      </c>
      <c r="AC91" s="21">
        <f>IF(Y91="","",IF(ISNUMBER(SEARCH("support",IFERROR(TRIM(INDEX($A91:$T91,MATCH(Lists!$F$9,$A$1:$T$1,0))&amp;""),""))),"Support",IF(ISNUMBER(SEARCH("oppose",IFERROR(TRIM(INDEX($A91:$T91,MATCH(Lists!$F$9,$A$1:$T$1,0))&amp;""),""))),"Oppose",IF(IFERROR(TRIM(INDEX($A91:$T91,MATCH(Lists!$F$9,$A$1:$T$1,0))&amp;""),"")="","No position","Neither"))))</f>
        <v/>
      </c>
      <c r="AD91" s="21">
        <f>IF(Y91="","",IF(ISNUMBER(SEARCH("in person",IFERROR(TRIM(INDEX($A91:$T91,MATCH(Lists!$F$13,$A$1:$T$1,0))&amp;""),""))),"In person",IF(ISNUMBER(SEARCH("online",IFERROR(TRIM(INDEX($A91:$T91,MATCH(Lists!$F$13,$A$1:$T$1,0))&amp;""),""))),"Online","Written only")))</f>
        <v/>
      </c>
      <c r="AE91" s="21">
        <f>IF(Y91="","",IFERROR(TRIM(INDEX($A91:$T91,MATCH(Lists!$F$11,$A$1:$T$1,0))&amp;""),""))</f>
        <v/>
      </c>
      <c r="AF91" s="21">
        <f>IF(Y91="","",IFERROR(TRIM(INDEX($A91:$T91,MATCH(Lists!$F$12,$A$1:$T$1,0))&amp;""),""))</f>
        <v/>
      </c>
      <c r="AG91" s="21">
        <f>IF(Y91="","",IFERROR(TRIM(INDEX($A91:$T91,MATCH(Lists!$F$14,$A$1:$T$1,0))&amp;""),""))</f>
        <v/>
      </c>
      <c r="AH91" s="21">
        <f>IF(Y91="","",LEFT(IFERROR(TRIM(INDEX($A91:$T91,MATCH(Lists!$F$10,$A$1:$T$1,0))&amp;""),""),80))</f>
        <v/>
      </c>
      <c r="AI91" s="21">
        <f>IF(Y91="",0,IF(OR(Tally!$B$5="",AA91=Tally!$B$5),1,0))</f>
        <v/>
      </c>
      <c r="AJ91" s="21">
        <f>IF(AI91=1,IF(COUNTIFS($AB$2:AB91,AB91,$AI$2:AI91,1)=1,1,0),0)</f>
        <v/>
      </c>
      <c r="AK91" s="21">
        <f>IF(AJ91=1,SUM($AJ$2:AJ91),"")</f>
        <v/>
      </c>
      <c r="AL91" s="21">
        <f>IF(AND(AI91=1,OR(AD91="In person",AD91="Online"),OR(Speakers!$B$5="",AB91=Speakers!$B$5)),N(Z91)+ROW()/1000000000,"")</f>
        <v/>
      </c>
    </row>
    <row r="92">
      <c r="U92" s="19" t="n"/>
      <c r="V92" s="24" t="n"/>
      <c r="W92" s="24" t="n"/>
      <c r="X92" s="19" t="n"/>
      <c r="Y92" s="21">
        <f>IFERROR(TRIM(INDEX($A92:$T92,MATCH(Lists!$F$2,$A$1:$T$1,0))&amp;""),"")</f>
        <v/>
      </c>
      <c r="Z92" s="22">
        <f>IF(Y92="","",IFERROR(IF(ISNUMBER(INDEX($A92:$T92,MATCH(Lists!$F$3,$A$1:$T$1,0))),INDEX($A92:$T92,MATCH(Lists!$F$3,$A$1:$T$1,0)),DATE(VALUE(LEFT(IFERROR(TRIM(INDEX($A92:$T92,MATCH(Lists!$F$3,$A$1:$T$1,0))&amp;""),""),4)),VALUE(MID(IFERROR(TRIM(INDEX($A92:$T92,MATCH(Lists!$F$3,$A$1:$T$1,0))&amp;""),""),6,2)),VALUE(MID(IFERROR(TRIM(INDEX($A92:$T92,MATCH(Lists!$F$3,$A$1:$T$1,0))&amp;""),""),9,2)))+TIME(VALUE(MID(IFERROR(TRIM(INDEX($A92:$T92,MATCH(Lists!$F$3,$A$1:$T$1,0))&amp;""),""),12,2)),VALUE(MID(IFERROR(TRIM(INDEX($A92:$T92,MATCH(Lists!$F$3,$A$1:$T$1,0))&amp;""),""),15,2)),VALUE(MID(IFERROR(TRIM(INDEX($A92:$T92,MATCH(Lists!$F$3,$A$1:$T$1,0))&amp;""),""),18,2)))),""))</f>
        <v/>
      </c>
      <c r="AA92" s="23">
        <f>IF(Y92="","",IF(ISNUMBER(IFERROR(IF(TRIM(INDEX($A92:$T92,MATCH(Lists!$F$4,$A$1:$T$1,0))&amp;"")="","",IF(ISNUMBER(INDEX($A92:$T92,MATCH(Lists!$F$4,$A$1:$T$1,0))),INT(INDEX($A92:$T92,MATCH(Lists!$F$4,$A$1:$T$1,0))),DATE(VALUE(LEFT(INDEX($A92:$T92,MATCH(Lists!$F$4,$A$1:$T$1,0)),4)),VALUE(MID(INDEX($A92:$T92,MATCH(Lists!$F$4,$A$1:$T$1,0)),6,2)),VALUE(MID(INDEX($A92:$T92,MATCH(Lists!$F$4,$A$1:$T$1,0)),9,2))))),"")),IFERROR(IF(TRIM(INDEX($A92:$T92,MATCH(Lists!$F$4,$A$1:$T$1,0))&amp;"")="","",IF(ISNUMBER(INDEX($A92:$T92,MATCH(Lists!$F$4,$A$1:$T$1,0))),INT(INDEX($A92:$T92,MATCH(Lists!$F$4,$A$1:$T$1,0))),DATE(VALUE(LEFT(INDEX($A92:$T92,MATCH(Lists!$F$4,$A$1:$T$1,0)),4)),VALUE(MID(INDEX($A92:$T92,MATCH(Lists!$F$4,$A$1:$T$1,0)),6,2)),VALUE(MID(INDEX($A92:$T92,MATCH(Lists!$F$4,$A$1:$T$1,0)),9,2))))),""),IFERROR(IF(TRIM(INDEX($A92:$T92,MATCH(Lists!$F$5,$A$1:$T$1,0))&amp;"")="","",IF(ISNUMBER(INDEX($A92:$T92,MATCH(Lists!$F$5,$A$1:$T$1,0))),INT(INDEX($A92:$T92,MATCH(Lists!$F$5,$A$1:$T$1,0))),DATE(VALUE(LEFT(INDEX($A92:$T92,MATCH(Lists!$F$5,$A$1:$T$1,0)),4)),VALUE(MID(INDEX($A92:$T92,MATCH(Lists!$F$5,$A$1:$T$1,0)),6,2)),VALUE(MID(INDEX($A92:$T92,MATCH(Lists!$F$5,$A$1:$T$1,0)),9,2))))),"")))</f>
        <v/>
      </c>
      <c r="AB92" s="21">
        <f>IF(Y92="","",IF(LEFT(IFERROR(TRIM(INDEX($A92:$T92,MATCH(Lists!$F$6,$A$1:$T$1,0))&amp;""),""),2)="No","General comment",IF(IFERROR(TRIM(INDEX($A92:$T92,MATCH(Lists!$F$7,$A$1:$T$1,0))&amp;""),"")&lt;&gt;"",IFERROR(TRIM(INDEX($A92:$T92,MATCH(Lists!$F$7,$A$1:$T$1,0))&amp;""),""),IF(IFERROR(TRIM(INDEX($A92:$T92,MATCH(Lists!$F$8,$A$1:$T$1,0))&amp;""),"")&lt;&gt;"",IFERROR(TRIM(INDEX($A92:$T92,MATCH(Lists!$F$8,$A$1:$T$1,0))&amp;""),""),"(no item given)"))))</f>
        <v/>
      </c>
      <c r="AC92" s="21">
        <f>IF(Y92="","",IF(ISNUMBER(SEARCH("support",IFERROR(TRIM(INDEX($A92:$T92,MATCH(Lists!$F$9,$A$1:$T$1,0))&amp;""),""))),"Support",IF(ISNUMBER(SEARCH("oppose",IFERROR(TRIM(INDEX($A92:$T92,MATCH(Lists!$F$9,$A$1:$T$1,0))&amp;""),""))),"Oppose",IF(IFERROR(TRIM(INDEX($A92:$T92,MATCH(Lists!$F$9,$A$1:$T$1,0))&amp;""),"")="","No position","Neither"))))</f>
        <v/>
      </c>
      <c r="AD92" s="21">
        <f>IF(Y92="","",IF(ISNUMBER(SEARCH("in person",IFERROR(TRIM(INDEX($A92:$T92,MATCH(Lists!$F$13,$A$1:$T$1,0))&amp;""),""))),"In person",IF(ISNUMBER(SEARCH("online",IFERROR(TRIM(INDEX($A92:$T92,MATCH(Lists!$F$13,$A$1:$T$1,0))&amp;""),""))),"Online","Written only")))</f>
        <v/>
      </c>
      <c r="AE92" s="21">
        <f>IF(Y92="","",IFERROR(TRIM(INDEX($A92:$T92,MATCH(Lists!$F$11,$A$1:$T$1,0))&amp;""),""))</f>
        <v/>
      </c>
      <c r="AF92" s="21">
        <f>IF(Y92="","",IFERROR(TRIM(INDEX($A92:$T92,MATCH(Lists!$F$12,$A$1:$T$1,0))&amp;""),""))</f>
        <v/>
      </c>
      <c r="AG92" s="21">
        <f>IF(Y92="","",IFERROR(TRIM(INDEX($A92:$T92,MATCH(Lists!$F$14,$A$1:$T$1,0))&amp;""),""))</f>
        <v/>
      </c>
      <c r="AH92" s="21">
        <f>IF(Y92="","",LEFT(IFERROR(TRIM(INDEX($A92:$T92,MATCH(Lists!$F$10,$A$1:$T$1,0))&amp;""),""),80))</f>
        <v/>
      </c>
      <c r="AI92" s="21">
        <f>IF(Y92="",0,IF(OR(Tally!$B$5="",AA92=Tally!$B$5),1,0))</f>
        <v/>
      </c>
      <c r="AJ92" s="21">
        <f>IF(AI92=1,IF(COUNTIFS($AB$2:AB92,AB92,$AI$2:AI92,1)=1,1,0),0)</f>
        <v/>
      </c>
      <c r="AK92" s="21">
        <f>IF(AJ92=1,SUM($AJ$2:AJ92),"")</f>
        <v/>
      </c>
      <c r="AL92" s="21">
        <f>IF(AND(AI92=1,OR(AD92="In person",AD92="Online"),OR(Speakers!$B$5="",AB92=Speakers!$B$5)),N(Z92)+ROW()/1000000000,"")</f>
        <v/>
      </c>
    </row>
    <row r="93">
      <c r="U93" s="19" t="n"/>
      <c r="V93" s="24" t="n"/>
      <c r="W93" s="24" t="n"/>
      <c r="X93" s="19" t="n"/>
      <c r="Y93" s="21">
        <f>IFERROR(TRIM(INDEX($A93:$T93,MATCH(Lists!$F$2,$A$1:$T$1,0))&amp;""),"")</f>
        <v/>
      </c>
      <c r="Z93" s="22">
        <f>IF(Y93="","",IFERROR(IF(ISNUMBER(INDEX($A93:$T93,MATCH(Lists!$F$3,$A$1:$T$1,0))),INDEX($A93:$T93,MATCH(Lists!$F$3,$A$1:$T$1,0)),DATE(VALUE(LEFT(IFERROR(TRIM(INDEX($A93:$T93,MATCH(Lists!$F$3,$A$1:$T$1,0))&amp;""),""),4)),VALUE(MID(IFERROR(TRIM(INDEX($A93:$T93,MATCH(Lists!$F$3,$A$1:$T$1,0))&amp;""),""),6,2)),VALUE(MID(IFERROR(TRIM(INDEX($A93:$T93,MATCH(Lists!$F$3,$A$1:$T$1,0))&amp;""),""),9,2)))+TIME(VALUE(MID(IFERROR(TRIM(INDEX($A93:$T93,MATCH(Lists!$F$3,$A$1:$T$1,0))&amp;""),""),12,2)),VALUE(MID(IFERROR(TRIM(INDEX($A93:$T93,MATCH(Lists!$F$3,$A$1:$T$1,0))&amp;""),""),15,2)),VALUE(MID(IFERROR(TRIM(INDEX($A93:$T93,MATCH(Lists!$F$3,$A$1:$T$1,0))&amp;""),""),18,2)))),""))</f>
        <v/>
      </c>
      <c r="AA93" s="23">
        <f>IF(Y93="","",IF(ISNUMBER(IFERROR(IF(TRIM(INDEX($A93:$T93,MATCH(Lists!$F$4,$A$1:$T$1,0))&amp;"")="","",IF(ISNUMBER(INDEX($A93:$T93,MATCH(Lists!$F$4,$A$1:$T$1,0))),INT(INDEX($A93:$T93,MATCH(Lists!$F$4,$A$1:$T$1,0))),DATE(VALUE(LEFT(INDEX($A93:$T93,MATCH(Lists!$F$4,$A$1:$T$1,0)),4)),VALUE(MID(INDEX($A93:$T93,MATCH(Lists!$F$4,$A$1:$T$1,0)),6,2)),VALUE(MID(INDEX($A93:$T93,MATCH(Lists!$F$4,$A$1:$T$1,0)),9,2))))),"")),IFERROR(IF(TRIM(INDEX($A93:$T93,MATCH(Lists!$F$4,$A$1:$T$1,0))&amp;"")="","",IF(ISNUMBER(INDEX($A93:$T93,MATCH(Lists!$F$4,$A$1:$T$1,0))),INT(INDEX($A93:$T93,MATCH(Lists!$F$4,$A$1:$T$1,0))),DATE(VALUE(LEFT(INDEX($A93:$T93,MATCH(Lists!$F$4,$A$1:$T$1,0)),4)),VALUE(MID(INDEX($A93:$T93,MATCH(Lists!$F$4,$A$1:$T$1,0)),6,2)),VALUE(MID(INDEX($A93:$T93,MATCH(Lists!$F$4,$A$1:$T$1,0)),9,2))))),""),IFERROR(IF(TRIM(INDEX($A93:$T93,MATCH(Lists!$F$5,$A$1:$T$1,0))&amp;"")="","",IF(ISNUMBER(INDEX($A93:$T93,MATCH(Lists!$F$5,$A$1:$T$1,0))),INT(INDEX($A93:$T93,MATCH(Lists!$F$5,$A$1:$T$1,0))),DATE(VALUE(LEFT(INDEX($A93:$T93,MATCH(Lists!$F$5,$A$1:$T$1,0)),4)),VALUE(MID(INDEX($A93:$T93,MATCH(Lists!$F$5,$A$1:$T$1,0)),6,2)),VALUE(MID(INDEX($A93:$T93,MATCH(Lists!$F$5,$A$1:$T$1,0)),9,2))))),"")))</f>
        <v/>
      </c>
      <c r="AB93" s="21">
        <f>IF(Y93="","",IF(LEFT(IFERROR(TRIM(INDEX($A93:$T93,MATCH(Lists!$F$6,$A$1:$T$1,0))&amp;""),""),2)="No","General comment",IF(IFERROR(TRIM(INDEX($A93:$T93,MATCH(Lists!$F$7,$A$1:$T$1,0))&amp;""),"")&lt;&gt;"",IFERROR(TRIM(INDEX($A93:$T93,MATCH(Lists!$F$7,$A$1:$T$1,0))&amp;""),""),IF(IFERROR(TRIM(INDEX($A93:$T93,MATCH(Lists!$F$8,$A$1:$T$1,0))&amp;""),"")&lt;&gt;"",IFERROR(TRIM(INDEX($A93:$T93,MATCH(Lists!$F$8,$A$1:$T$1,0))&amp;""),""),"(no item given)"))))</f>
        <v/>
      </c>
      <c r="AC93" s="21">
        <f>IF(Y93="","",IF(ISNUMBER(SEARCH("support",IFERROR(TRIM(INDEX($A93:$T93,MATCH(Lists!$F$9,$A$1:$T$1,0))&amp;""),""))),"Support",IF(ISNUMBER(SEARCH("oppose",IFERROR(TRIM(INDEX($A93:$T93,MATCH(Lists!$F$9,$A$1:$T$1,0))&amp;""),""))),"Oppose",IF(IFERROR(TRIM(INDEX($A93:$T93,MATCH(Lists!$F$9,$A$1:$T$1,0))&amp;""),"")="","No position","Neither"))))</f>
        <v/>
      </c>
      <c r="AD93" s="21">
        <f>IF(Y93="","",IF(ISNUMBER(SEARCH("in person",IFERROR(TRIM(INDEX($A93:$T93,MATCH(Lists!$F$13,$A$1:$T$1,0))&amp;""),""))),"In person",IF(ISNUMBER(SEARCH("online",IFERROR(TRIM(INDEX($A93:$T93,MATCH(Lists!$F$13,$A$1:$T$1,0))&amp;""),""))),"Online","Written only")))</f>
        <v/>
      </c>
      <c r="AE93" s="21">
        <f>IF(Y93="","",IFERROR(TRIM(INDEX($A93:$T93,MATCH(Lists!$F$11,$A$1:$T$1,0))&amp;""),""))</f>
        <v/>
      </c>
      <c r="AF93" s="21">
        <f>IF(Y93="","",IFERROR(TRIM(INDEX($A93:$T93,MATCH(Lists!$F$12,$A$1:$T$1,0))&amp;""),""))</f>
        <v/>
      </c>
      <c r="AG93" s="21">
        <f>IF(Y93="","",IFERROR(TRIM(INDEX($A93:$T93,MATCH(Lists!$F$14,$A$1:$T$1,0))&amp;""),""))</f>
        <v/>
      </c>
      <c r="AH93" s="21">
        <f>IF(Y93="","",LEFT(IFERROR(TRIM(INDEX($A93:$T93,MATCH(Lists!$F$10,$A$1:$T$1,0))&amp;""),""),80))</f>
        <v/>
      </c>
      <c r="AI93" s="21">
        <f>IF(Y93="",0,IF(OR(Tally!$B$5="",AA93=Tally!$B$5),1,0))</f>
        <v/>
      </c>
      <c r="AJ93" s="21">
        <f>IF(AI93=1,IF(COUNTIFS($AB$2:AB93,AB93,$AI$2:AI93,1)=1,1,0),0)</f>
        <v/>
      </c>
      <c r="AK93" s="21">
        <f>IF(AJ93=1,SUM($AJ$2:AJ93),"")</f>
        <v/>
      </c>
      <c r="AL93" s="21">
        <f>IF(AND(AI93=1,OR(AD93="In person",AD93="Online"),OR(Speakers!$B$5="",AB93=Speakers!$B$5)),N(Z93)+ROW()/1000000000,"")</f>
        <v/>
      </c>
    </row>
    <row r="94">
      <c r="U94" s="19" t="n"/>
      <c r="V94" s="24" t="n"/>
      <c r="W94" s="24" t="n"/>
      <c r="X94" s="19" t="n"/>
      <c r="Y94" s="21">
        <f>IFERROR(TRIM(INDEX($A94:$T94,MATCH(Lists!$F$2,$A$1:$T$1,0))&amp;""),"")</f>
        <v/>
      </c>
      <c r="Z94" s="22">
        <f>IF(Y94="","",IFERROR(IF(ISNUMBER(INDEX($A94:$T94,MATCH(Lists!$F$3,$A$1:$T$1,0))),INDEX($A94:$T94,MATCH(Lists!$F$3,$A$1:$T$1,0)),DATE(VALUE(LEFT(IFERROR(TRIM(INDEX($A94:$T94,MATCH(Lists!$F$3,$A$1:$T$1,0))&amp;""),""),4)),VALUE(MID(IFERROR(TRIM(INDEX($A94:$T94,MATCH(Lists!$F$3,$A$1:$T$1,0))&amp;""),""),6,2)),VALUE(MID(IFERROR(TRIM(INDEX($A94:$T94,MATCH(Lists!$F$3,$A$1:$T$1,0))&amp;""),""),9,2)))+TIME(VALUE(MID(IFERROR(TRIM(INDEX($A94:$T94,MATCH(Lists!$F$3,$A$1:$T$1,0))&amp;""),""),12,2)),VALUE(MID(IFERROR(TRIM(INDEX($A94:$T94,MATCH(Lists!$F$3,$A$1:$T$1,0))&amp;""),""),15,2)),VALUE(MID(IFERROR(TRIM(INDEX($A94:$T94,MATCH(Lists!$F$3,$A$1:$T$1,0))&amp;""),""),18,2)))),""))</f>
        <v/>
      </c>
      <c r="AA94" s="23">
        <f>IF(Y94="","",IF(ISNUMBER(IFERROR(IF(TRIM(INDEX($A94:$T94,MATCH(Lists!$F$4,$A$1:$T$1,0))&amp;"")="","",IF(ISNUMBER(INDEX($A94:$T94,MATCH(Lists!$F$4,$A$1:$T$1,0))),INT(INDEX($A94:$T94,MATCH(Lists!$F$4,$A$1:$T$1,0))),DATE(VALUE(LEFT(INDEX($A94:$T94,MATCH(Lists!$F$4,$A$1:$T$1,0)),4)),VALUE(MID(INDEX($A94:$T94,MATCH(Lists!$F$4,$A$1:$T$1,0)),6,2)),VALUE(MID(INDEX($A94:$T94,MATCH(Lists!$F$4,$A$1:$T$1,0)),9,2))))),"")),IFERROR(IF(TRIM(INDEX($A94:$T94,MATCH(Lists!$F$4,$A$1:$T$1,0))&amp;"")="","",IF(ISNUMBER(INDEX($A94:$T94,MATCH(Lists!$F$4,$A$1:$T$1,0))),INT(INDEX($A94:$T94,MATCH(Lists!$F$4,$A$1:$T$1,0))),DATE(VALUE(LEFT(INDEX($A94:$T94,MATCH(Lists!$F$4,$A$1:$T$1,0)),4)),VALUE(MID(INDEX($A94:$T94,MATCH(Lists!$F$4,$A$1:$T$1,0)),6,2)),VALUE(MID(INDEX($A94:$T94,MATCH(Lists!$F$4,$A$1:$T$1,0)),9,2))))),""),IFERROR(IF(TRIM(INDEX($A94:$T94,MATCH(Lists!$F$5,$A$1:$T$1,0))&amp;"")="","",IF(ISNUMBER(INDEX($A94:$T94,MATCH(Lists!$F$5,$A$1:$T$1,0))),INT(INDEX($A94:$T94,MATCH(Lists!$F$5,$A$1:$T$1,0))),DATE(VALUE(LEFT(INDEX($A94:$T94,MATCH(Lists!$F$5,$A$1:$T$1,0)),4)),VALUE(MID(INDEX($A94:$T94,MATCH(Lists!$F$5,$A$1:$T$1,0)),6,2)),VALUE(MID(INDEX($A94:$T94,MATCH(Lists!$F$5,$A$1:$T$1,0)),9,2))))),"")))</f>
        <v/>
      </c>
      <c r="AB94" s="21">
        <f>IF(Y94="","",IF(LEFT(IFERROR(TRIM(INDEX($A94:$T94,MATCH(Lists!$F$6,$A$1:$T$1,0))&amp;""),""),2)="No","General comment",IF(IFERROR(TRIM(INDEX($A94:$T94,MATCH(Lists!$F$7,$A$1:$T$1,0))&amp;""),"")&lt;&gt;"",IFERROR(TRIM(INDEX($A94:$T94,MATCH(Lists!$F$7,$A$1:$T$1,0))&amp;""),""),IF(IFERROR(TRIM(INDEX($A94:$T94,MATCH(Lists!$F$8,$A$1:$T$1,0))&amp;""),"")&lt;&gt;"",IFERROR(TRIM(INDEX($A94:$T94,MATCH(Lists!$F$8,$A$1:$T$1,0))&amp;""),""),"(no item given)"))))</f>
        <v/>
      </c>
      <c r="AC94" s="21">
        <f>IF(Y94="","",IF(ISNUMBER(SEARCH("support",IFERROR(TRIM(INDEX($A94:$T94,MATCH(Lists!$F$9,$A$1:$T$1,0))&amp;""),""))),"Support",IF(ISNUMBER(SEARCH("oppose",IFERROR(TRIM(INDEX($A94:$T94,MATCH(Lists!$F$9,$A$1:$T$1,0))&amp;""),""))),"Oppose",IF(IFERROR(TRIM(INDEX($A94:$T94,MATCH(Lists!$F$9,$A$1:$T$1,0))&amp;""),"")="","No position","Neither"))))</f>
        <v/>
      </c>
      <c r="AD94" s="21">
        <f>IF(Y94="","",IF(ISNUMBER(SEARCH("in person",IFERROR(TRIM(INDEX($A94:$T94,MATCH(Lists!$F$13,$A$1:$T$1,0))&amp;""),""))),"In person",IF(ISNUMBER(SEARCH("online",IFERROR(TRIM(INDEX($A94:$T94,MATCH(Lists!$F$13,$A$1:$T$1,0))&amp;""),""))),"Online","Written only")))</f>
        <v/>
      </c>
      <c r="AE94" s="21">
        <f>IF(Y94="","",IFERROR(TRIM(INDEX($A94:$T94,MATCH(Lists!$F$11,$A$1:$T$1,0))&amp;""),""))</f>
        <v/>
      </c>
      <c r="AF94" s="21">
        <f>IF(Y94="","",IFERROR(TRIM(INDEX($A94:$T94,MATCH(Lists!$F$12,$A$1:$T$1,0))&amp;""),""))</f>
        <v/>
      </c>
      <c r="AG94" s="21">
        <f>IF(Y94="","",IFERROR(TRIM(INDEX($A94:$T94,MATCH(Lists!$F$14,$A$1:$T$1,0))&amp;""),""))</f>
        <v/>
      </c>
      <c r="AH94" s="21">
        <f>IF(Y94="","",LEFT(IFERROR(TRIM(INDEX($A94:$T94,MATCH(Lists!$F$10,$A$1:$T$1,0))&amp;""),""),80))</f>
        <v/>
      </c>
      <c r="AI94" s="21">
        <f>IF(Y94="",0,IF(OR(Tally!$B$5="",AA94=Tally!$B$5),1,0))</f>
        <v/>
      </c>
      <c r="AJ94" s="21">
        <f>IF(AI94=1,IF(COUNTIFS($AB$2:AB94,AB94,$AI$2:AI94,1)=1,1,0),0)</f>
        <v/>
      </c>
      <c r="AK94" s="21">
        <f>IF(AJ94=1,SUM($AJ$2:AJ94),"")</f>
        <v/>
      </c>
      <c r="AL94" s="21">
        <f>IF(AND(AI94=1,OR(AD94="In person",AD94="Online"),OR(Speakers!$B$5="",AB94=Speakers!$B$5)),N(Z94)+ROW()/1000000000,"")</f>
        <v/>
      </c>
    </row>
    <row r="95">
      <c r="U95" s="19" t="n"/>
      <c r="V95" s="24" t="n"/>
      <c r="W95" s="24" t="n"/>
      <c r="X95" s="19" t="n"/>
      <c r="Y95" s="21">
        <f>IFERROR(TRIM(INDEX($A95:$T95,MATCH(Lists!$F$2,$A$1:$T$1,0))&amp;""),"")</f>
        <v/>
      </c>
      <c r="Z95" s="22">
        <f>IF(Y95="","",IFERROR(IF(ISNUMBER(INDEX($A95:$T95,MATCH(Lists!$F$3,$A$1:$T$1,0))),INDEX($A95:$T95,MATCH(Lists!$F$3,$A$1:$T$1,0)),DATE(VALUE(LEFT(IFERROR(TRIM(INDEX($A95:$T95,MATCH(Lists!$F$3,$A$1:$T$1,0))&amp;""),""),4)),VALUE(MID(IFERROR(TRIM(INDEX($A95:$T95,MATCH(Lists!$F$3,$A$1:$T$1,0))&amp;""),""),6,2)),VALUE(MID(IFERROR(TRIM(INDEX($A95:$T95,MATCH(Lists!$F$3,$A$1:$T$1,0))&amp;""),""),9,2)))+TIME(VALUE(MID(IFERROR(TRIM(INDEX($A95:$T95,MATCH(Lists!$F$3,$A$1:$T$1,0))&amp;""),""),12,2)),VALUE(MID(IFERROR(TRIM(INDEX($A95:$T95,MATCH(Lists!$F$3,$A$1:$T$1,0))&amp;""),""),15,2)),VALUE(MID(IFERROR(TRIM(INDEX($A95:$T95,MATCH(Lists!$F$3,$A$1:$T$1,0))&amp;""),""),18,2)))),""))</f>
        <v/>
      </c>
      <c r="AA95" s="23">
        <f>IF(Y95="","",IF(ISNUMBER(IFERROR(IF(TRIM(INDEX($A95:$T95,MATCH(Lists!$F$4,$A$1:$T$1,0))&amp;"")="","",IF(ISNUMBER(INDEX($A95:$T95,MATCH(Lists!$F$4,$A$1:$T$1,0))),INT(INDEX($A95:$T95,MATCH(Lists!$F$4,$A$1:$T$1,0))),DATE(VALUE(LEFT(INDEX($A95:$T95,MATCH(Lists!$F$4,$A$1:$T$1,0)),4)),VALUE(MID(INDEX($A95:$T95,MATCH(Lists!$F$4,$A$1:$T$1,0)),6,2)),VALUE(MID(INDEX($A95:$T95,MATCH(Lists!$F$4,$A$1:$T$1,0)),9,2))))),"")),IFERROR(IF(TRIM(INDEX($A95:$T95,MATCH(Lists!$F$4,$A$1:$T$1,0))&amp;"")="","",IF(ISNUMBER(INDEX($A95:$T95,MATCH(Lists!$F$4,$A$1:$T$1,0))),INT(INDEX($A95:$T95,MATCH(Lists!$F$4,$A$1:$T$1,0))),DATE(VALUE(LEFT(INDEX($A95:$T95,MATCH(Lists!$F$4,$A$1:$T$1,0)),4)),VALUE(MID(INDEX($A95:$T95,MATCH(Lists!$F$4,$A$1:$T$1,0)),6,2)),VALUE(MID(INDEX($A95:$T95,MATCH(Lists!$F$4,$A$1:$T$1,0)),9,2))))),""),IFERROR(IF(TRIM(INDEX($A95:$T95,MATCH(Lists!$F$5,$A$1:$T$1,0))&amp;"")="","",IF(ISNUMBER(INDEX($A95:$T95,MATCH(Lists!$F$5,$A$1:$T$1,0))),INT(INDEX($A95:$T95,MATCH(Lists!$F$5,$A$1:$T$1,0))),DATE(VALUE(LEFT(INDEX($A95:$T95,MATCH(Lists!$F$5,$A$1:$T$1,0)),4)),VALUE(MID(INDEX($A95:$T95,MATCH(Lists!$F$5,$A$1:$T$1,0)),6,2)),VALUE(MID(INDEX($A95:$T95,MATCH(Lists!$F$5,$A$1:$T$1,0)),9,2))))),"")))</f>
        <v/>
      </c>
      <c r="AB95" s="21">
        <f>IF(Y95="","",IF(LEFT(IFERROR(TRIM(INDEX($A95:$T95,MATCH(Lists!$F$6,$A$1:$T$1,0))&amp;""),""),2)="No","General comment",IF(IFERROR(TRIM(INDEX($A95:$T95,MATCH(Lists!$F$7,$A$1:$T$1,0))&amp;""),"")&lt;&gt;"",IFERROR(TRIM(INDEX($A95:$T95,MATCH(Lists!$F$7,$A$1:$T$1,0))&amp;""),""),IF(IFERROR(TRIM(INDEX($A95:$T95,MATCH(Lists!$F$8,$A$1:$T$1,0))&amp;""),"")&lt;&gt;"",IFERROR(TRIM(INDEX($A95:$T95,MATCH(Lists!$F$8,$A$1:$T$1,0))&amp;""),""),"(no item given)"))))</f>
        <v/>
      </c>
      <c r="AC95" s="21">
        <f>IF(Y95="","",IF(ISNUMBER(SEARCH("support",IFERROR(TRIM(INDEX($A95:$T95,MATCH(Lists!$F$9,$A$1:$T$1,0))&amp;""),""))),"Support",IF(ISNUMBER(SEARCH("oppose",IFERROR(TRIM(INDEX($A95:$T95,MATCH(Lists!$F$9,$A$1:$T$1,0))&amp;""),""))),"Oppose",IF(IFERROR(TRIM(INDEX($A95:$T95,MATCH(Lists!$F$9,$A$1:$T$1,0))&amp;""),"")="","No position","Neither"))))</f>
        <v/>
      </c>
      <c r="AD95" s="21">
        <f>IF(Y95="","",IF(ISNUMBER(SEARCH("in person",IFERROR(TRIM(INDEX($A95:$T95,MATCH(Lists!$F$13,$A$1:$T$1,0))&amp;""),""))),"In person",IF(ISNUMBER(SEARCH("online",IFERROR(TRIM(INDEX($A95:$T95,MATCH(Lists!$F$13,$A$1:$T$1,0))&amp;""),""))),"Online","Written only")))</f>
        <v/>
      </c>
      <c r="AE95" s="21">
        <f>IF(Y95="","",IFERROR(TRIM(INDEX($A95:$T95,MATCH(Lists!$F$11,$A$1:$T$1,0))&amp;""),""))</f>
        <v/>
      </c>
      <c r="AF95" s="21">
        <f>IF(Y95="","",IFERROR(TRIM(INDEX($A95:$T95,MATCH(Lists!$F$12,$A$1:$T$1,0))&amp;""),""))</f>
        <v/>
      </c>
      <c r="AG95" s="21">
        <f>IF(Y95="","",IFERROR(TRIM(INDEX($A95:$T95,MATCH(Lists!$F$14,$A$1:$T$1,0))&amp;""),""))</f>
        <v/>
      </c>
      <c r="AH95" s="21">
        <f>IF(Y95="","",LEFT(IFERROR(TRIM(INDEX($A95:$T95,MATCH(Lists!$F$10,$A$1:$T$1,0))&amp;""),""),80))</f>
        <v/>
      </c>
      <c r="AI95" s="21">
        <f>IF(Y95="",0,IF(OR(Tally!$B$5="",AA95=Tally!$B$5),1,0))</f>
        <v/>
      </c>
      <c r="AJ95" s="21">
        <f>IF(AI95=1,IF(COUNTIFS($AB$2:AB95,AB95,$AI$2:AI95,1)=1,1,0),0)</f>
        <v/>
      </c>
      <c r="AK95" s="21">
        <f>IF(AJ95=1,SUM($AJ$2:AJ95),"")</f>
        <v/>
      </c>
      <c r="AL95" s="21">
        <f>IF(AND(AI95=1,OR(AD95="In person",AD95="Online"),OR(Speakers!$B$5="",AB95=Speakers!$B$5)),N(Z95)+ROW()/1000000000,"")</f>
        <v/>
      </c>
    </row>
    <row r="96">
      <c r="U96" s="19" t="n"/>
      <c r="V96" s="24" t="n"/>
      <c r="W96" s="24" t="n"/>
      <c r="X96" s="19" t="n"/>
      <c r="Y96" s="21">
        <f>IFERROR(TRIM(INDEX($A96:$T96,MATCH(Lists!$F$2,$A$1:$T$1,0))&amp;""),"")</f>
        <v/>
      </c>
      <c r="Z96" s="22">
        <f>IF(Y96="","",IFERROR(IF(ISNUMBER(INDEX($A96:$T96,MATCH(Lists!$F$3,$A$1:$T$1,0))),INDEX($A96:$T96,MATCH(Lists!$F$3,$A$1:$T$1,0)),DATE(VALUE(LEFT(IFERROR(TRIM(INDEX($A96:$T96,MATCH(Lists!$F$3,$A$1:$T$1,0))&amp;""),""),4)),VALUE(MID(IFERROR(TRIM(INDEX($A96:$T96,MATCH(Lists!$F$3,$A$1:$T$1,0))&amp;""),""),6,2)),VALUE(MID(IFERROR(TRIM(INDEX($A96:$T96,MATCH(Lists!$F$3,$A$1:$T$1,0))&amp;""),""),9,2)))+TIME(VALUE(MID(IFERROR(TRIM(INDEX($A96:$T96,MATCH(Lists!$F$3,$A$1:$T$1,0))&amp;""),""),12,2)),VALUE(MID(IFERROR(TRIM(INDEX($A96:$T96,MATCH(Lists!$F$3,$A$1:$T$1,0))&amp;""),""),15,2)),VALUE(MID(IFERROR(TRIM(INDEX($A96:$T96,MATCH(Lists!$F$3,$A$1:$T$1,0))&amp;""),""),18,2)))),""))</f>
        <v/>
      </c>
      <c r="AA96" s="23">
        <f>IF(Y96="","",IF(ISNUMBER(IFERROR(IF(TRIM(INDEX($A96:$T96,MATCH(Lists!$F$4,$A$1:$T$1,0))&amp;"")="","",IF(ISNUMBER(INDEX($A96:$T96,MATCH(Lists!$F$4,$A$1:$T$1,0))),INT(INDEX($A96:$T96,MATCH(Lists!$F$4,$A$1:$T$1,0))),DATE(VALUE(LEFT(INDEX($A96:$T96,MATCH(Lists!$F$4,$A$1:$T$1,0)),4)),VALUE(MID(INDEX($A96:$T96,MATCH(Lists!$F$4,$A$1:$T$1,0)),6,2)),VALUE(MID(INDEX($A96:$T96,MATCH(Lists!$F$4,$A$1:$T$1,0)),9,2))))),"")),IFERROR(IF(TRIM(INDEX($A96:$T96,MATCH(Lists!$F$4,$A$1:$T$1,0))&amp;"")="","",IF(ISNUMBER(INDEX($A96:$T96,MATCH(Lists!$F$4,$A$1:$T$1,0))),INT(INDEX($A96:$T96,MATCH(Lists!$F$4,$A$1:$T$1,0))),DATE(VALUE(LEFT(INDEX($A96:$T96,MATCH(Lists!$F$4,$A$1:$T$1,0)),4)),VALUE(MID(INDEX($A96:$T96,MATCH(Lists!$F$4,$A$1:$T$1,0)),6,2)),VALUE(MID(INDEX($A96:$T96,MATCH(Lists!$F$4,$A$1:$T$1,0)),9,2))))),""),IFERROR(IF(TRIM(INDEX($A96:$T96,MATCH(Lists!$F$5,$A$1:$T$1,0))&amp;"")="","",IF(ISNUMBER(INDEX($A96:$T96,MATCH(Lists!$F$5,$A$1:$T$1,0))),INT(INDEX($A96:$T96,MATCH(Lists!$F$5,$A$1:$T$1,0))),DATE(VALUE(LEFT(INDEX($A96:$T96,MATCH(Lists!$F$5,$A$1:$T$1,0)),4)),VALUE(MID(INDEX($A96:$T96,MATCH(Lists!$F$5,$A$1:$T$1,0)),6,2)),VALUE(MID(INDEX($A96:$T96,MATCH(Lists!$F$5,$A$1:$T$1,0)),9,2))))),"")))</f>
        <v/>
      </c>
      <c r="AB96" s="21">
        <f>IF(Y96="","",IF(LEFT(IFERROR(TRIM(INDEX($A96:$T96,MATCH(Lists!$F$6,$A$1:$T$1,0))&amp;""),""),2)="No","General comment",IF(IFERROR(TRIM(INDEX($A96:$T96,MATCH(Lists!$F$7,$A$1:$T$1,0))&amp;""),"")&lt;&gt;"",IFERROR(TRIM(INDEX($A96:$T96,MATCH(Lists!$F$7,$A$1:$T$1,0))&amp;""),""),IF(IFERROR(TRIM(INDEX($A96:$T96,MATCH(Lists!$F$8,$A$1:$T$1,0))&amp;""),"")&lt;&gt;"",IFERROR(TRIM(INDEX($A96:$T96,MATCH(Lists!$F$8,$A$1:$T$1,0))&amp;""),""),"(no item given)"))))</f>
        <v/>
      </c>
      <c r="AC96" s="21">
        <f>IF(Y96="","",IF(ISNUMBER(SEARCH("support",IFERROR(TRIM(INDEX($A96:$T96,MATCH(Lists!$F$9,$A$1:$T$1,0))&amp;""),""))),"Support",IF(ISNUMBER(SEARCH("oppose",IFERROR(TRIM(INDEX($A96:$T96,MATCH(Lists!$F$9,$A$1:$T$1,0))&amp;""),""))),"Oppose",IF(IFERROR(TRIM(INDEX($A96:$T96,MATCH(Lists!$F$9,$A$1:$T$1,0))&amp;""),"")="","No position","Neither"))))</f>
        <v/>
      </c>
      <c r="AD96" s="21">
        <f>IF(Y96="","",IF(ISNUMBER(SEARCH("in person",IFERROR(TRIM(INDEX($A96:$T96,MATCH(Lists!$F$13,$A$1:$T$1,0))&amp;""),""))),"In person",IF(ISNUMBER(SEARCH("online",IFERROR(TRIM(INDEX($A96:$T96,MATCH(Lists!$F$13,$A$1:$T$1,0))&amp;""),""))),"Online","Written only")))</f>
        <v/>
      </c>
      <c r="AE96" s="21">
        <f>IF(Y96="","",IFERROR(TRIM(INDEX($A96:$T96,MATCH(Lists!$F$11,$A$1:$T$1,0))&amp;""),""))</f>
        <v/>
      </c>
      <c r="AF96" s="21">
        <f>IF(Y96="","",IFERROR(TRIM(INDEX($A96:$T96,MATCH(Lists!$F$12,$A$1:$T$1,0))&amp;""),""))</f>
        <v/>
      </c>
      <c r="AG96" s="21">
        <f>IF(Y96="","",IFERROR(TRIM(INDEX($A96:$T96,MATCH(Lists!$F$14,$A$1:$T$1,0))&amp;""),""))</f>
        <v/>
      </c>
      <c r="AH96" s="21">
        <f>IF(Y96="","",LEFT(IFERROR(TRIM(INDEX($A96:$T96,MATCH(Lists!$F$10,$A$1:$T$1,0))&amp;""),""),80))</f>
        <v/>
      </c>
      <c r="AI96" s="21">
        <f>IF(Y96="",0,IF(OR(Tally!$B$5="",AA96=Tally!$B$5),1,0))</f>
        <v/>
      </c>
      <c r="AJ96" s="21">
        <f>IF(AI96=1,IF(COUNTIFS($AB$2:AB96,AB96,$AI$2:AI96,1)=1,1,0),0)</f>
        <v/>
      </c>
      <c r="AK96" s="21">
        <f>IF(AJ96=1,SUM($AJ$2:AJ96),"")</f>
        <v/>
      </c>
      <c r="AL96" s="21">
        <f>IF(AND(AI96=1,OR(AD96="In person",AD96="Online"),OR(Speakers!$B$5="",AB96=Speakers!$B$5)),N(Z96)+ROW()/1000000000,"")</f>
        <v/>
      </c>
    </row>
    <row r="97">
      <c r="U97" s="19" t="n"/>
      <c r="V97" s="24" t="n"/>
      <c r="W97" s="24" t="n"/>
      <c r="X97" s="19" t="n"/>
      <c r="Y97" s="21">
        <f>IFERROR(TRIM(INDEX($A97:$T97,MATCH(Lists!$F$2,$A$1:$T$1,0))&amp;""),"")</f>
        <v/>
      </c>
      <c r="Z97" s="22">
        <f>IF(Y97="","",IFERROR(IF(ISNUMBER(INDEX($A97:$T97,MATCH(Lists!$F$3,$A$1:$T$1,0))),INDEX($A97:$T97,MATCH(Lists!$F$3,$A$1:$T$1,0)),DATE(VALUE(LEFT(IFERROR(TRIM(INDEX($A97:$T97,MATCH(Lists!$F$3,$A$1:$T$1,0))&amp;""),""),4)),VALUE(MID(IFERROR(TRIM(INDEX($A97:$T97,MATCH(Lists!$F$3,$A$1:$T$1,0))&amp;""),""),6,2)),VALUE(MID(IFERROR(TRIM(INDEX($A97:$T97,MATCH(Lists!$F$3,$A$1:$T$1,0))&amp;""),""),9,2)))+TIME(VALUE(MID(IFERROR(TRIM(INDEX($A97:$T97,MATCH(Lists!$F$3,$A$1:$T$1,0))&amp;""),""),12,2)),VALUE(MID(IFERROR(TRIM(INDEX($A97:$T97,MATCH(Lists!$F$3,$A$1:$T$1,0))&amp;""),""),15,2)),VALUE(MID(IFERROR(TRIM(INDEX($A97:$T97,MATCH(Lists!$F$3,$A$1:$T$1,0))&amp;""),""),18,2)))),""))</f>
        <v/>
      </c>
      <c r="AA97" s="23">
        <f>IF(Y97="","",IF(ISNUMBER(IFERROR(IF(TRIM(INDEX($A97:$T97,MATCH(Lists!$F$4,$A$1:$T$1,0))&amp;"")="","",IF(ISNUMBER(INDEX($A97:$T97,MATCH(Lists!$F$4,$A$1:$T$1,0))),INT(INDEX($A97:$T97,MATCH(Lists!$F$4,$A$1:$T$1,0))),DATE(VALUE(LEFT(INDEX($A97:$T97,MATCH(Lists!$F$4,$A$1:$T$1,0)),4)),VALUE(MID(INDEX($A97:$T97,MATCH(Lists!$F$4,$A$1:$T$1,0)),6,2)),VALUE(MID(INDEX($A97:$T97,MATCH(Lists!$F$4,$A$1:$T$1,0)),9,2))))),"")),IFERROR(IF(TRIM(INDEX($A97:$T97,MATCH(Lists!$F$4,$A$1:$T$1,0))&amp;"")="","",IF(ISNUMBER(INDEX($A97:$T97,MATCH(Lists!$F$4,$A$1:$T$1,0))),INT(INDEX($A97:$T97,MATCH(Lists!$F$4,$A$1:$T$1,0))),DATE(VALUE(LEFT(INDEX($A97:$T97,MATCH(Lists!$F$4,$A$1:$T$1,0)),4)),VALUE(MID(INDEX($A97:$T97,MATCH(Lists!$F$4,$A$1:$T$1,0)),6,2)),VALUE(MID(INDEX($A97:$T97,MATCH(Lists!$F$4,$A$1:$T$1,0)),9,2))))),""),IFERROR(IF(TRIM(INDEX($A97:$T97,MATCH(Lists!$F$5,$A$1:$T$1,0))&amp;"")="","",IF(ISNUMBER(INDEX($A97:$T97,MATCH(Lists!$F$5,$A$1:$T$1,0))),INT(INDEX($A97:$T97,MATCH(Lists!$F$5,$A$1:$T$1,0))),DATE(VALUE(LEFT(INDEX($A97:$T97,MATCH(Lists!$F$5,$A$1:$T$1,0)),4)),VALUE(MID(INDEX($A97:$T97,MATCH(Lists!$F$5,$A$1:$T$1,0)),6,2)),VALUE(MID(INDEX($A97:$T97,MATCH(Lists!$F$5,$A$1:$T$1,0)),9,2))))),"")))</f>
        <v/>
      </c>
      <c r="AB97" s="21">
        <f>IF(Y97="","",IF(LEFT(IFERROR(TRIM(INDEX($A97:$T97,MATCH(Lists!$F$6,$A$1:$T$1,0))&amp;""),""),2)="No","General comment",IF(IFERROR(TRIM(INDEX($A97:$T97,MATCH(Lists!$F$7,$A$1:$T$1,0))&amp;""),"")&lt;&gt;"",IFERROR(TRIM(INDEX($A97:$T97,MATCH(Lists!$F$7,$A$1:$T$1,0))&amp;""),""),IF(IFERROR(TRIM(INDEX($A97:$T97,MATCH(Lists!$F$8,$A$1:$T$1,0))&amp;""),"")&lt;&gt;"",IFERROR(TRIM(INDEX($A97:$T97,MATCH(Lists!$F$8,$A$1:$T$1,0))&amp;""),""),"(no item given)"))))</f>
        <v/>
      </c>
      <c r="AC97" s="21">
        <f>IF(Y97="","",IF(ISNUMBER(SEARCH("support",IFERROR(TRIM(INDEX($A97:$T97,MATCH(Lists!$F$9,$A$1:$T$1,0))&amp;""),""))),"Support",IF(ISNUMBER(SEARCH("oppose",IFERROR(TRIM(INDEX($A97:$T97,MATCH(Lists!$F$9,$A$1:$T$1,0))&amp;""),""))),"Oppose",IF(IFERROR(TRIM(INDEX($A97:$T97,MATCH(Lists!$F$9,$A$1:$T$1,0))&amp;""),"")="","No position","Neither"))))</f>
        <v/>
      </c>
      <c r="AD97" s="21">
        <f>IF(Y97="","",IF(ISNUMBER(SEARCH("in person",IFERROR(TRIM(INDEX($A97:$T97,MATCH(Lists!$F$13,$A$1:$T$1,0))&amp;""),""))),"In person",IF(ISNUMBER(SEARCH("online",IFERROR(TRIM(INDEX($A97:$T97,MATCH(Lists!$F$13,$A$1:$T$1,0))&amp;""),""))),"Online","Written only")))</f>
        <v/>
      </c>
      <c r="AE97" s="21">
        <f>IF(Y97="","",IFERROR(TRIM(INDEX($A97:$T97,MATCH(Lists!$F$11,$A$1:$T$1,0))&amp;""),""))</f>
        <v/>
      </c>
      <c r="AF97" s="21">
        <f>IF(Y97="","",IFERROR(TRIM(INDEX($A97:$T97,MATCH(Lists!$F$12,$A$1:$T$1,0))&amp;""),""))</f>
        <v/>
      </c>
      <c r="AG97" s="21">
        <f>IF(Y97="","",IFERROR(TRIM(INDEX($A97:$T97,MATCH(Lists!$F$14,$A$1:$T$1,0))&amp;""),""))</f>
        <v/>
      </c>
      <c r="AH97" s="21">
        <f>IF(Y97="","",LEFT(IFERROR(TRIM(INDEX($A97:$T97,MATCH(Lists!$F$10,$A$1:$T$1,0))&amp;""),""),80))</f>
        <v/>
      </c>
      <c r="AI97" s="21">
        <f>IF(Y97="",0,IF(OR(Tally!$B$5="",AA97=Tally!$B$5),1,0))</f>
        <v/>
      </c>
      <c r="AJ97" s="21">
        <f>IF(AI97=1,IF(COUNTIFS($AB$2:AB97,AB97,$AI$2:AI97,1)=1,1,0),0)</f>
        <v/>
      </c>
      <c r="AK97" s="21">
        <f>IF(AJ97=1,SUM($AJ$2:AJ97),"")</f>
        <v/>
      </c>
      <c r="AL97" s="21">
        <f>IF(AND(AI97=1,OR(AD97="In person",AD97="Online"),OR(Speakers!$B$5="",AB97=Speakers!$B$5)),N(Z97)+ROW()/1000000000,"")</f>
        <v/>
      </c>
    </row>
    <row r="98">
      <c r="U98" s="19" t="n"/>
      <c r="V98" s="24" t="n"/>
      <c r="W98" s="24" t="n"/>
      <c r="X98" s="19" t="n"/>
      <c r="Y98" s="21">
        <f>IFERROR(TRIM(INDEX($A98:$T98,MATCH(Lists!$F$2,$A$1:$T$1,0))&amp;""),"")</f>
        <v/>
      </c>
      <c r="Z98" s="22">
        <f>IF(Y98="","",IFERROR(IF(ISNUMBER(INDEX($A98:$T98,MATCH(Lists!$F$3,$A$1:$T$1,0))),INDEX($A98:$T98,MATCH(Lists!$F$3,$A$1:$T$1,0)),DATE(VALUE(LEFT(IFERROR(TRIM(INDEX($A98:$T98,MATCH(Lists!$F$3,$A$1:$T$1,0))&amp;""),""),4)),VALUE(MID(IFERROR(TRIM(INDEX($A98:$T98,MATCH(Lists!$F$3,$A$1:$T$1,0))&amp;""),""),6,2)),VALUE(MID(IFERROR(TRIM(INDEX($A98:$T98,MATCH(Lists!$F$3,$A$1:$T$1,0))&amp;""),""),9,2)))+TIME(VALUE(MID(IFERROR(TRIM(INDEX($A98:$T98,MATCH(Lists!$F$3,$A$1:$T$1,0))&amp;""),""),12,2)),VALUE(MID(IFERROR(TRIM(INDEX($A98:$T98,MATCH(Lists!$F$3,$A$1:$T$1,0))&amp;""),""),15,2)),VALUE(MID(IFERROR(TRIM(INDEX($A98:$T98,MATCH(Lists!$F$3,$A$1:$T$1,0))&amp;""),""),18,2)))),""))</f>
        <v/>
      </c>
      <c r="AA98" s="23">
        <f>IF(Y98="","",IF(ISNUMBER(IFERROR(IF(TRIM(INDEX($A98:$T98,MATCH(Lists!$F$4,$A$1:$T$1,0))&amp;"")="","",IF(ISNUMBER(INDEX($A98:$T98,MATCH(Lists!$F$4,$A$1:$T$1,0))),INT(INDEX($A98:$T98,MATCH(Lists!$F$4,$A$1:$T$1,0))),DATE(VALUE(LEFT(INDEX($A98:$T98,MATCH(Lists!$F$4,$A$1:$T$1,0)),4)),VALUE(MID(INDEX($A98:$T98,MATCH(Lists!$F$4,$A$1:$T$1,0)),6,2)),VALUE(MID(INDEX($A98:$T98,MATCH(Lists!$F$4,$A$1:$T$1,0)),9,2))))),"")),IFERROR(IF(TRIM(INDEX($A98:$T98,MATCH(Lists!$F$4,$A$1:$T$1,0))&amp;"")="","",IF(ISNUMBER(INDEX($A98:$T98,MATCH(Lists!$F$4,$A$1:$T$1,0))),INT(INDEX($A98:$T98,MATCH(Lists!$F$4,$A$1:$T$1,0))),DATE(VALUE(LEFT(INDEX($A98:$T98,MATCH(Lists!$F$4,$A$1:$T$1,0)),4)),VALUE(MID(INDEX($A98:$T98,MATCH(Lists!$F$4,$A$1:$T$1,0)),6,2)),VALUE(MID(INDEX($A98:$T98,MATCH(Lists!$F$4,$A$1:$T$1,0)),9,2))))),""),IFERROR(IF(TRIM(INDEX($A98:$T98,MATCH(Lists!$F$5,$A$1:$T$1,0))&amp;"")="","",IF(ISNUMBER(INDEX($A98:$T98,MATCH(Lists!$F$5,$A$1:$T$1,0))),INT(INDEX($A98:$T98,MATCH(Lists!$F$5,$A$1:$T$1,0))),DATE(VALUE(LEFT(INDEX($A98:$T98,MATCH(Lists!$F$5,$A$1:$T$1,0)),4)),VALUE(MID(INDEX($A98:$T98,MATCH(Lists!$F$5,$A$1:$T$1,0)),6,2)),VALUE(MID(INDEX($A98:$T98,MATCH(Lists!$F$5,$A$1:$T$1,0)),9,2))))),"")))</f>
        <v/>
      </c>
      <c r="AB98" s="21">
        <f>IF(Y98="","",IF(LEFT(IFERROR(TRIM(INDEX($A98:$T98,MATCH(Lists!$F$6,$A$1:$T$1,0))&amp;""),""),2)="No","General comment",IF(IFERROR(TRIM(INDEX($A98:$T98,MATCH(Lists!$F$7,$A$1:$T$1,0))&amp;""),"")&lt;&gt;"",IFERROR(TRIM(INDEX($A98:$T98,MATCH(Lists!$F$7,$A$1:$T$1,0))&amp;""),""),IF(IFERROR(TRIM(INDEX($A98:$T98,MATCH(Lists!$F$8,$A$1:$T$1,0))&amp;""),"")&lt;&gt;"",IFERROR(TRIM(INDEX($A98:$T98,MATCH(Lists!$F$8,$A$1:$T$1,0))&amp;""),""),"(no item given)"))))</f>
        <v/>
      </c>
      <c r="AC98" s="21">
        <f>IF(Y98="","",IF(ISNUMBER(SEARCH("support",IFERROR(TRIM(INDEX($A98:$T98,MATCH(Lists!$F$9,$A$1:$T$1,0))&amp;""),""))),"Support",IF(ISNUMBER(SEARCH("oppose",IFERROR(TRIM(INDEX($A98:$T98,MATCH(Lists!$F$9,$A$1:$T$1,0))&amp;""),""))),"Oppose",IF(IFERROR(TRIM(INDEX($A98:$T98,MATCH(Lists!$F$9,$A$1:$T$1,0))&amp;""),"")="","No position","Neither"))))</f>
        <v/>
      </c>
      <c r="AD98" s="21">
        <f>IF(Y98="","",IF(ISNUMBER(SEARCH("in person",IFERROR(TRIM(INDEX($A98:$T98,MATCH(Lists!$F$13,$A$1:$T$1,0))&amp;""),""))),"In person",IF(ISNUMBER(SEARCH("online",IFERROR(TRIM(INDEX($A98:$T98,MATCH(Lists!$F$13,$A$1:$T$1,0))&amp;""),""))),"Online","Written only")))</f>
        <v/>
      </c>
      <c r="AE98" s="21">
        <f>IF(Y98="","",IFERROR(TRIM(INDEX($A98:$T98,MATCH(Lists!$F$11,$A$1:$T$1,0))&amp;""),""))</f>
        <v/>
      </c>
      <c r="AF98" s="21">
        <f>IF(Y98="","",IFERROR(TRIM(INDEX($A98:$T98,MATCH(Lists!$F$12,$A$1:$T$1,0))&amp;""),""))</f>
        <v/>
      </c>
      <c r="AG98" s="21">
        <f>IF(Y98="","",IFERROR(TRIM(INDEX($A98:$T98,MATCH(Lists!$F$14,$A$1:$T$1,0))&amp;""),""))</f>
        <v/>
      </c>
      <c r="AH98" s="21">
        <f>IF(Y98="","",LEFT(IFERROR(TRIM(INDEX($A98:$T98,MATCH(Lists!$F$10,$A$1:$T$1,0))&amp;""),""),80))</f>
        <v/>
      </c>
      <c r="AI98" s="21">
        <f>IF(Y98="",0,IF(OR(Tally!$B$5="",AA98=Tally!$B$5),1,0))</f>
        <v/>
      </c>
      <c r="AJ98" s="21">
        <f>IF(AI98=1,IF(COUNTIFS($AB$2:AB98,AB98,$AI$2:AI98,1)=1,1,0),0)</f>
        <v/>
      </c>
      <c r="AK98" s="21">
        <f>IF(AJ98=1,SUM($AJ$2:AJ98),"")</f>
        <v/>
      </c>
      <c r="AL98" s="21">
        <f>IF(AND(AI98=1,OR(AD98="In person",AD98="Online"),OR(Speakers!$B$5="",AB98=Speakers!$B$5)),N(Z98)+ROW()/1000000000,"")</f>
        <v/>
      </c>
    </row>
    <row r="99">
      <c r="U99" s="19" t="n"/>
      <c r="V99" s="24" t="n"/>
      <c r="W99" s="24" t="n"/>
      <c r="X99" s="19" t="n"/>
      <c r="Y99" s="21">
        <f>IFERROR(TRIM(INDEX($A99:$T99,MATCH(Lists!$F$2,$A$1:$T$1,0))&amp;""),"")</f>
        <v/>
      </c>
      <c r="Z99" s="22">
        <f>IF(Y99="","",IFERROR(IF(ISNUMBER(INDEX($A99:$T99,MATCH(Lists!$F$3,$A$1:$T$1,0))),INDEX($A99:$T99,MATCH(Lists!$F$3,$A$1:$T$1,0)),DATE(VALUE(LEFT(IFERROR(TRIM(INDEX($A99:$T99,MATCH(Lists!$F$3,$A$1:$T$1,0))&amp;""),""),4)),VALUE(MID(IFERROR(TRIM(INDEX($A99:$T99,MATCH(Lists!$F$3,$A$1:$T$1,0))&amp;""),""),6,2)),VALUE(MID(IFERROR(TRIM(INDEX($A99:$T99,MATCH(Lists!$F$3,$A$1:$T$1,0))&amp;""),""),9,2)))+TIME(VALUE(MID(IFERROR(TRIM(INDEX($A99:$T99,MATCH(Lists!$F$3,$A$1:$T$1,0))&amp;""),""),12,2)),VALUE(MID(IFERROR(TRIM(INDEX($A99:$T99,MATCH(Lists!$F$3,$A$1:$T$1,0))&amp;""),""),15,2)),VALUE(MID(IFERROR(TRIM(INDEX($A99:$T99,MATCH(Lists!$F$3,$A$1:$T$1,0))&amp;""),""),18,2)))),""))</f>
        <v/>
      </c>
      <c r="AA99" s="23">
        <f>IF(Y99="","",IF(ISNUMBER(IFERROR(IF(TRIM(INDEX($A99:$T99,MATCH(Lists!$F$4,$A$1:$T$1,0))&amp;"")="","",IF(ISNUMBER(INDEX($A99:$T99,MATCH(Lists!$F$4,$A$1:$T$1,0))),INT(INDEX($A99:$T99,MATCH(Lists!$F$4,$A$1:$T$1,0))),DATE(VALUE(LEFT(INDEX($A99:$T99,MATCH(Lists!$F$4,$A$1:$T$1,0)),4)),VALUE(MID(INDEX($A99:$T99,MATCH(Lists!$F$4,$A$1:$T$1,0)),6,2)),VALUE(MID(INDEX($A99:$T99,MATCH(Lists!$F$4,$A$1:$T$1,0)),9,2))))),"")),IFERROR(IF(TRIM(INDEX($A99:$T99,MATCH(Lists!$F$4,$A$1:$T$1,0))&amp;"")="","",IF(ISNUMBER(INDEX($A99:$T99,MATCH(Lists!$F$4,$A$1:$T$1,0))),INT(INDEX($A99:$T99,MATCH(Lists!$F$4,$A$1:$T$1,0))),DATE(VALUE(LEFT(INDEX($A99:$T99,MATCH(Lists!$F$4,$A$1:$T$1,0)),4)),VALUE(MID(INDEX($A99:$T99,MATCH(Lists!$F$4,$A$1:$T$1,0)),6,2)),VALUE(MID(INDEX($A99:$T99,MATCH(Lists!$F$4,$A$1:$T$1,0)),9,2))))),""),IFERROR(IF(TRIM(INDEX($A99:$T99,MATCH(Lists!$F$5,$A$1:$T$1,0))&amp;"")="","",IF(ISNUMBER(INDEX($A99:$T99,MATCH(Lists!$F$5,$A$1:$T$1,0))),INT(INDEX($A99:$T99,MATCH(Lists!$F$5,$A$1:$T$1,0))),DATE(VALUE(LEFT(INDEX($A99:$T99,MATCH(Lists!$F$5,$A$1:$T$1,0)),4)),VALUE(MID(INDEX($A99:$T99,MATCH(Lists!$F$5,$A$1:$T$1,0)),6,2)),VALUE(MID(INDEX($A99:$T99,MATCH(Lists!$F$5,$A$1:$T$1,0)),9,2))))),"")))</f>
        <v/>
      </c>
      <c r="AB99" s="21">
        <f>IF(Y99="","",IF(LEFT(IFERROR(TRIM(INDEX($A99:$T99,MATCH(Lists!$F$6,$A$1:$T$1,0))&amp;""),""),2)="No","General comment",IF(IFERROR(TRIM(INDEX($A99:$T99,MATCH(Lists!$F$7,$A$1:$T$1,0))&amp;""),"")&lt;&gt;"",IFERROR(TRIM(INDEX($A99:$T99,MATCH(Lists!$F$7,$A$1:$T$1,0))&amp;""),""),IF(IFERROR(TRIM(INDEX($A99:$T99,MATCH(Lists!$F$8,$A$1:$T$1,0))&amp;""),"")&lt;&gt;"",IFERROR(TRIM(INDEX($A99:$T99,MATCH(Lists!$F$8,$A$1:$T$1,0))&amp;""),""),"(no item given)"))))</f>
        <v/>
      </c>
      <c r="AC99" s="21">
        <f>IF(Y99="","",IF(ISNUMBER(SEARCH("support",IFERROR(TRIM(INDEX($A99:$T99,MATCH(Lists!$F$9,$A$1:$T$1,0))&amp;""),""))),"Support",IF(ISNUMBER(SEARCH("oppose",IFERROR(TRIM(INDEX($A99:$T99,MATCH(Lists!$F$9,$A$1:$T$1,0))&amp;""),""))),"Oppose",IF(IFERROR(TRIM(INDEX($A99:$T99,MATCH(Lists!$F$9,$A$1:$T$1,0))&amp;""),"")="","No position","Neither"))))</f>
        <v/>
      </c>
      <c r="AD99" s="21">
        <f>IF(Y99="","",IF(ISNUMBER(SEARCH("in person",IFERROR(TRIM(INDEX($A99:$T99,MATCH(Lists!$F$13,$A$1:$T$1,0))&amp;""),""))),"In person",IF(ISNUMBER(SEARCH("online",IFERROR(TRIM(INDEX($A99:$T99,MATCH(Lists!$F$13,$A$1:$T$1,0))&amp;""),""))),"Online","Written only")))</f>
        <v/>
      </c>
      <c r="AE99" s="21">
        <f>IF(Y99="","",IFERROR(TRIM(INDEX($A99:$T99,MATCH(Lists!$F$11,$A$1:$T$1,0))&amp;""),""))</f>
        <v/>
      </c>
      <c r="AF99" s="21">
        <f>IF(Y99="","",IFERROR(TRIM(INDEX($A99:$T99,MATCH(Lists!$F$12,$A$1:$T$1,0))&amp;""),""))</f>
        <v/>
      </c>
      <c r="AG99" s="21">
        <f>IF(Y99="","",IFERROR(TRIM(INDEX($A99:$T99,MATCH(Lists!$F$14,$A$1:$T$1,0))&amp;""),""))</f>
        <v/>
      </c>
      <c r="AH99" s="21">
        <f>IF(Y99="","",LEFT(IFERROR(TRIM(INDEX($A99:$T99,MATCH(Lists!$F$10,$A$1:$T$1,0))&amp;""),""),80))</f>
        <v/>
      </c>
      <c r="AI99" s="21">
        <f>IF(Y99="",0,IF(OR(Tally!$B$5="",AA99=Tally!$B$5),1,0))</f>
        <v/>
      </c>
      <c r="AJ99" s="21">
        <f>IF(AI99=1,IF(COUNTIFS($AB$2:AB99,AB99,$AI$2:AI99,1)=1,1,0),0)</f>
        <v/>
      </c>
      <c r="AK99" s="21">
        <f>IF(AJ99=1,SUM($AJ$2:AJ99),"")</f>
        <v/>
      </c>
      <c r="AL99" s="21">
        <f>IF(AND(AI99=1,OR(AD99="In person",AD99="Online"),OR(Speakers!$B$5="",AB99=Speakers!$B$5)),N(Z99)+ROW()/1000000000,"")</f>
        <v/>
      </c>
    </row>
    <row r="100">
      <c r="U100" s="19" t="n"/>
      <c r="V100" s="24" t="n"/>
      <c r="W100" s="24" t="n"/>
      <c r="X100" s="19" t="n"/>
      <c r="Y100" s="21">
        <f>IFERROR(TRIM(INDEX($A100:$T100,MATCH(Lists!$F$2,$A$1:$T$1,0))&amp;""),"")</f>
        <v/>
      </c>
      <c r="Z100" s="22">
        <f>IF(Y100="","",IFERROR(IF(ISNUMBER(INDEX($A100:$T100,MATCH(Lists!$F$3,$A$1:$T$1,0))),INDEX($A100:$T100,MATCH(Lists!$F$3,$A$1:$T$1,0)),DATE(VALUE(LEFT(IFERROR(TRIM(INDEX($A100:$T100,MATCH(Lists!$F$3,$A$1:$T$1,0))&amp;""),""),4)),VALUE(MID(IFERROR(TRIM(INDEX($A100:$T100,MATCH(Lists!$F$3,$A$1:$T$1,0))&amp;""),""),6,2)),VALUE(MID(IFERROR(TRIM(INDEX($A100:$T100,MATCH(Lists!$F$3,$A$1:$T$1,0))&amp;""),""),9,2)))+TIME(VALUE(MID(IFERROR(TRIM(INDEX($A100:$T100,MATCH(Lists!$F$3,$A$1:$T$1,0))&amp;""),""),12,2)),VALUE(MID(IFERROR(TRIM(INDEX($A100:$T100,MATCH(Lists!$F$3,$A$1:$T$1,0))&amp;""),""),15,2)),VALUE(MID(IFERROR(TRIM(INDEX($A100:$T100,MATCH(Lists!$F$3,$A$1:$T$1,0))&amp;""),""),18,2)))),""))</f>
        <v/>
      </c>
      <c r="AA100" s="23">
        <f>IF(Y100="","",IF(ISNUMBER(IFERROR(IF(TRIM(INDEX($A100:$T100,MATCH(Lists!$F$4,$A$1:$T$1,0))&amp;"")="","",IF(ISNUMBER(INDEX($A100:$T100,MATCH(Lists!$F$4,$A$1:$T$1,0))),INT(INDEX($A100:$T100,MATCH(Lists!$F$4,$A$1:$T$1,0))),DATE(VALUE(LEFT(INDEX($A100:$T100,MATCH(Lists!$F$4,$A$1:$T$1,0)),4)),VALUE(MID(INDEX($A100:$T100,MATCH(Lists!$F$4,$A$1:$T$1,0)),6,2)),VALUE(MID(INDEX($A100:$T100,MATCH(Lists!$F$4,$A$1:$T$1,0)),9,2))))),"")),IFERROR(IF(TRIM(INDEX($A100:$T100,MATCH(Lists!$F$4,$A$1:$T$1,0))&amp;"")="","",IF(ISNUMBER(INDEX($A100:$T100,MATCH(Lists!$F$4,$A$1:$T$1,0))),INT(INDEX($A100:$T100,MATCH(Lists!$F$4,$A$1:$T$1,0))),DATE(VALUE(LEFT(INDEX($A100:$T100,MATCH(Lists!$F$4,$A$1:$T$1,0)),4)),VALUE(MID(INDEX($A100:$T100,MATCH(Lists!$F$4,$A$1:$T$1,0)),6,2)),VALUE(MID(INDEX($A100:$T100,MATCH(Lists!$F$4,$A$1:$T$1,0)),9,2))))),""),IFERROR(IF(TRIM(INDEX($A100:$T100,MATCH(Lists!$F$5,$A$1:$T$1,0))&amp;"")="","",IF(ISNUMBER(INDEX($A100:$T100,MATCH(Lists!$F$5,$A$1:$T$1,0))),INT(INDEX($A100:$T100,MATCH(Lists!$F$5,$A$1:$T$1,0))),DATE(VALUE(LEFT(INDEX($A100:$T100,MATCH(Lists!$F$5,$A$1:$T$1,0)),4)),VALUE(MID(INDEX($A100:$T100,MATCH(Lists!$F$5,$A$1:$T$1,0)),6,2)),VALUE(MID(INDEX($A100:$T100,MATCH(Lists!$F$5,$A$1:$T$1,0)),9,2))))),"")))</f>
        <v/>
      </c>
      <c r="AB100" s="21">
        <f>IF(Y100="","",IF(LEFT(IFERROR(TRIM(INDEX($A100:$T100,MATCH(Lists!$F$6,$A$1:$T$1,0))&amp;""),""),2)="No","General comment",IF(IFERROR(TRIM(INDEX($A100:$T100,MATCH(Lists!$F$7,$A$1:$T$1,0))&amp;""),"")&lt;&gt;"",IFERROR(TRIM(INDEX($A100:$T100,MATCH(Lists!$F$7,$A$1:$T$1,0))&amp;""),""),IF(IFERROR(TRIM(INDEX($A100:$T100,MATCH(Lists!$F$8,$A$1:$T$1,0))&amp;""),"")&lt;&gt;"",IFERROR(TRIM(INDEX($A100:$T100,MATCH(Lists!$F$8,$A$1:$T$1,0))&amp;""),""),"(no item given)"))))</f>
        <v/>
      </c>
      <c r="AC100" s="21">
        <f>IF(Y100="","",IF(ISNUMBER(SEARCH("support",IFERROR(TRIM(INDEX($A100:$T100,MATCH(Lists!$F$9,$A$1:$T$1,0))&amp;""),""))),"Support",IF(ISNUMBER(SEARCH("oppose",IFERROR(TRIM(INDEX($A100:$T100,MATCH(Lists!$F$9,$A$1:$T$1,0))&amp;""),""))),"Oppose",IF(IFERROR(TRIM(INDEX($A100:$T100,MATCH(Lists!$F$9,$A$1:$T$1,0))&amp;""),"")="","No position","Neither"))))</f>
        <v/>
      </c>
      <c r="AD100" s="21">
        <f>IF(Y100="","",IF(ISNUMBER(SEARCH("in person",IFERROR(TRIM(INDEX($A100:$T100,MATCH(Lists!$F$13,$A$1:$T$1,0))&amp;""),""))),"In person",IF(ISNUMBER(SEARCH("online",IFERROR(TRIM(INDEX($A100:$T100,MATCH(Lists!$F$13,$A$1:$T$1,0))&amp;""),""))),"Online","Written only")))</f>
        <v/>
      </c>
      <c r="AE100" s="21">
        <f>IF(Y100="","",IFERROR(TRIM(INDEX($A100:$T100,MATCH(Lists!$F$11,$A$1:$T$1,0))&amp;""),""))</f>
        <v/>
      </c>
      <c r="AF100" s="21">
        <f>IF(Y100="","",IFERROR(TRIM(INDEX($A100:$T100,MATCH(Lists!$F$12,$A$1:$T$1,0))&amp;""),""))</f>
        <v/>
      </c>
      <c r="AG100" s="21">
        <f>IF(Y100="","",IFERROR(TRIM(INDEX($A100:$T100,MATCH(Lists!$F$14,$A$1:$T$1,0))&amp;""),""))</f>
        <v/>
      </c>
      <c r="AH100" s="21">
        <f>IF(Y100="","",LEFT(IFERROR(TRIM(INDEX($A100:$T100,MATCH(Lists!$F$10,$A$1:$T$1,0))&amp;""),""),80))</f>
        <v/>
      </c>
      <c r="AI100" s="21">
        <f>IF(Y100="",0,IF(OR(Tally!$B$5="",AA100=Tally!$B$5),1,0))</f>
        <v/>
      </c>
      <c r="AJ100" s="21">
        <f>IF(AI100=1,IF(COUNTIFS($AB$2:AB100,AB100,$AI$2:AI100,1)=1,1,0),0)</f>
        <v/>
      </c>
      <c r="AK100" s="21">
        <f>IF(AJ100=1,SUM($AJ$2:AJ100),"")</f>
        <v/>
      </c>
      <c r="AL100" s="21">
        <f>IF(AND(AI100=1,OR(AD100="In person",AD100="Online"),OR(Speakers!$B$5="",AB100=Speakers!$B$5)),N(Z100)+ROW()/1000000000,"")</f>
        <v/>
      </c>
    </row>
    <row r="101">
      <c r="U101" s="19" t="n"/>
      <c r="V101" s="24" t="n"/>
      <c r="W101" s="24" t="n"/>
      <c r="X101" s="19" t="n"/>
      <c r="Y101" s="21">
        <f>IFERROR(TRIM(INDEX($A101:$T101,MATCH(Lists!$F$2,$A$1:$T$1,0))&amp;""),"")</f>
        <v/>
      </c>
      <c r="Z101" s="22">
        <f>IF(Y101="","",IFERROR(IF(ISNUMBER(INDEX($A101:$T101,MATCH(Lists!$F$3,$A$1:$T$1,0))),INDEX($A101:$T101,MATCH(Lists!$F$3,$A$1:$T$1,0)),DATE(VALUE(LEFT(IFERROR(TRIM(INDEX($A101:$T101,MATCH(Lists!$F$3,$A$1:$T$1,0))&amp;""),""),4)),VALUE(MID(IFERROR(TRIM(INDEX($A101:$T101,MATCH(Lists!$F$3,$A$1:$T$1,0))&amp;""),""),6,2)),VALUE(MID(IFERROR(TRIM(INDEX($A101:$T101,MATCH(Lists!$F$3,$A$1:$T$1,0))&amp;""),""),9,2)))+TIME(VALUE(MID(IFERROR(TRIM(INDEX($A101:$T101,MATCH(Lists!$F$3,$A$1:$T$1,0))&amp;""),""),12,2)),VALUE(MID(IFERROR(TRIM(INDEX($A101:$T101,MATCH(Lists!$F$3,$A$1:$T$1,0))&amp;""),""),15,2)),VALUE(MID(IFERROR(TRIM(INDEX($A101:$T101,MATCH(Lists!$F$3,$A$1:$T$1,0))&amp;""),""),18,2)))),""))</f>
        <v/>
      </c>
      <c r="AA101" s="23">
        <f>IF(Y101="","",IF(ISNUMBER(IFERROR(IF(TRIM(INDEX($A101:$T101,MATCH(Lists!$F$4,$A$1:$T$1,0))&amp;"")="","",IF(ISNUMBER(INDEX($A101:$T101,MATCH(Lists!$F$4,$A$1:$T$1,0))),INT(INDEX($A101:$T101,MATCH(Lists!$F$4,$A$1:$T$1,0))),DATE(VALUE(LEFT(INDEX($A101:$T101,MATCH(Lists!$F$4,$A$1:$T$1,0)),4)),VALUE(MID(INDEX($A101:$T101,MATCH(Lists!$F$4,$A$1:$T$1,0)),6,2)),VALUE(MID(INDEX($A101:$T101,MATCH(Lists!$F$4,$A$1:$T$1,0)),9,2))))),"")),IFERROR(IF(TRIM(INDEX($A101:$T101,MATCH(Lists!$F$4,$A$1:$T$1,0))&amp;"")="","",IF(ISNUMBER(INDEX($A101:$T101,MATCH(Lists!$F$4,$A$1:$T$1,0))),INT(INDEX($A101:$T101,MATCH(Lists!$F$4,$A$1:$T$1,0))),DATE(VALUE(LEFT(INDEX($A101:$T101,MATCH(Lists!$F$4,$A$1:$T$1,0)),4)),VALUE(MID(INDEX($A101:$T101,MATCH(Lists!$F$4,$A$1:$T$1,0)),6,2)),VALUE(MID(INDEX($A101:$T101,MATCH(Lists!$F$4,$A$1:$T$1,0)),9,2))))),""),IFERROR(IF(TRIM(INDEX($A101:$T101,MATCH(Lists!$F$5,$A$1:$T$1,0))&amp;"")="","",IF(ISNUMBER(INDEX($A101:$T101,MATCH(Lists!$F$5,$A$1:$T$1,0))),INT(INDEX($A101:$T101,MATCH(Lists!$F$5,$A$1:$T$1,0))),DATE(VALUE(LEFT(INDEX($A101:$T101,MATCH(Lists!$F$5,$A$1:$T$1,0)),4)),VALUE(MID(INDEX($A101:$T101,MATCH(Lists!$F$5,$A$1:$T$1,0)),6,2)),VALUE(MID(INDEX($A101:$T101,MATCH(Lists!$F$5,$A$1:$T$1,0)),9,2))))),"")))</f>
        <v/>
      </c>
      <c r="AB101" s="21">
        <f>IF(Y101="","",IF(LEFT(IFERROR(TRIM(INDEX($A101:$T101,MATCH(Lists!$F$6,$A$1:$T$1,0))&amp;""),""),2)="No","General comment",IF(IFERROR(TRIM(INDEX($A101:$T101,MATCH(Lists!$F$7,$A$1:$T$1,0))&amp;""),"")&lt;&gt;"",IFERROR(TRIM(INDEX($A101:$T101,MATCH(Lists!$F$7,$A$1:$T$1,0))&amp;""),""),IF(IFERROR(TRIM(INDEX($A101:$T101,MATCH(Lists!$F$8,$A$1:$T$1,0))&amp;""),"")&lt;&gt;"",IFERROR(TRIM(INDEX($A101:$T101,MATCH(Lists!$F$8,$A$1:$T$1,0))&amp;""),""),"(no item given)"))))</f>
        <v/>
      </c>
      <c r="AC101" s="21">
        <f>IF(Y101="","",IF(ISNUMBER(SEARCH("support",IFERROR(TRIM(INDEX($A101:$T101,MATCH(Lists!$F$9,$A$1:$T$1,0))&amp;""),""))),"Support",IF(ISNUMBER(SEARCH("oppose",IFERROR(TRIM(INDEX($A101:$T101,MATCH(Lists!$F$9,$A$1:$T$1,0))&amp;""),""))),"Oppose",IF(IFERROR(TRIM(INDEX($A101:$T101,MATCH(Lists!$F$9,$A$1:$T$1,0))&amp;""),"")="","No position","Neither"))))</f>
        <v/>
      </c>
      <c r="AD101" s="21">
        <f>IF(Y101="","",IF(ISNUMBER(SEARCH("in person",IFERROR(TRIM(INDEX($A101:$T101,MATCH(Lists!$F$13,$A$1:$T$1,0))&amp;""),""))),"In person",IF(ISNUMBER(SEARCH("online",IFERROR(TRIM(INDEX($A101:$T101,MATCH(Lists!$F$13,$A$1:$T$1,0))&amp;""),""))),"Online","Written only")))</f>
        <v/>
      </c>
      <c r="AE101" s="21">
        <f>IF(Y101="","",IFERROR(TRIM(INDEX($A101:$T101,MATCH(Lists!$F$11,$A$1:$T$1,0))&amp;""),""))</f>
        <v/>
      </c>
      <c r="AF101" s="21">
        <f>IF(Y101="","",IFERROR(TRIM(INDEX($A101:$T101,MATCH(Lists!$F$12,$A$1:$T$1,0))&amp;""),""))</f>
        <v/>
      </c>
      <c r="AG101" s="21">
        <f>IF(Y101="","",IFERROR(TRIM(INDEX($A101:$T101,MATCH(Lists!$F$14,$A$1:$T$1,0))&amp;""),""))</f>
        <v/>
      </c>
      <c r="AH101" s="21">
        <f>IF(Y101="","",LEFT(IFERROR(TRIM(INDEX($A101:$T101,MATCH(Lists!$F$10,$A$1:$T$1,0))&amp;""),""),80))</f>
        <v/>
      </c>
      <c r="AI101" s="21">
        <f>IF(Y101="",0,IF(OR(Tally!$B$5="",AA101=Tally!$B$5),1,0))</f>
        <v/>
      </c>
      <c r="AJ101" s="21">
        <f>IF(AI101=1,IF(COUNTIFS($AB$2:AB101,AB101,$AI$2:AI101,1)=1,1,0),0)</f>
        <v/>
      </c>
      <c r="AK101" s="21">
        <f>IF(AJ101=1,SUM($AJ$2:AJ101),"")</f>
        <v/>
      </c>
      <c r="AL101" s="21">
        <f>IF(AND(AI101=1,OR(AD101="In person",AD101="Online"),OR(Speakers!$B$5="",AB101=Speakers!$B$5)),N(Z101)+ROW()/1000000000,"")</f>
        <v/>
      </c>
    </row>
    <row r="102">
      <c r="U102" s="19" t="n"/>
      <c r="V102" s="24" t="n"/>
      <c r="W102" s="24" t="n"/>
      <c r="X102" s="19" t="n"/>
      <c r="Y102" s="21">
        <f>IFERROR(TRIM(INDEX($A102:$T102,MATCH(Lists!$F$2,$A$1:$T$1,0))&amp;""),"")</f>
        <v/>
      </c>
      <c r="Z102" s="22">
        <f>IF(Y102="","",IFERROR(IF(ISNUMBER(INDEX($A102:$T102,MATCH(Lists!$F$3,$A$1:$T$1,0))),INDEX($A102:$T102,MATCH(Lists!$F$3,$A$1:$T$1,0)),DATE(VALUE(LEFT(IFERROR(TRIM(INDEX($A102:$T102,MATCH(Lists!$F$3,$A$1:$T$1,0))&amp;""),""),4)),VALUE(MID(IFERROR(TRIM(INDEX($A102:$T102,MATCH(Lists!$F$3,$A$1:$T$1,0))&amp;""),""),6,2)),VALUE(MID(IFERROR(TRIM(INDEX($A102:$T102,MATCH(Lists!$F$3,$A$1:$T$1,0))&amp;""),""),9,2)))+TIME(VALUE(MID(IFERROR(TRIM(INDEX($A102:$T102,MATCH(Lists!$F$3,$A$1:$T$1,0))&amp;""),""),12,2)),VALUE(MID(IFERROR(TRIM(INDEX($A102:$T102,MATCH(Lists!$F$3,$A$1:$T$1,0))&amp;""),""),15,2)),VALUE(MID(IFERROR(TRIM(INDEX($A102:$T102,MATCH(Lists!$F$3,$A$1:$T$1,0))&amp;""),""),18,2)))),""))</f>
        <v/>
      </c>
      <c r="AA102" s="23">
        <f>IF(Y102="","",IF(ISNUMBER(IFERROR(IF(TRIM(INDEX($A102:$T102,MATCH(Lists!$F$4,$A$1:$T$1,0))&amp;"")="","",IF(ISNUMBER(INDEX($A102:$T102,MATCH(Lists!$F$4,$A$1:$T$1,0))),INT(INDEX($A102:$T102,MATCH(Lists!$F$4,$A$1:$T$1,0))),DATE(VALUE(LEFT(INDEX($A102:$T102,MATCH(Lists!$F$4,$A$1:$T$1,0)),4)),VALUE(MID(INDEX($A102:$T102,MATCH(Lists!$F$4,$A$1:$T$1,0)),6,2)),VALUE(MID(INDEX($A102:$T102,MATCH(Lists!$F$4,$A$1:$T$1,0)),9,2))))),"")),IFERROR(IF(TRIM(INDEX($A102:$T102,MATCH(Lists!$F$4,$A$1:$T$1,0))&amp;"")="","",IF(ISNUMBER(INDEX($A102:$T102,MATCH(Lists!$F$4,$A$1:$T$1,0))),INT(INDEX($A102:$T102,MATCH(Lists!$F$4,$A$1:$T$1,0))),DATE(VALUE(LEFT(INDEX($A102:$T102,MATCH(Lists!$F$4,$A$1:$T$1,0)),4)),VALUE(MID(INDEX($A102:$T102,MATCH(Lists!$F$4,$A$1:$T$1,0)),6,2)),VALUE(MID(INDEX($A102:$T102,MATCH(Lists!$F$4,$A$1:$T$1,0)),9,2))))),""),IFERROR(IF(TRIM(INDEX($A102:$T102,MATCH(Lists!$F$5,$A$1:$T$1,0))&amp;"")="","",IF(ISNUMBER(INDEX($A102:$T102,MATCH(Lists!$F$5,$A$1:$T$1,0))),INT(INDEX($A102:$T102,MATCH(Lists!$F$5,$A$1:$T$1,0))),DATE(VALUE(LEFT(INDEX($A102:$T102,MATCH(Lists!$F$5,$A$1:$T$1,0)),4)),VALUE(MID(INDEX($A102:$T102,MATCH(Lists!$F$5,$A$1:$T$1,0)),6,2)),VALUE(MID(INDEX($A102:$T102,MATCH(Lists!$F$5,$A$1:$T$1,0)),9,2))))),"")))</f>
        <v/>
      </c>
      <c r="AB102" s="21">
        <f>IF(Y102="","",IF(LEFT(IFERROR(TRIM(INDEX($A102:$T102,MATCH(Lists!$F$6,$A$1:$T$1,0))&amp;""),""),2)="No","General comment",IF(IFERROR(TRIM(INDEX($A102:$T102,MATCH(Lists!$F$7,$A$1:$T$1,0))&amp;""),"")&lt;&gt;"",IFERROR(TRIM(INDEX($A102:$T102,MATCH(Lists!$F$7,$A$1:$T$1,0))&amp;""),""),IF(IFERROR(TRIM(INDEX($A102:$T102,MATCH(Lists!$F$8,$A$1:$T$1,0))&amp;""),"")&lt;&gt;"",IFERROR(TRIM(INDEX($A102:$T102,MATCH(Lists!$F$8,$A$1:$T$1,0))&amp;""),""),"(no item given)"))))</f>
        <v/>
      </c>
      <c r="AC102" s="21">
        <f>IF(Y102="","",IF(ISNUMBER(SEARCH("support",IFERROR(TRIM(INDEX($A102:$T102,MATCH(Lists!$F$9,$A$1:$T$1,0))&amp;""),""))),"Support",IF(ISNUMBER(SEARCH("oppose",IFERROR(TRIM(INDEX($A102:$T102,MATCH(Lists!$F$9,$A$1:$T$1,0))&amp;""),""))),"Oppose",IF(IFERROR(TRIM(INDEX($A102:$T102,MATCH(Lists!$F$9,$A$1:$T$1,0))&amp;""),"")="","No position","Neither"))))</f>
        <v/>
      </c>
      <c r="AD102" s="21">
        <f>IF(Y102="","",IF(ISNUMBER(SEARCH("in person",IFERROR(TRIM(INDEX($A102:$T102,MATCH(Lists!$F$13,$A$1:$T$1,0))&amp;""),""))),"In person",IF(ISNUMBER(SEARCH("online",IFERROR(TRIM(INDEX($A102:$T102,MATCH(Lists!$F$13,$A$1:$T$1,0))&amp;""),""))),"Online","Written only")))</f>
        <v/>
      </c>
      <c r="AE102" s="21">
        <f>IF(Y102="","",IFERROR(TRIM(INDEX($A102:$T102,MATCH(Lists!$F$11,$A$1:$T$1,0))&amp;""),""))</f>
        <v/>
      </c>
      <c r="AF102" s="21">
        <f>IF(Y102="","",IFERROR(TRIM(INDEX($A102:$T102,MATCH(Lists!$F$12,$A$1:$T$1,0))&amp;""),""))</f>
        <v/>
      </c>
      <c r="AG102" s="21">
        <f>IF(Y102="","",IFERROR(TRIM(INDEX($A102:$T102,MATCH(Lists!$F$14,$A$1:$T$1,0))&amp;""),""))</f>
        <v/>
      </c>
      <c r="AH102" s="21">
        <f>IF(Y102="","",LEFT(IFERROR(TRIM(INDEX($A102:$T102,MATCH(Lists!$F$10,$A$1:$T$1,0))&amp;""),""),80))</f>
        <v/>
      </c>
      <c r="AI102" s="21">
        <f>IF(Y102="",0,IF(OR(Tally!$B$5="",AA102=Tally!$B$5),1,0))</f>
        <v/>
      </c>
      <c r="AJ102" s="21">
        <f>IF(AI102=1,IF(COUNTIFS($AB$2:AB102,AB102,$AI$2:AI102,1)=1,1,0),0)</f>
        <v/>
      </c>
      <c r="AK102" s="21">
        <f>IF(AJ102=1,SUM($AJ$2:AJ102),"")</f>
        <v/>
      </c>
      <c r="AL102" s="21">
        <f>IF(AND(AI102=1,OR(AD102="In person",AD102="Online"),OR(Speakers!$B$5="",AB102=Speakers!$B$5)),N(Z102)+ROW()/1000000000,"")</f>
        <v/>
      </c>
    </row>
    <row r="103">
      <c r="U103" s="19" t="n"/>
      <c r="V103" s="24" t="n"/>
      <c r="W103" s="24" t="n"/>
      <c r="X103" s="19" t="n"/>
      <c r="Y103" s="21">
        <f>IFERROR(TRIM(INDEX($A103:$T103,MATCH(Lists!$F$2,$A$1:$T$1,0))&amp;""),"")</f>
        <v/>
      </c>
      <c r="Z103" s="22">
        <f>IF(Y103="","",IFERROR(IF(ISNUMBER(INDEX($A103:$T103,MATCH(Lists!$F$3,$A$1:$T$1,0))),INDEX($A103:$T103,MATCH(Lists!$F$3,$A$1:$T$1,0)),DATE(VALUE(LEFT(IFERROR(TRIM(INDEX($A103:$T103,MATCH(Lists!$F$3,$A$1:$T$1,0))&amp;""),""),4)),VALUE(MID(IFERROR(TRIM(INDEX($A103:$T103,MATCH(Lists!$F$3,$A$1:$T$1,0))&amp;""),""),6,2)),VALUE(MID(IFERROR(TRIM(INDEX($A103:$T103,MATCH(Lists!$F$3,$A$1:$T$1,0))&amp;""),""),9,2)))+TIME(VALUE(MID(IFERROR(TRIM(INDEX($A103:$T103,MATCH(Lists!$F$3,$A$1:$T$1,0))&amp;""),""),12,2)),VALUE(MID(IFERROR(TRIM(INDEX($A103:$T103,MATCH(Lists!$F$3,$A$1:$T$1,0))&amp;""),""),15,2)),VALUE(MID(IFERROR(TRIM(INDEX($A103:$T103,MATCH(Lists!$F$3,$A$1:$T$1,0))&amp;""),""),18,2)))),""))</f>
        <v/>
      </c>
      <c r="AA103" s="23">
        <f>IF(Y103="","",IF(ISNUMBER(IFERROR(IF(TRIM(INDEX($A103:$T103,MATCH(Lists!$F$4,$A$1:$T$1,0))&amp;"")="","",IF(ISNUMBER(INDEX($A103:$T103,MATCH(Lists!$F$4,$A$1:$T$1,0))),INT(INDEX($A103:$T103,MATCH(Lists!$F$4,$A$1:$T$1,0))),DATE(VALUE(LEFT(INDEX($A103:$T103,MATCH(Lists!$F$4,$A$1:$T$1,0)),4)),VALUE(MID(INDEX($A103:$T103,MATCH(Lists!$F$4,$A$1:$T$1,0)),6,2)),VALUE(MID(INDEX($A103:$T103,MATCH(Lists!$F$4,$A$1:$T$1,0)),9,2))))),"")),IFERROR(IF(TRIM(INDEX($A103:$T103,MATCH(Lists!$F$4,$A$1:$T$1,0))&amp;"")="","",IF(ISNUMBER(INDEX($A103:$T103,MATCH(Lists!$F$4,$A$1:$T$1,0))),INT(INDEX($A103:$T103,MATCH(Lists!$F$4,$A$1:$T$1,0))),DATE(VALUE(LEFT(INDEX($A103:$T103,MATCH(Lists!$F$4,$A$1:$T$1,0)),4)),VALUE(MID(INDEX($A103:$T103,MATCH(Lists!$F$4,$A$1:$T$1,0)),6,2)),VALUE(MID(INDEX($A103:$T103,MATCH(Lists!$F$4,$A$1:$T$1,0)),9,2))))),""),IFERROR(IF(TRIM(INDEX($A103:$T103,MATCH(Lists!$F$5,$A$1:$T$1,0))&amp;"")="","",IF(ISNUMBER(INDEX($A103:$T103,MATCH(Lists!$F$5,$A$1:$T$1,0))),INT(INDEX($A103:$T103,MATCH(Lists!$F$5,$A$1:$T$1,0))),DATE(VALUE(LEFT(INDEX($A103:$T103,MATCH(Lists!$F$5,$A$1:$T$1,0)),4)),VALUE(MID(INDEX($A103:$T103,MATCH(Lists!$F$5,$A$1:$T$1,0)),6,2)),VALUE(MID(INDEX($A103:$T103,MATCH(Lists!$F$5,$A$1:$T$1,0)),9,2))))),"")))</f>
        <v/>
      </c>
      <c r="AB103" s="21">
        <f>IF(Y103="","",IF(LEFT(IFERROR(TRIM(INDEX($A103:$T103,MATCH(Lists!$F$6,$A$1:$T$1,0))&amp;""),""),2)="No","General comment",IF(IFERROR(TRIM(INDEX($A103:$T103,MATCH(Lists!$F$7,$A$1:$T$1,0))&amp;""),"")&lt;&gt;"",IFERROR(TRIM(INDEX($A103:$T103,MATCH(Lists!$F$7,$A$1:$T$1,0))&amp;""),""),IF(IFERROR(TRIM(INDEX($A103:$T103,MATCH(Lists!$F$8,$A$1:$T$1,0))&amp;""),"")&lt;&gt;"",IFERROR(TRIM(INDEX($A103:$T103,MATCH(Lists!$F$8,$A$1:$T$1,0))&amp;""),""),"(no item given)"))))</f>
        <v/>
      </c>
      <c r="AC103" s="21">
        <f>IF(Y103="","",IF(ISNUMBER(SEARCH("support",IFERROR(TRIM(INDEX($A103:$T103,MATCH(Lists!$F$9,$A$1:$T$1,0))&amp;""),""))),"Support",IF(ISNUMBER(SEARCH("oppose",IFERROR(TRIM(INDEX($A103:$T103,MATCH(Lists!$F$9,$A$1:$T$1,0))&amp;""),""))),"Oppose",IF(IFERROR(TRIM(INDEX($A103:$T103,MATCH(Lists!$F$9,$A$1:$T$1,0))&amp;""),"")="","No position","Neither"))))</f>
        <v/>
      </c>
      <c r="AD103" s="21">
        <f>IF(Y103="","",IF(ISNUMBER(SEARCH("in person",IFERROR(TRIM(INDEX($A103:$T103,MATCH(Lists!$F$13,$A$1:$T$1,0))&amp;""),""))),"In person",IF(ISNUMBER(SEARCH("online",IFERROR(TRIM(INDEX($A103:$T103,MATCH(Lists!$F$13,$A$1:$T$1,0))&amp;""),""))),"Online","Written only")))</f>
        <v/>
      </c>
      <c r="AE103" s="21">
        <f>IF(Y103="","",IFERROR(TRIM(INDEX($A103:$T103,MATCH(Lists!$F$11,$A$1:$T$1,0))&amp;""),""))</f>
        <v/>
      </c>
      <c r="AF103" s="21">
        <f>IF(Y103="","",IFERROR(TRIM(INDEX($A103:$T103,MATCH(Lists!$F$12,$A$1:$T$1,0))&amp;""),""))</f>
        <v/>
      </c>
      <c r="AG103" s="21">
        <f>IF(Y103="","",IFERROR(TRIM(INDEX($A103:$T103,MATCH(Lists!$F$14,$A$1:$T$1,0))&amp;""),""))</f>
        <v/>
      </c>
      <c r="AH103" s="21">
        <f>IF(Y103="","",LEFT(IFERROR(TRIM(INDEX($A103:$T103,MATCH(Lists!$F$10,$A$1:$T$1,0))&amp;""),""),80))</f>
        <v/>
      </c>
      <c r="AI103" s="21">
        <f>IF(Y103="",0,IF(OR(Tally!$B$5="",AA103=Tally!$B$5),1,0))</f>
        <v/>
      </c>
      <c r="AJ103" s="21">
        <f>IF(AI103=1,IF(COUNTIFS($AB$2:AB103,AB103,$AI$2:AI103,1)=1,1,0),0)</f>
        <v/>
      </c>
      <c r="AK103" s="21">
        <f>IF(AJ103=1,SUM($AJ$2:AJ103),"")</f>
        <v/>
      </c>
      <c r="AL103" s="21">
        <f>IF(AND(AI103=1,OR(AD103="In person",AD103="Online"),OR(Speakers!$B$5="",AB103=Speakers!$B$5)),N(Z103)+ROW()/1000000000,"")</f>
        <v/>
      </c>
    </row>
    <row r="104">
      <c r="U104" s="19" t="n"/>
      <c r="V104" s="24" t="n"/>
      <c r="W104" s="24" t="n"/>
      <c r="X104" s="19" t="n"/>
      <c r="Y104" s="21">
        <f>IFERROR(TRIM(INDEX($A104:$T104,MATCH(Lists!$F$2,$A$1:$T$1,0))&amp;""),"")</f>
        <v/>
      </c>
      <c r="Z104" s="22">
        <f>IF(Y104="","",IFERROR(IF(ISNUMBER(INDEX($A104:$T104,MATCH(Lists!$F$3,$A$1:$T$1,0))),INDEX($A104:$T104,MATCH(Lists!$F$3,$A$1:$T$1,0)),DATE(VALUE(LEFT(IFERROR(TRIM(INDEX($A104:$T104,MATCH(Lists!$F$3,$A$1:$T$1,0))&amp;""),""),4)),VALUE(MID(IFERROR(TRIM(INDEX($A104:$T104,MATCH(Lists!$F$3,$A$1:$T$1,0))&amp;""),""),6,2)),VALUE(MID(IFERROR(TRIM(INDEX($A104:$T104,MATCH(Lists!$F$3,$A$1:$T$1,0))&amp;""),""),9,2)))+TIME(VALUE(MID(IFERROR(TRIM(INDEX($A104:$T104,MATCH(Lists!$F$3,$A$1:$T$1,0))&amp;""),""),12,2)),VALUE(MID(IFERROR(TRIM(INDEX($A104:$T104,MATCH(Lists!$F$3,$A$1:$T$1,0))&amp;""),""),15,2)),VALUE(MID(IFERROR(TRIM(INDEX($A104:$T104,MATCH(Lists!$F$3,$A$1:$T$1,0))&amp;""),""),18,2)))),""))</f>
        <v/>
      </c>
      <c r="AA104" s="23">
        <f>IF(Y104="","",IF(ISNUMBER(IFERROR(IF(TRIM(INDEX($A104:$T104,MATCH(Lists!$F$4,$A$1:$T$1,0))&amp;"")="","",IF(ISNUMBER(INDEX($A104:$T104,MATCH(Lists!$F$4,$A$1:$T$1,0))),INT(INDEX($A104:$T104,MATCH(Lists!$F$4,$A$1:$T$1,0))),DATE(VALUE(LEFT(INDEX($A104:$T104,MATCH(Lists!$F$4,$A$1:$T$1,0)),4)),VALUE(MID(INDEX($A104:$T104,MATCH(Lists!$F$4,$A$1:$T$1,0)),6,2)),VALUE(MID(INDEX($A104:$T104,MATCH(Lists!$F$4,$A$1:$T$1,0)),9,2))))),"")),IFERROR(IF(TRIM(INDEX($A104:$T104,MATCH(Lists!$F$4,$A$1:$T$1,0))&amp;"")="","",IF(ISNUMBER(INDEX($A104:$T104,MATCH(Lists!$F$4,$A$1:$T$1,0))),INT(INDEX($A104:$T104,MATCH(Lists!$F$4,$A$1:$T$1,0))),DATE(VALUE(LEFT(INDEX($A104:$T104,MATCH(Lists!$F$4,$A$1:$T$1,0)),4)),VALUE(MID(INDEX($A104:$T104,MATCH(Lists!$F$4,$A$1:$T$1,0)),6,2)),VALUE(MID(INDEX($A104:$T104,MATCH(Lists!$F$4,$A$1:$T$1,0)),9,2))))),""),IFERROR(IF(TRIM(INDEX($A104:$T104,MATCH(Lists!$F$5,$A$1:$T$1,0))&amp;"")="","",IF(ISNUMBER(INDEX($A104:$T104,MATCH(Lists!$F$5,$A$1:$T$1,0))),INT(INDEX($A104:$T104,MATCH(Lists!$F$5,$A$1:$T$1,0))),DATE(VALUE(LEFT(INDEX($A104:$T104,MATCH(Lists!$F$5,$A$1:$T$1,0)),4)),VALUE(MID(INDEX($A104:$T104,MATCH(Lists!$F$5,$A$1:$T$1,0)),6,2)),VALUE(MID(INDEX($A104:$T104,MATCH(Lists!$F$5,$A$1:$T$1,0)),9,2))))),"")))</f>
        <v/>
      </c>
      <c r="AB104" s="21">
        <f>IF(Y104="","",IF(LEFT(IFERROR(TRIM(INDEX($A104:$T104,MATCH(Lists!$F$6,$A$1:$T$1,0))&amp;""),""),2)="No","General comment",IF(IFERROR(TRIM(INDEX($A104:$T104,MATCH(Lists!$F$7,$A$1:$T$1,0))&amp;""),"")&lt;&gt;"",IFERROR(TRIM(INDEX($A104:$T104,MATCH(Lists!$F$7,$A$1:$T$1,0))&amp;""),""),IF(IFERROR(TRIM(INDEX($A104:$T104,MATCH(Lists!$F$8,$A$1:$T$1,0))&amp;""),"")&lt;&gt;"",IFERROR(TRIM(INDEX($A104:$T104,MATCH(Lists!$F$8,$A$1:$T$1,0))&amp;""),""),"(no item given)"))))</f>
        <v/>
      </c>
      <c r="AC104" s="21">
        <f>IF(Y104="","",IF(ISNUMBER(SEARCH("support",IFERROR(TRIM(INDEX($A104:$T104,MATCH(Lists!$F$9,$A$1:$T$1,0))&amp;""),""))),"Support",IF(ISNUMBER(SEARCH("oppose",IFERROR(TRIM(INDEX($A104:$T104,MATCH(Lists!$F$9,$A$1:$T$1,0))&amp;""),""))),"Oppose",IF(IFERROR(TRIM(INDEX($A104:$T104,MATCH(Lists!$F$9,$A$1:$T$1,0))&amp;""),"")="","No position","Neither"))))</f>
        <v/>
      </c>
      <c r="AD104" s="21">
        <f>IF(Y104="","",IF(ISNUMBER(SEARCH("in person",IFERROR(TRIM(INDEX($A104:$T104,MATCH(Lists!$F$13,$A$1:$T$1,0))&amp;""),""))),"In person",IF(ISNUMBER(SEARCH("online",IFERROR(TRIM(INDEX($A104:$T104,MATCH(Lists!$F$13,$A$1:$T$1,0))&amp;""),""))),"Online","Written only")))</f>
        <v/>
      </c>
      <c r="AE104" s="21">
        <f>IF(Y104="","",IFERROR(TRIM(INDEX($A104:$T104,MATCH(Lists!$F$11,$A$1:$T$1,0))&amp;""),""))</f>
        <v/>
      </c>
      <c r="AF104" s="21">
        <f>IF(Y104="","",IFERROR(TRIM(INDEX($A104:$T104,MATCH(Lists!$F$12,$A$1:$T$1,0))&amp;""),""))</f>
        <v/>
      </c>
      <c r="AG104" s="21">
        <f>IF(Y104="","",IFERROR(TRIM(INDEX($A104:$T104,MATCH(Lists!$F$14,$A$1:$T$1,0))&amp;""),""))</f>
        <v/>
      </c>
      <c r="AH104" s="21">
        <f>IF(Y104="","",LEFT(IFERROR(TRIM(INDEX($A104:$T104,MATCH(Lists!$F$10,$A$1:$T$1,0))&amp;""),""),80))</f>
        <v/>
      </c>
      <c r="AI104" s="21">
        <f>IF(Y104="",0,IF(OR(Tally!$B$5="",AA104=Tally!$B$5),1,0))</f>
        <v/>
      </c>
      <c r="AJ104" s="21">
        <f>IF(AI104=1,IF(COUNTIFS($AB$2:AB104,AB104,$AI$2:AI104,1)=1,1,0),0)</f>
        <v/>
      </c>
      <c r="AK104" s="21">
        <f>IF(AJ104=1,SUM($AJ$2:AJ104),"")</f>
        <v/>
      </c>
      <c r="AL104" s="21">
        <f>IF(AND(AI104=1,OR(AD104="In person",AD104="Online"),OR(Speakers!$B$5="",AB104=Speakers!$B$5)),N(Z104)+ROW()/1000000000,"")</f>
        <v/>
      </c>
    </row>
    <row r="105">
      <c r="U105" s="19" t="n"/>
      <c r="V105" s="24" t="n"/>
      <c r="W105" s="24" t="n"/>
      <c r="X105" s="19" t="n"/>
      <c r="Y105" s="21">
        <f>IFERROR(TRIM(INDEX($A105:$T105,MATCH(Lists!$F$2,$A$1:$T$1,0))&amp;""),"")</f>
        <v/>
      </c>
      <c r="Z105" s="22">
        <f>IF(Y105="","",IFERROR(IF(ISNUMBER(INDEX($A105:$T105,MATCH(Lists!$F$3,$A$1:$T$1,0))),INDEX($A105:$T105,MATCH(Lists!$F$3,$A$1:$T$1,0)),DATE(VALUE(LEFT(IFERROR(TRIM(INDEX($A105:$T105,MATCH(Lists!$F$3,$A$1:$T$1,0))&amp;""),""),4)),VALUE(MID(IFERROR(TRIM(INDEX($A105:$T105,MATCH(Lists!$F$3,$A$1:$T$1,0))&amp;""),""),6,2)),VALUE(MID(IFERROR(TRIM(INDEX($A105:$T105,MATCH(Lists!$F$3,$A$1:$T$1,0))&amp;""),""),9,2)))+TIME(VALUE(MID(IFERROR(TRIM(INDEX($A105:$T105,MATCH(Lists!$F$3,$A$1:$T$1,0))&amp;""),""),12,2)),VALUE(MID(IFERROR(TRIM(INDEX($A105:$T105,MATCH(Lists!$F$3,$A$1:$T$1,0))&amp;""),""),15,2)),VALUE(MID(IFERROR(TRIM(INDEX($A105:$T105,MATCH(Lists!$F$3,$A$1:$T$1,0))&amp;""),""),18,2)))),""))</f>
        <v/>
      </c>
      <c r="AA105" s="23">
        <f>IF(Y105="","",IF(ISNUMBER(IFERROR(IF(TRIM(INDEX($A105:$T105,MATCH(Lists!$F$4,$A$1:$T$1,0))&amp;"")="","",IF(ISNUMBER(INDEX($A105:$T105,MATCH(Lists!$F$4,$A$1:$T$1,0))),INT(INDEX($A105:$T105,MATCH(Lists!$F$4,$A$1:$T$1,0))),DATE(VALUE(LEFT(INDEX($A105:$T105,MATCH(Lists!$F$4,$A$1:$T$1,0)),4)),VALUE(MID(INDEX($A105:$T105,MATCH(Lists!$F$4,$A$1:$T$1,0)),6,2)),VALUE(MID(INDEX($A105:$T105,MATCH(Lists!$F$4,$A$1:$T$1,0)),9,2))))),"")),IFERROR(IF(TRIM(INDEX($A105:$T105,MATCH(Lists!$F$4,$A$1:$T$1,0))&amp;"")="","",IF(ISNUMBER(INDEX($A105:$T105,MATCH(Lists!$F$4,$A$1:$T$1,0))),INT(INDEX($A105:$T105,MATCH(Lists!$F$4,$A$1:$T$1,0))),DATE(VALUE(LEFT(INDEX($A105:$T105,MATCH(Lists!$F$4,$A$1:$T$1,0)),4)),VALUE(MID(INDEX($A105:$T105,MATCH(Lists!$F$4,$A$1:$T$1,0)),6,2)),VALUE(MID(INDEX($A105:$T105,MATCH(Lists!$F$4,$A$1:$T$1,0)),9,2))))),""),IFERROR(IF(TRIM(INDEX($A105:$T105,MATCH(Lists!$F$5,$A$1:$T$1,0))&amp;"")="","",IF(ISNUMBER(INDEX($A105:$T105,MATCH(Lists!$F$5,$A$1:$T$1,0))),INT(INDEX($A105:$T105,MATCH(Lists!$F$5,$A$1:$T$1,0))),DATE(VALUE(LEFT(INDEX($A105:$T105,MATCH(Lists!$F$5,$A$1:$T$1,0)),4)),VALUE(MID(INDEX($A105:$T105,MATCH(Lists!$F$5,$A$1:$T$1,0)),6,2)),VALUE(MID(INDEX($A105:$T105,MATCH(Lists!$F$5,$A$1:$T$1,0)),9,2))))),"")))</f>
        <v/>
      </c>
      <c r="AB105" s="21">
        <f>IF(Y105="","",IF(LEFT(IFERROR(TRIM(INDEX($A105:$T105,MATCH(Lists!$F$6,$A$1:$T$1,0))&amp;""),""),2)="No","General comment",IF(IFERROR(TRIM(INDEX($A105:$T105,MATCH(Lists!$F$7,$A$1:$T$1,0))&amp;""),"")&lt;&gt;"",IFERROR(TRIM(INDEX($A105:$T105,MATCH(Lists!$F$7,$A$1:$T$1,0))&amp;""),""),IF(IFERROR(TRIM(INDEX($A105:$T105,MATCH(Lists!$F$8,$A$1:$T$1,0))&amp;""),"")&lt;&gt;"",IFERROR(TRIM(INDEX($A105:$T105,MATCH(Lists!$F$8,$A$1:$T$1,0))&amp;""),""),"(no item given)"))))</f>
        <v/>
      </c>
      <c r="AC105" s="21">
        <f>IF(Y105="","",IF(ISNUMBER(SEARCH("support",IFERROR(TRIM(INDEX($A105:$T105,MATCH(Lists!$F$9,$A$1:$T$1,0))&amp;""),""))),"Support",IF(ISNUMBER(SEARCH("oppose",IFERROR(TRIM(INDEX($A105:$T105,MATCH(Lists!$F$9,$A$1:$T$1,0))&amp;""),""))),"Oppose",IF(IFERROR(TRIM(INDEX($A105:$T105,MATCH(Lists!$F$9,$A$1:$T$1,0))&amp;""),"")="","No position","Neither"))))</f>
        <v/>
      </c>
      <c r="AD105" s="21">
        <f>IF(Y105="","",IF(ISNUMBER(SEARCH("in person",IFERROR(TRIM(INDEX($A105:$T105,MATCH(Lists!$F$13,$A$1:$T$1,0))&amp;""),""))),"In person",IF(ISNUMBER(SEARCH("online",IFERROR(TRIM(INDEX($A105:$T105,MATCH(Lists!$F$13,$A$1:$T$1,0))&amp;""),""))),"Online","Written only")))</f>
        <v/>
      </c>
      <c r="AE105" s="21">
        <f>IF(Y105="","",IFERROR(TRIM(INDEX($A105:$T105,MATCH(Lists!$F$11,$A$1:$T$1,0))&amp;""),""))</f>
        <v/>
      </c>
      <c r="AF105" s="21">
        <f>IF(Y105="","",IFERROR(TRIM(INDEX($A105:$T105,MATCH(Lists!$F$12,$A$1:$T$1,0))&amp;""),""))</f>
        <v/>
      </c>
      <c r="AG105" s="21">
        <f>IF(Y105="","",IFERROR(TRIM(INDEX($A105:$T105,MATCH(Lists!$F$14,$A$1:$T$1,0))&amp;""),""))</f>
        <v/>
      </c>
      <c r="AH105" s="21">
        <f>IF(Y105="","",LEFT(IFERROR(TRIM(INDEX($A105:$T105,MATCH(Lists!$F$10,$A$1:$T$1,0))&amp;""),""),80))</f>
        <v/>
      </c>
      <c r="AI105" s="21">
        <f>IF(Y105="",0,IF(OR(Tally!$B$5="",AA105=Tally!$B$5),1,0))</f>
        <v/>
      </c>
      <c r="AJ105" s="21">
        <f>IF(AI105=1,IF(COUNTIFS($AB$2:AB105,AB105,$AI$2:AI105,1)=1,1,0),0)</f>
        <v/>
      </c>
      <c r="AK105" s="21">
        <f>IF(AJ105=1,SUM($AJ$2:AJ105),"")</f>
        <v/>
      </c>
      <c r="AL105" s="21">
        <f>IF(AND(AI105=1,OR(AD105="In person",AD105="Online"),OR(Speakers!$B$5="",AB105=Speakers!$B$5)),N(Z105)+ROW()/1000000000,"")</f>
        <v/>
      </c>
    </row>
    <row r="106">
      <c r="U106" s="19" t="n"/>
      <c r="V106" s="24" t="n"/>
      <c r="W106" s="24" t="n"/>
      <c r="X106" s="19" t="n"/>
      <c r="Y106" s="21">
        <f>IFERROR(TRIM(INDEX($A106:$T106,MATCH(Lists!$F$2,$A$1:$T$1,0))&amp;""),"")</f>
        <v/>
      </c>
      <c r="Z106" s="22">
        <f>IF(Y106="","",IFERROR(IF(ISNUMBER(INDEX($A106:$T106,MATCH(Lists!$F$3,$A$1:$T$1,0))),INDEX($A106:$T106,MATCH(Lists!$F$3,$A$1:$T$1,0)),DATE(VALUE(LEFT(IFERROR(TRIM(INDEX($A106:$T106,MATCH(Lists!$F$3,$A$1:$T$1,0))&amp;""),""),4)),VALUE(MID(IFERROR(TRIM(INDEX($A106:$T106,MATCH(Lists!$F$3,$A$1:$T$1,0))&amp;""),""),6,2)),VALUE(MID(IFERROR(TRIM(INDEX($A106:$T106,MATCH(Lists!$F$3,$A$1:$T$1,0))&amp;""),""),9,2)))+TIME(VALUE(MID(IFERROR(TRIM(INDEX($A106:$T106,MATCH(Lists!$F$3,$A$1:$T$1,0))&amp;""),""),12,2)),VALUE(MID(IFERROR(TRIM(INDEX($A106:$T106,MATCH(Lists!$F$3,$A$1:$T$1,0))&amp;""),""),15,2)),VALUE(MID(IFERROR(TRIM(INDEX($A106:$T106,MATCH(Lists!$F$3,$A$1:$T$1,0))&amp;""),""),18,2)))),""))</f>
        <v/>
      </c>
      <c r="AA106" s="23">
        <f>IF(Y106="","",IF(ISNUMBER(IFERROR(IF(TRIM(INDEX($A106:$T106,MATCH(Lists!$F$4,$A$1:$T$1,0))&amp;"")="","",IF(ISNUMBER(INDEX($A106:$T106,MATCH(Lists!$F$4,$A$1:$T$1,0))),INT(INDEX($A106:$T106,MATCH(Lists!$F$4,$A$1:$T$1,0))),DATE(VALUE(LEFT(INDEX($A106:$T106,MATCH(Lists!$F$4,$A$1:$T$1,0)),4)),VALUE(MID(INDEX($A106:$T106,MATCH(Lists!$F$4,$A$1:$T$1,0)),6,2)),VALUE(MID(INDEX($A106:$T106,MATCH(Lists!$F$4,$A$1:$T$1,0)),9,2))))),"")),IFERROR(IF(TRIM(INDEX($A106:$T106,MATCH(Lists!$F$4,$A$1:$T$1,0))&amp;"")="","",IF(ISNUMBER(INDEX($A106:$T106,MATCH(Lists!$F$4,$A$1:$T$1,0))),INT(INDEX($A106:$T106,MATCH(Lists!$F$4,$A$1:$T$1,0))),DATE(VALUE(LEFT(INDEX($A106:$T106,MATCH(Lists!$F$4,$A$1:$T$1,0)),4)),VALUE(MID(INDEX($A106:$T106,MATCH(Lists!$F$4,$A$1:$T$1,0)),6,2)),VALUE(MID(INDEX($A106:$T106,MATCH(Lists!$F$4,$A$1:$T$1,0)),9,2))))),""),IFERROR(IF(TRIM(INDEX($A106:$T106,MATCH(Lists!$F$5,$A$1:$T$1,0))&amp;"")="","",IF(ISNUMBER(INDEX($A106:$T106,MATCH(Lists!$F$5,$A$1:$T$1,0))),INT(INDEX($A106:$T106,MATCH(Lists!$F$5,$A$1:$T$1,0))),DATE(VALUE(LEFT(INDEX($A106:$T106,MATCH(Lists!$F$5,$A$1:$T$1,0)),4)),VALUE(MID(INDEX($A106:$T106,MATCH(Lists!$F$5,$A$1:$T$1,0)),6,2)),VALUE(MID(INDEX($A106:$T106,MATCH(Lists!$F$5,$A$1:$T$1,0)),9,2))))),"")))</f>
        <v/>
      </c>
      <c r="AB106" s="21">
        <f>IF(Y106="","",IF(LEFT(IFERROR(TRIM(INDEX($A106:$T106,MATCH(Lists!$F$6,$A$1:$T$1,0))&amp;""),""),2)="No","General comment",IF(IFERROR(TRIM(INDEX($A106:$T106,MATCH(Lists!$F$7,$A$1:$T$1,0))&amp;""),"")&lt;&gt;"",IFERROR(TRIM(INDEX($A106:$T106,MATCH(Lists!$F$7,$A$1:$T$1,0))&amp;""),""),IF(IFERROR(TRIM(INDEX($A106:$T106,MATCH(Lists!$F$8,$A$1:$T$1,0))&amp;""),"")&lt;&gt;"",IFERROR(TRIM(INDEX($A106:$T106,MATCH(Lists!$F$8,$A$1:$T$1,0))&amp;""),""),"(no item given)"))))</f>
        <v/>
      </c>
      <c r="AC106" s="21">
        <f>IF(Y106="","",IF(ISNUMBER(SEARCH("support",IFERROR(TRIM(INDEX($A106:$T106,MATCH(Lists!$F$9,$A$1:$T$1,0))&amp;""),""))),"Support",IF(ISNUMBER(SEARCH("oppose",IFERROR(TRIM(INDEX($A106:$T106,MATCH(Lists!$F$9,$A$1:$T$1,0))&amp;""),""))),"Oppose",IF(IFERROR(TRIM(INDEX($A106:$T106,MATCH(Lists!$F$9,$A$1:$T$1,0))&amp;""),"")="","No position","Neither"))))</f>
        <v/>
      </c>
      <c r="AD106" s="21">
        <f>IF(Y106="","",IF(ISNUMBER(SEARCH("in person",IFERROR(TRIM(INDEX($A106:$T106,MATCH(Lists!$F$13,$A$1:$T$1,0))&amp;""),""))),"In person",IF(ISNUMBER(SEARCH("online",IFERROR(TRIM(INDEX($A106:$T106,MATCH(Lists!$F$13,$A$1:$T$1,0))&amp;""),""))),"Online","Written only")))</f>
        <v/>
      </c>
      <c r="AE106" s="21">
        <f>IF(Y106="","",IFERROR(TRIM(INDEX($A106:$T106,MATCH(Lists!$F$11,$A$1:$T$1,0))&amp;""),""))</f>
        <v/>
      </c>
      <c r="AF106" s="21">
        <f>IF(Y106="","",IFERROR(TRIM(INDEX($A106:$T106,MATCH(Lists!$F$12,$A$1:$T$1,0))&amp;""),""))</f>
        <v/>
      </c>
      <c r="AG106" s="21">
        <f>IF(Y106="","",IFERROR(TRIM(INDEX($A106:$T106,MATCH(Lists!$F$14,$A$1:$T$1,0))&amp;""),""))</f>
        <v/>
      </c>
      <c r="AH106" s="21">
        <f>IF(Y106="","",LEFT(IFERROR(TRIM(INDEX($A106:$T106,MATCH(Lists!$F$10,$A$1:$T$1,0))&amp;""),""),80))</f>
        <v/>
      </c>
      <c r="AI106" s="21">
        <f>IF(Y106="",0,IF(OR(Tally!$B$5="",AA106=Tally!$B$5),1,0))</f>
        <v/>
      </c>
      <c r="AJ106" s="21">
        <f>IF(AI106=1,IF(COUNTIFS($AB$2:AB106,AB106,$AI$2:AI106,1)=1,1,0),0)</f>
        <v/>
      </c>
      <c r="AK106" s="21">
        <f>IF(AJ106=1,SUM($AJ$2:AJ106),"")</f>
        <v/>
      </c>
      <c r="AL106" s="21">
        <f>IF(AND(AI106=1,OR(AD106="In person",AD106="Online"),OR(Speakers!$B$5="",AB106=Speakers!$B$5)),N(Z106)+ROW()/1000000000,"")</f>
        <v/>
      </c>
    </row>
    <row r="107">
      <c r="U107" s="19" t="n"/>
      <c r="V107" s="24" t="n"/>
      <c r="W107" s="24" t="n"/>
      <c r="X107" s="19" t="n"/>
      <c r="Y107" s="21">
        <f>IFERROR(TRIM(INDEX($A107:$T107,MATCH(Lists!$F$2,$A$1:$T$1,0))&amp;""),"")</f>
        <v/>
      </c>
      <c r="Z107" s="22">
        <f>IF(Y107="","",IFERROR(IF(ISNUMBER(INDEX($A107:$T107,MATCH(Lists!$F$3,$A$1:$T$1,0))),INDEX($A107:$T107,MATCH(Lists!$F$3,$A$1:$T$1,0)),DATE(VALUE(LEFT(IFERROR(TRIM(INDEX($A107:$T107,MATCH(Lists!$F$3,$A$1:$T$1,0))&amp;""),""),4)),VALUE(MID(IFERROR(TRIM(INDEX($A107:$T107,MATCH(Lists!$F$3,$A$1:$T$1,0))&amp;""),""),6,2)),VALUE(MID(IFERROR(TRIM(INDEX($A107:$T107,MATCH(Lists!$F$3,$A$1:$T$1,0))&amp;""),""),9,2)))+TIME(VALUE(MID(IFERROR(TRIM(INDEX($A107:$T107,MATCH(Lists!$F$3,$A$1:$T$1,0))&amp;""),""),12,2)),VALUE(MID(IFERROR(TRIM(INDEX($A107:$T107,MATCH(Lists!$F$3,$A$1:$T$1,0))&amp;""),""),15,2)),VALUE(MID(IFERROR(TRIM(INDEX($A107:$T107,MATCH(Lists!$F$3,$A$1:$T$1,0))&amp;""),""),18,2)))),""))</f>
        <v/>
      </c>
      <c r="AA107" s="23">
        <f>IF(Y107="","",IF(ISNUMBER(IFERROR(IF(TRIM(INDEX($A107:$T107,MATCH(Lists!$F$4,$A$1:$T$1,0))&amp;"")="","",IF(ISNUMBER(INDEX($A107:$T107,MATCH(Lists!$F$4,$A$1:$T$1,0))),INT(INDEX($A107:$T107,MATCH(Lists!$F$4,$A$1:$T$1,0))),DATE(VALUE(LEFT(INDEX($A107:$T107,MATCH(Lists!$F$4,$A$1:$T$1,0)),4)),VALUE(MID(INDEX($A107:$T107,MATCH(Lists!$F$4,$A$1:$T$1,0)),6,2)),VALUE(MID(INDEX($A107:$T107,MATCH(Lists!$F$4,$A$1:$T$1,0)),9,2))))),"")),IFERROR(IF(TRIM(INDEX($A107:$T107,MATCH(Lists!$F$4,$A$1:$T$1,0))&amp;"")="","",IF(ISNUMBER(INDEX($A107:$T107,MATCH(Lists!$F$4,$A$1:$T$1,0))),INT(INDEX($A107:$T107,MATCH(Lists!$F$4,$A$1:$T$1,0))),DATE(VALUE(LEFT(INDEX($A107:$T107,MATCH(Lists!$F$4,$A$1:$T$1,0)),4)),VALUE(MID(INDEX($A107:$T107,MATCH(Lists!$F$4,$A$1:$T$1,0)),6,2)),VALUE(MID(INDEX($A107:$T107,MATCH(Lists!$F$4,$A$1:$T$1,0)),9,2))))),""),IFERROR(IF(TRIM(INDEX($A107:$T107,MATCH(Lists!$F$5,$A$1:$T$1,0))&amp;"")="","",IF(ISNUMBER(INDEX($A107:$T107,MATCH(Lists!$F$5,$A$1:$T$1,0))),INT(INDEX($A107:$T107,MATCH(Lists!$F$5,$A$1:$T$1,0))),DATE(VALUE(LEFT(INDEX($A107:$T107,MATCH(Lists!$F$5,$A$1:$T$1,0)),4)),VALUE(MID(INDEX($A107:$T107,MATCH(Lists!$F$5,$A$1:$T$1,0)),6,2)),VALUE(MID(INDEX($A107:$T107,MATCH(Lists!$F$5,$A$1:$T$1,0)),9,2))))),"")))</f>
        <v/>
      </c>
      <c r="AB107" s="21">
        <f>IF(Y107="","",IF(LEFT(IFERROR(TRIM(INDEX($A107:$T107,MATCH(Lists!$F$6,$A$1:$T$1,0))&amp;""),""),2)="No","General comment",IF(IFERROR(TRIM(INDEX($A107:$T107,MATCH(Lists!$F$7,$A$1:$T$1,0))&amp;""),"")&lt;&gt;"",IFERROR(TRIM(INDEX($A107:$T107,MATCH(Lists!$F$7,$A$1:$T$1,0))&amp;""),""),IF(IFERROR(TRIM(INDEX($A107:$T107,MATCH(Lists!$F$8,$A$1:$T$1,0))&amp;""),"")&lt;&gt;"",IFERROR(TRIM(INDEX($A107:$T107,MATCH(Lists!$F$8,$A$1:$T$1,0))&amp;""),""),"(no item given)"))))</f>
        <v/>
      </c>
      <c r="AC107" s="21">
        <f>IF(Y107="","",IF(ISNUMBER(SEARCH("support",IFERROR(TRIM(INDEX($A107:$T107,MATCH(Lists!$F$9,$A$1:$T$1,0))&amp;""),""))),"Support",IF(ISNUMBER(SEARCH("oppose",IFERROR(TRIM(INDEX($A107:$T107,MATCH(Lists!$F$9,$A$1:$T$1,0))&amp;""),""))),"Oppose",IF(IFERROR(TRIM(INDEX($A107:$T107,MATCH(Lists!$F$9,$A$1:$T$1,0))&amp;""),"")="","No position","Neither"))))</f>
        <v/>
      </c>
      <c r="AD107" s="21">
        <f>IF(Y107="","",IF(ISNUMBER(SEARCH("in person",IFERROR(TRIM(INDEX($A107:$T107,MATCH(Lists!$F$13,$A$1:$T$1,0))&amp;""),""))),"In person",IF(ISNUMBER(SEARCH("online",IFERROR(TRIM(INDEX($A107:$T107,MATCH(Lists!$F$13,$A$1:$T$1,0))&amp;""),""))),"Online","Written only")))</f>
        <v/>
      </c>
      <c r="AE107" s="21">
        <f>IF(Y107="","",IFERROR(TRIM(INDEX($A107:$T107,MATCH(Lists!$F$11,$A$1:$T$1,0))&amp;""),""))</f>
        <v/>
      </c>
      <c r="AF107" s="21">
        <f>IF(Y107="","",IFERROR(TRIM(INDEX($A107:$T107,MATCH(Lists!$F$12,$A$1:$T$1,0))&amp;""),""))</f>
        <v/>
      </c>
      <c r="AG107" s="21">
        <f>IF(Y107="","",IFERROR(TRIM(INDEX($A107:$T107,MATCH(Lists!$F$14,$A$1:$T$1,0))&amp;""),""))</f>
        <v/>
      </c>
      <c r="AH107" s="21">
        <f>IF(Y107="","",LEFT(IFERROR(TRIM(INDEX($A107:$T107,MATCH(Lists!$F$10,$A$1:$T$1,0))&amp;""),""),80))</f>
        <v/>
      </c>
      <c r="AI107" s="21">
        <f>IF(Y107="",0,IF(OR(Tally!$B$5="",AA107=Tally!$B$5),1,0))</f>
        <v/>
      </c>
      <c r="AJ107" s="21">
        <f>IF(AI107=1,IF(COUNTIFS($AB$2:AB107,AB107,$AI$2:AI107,1)=1,1,0),0)</f>
        <v/>
      </c>
      <c r="AK107" s="21">
        <f>IF(AJ107=1,SUM($AJ$2:AJ107),"")</f>
        <v/>
      </c>
      <c r="AL107" s="21">
        <f>IF(AND(AI107=1,OR(AD107="In person",AD107="Online"),OR(Speakers!$B$5="",AB107=Speakers!$B$5)),N(Z107)+ROW()/1000000000,"")</f>
        <v/>
      </c>
    </row>
    <row r="108">
      <c r="U108" s="19" t="n"/>
      <c r="V108" s="24" t="n"/>
      <c r="W108" s="24" t="n"/>
      <c r="X108" s="19" t="n"/>
      <c r="Y108" s="21">
        <f>IFERROR(TRIM(INDEX($A108:$T108,MATCH(Lists!$F$2,$A$1:$T$1,0))&amp;""),"")</f>
        <v/>
      </c>
      <c r="Z108" s="22">
        <f>IF(Y108="","",IFERROR(IF(ISNUMBER(INDEX($A108:$T108,MATCH(Lists!$F$3,$A$1:$T$1,0))),INDEX($A108:$T108,MATCH(Lists!$F$3,$A$1:$T$1,0)),DATE(VALUE(LEFT(IFERROR(TRIM(INDEX($A108:$T108,MATCH(Lists!$F$3,$A$1:$T$1,0))&amp;""),""),4)),VALUE(MID(IFERROR(TRIM(INDEX($A108:$T108,MATCH(Lists!$F$3,$A$1:$T$1,0))&amp;""),""),6,2)),VALUE(MID(IFERROR(TRIM(INDEX($A108:$T108,MATCH(Lists!$F$3,$A$1:$T$1,0))&amp;""),""),9,2)))+TIME(VALUE(MID(IFERROR(TRIM(INDEX($A108:$T108,MATCH(Lists!$F$3,$A$1:$T$1,0))&amp;""),""),12,2)),VALUE(MID(IFERROR(TRIM(INDEX($A108:$T108,MATCH(Lists!$F$3,$A$1:$T$1,0))&amp;""),""),15,2)),VALUE(MID(IFERROR(TRIM(INDEX($A108:$T108,MATCH(Lists!$F$3,$A$1:$T$1,0))&amp;""),""),18,2)))),""))</f>
        <v/>
      </c>
      <c r="AA108" s="23">
        <f>IF(Y108="","",IF(ISNUMBER(IFERROR(IF(TRIM(INDEX($A108:$T108,MATCH(Lists!$F$4,$A$1:$T$1,0))&amp;"")="","",IF(ISNUMBER(INDEX($A108:$T108,MATCH(Lists!$F$4,$A$1:$T$1,0))),INT(INDEX($A108:$T108,MATCH(Lists!$F$4,$A$1:$T$1,0))),DATE(VALUE(LEFT(INDEX($A108:$T108,MATCH(Lists!$F$4,$A$1:$T$1,0)),4)),VALUE(MID(INDEX($A108:$T108,MATCH(Lists!$F$4,$A$1:$T$1,0)),6,2)),VALUE(MID(INDEX($A108:$T108,MATCH(Lists!$F$4,$A$1:$T$1,0)),9,2))))),"")),IFERROR(IF(TRIM(INDEX($A108:$T108,MATCH(Lists!$F$4,$A$1:$T$1,0))&amp;"")="","",IF(ISNUMBER(INDEX($A108:$T108,MATCH(Lists!$F$4,$A$1:$T$1,0))),INT(INDEX($A108:$T108,MATCH(Lists!$F$4,$A$1:$T$1,0))),DATE(VALUE(LEFT(INDEX($A108:$T108,MATCH(Lists!$F$4,$A$1:$T$1,0)),4)),VALUE(MID(INDEX($A108:$T108,MATCH(Lists!$F$4,$A$1:$T$1,0)),6,2)),VALUE(MID(INDEX($A108:$T108,MATCH(Lists!$F$4,$A$1:$T$1,0)),9,2))))),""),IFERROR(IF(TRIM(INDEX($A108:$T108,MATCH(Lists!$F$5,$A$1:$T$1,0))&amp;"")="","",IF(ISNUMBER(INDEX($A108:$T108,MATCH(Lists!$F$5,$A$1:$T$1,0))),INT(INDEX($A108:$T108,MATCH(Lists!$F$5,$A$1:$T$1,0))),DATE(VALUE(LEFT(INDEX($A108:$T108,MATCH(Lists!$F$5,$A$1:$T$1,0)),4)),VALUE(MID(INDEX($A108:$T108,MATCH(Lists!$F$5,$A$1:$T$1,0)),6,2)),VALUE(MID(INDEX($A108:$T108,MATCH(Lists!$F$5,$A$1:$T$1,0)),9,2))))),"")))</f>
        <v/>
      </c>
      <c r="AB108" s="21">
        <f>IF(Y108="","",IF(LEFT(IFERROR(TRIM(INDEX($A108:$T108,MATCH(Lists!$F$6,$A$1:$T$1,0))&amp;""),""),2)="No","General comment",IF(IFERROR(TRIM(INDEX($A108:$T108,MATCH(Lists!$F$7,$A$1:$T$1,0))&amp;""),"")&lt;&gt;"",IFERROR(TRIM(INDEX($A108:$T108,MATCH(Lists!$F$7,$A$1:$T$1,0))&amp;""),""),IF(IFERROR(TRIM(INDEX($A108:$T108,MATCH(Lists!$F$8,$A$1:$T$1,0))&amp;""),"")&lt;&gt;"",IFERROR(TRIM(INDEX($A108:$T108,MATCH(Lists!$F$8,$A$1:$T$1,0))&amp;""),""),"(no item given)"))))</f>
        <v/>
      </c>
      <c r="AC108" s="21">
        <f>IF(Y108="","",IF(ISNUMBER(SEARCH("support",IFERROR(TRIM(INDEX($A108:$T108,MATCH(Lists!$F$9,$A$1:$T$1,0))&amp;""),""))),"Support",IF(ISNUMBER(SEARCH("oppose",IFERROR(TRIM(INDEX($A108:$T108,MATCH(Lists!$F$9,$A$1:$T$1,0))&amp;""),""))),"Oppose",IF(IFERROR(TRIM(INDEX($A108:$T108,MATCH(Lists!$F$9,$A$1:$T$1,0))&amp;""),"")="","No position","Neither"))))</f>
        <v/>
      </c>
      <c r="AD108" s="21">
        <f>IF(Y108="","",IF(ISNUMBER(SEARCH("in person",IFERROR(TRIM(INDEX($A108:$T108,MATCH(Lists!$F$13,$A$1:$T$1,0))&amp;""),""))),"In person",IF(ISNUMBER(SEARCH("online",IFERROR(TRIM(INDEX($A108:$T108,MATCH(Lists!$F$13,$A$1:$T$1,0))&amp;""),""))),"Online","Written only")))</f>
        <v/>
      </c>
      <c r="AE108" s="21">
        <f>IF(Y108="","",IFERROR(TRIM(INDEX($A108:$T108,MATCH(Lists!$F$11,$A$1:$T$1,0))&amp;""),""))</f>
        <v/>
      </c>
      <c r="AF108" s="21">
        <f>IF(Y108="","",IFERROR(TRIM(INDEX($A108:$T108,MATCH(Lists!$F$12,$A$1:$T$1,0))&amp;""),""))</f>
        <v/>
      </c>
      <c r="AG108" s="21">
        <f>IF(Y108="","",IFERROR(TRIM(INDEX($A108:$T108,MATCH(Lists!$F$14,$A$1:$T$1,0))&amp;""),""))</f>
        <v/>
      </c>
      <c r="AH108" s="21">
        <f>IF(Y108="","",LEFT(IFERROR(TRIM(INDEX($A108:$T108,MATCH(Lists!$F$10,$A$1:$T$1,0))&amp;""),""),80))</f>
        <v/>
      </c>
      <c r="AI108" s="21">
        <f>IF(Y108="",0,IF(OR(Tally!$B$5="",AA108=Tally!$B$5),1,0))</f>
        <v/>
      </c>
      <c r="AJ108" s="21">
        <f>IF(AI108=1,IF(COUNTIFS($AB$2:AB108,AB108,$AI$2:AI108,1)=1,1,0),0)</f>
        <v/>
      </c>
      <c r="AK108" s="21">
        <f>IF(AJ108=1,SUM($AJ$2:AJ108),"")</f>
        <v/>
      </c>
      <c r="AL108" s="21">
        <f>IF(AND(AI108=1,OR(AD108="In person",AD108="Online"),OR(Speakers!$B$5="",AB108=Speakers!$B$5)),N(Z108)+ROW()/1000000000,"")</f>
        <v/>
      </c>
    </row>
    <row r="109">
      <c r="U109" s="19" t="n"/>
      <c r="V109" s="24" t="n"/>
      <c r="W109" s="24" t="n"/>
      <c r="X109" s="19" t="n"/>
      <c r="Y109" s="21">
        <f>IFERROR(TRIM(INDEX($A109:$T109,MATCH(Lists!$F$2,$A$1:$T$1,0))&amp;""),"")</f>
        <v/>
      </c>
      <c r="Z109" s="22">
        <f>IF(Y109="","",IFERROR(IF(ISNUMBER(INDEX($A109:$T109,MATCH(Lists!$F$3,$A$1:$T$1,0))),INDEX($A109:$T109,MATCH(Lists!$F$3,$A$1:$T$1,0)),DATE(VALUE(LEFT(IFERROR(TRIM(INDEX($A109:$T109,MATCH(Lists!$F$3,$A$1:$T$1,0))&amp;""),""),4)),VALUE(MID(IFERROR(TRIM(INDEX($A109:$T109,MATCH(Lists!$F$3,$A$1:$T$1,0))&amp;""),""),6,2)),VALUE(MID(IFERROR(TRIM(INDEX($A109:$T109,MATCH(Lists!$F$3,$A$1:$T$1,0))&amp;""),""),9,2)))+TIME(VALUE(MID(IFERROR(TRIM(INDEX($A109:$T109,MATCH(Lists!$F$3,$A$1:$T$1,0))&amp;""),""),12,2)),VALUE(MID(IFERROR(TRIM(INDEX($A109:$T109,MATCH(Lists!$F$3,$A$1:$T$1,0))&amp;""),""),15,2)),VALUE(MID(IFERROR(TRIM(INDEX($A109:$T109,MATCH(Lists!$F$3,$A$1:$T$1,0))&amp;""),""),18,2)))),""))</f>
        <v/>
      </c>
      <c r="AA109" s="23">
        <f>IF(Y109="","",IF(ISNUMBER(IFERROR(IF(TRIM(INDEX($A109:$T109,MATCH(Lists!$F$4,$A$1:$T$1,0))&amp;"")="","",IF(ISNUMBER(INDEX($A109:$T109,MATCH(Lists!$F$4,$A$1:$T$1,0))),INT(INDEX($A109:$T109,MATCH(Lists!$F$4,$A$1:$T$1,0))),DATE(VALUE(LEFT(INDEX($A109:$T109,MATCH(Lists!$F$4,$A$1:$T$1,0)),4)),VALUE(MID(INDEX($A109:$T109,MATCH(Lists!$F$4,$A$1:$T$1,0)),6,2)),VALUE(MID(INDEX($A109:$T109,MATCH(Lists!$F$4,$A$1:$T$1,0)),9,2))))),"")),IFERROR(IF(TRIM(INDEX($A109:$T109,MATCH(Lists!$F$4,$A$1:$T$1,0))&amp;"")="","",IF(ISNUMBER(INDEX($A109:$T109,MATCH(Lists!$F$4,$A$1:$T$1,0))),INT(INDEX($A109:$T109,MATCH(Lists!$F$4,$A$1:$T$1,0))),DATE(VALUE(LEFT(INDEX($A109:$T109,MATCH(Lists!$F$4,$A$1:$T$1,0)),4)),VALUE(MID(INDEX($A109:$T109,MATCH(Lists!$F$4,$A$1:$T$1,0)),6,2)),VALUE(MID(INDEX($A109:$T109,MATCH(Lists!$F$4,$A$1:$T$1,0)),9,2))))),""),IFERROR(IF(TRIM(INDEX($A109:$T109,MATCH(Lists!$F$5,$A$1:$T$1,0))&amp;"")="","",IF(ISNUMBER(INDEX($A109:$T109,MATCH(Lists!$F$5,$A$1:$T$1,0))),INT(INDEX($A109:$T109,MATCH(Lists!$F$5,$A$1:$T$1,0))),DATE(VALUE(LEFT(INDEX($A109:$T109,MATCH(Lists!$F$5,$A$1:$T$1,0)),4)),VALUE(MID(INDEX($A109:$T109,MATCH(Lists!$F$5,$A$1:$T$1,0)),6,2)),VALUE(MID(INDEX($A109:$T109,MATCH(Lists!$F$5,$A$1:$T$1,0)),9,2))))),"")))</f>
        <v/>
      </c>
      <c r="AB109" s="21">
        <f>IF(Y109="","",IF(LEFT(IFERROR(TRIM(INDEX($A109:$T109,MATCH(Lists!$F$6,$A$1:$T$1,0))&amp;""),""),2)="No","General comment",IF(IFERROR(TRIM(INDEX($A109:$T109,MATCH(Lists!$F$7,$A$1:$T$1,0))&amp;""),"")&lt;&gt;"",IFERROR(TRIM(INDEX($A109:$T109,MATCH(Lists!$F$7,$A$1:$T$1,0))&amp;""),""),IF(IFERROR(TRIM(INDEX($A109:$T109,MATCH(Lists!$F$8,$A$1:$T$1,0))&amp;""),"")&lt;&gt;"",IFERROR(TRIM(INDEX($A109:$T109,MATCH(Lists!$F$8,$A$1:$T$1,0))&amp;""),""),"(no item given)"))))</f>
        <v/>
      </c>
      <c r="AC109" s="21">
        <f>IF(Y109="","",IF(ISNUMBER(SEARCH("support",IFERROR(TRIM(INDEX($A109:$T109,MATCH(Lists!$F$9,$A$1:$T$1,0))&amp;""),""))),"Support",IF(ISNUMBER(SEARCH("oppose",IFERROR(TRIM(INDEX($A109:$T109,MATCH(Lists!$F$9,$A$1:$T$1,0))&amp;""),""))),"Oppose",IF(IFERROR(TRIM(INDEX($A109:$T109,MATCH(Lists!$F$9,$A$1:$T$1,0))&amp;""),"")="","No position","Neither"))))</f>
        <v/>
      </c>
      <c r="AD109" s="21">
        <f>IF(Y109="","",IF(ISNUMBER(SEARCH("in person",IFERROR(TRIM(INDEX($A109:$T109,MATCH(Lists!$F$13,$A$1:$T$1,0))&amp;""),""))),"In person",IF(ISNUMBER(SEARCH("online",IFERROR(TRIM(INDEX($A109:$T109,MATCH(Lists!$F$13,$A$1:$T$1,0))&amp;""),""))),"Online","Written only")))</f>
        <v/>
      </c>
      <c r="AE109" s="21">
        <f>IF(Y109="","",IFERROR(TRIM(INDEX($A109:$T109,MATCH(Lists!$F$11,$A$1:$T$1,0))&amp;""),""))</f>
        <v/>
      </c>
      <c r="AF109" s="21">
        <f>IF(Y109="","",IFERROR(TRIM(INDEX($A109:$T109,MATCH(Lists!$F$12,$A$1:$T$1,0))&amp;""),""))</f>
        <v/>
      </c>
      <c r="AG109" s="21">
        <f>IF(Y109="","",IFERROR(TRIM(INDEX($A109:$T109,MATCH(Lists!$F$14,$A$1:$T$1,0))&amp;""),""))</f>
        <v/>
      </c>
      <c r="AH109" s="21">
        <f>IF(Y109="","",LEFT(IFERROR(TRIM(INDEX($A109:$T109,MATCH(Lists!$F$10,$A$1:$T$1,0))&amp;""),""),80))</f>
        <v/>
      </c>
      <c r="AI109" s="21">
        <f>IF(Y109="",0,IF(OR(Tally!$B$5="",AA109=Tally!$B$5),1,0))</f>
        <v/>
      </c>
      <c r="AJ109" s="21">
        <f>IF(AI109=1,IF(COUNTIFS($AB$2:AB109,AB109,$AI$2:AI109,1)=1,1,0),0)</f>
        <v/>
      </c>
      <c r="AK109" s="21">
        <f>IF(AJ109=1,SUM($AJ$2:AJ109),"")</f>
        <v/>
      </c>
      <c r="AL109" s="21">
        <f>IF(AND(AI109=1,OR(AD109="In person",AD109="Online"),OR(Speakers!$B$5="",AB109=Speakers!$B$5)),N(Z109)+ROW()/1000000000,"")</f>
        <v/>
      </c>
    </row>
    <row r="110">
      <c r="U110" s="19" t="n"/>
      <c r="V110" s="24" t="n"/>
      <c r="W110" s="24" t="n"/>
      <c r="X110" s="19" t="n"/>
      <c r="Y110" s="21">
        <f>IFERROR(TRIM(INDEX($A110:$T110,MATCH(Lists!$F$2,$A$1:$T$1,0))&amp;""),"")</f>
        <v/>
      </c>
      <c r="Z110" s="22">
        <f>IF(Y110="","",IFERROR(IF(ISNUMBER(INDEX($A110:$T110,MATCH(Lists!$F$3,$A$1:$T$1,0))),INDEX($A110:$T110,MATCH(Lists!$F$3,$A$1:$T$1,0)),DATE(VALUE(LEFT(IFERROR(TRIM(INDEX($A110:$T110,MATCH(Lists!$F$3,$A$1:$T$1,0))&amp;""),""),4)),VALUE(MID(IFERROR(TRIM(INDEX($A110:$T110,MATCH(Lists!$F$3,$A$1:$T$1,0))&amp;""),""),6,2)),VALUE(MID(IFERROR(TRIM(INDEX($A110:$T110,MATCH(Lists!$F$3,$A$1:$T$1,0))&amp;""),""),9,2)))+TIME(VALUE(MID(IFERROR(TRIM(INDEX($A110:$T110,MATCH(Lists!$F$3,$A$1:$T$1,0))&amp;""),""),12,2)),VALUE(MID(IFERROR(TRIM(INDEX($A110:$T110,MATCH(Lists!$F$3,$A$1:$T$1,0))&amp;""),""),15,2)),VALUE(MID(IFERROR(TRIM(INDEX($A110:$T110,MATCH(Lists!$F$3,$A$1:$T$1,0))&amp;""),""),18,2)))),""))</f>
        <v/>
      </c>
      <c r="AA110" s="23">
        <f>IF(Y110="","",IF(ISNUMBER(IFERROR(IF(TRIM(INDEX($A110:$T110,MATCH(Lists!$F$4,$A$1:$T$1,0))&amp;"")="","",IF(ISNUMBER(INDEX($A110:$T110,MATCH(Lists!$F$4,$A$1:$T$1,0))),INT(INDEX($A110:$T110,MATCH(Lists!$F$4,$A$1:$T$1,0))),DATE(VALUE(LEFT(INDEX($A110:$T110,MATCH(Lists!$F$4,$A$1:$T$1,0)),4)),VALUE(MID(INDEX($A110:$T110,MATCH(Lists!$F$4,$A$1:$T$1,0)),6,2)),VALUE(MID(INDEX($A110:$T110,MATCH(Lists!$F$4,$A$1:$T$1,0)),9,2))))),"")),IFERROR(IF(TRIM(INDEX($A110:$T110,MATCH(Lists!$F$4,$A$1:$T$1,0))&amp;"")="","",IF(ISNUMBER(INDEX($A110:$T110,MATCH(Lists!$F$4,$A$1:$T$1,0))),INT(INDEX($A110:$T110,MATCH(Lists!$F$4,$A$1:$T$1,0))),DATE(VALUE(LEFT(INDEX($A110:$T110,MATCH(Lists!$F$4,$A$1:$T$1,0)),4)),VALUE(MID(INDEX($A110:$T110,MATCH(Lists!$F$4,$A$1:$T$1,0)),6,2)),VALUE(MID(INDEX($A110:$T110,MATCH(Lists!$F$4,$A$1:$T$1,0)),9,2))))),""),IFERROR(IF(TRIM(INDEX($A110:$T110,MATCH(Lists!$F$5,$A$1:$T$1,0))&amp;"")="","",IF(ISNUMBER(INDEX($A110:$T110,MATCH(Lists!$F$5,$A$1:$T$1,0))),INT(INDEX($A110:$T110,MATCH(Lists!$F$5,$A$1:$T$1,0))),DATE(VALUE(LEFT(INDEX($A110:$T110,MATCH(Lists!$F$5,$A$1:$T$1,0)),4)),VALUE(MID(INDEX($A110:$T110,MATCH(Lists!$F$5,$A$1:$T$1,0)),6,2)),VALUE(MID(INDEX($A110:$T110,MATCH(Lists!$F$5,$A$1:$T$1,0)),9,2))))),"")))</f>
        <v/>
      </c>
      <c r="AB110" s="21">
        <f>IF(Y110="","",IF(LEFT(IFERROR(TRIM(INDEX($A110:$T110,MATCH(Lists!$F$6,$A$1:$T$1,0))&amp;""),""),2)="No","General comment",IF(IFERROR(TRIM(INDEX($A110:$T110,MATCH(Lists!$F$7,$A$1:$T$1,0))&amp;""),"")&lt;&gt;"",IFERROR(TRIM(INDEX($A110:$T110,MATCH(Lists!$F$7,$A$1:$T$1,0))&amp;""),""),IF(IFERROR(TRIM(INDEX($A110:$T110,MATCH(Lists!$F$8,$A$1:$T$1,0))&amp;""),"")&lt;&gt;"",IFERROR(TRIM(INDEX($A110:$T110,MATCH(Lists!$F$8,$A$1:$T$1,0))&amp;""),""),"(no item given)"))))</f>
        <v/>
      </c>
      <c r="AC110" s="21">
        <f>IF(Y110="","",IF(ISNUMBER(SEARCH("support",IFERROR(TRIM(INDEX($A110:$T110,MATCH(Lists!$F$9,$A$1:$T$1,0))&amp;""),""))),"Support",IF(ISNUMBER(SEARCH("oppose",IFERROR(TRIM(INDEX($A110:$T110,MATCH(Lists!$F$9,$A$1:$T$1,0))&amp;""),""))),"Oppose",IF(IFERROR(TRIM(INDEX($A110:$T110,MATCH(Lists!$F$9,$A$1:$T$1,0))&amp;""),"")="","No position","Neither"))))</f>
        <v/>
      </c>
      <c r="AD110" s="21">
        <f>IF(Y110="","",IF(ISNUMBER(SEARCH("in person",IFERROR(TRIM(INDEX($A110:$T110,MATCH(Lists!$F$13,$A$1:$T$1,0))&amp;""),""))),"In person",IF(ISNUMBER(SEARCH("online",IFERROR(TRIM(INDEX($A110:$T110,MATCH(Lists!$F$13,$A$1:$T$1,0))&amp;""),""))),"Online","Written only")))</f>
        <v/>
      </c>
      <c r="AE110" s="21">
        <f>IF(Y110="","",IFERROR(TRIM(INDEX($A110:$T110,MATCH(Lists!$F$11,$A$1:$T$1,0))&amp;""),""))</f>
        <v/>
      </c>
      <c r="AF110" s="21">
        <f>IF(Y110="","",IFERROR(TRIM(INDEX($A110:$T110,MATCH(Lists!$F$12,$A$1:$T$1,0))&amp;""),""))</f>
        <v/>
      </c>
      <c r="AG110" s="21">
        <f>IF(Y110="","",IFERROR(TRIM(INDEX($A110:$T110,MATCH(Lists!$F$14,$A$1:$T$1,0))&amp;""),""))</f>
        <v/>
      </c>
      <c r="AH110" s="21">
        <f>IF(Y110="","",LEFT(IFERROR(TRIM(INDEX($A110:$T110,MATCH(Lists!$F$10,$A$1:$T$1,0))&amp;""),""),80))</f>
        <v/>
      </c>
      <c r="AI110" s="21">
        <f>IF(Y110="",0,IF(OR(Tally!$B$5="",AA110=Tally!$B$5),1,0))</f>
        <v/>
      </c>
      <c r="AJ110" s="21">
        <f>IF(AI110=1,IF(COUNTIFS($AB$2:AB110,AB110,$AI$2:AI110,1)=1,1,0),0)</f>
        <v/>
      </c>
      <c r="AK110" s="21">
        <f>IF(AJ110=1,SUM($AJ$2:AJ110),"")</f>
        <v/>
      </c>
      <c r="AL110" s="21">
        <f>IF(AND(AI110=1,OR(AD110="In person",AD110="Online"),OR(Speakers!$B$5="",AB110=Speakers!$B$5)),N(Z110)+ROW()/1000000000,"")</f>
        <v/>
      </c>
    </row>
    <row r="111">
      <c r="U111" s="19" t="n"/>
      <c r="V111" s="24" t="n"/>
      <c r="W111" s="24" t="n"/>
      <c r="X111" s="19" t="n"/>
      <c r="Y111" s="21">
        <f>IFERROR(TRIM(INDEX($A111:$T111,MATCH(Lists!$F$2,$A$1:$T$1,0))&amp;""),"")</f>
        <v/>
      </c>
      <c r="Z111" s="22">
        <f>IF(Y111="","",IFERROR(IF(ISNUMBER(INDEX($A111:$T111,MATCH(Lists!$F$3,$A$1:$T$1,0))),INDEX($A111:$T111,MATCH(Lists!$F$3,$A$1:$T$1,0)),DATE(VALUE(LEFT(IFERROR(TRIM(INDEX($A111:$T111,MATCH(Lists!$F$3,$A$1:$T$1,0))&amp;""),""),4)),VALUE(MID(IFERROR(TRIM(INDEX($A111:$T111,MATCH(Lists!$F$3,$A$1:$T$1,0))&amp;""),""),6,2)),VALUE(MID(IFERROR(TRIM(INDEX($A111:$T111,MATCH(Lists!$F$3,$A$1:$T$1,0))&amp;""),""),9,2)))+TIME(VALUE(MID(IFERROR(TRIM(INDEX($A111:$T111,MATCH(Lists!$F$3,$A$1:$T$1,0))&amp;""),""),12,2)),VALUE(MID(IFERROR(TRIM(INDEX($A111:$T111,MATCH(Lists!$F$3,$A$1:$T$1,0))&amp;""),""),15,2)),VALUE(MID(IFERROR(TRIM(INDEX($A111:$T111,MATCH(Lists!$F$3,$A$1:$T$1,0))&amp;""),""),18,2)))),""))</f>
        <v/>
      </c>
      <c r="AA111" s="23">
        <f>IF(Y111="","",IF(ISNUMBER(IFERROR(IF(TRIM(INDEX($A111:$T111,MATCH(Lists!$F$4,$A$1:$T$1,0))&amp;"")="","",IF(ISNUMBER(INDEX($A111:$T111,MATCH(Lists!$F$4,$A$1:$T$1,0))),INT(INDEX($A111:$T111,MATCH(Lists!$F$4,$A$1:$T$1,0))),DATE(VALUE(LEFT(INDEX($A111:$T111,MATCH(Lists!$F$4,$A$1:$T$1,0)),4)),VALUE(MID(INDEX($A111:$T111,MATCH(Lists!$F$4,$A$1:$T$1,0)),6,2)),VALUE(MID(INDEX($A111:$T111,MATCH(Lists!$F$4,$A$1:$T$1,0)),9,2))))),"")),IFERROR(IF(TRIM(INDEX($A111:$T111,MATCH(Lists!$F$4,$A$1:$T$1,0))&amp;"")="","",IF(ISNUMBER(INDEX($A111:$T111,MATCH(Lists!$F$4,$A$1:$T$1,0))),INT(INDEX($A111:$T111,MATCH(Lists!$F$4,$A$1:$T$1,0))),DATE(VALUE(LEFT(INDEX($A111:$T111,MATCH(Lists!$F$4,$A$1:$T$1,0)),4)),VALUE(MID(INDEX($A111:$T111,MATCH(Lists!$F$4,$A$1:$T$1,0)),6,2)),VALUE(MID(INDEX($A111:$T111,MATCH(Lists!$F$4,$A$1:$T$1,0)),9,2))))),""),IFERROR(IF(TRIM(INDEX($A111:$T111,MATCH(Lists!$F$5,$A$1:$T$1,0))&amp;"")="","",IF(ISNUMBER(INDEX($A111:$T111,MATCH(Lists!$F$5,$A$1:$T$1,0))),INT(INDEX($A111:$T111,MATCH(Lists!$F$5,$A$1:$T$1,0))),DATE(VALUE(LEFT(INDEX($A111:$T111,MATCH(Lists!$F$5,$A$1:$T$1,0)),4)),VALUE(MID(INDEX($A111:$T111,MATCH(Lists!$F$5,$A$1:$T$1,0)),6,2)),VALUE(MID(INDEX($A111:$T111,MATCH(Lists!$F$5,$A$1:$T$1,0)),9,2))))),"")))</f>
        <v/>
      </c>
      <c r="AB111" s="21">
        <f>IF(Y111="","",IF(LEFT(IFERROR(TRIM(INDEX($A111:$T111,MATCH(Lists!$F$6,$A$1:$T$1,0))&amp;""),""),2)="No","General comment",IF(IFERROR(TRIM(INDEX($A111:$T111,MATCH(Lists!$F$7,$A$1:$T$1,0))&amp;""),"")&lt;&gt;"",IFERROR(TRIM(INDEX($A111:$T111,MATCH(Lists!$F$7,$A$1:$T$1,0))&amp;""),""),IF(IFERROR(TRIM(INDEX($A111:$T111,MATCH(Lists!$F$8,$A$1:$T$1,0))&amp;""),"")&lt;&gt;"",IFERROR(TRIM(INDEX($A111:$T111,MATCH(Lists!$F$8,$A$1:$T$1,0))&amp;""),""),"(no item given)"))))</f>
        <v/>
      </c>
      <c r="AC111" s="21">
        <f>IF(Y111="","",IF(ISNUMBER(SEARCH("support",IFERROR(TRIM(INDEX($A111:$T111,MATCH(Lists!$F$9,$A$1:$T$1,0))&amp;""),""))),"Support",IF(ISNUMBER(SEARCH("oppose",IFERROR(TRIM(INDEX($A111:$T111,MATCH(Lists!$F$9,$A$1:$T$1,0))&amp;""),""))),"Oppose",IF(IFERROR(TRIM(INDEX($A111:$T111,MATCH(Lists!$F$9,$A$1:$T$1,0))&amp;""),"")="","No position","Neither"))))</f>
        <v/>
      </c>
      <c r="AD111" s="21">
        <f>IF(Y111="","",IF(ISNUMBER(SEARCH("in person",IFERROR(TRIM(INDEX($A111:$T111,MATCH(Lists!$F$13,$A$1:$T$1,0))&amp;""),""))),"In person",IF(ISNUMBER(SEARCH("online",IFERROR(TRIM(INDEX($A111:$T111,MATCH(Lists!$F$13,$A$1:$T$1,0))&amp;""),""))),"Online","Written only")))</f>
        <v/>
      </c>
      <c r="AE111" s="21">
        <f>IF(Y111="","",IFERROR(TRIM(INDEX($A111:$T111,MATCH(Lists!$F$11,$A$1:$T$1,0))&amp;""),""))</f>
        <v/>
      </c>
      <c r="AF111" s="21">
        <f>IF(Y111="","",IFERROR(TRIM(INDEX($A111:$T111,MATCH(Lists!$F$12,$A$1:$T$1,0))&amp;""),""))</f>
        <v/>
      </c>
      <c r="AG111" s="21">
        <f>IF(Y111="","",IFERROR(TRIM(INDEX($A111:$T111,MATCH(Lists!$F$14,$A$1:$T$1,0))&amp;""),""))</f>
        <v/>
      </c>
      <c r="AH111" s="21">
        <f>IF(Y111="","",LEFT(IFERROR(TRIM(INDEX($A111:$T111,MATCH(Lists!$F$10,$A$1:$T$1,0))&amp;""),""),80))</f>
        <v/>
      </c>
      <c r="AI111" s="21">
        <f>IF(Y111="",0,IF(OR(Tally!$B$5="",AA111=Tally!$B$5),1,0))</f>
        <v/>
      </c>
      <c r="AJ111" s="21">
        <f>IF(AI111=1,IF(COUNTIFS($AB$2:AB111,AB111,$AI$2:AI111,1)=1,1,0),0)</f>
        <v/>
      </c>
      <c r="AK111" s="21">
        <f>IF(AJ111=1,SUM($AJ$2:AJ111),"")</f>
        <v/>
      </c>
      <c r="AL111" s="21">
        <f>IF(AND(AI111=1,OR(AD111="In person",AD111="Online"),OR(Speakers!$B$5="",AB111=Speakers!$B$5)),N(Z111)+ROW()/1000000000,"")</f>
        <v/>
      </c>
    </row>
    <row r="112">
      <c r="U112" s="19" t="n"/>
      <c r="V112" s="24" t="n"/>
      <c r="W112" s="24" t="n"/>
      <c r="X112" s="19" t="n"/>
      <c r="Y112" s="21">
        <f>IFERROR(TRIM(INDEX($A112:$T112,MATCH(Lists!$F$2,$A$1:$T$1,0))&amp;""),"")</f>
        <v/>
      </c>
      <c r="Z112" s="22">
        <f>IF(Y112="","",IFERROR(IF(ISNUMBER(INDEX($A112:$T112,MATCH(Lists!$F$3,$A$1:$T$1,0))),INDEX($A112:$T112,MATCH(Lists!$F$3,$A$1:$T$1,0)),DATE(VALUE(LEFT(IFERROR(TRIM(INDEX($A112:$T112,MATCH(Lists!$F$3,$A$1:$T$1,0))&amp;""),""),4)),VALUE(MID(IFERROR(TRIM(INDEX($A112:$T112,MATCH(Lists!$F$3,$A$1:$T$1,0))&amp;""),""),6,2)),VALUE(MID(IFERROR(TRIM(INDEX($A112:$T112,MATCH(Lists!$F$3,$A$1:$T$1,0))&amp;""),""),9,2)))+TIME(VALUE(MID(IFERROR(TRIM(INDEX($A112:$T112,MATCH(Lists!$F$3,$A$1:$T$1,0))&amp;""),""),12,2)),VALUE(MID(IFERROR(TRIM(INDEX($A112:$T112,MATCH(Lists!$F$3,$A$1:$T$1,0))&amp;""),""),15,2)),VALUE(MID(IFERROR(TRIM(INDEX($A112:$T112,MATCH(Lists!$F$3,$A$1:$T$1,0))&amp;""),""),18,2)))),""))</f>
        <v/>
      </c>
      <c r="AA112" s="23">
        <f>IF(Y112="","",IF(ISNUMBER(IFERROR(IF(TRIM(INDEX($A112:$T112,MATCH(Lists!$F$4,$A$1:$T$1,0))&amp;"")="","",IF(ISNUMBER(INDEX($A112:$T112,MATCH(Lists!$F$4,$A$1:$T$1,0))),INT(INDEX($A112:$T112,MATCH(Lists!$F$4,$A$1:$T$1,0))),DATE(VALUE(LEFT(INDEX($A112:$T112,MATCH(Lists!$F$4,$A$1:$T$1,0)),4)),VALUE(MID(INDEX($A112:$T112,MATCH(Lists!$F$4,$A$1:$T$1,0)),6,2)),VALUE(MID(INDEX($A112:$T112,MATCH(Lists!$F$4,$A$1:$T$1,0)),9,2))))),"")),IFERROR(IF(TRIM(INDEX($A112:$T112,MATCH(Lists!$F$4,$A$1:$T$1,0))&amp;"")="","",IF(ISNUMBER(INDEX($A112:$T112,MATCH(Lists!$F$4,$A$1:$T$1,0))),INT(INDEX($A112:$T112,MATCH(Lists!$F$4,$A$1:$T$1,0))),DATE(VALUE(LEFT(INDEX($A112:$T112,MATCH(Lists!$F$4,$A$1:$T$1,0)),4)),VALUE(MID(INDEX($A112:$T112,MATCH(Lists!$F$4,$A$1:$T$1,0)),6,2)),VALUE(MID(INDEX($A112:$T112,MATCH(Lists!$F$4,$A$1:$T$1,0)),9,2))))),""),IFERROR(IF(TRIM(INDEX($A112:$T112,MATCH(Lists!$F$5,$A$1:$T$1,0))&amp;"")="","",IF(ISNUMBER(INDEX($A112:$T112,MATCH(Lists!$F$5,$A$1:$T$1,0))),INT(INDEX($A112:$T112,MATCH(Lists!$F$5,$A$1:$T$1,0))),DATE(VALUE(LEFT(INDEX($A112:$T112,MATCH(Lists!$F$5,$A$1:$T$1,0)),4)),VALUE(MID(INDEX($A112:$T112,MATCH(Lists!$F$5,$A$1:$T$1,0)),6,2)),VALUE(MID(INDEX($A112:$T112,MATCH(Lists!$F$5,$A$1:$T$1,0)),9,2))))),"")))</f>
        <v/>
      </c>
      <c r="AB112" s="21">
        <f>IF(Y112="","",IF(LEFT(IFERROR(TRIM(INDEX($A112:$T112,MATCH(Lists!$F$6,$A$1:$T$1,0))&amp;""),""),2)="No","General comment",IF(IFERROR(TRIM(INDEX($A112:$T112,MATCH(Lists!$F$7,$A$1:$T$1,0))&amp;""),"")&lt;&gt;"",IFERROR(TRIM(INDEX($A112:$T112,MATCH(Lists!$F$7,$A$1:$T$1,0))&amp;""),""),IF(IFERROR(TRIM(INDEX($A112:$T112,MATCH(Lists!$F$8,$A$1:$T$1,0))&amp;""),"")&lt;&gt;"",IFERROR(TRIM(INDEX($A112:$T112,MATCH(Lists!$F$8,$A$1:$T$1,0))&amp;""),""),"(no item given)"))))</f>
        <v/>
      </c>
      <c r="AC112" s="21">
        <f>IF(Y112="","",IF(ISNUMBER(SEARCH("support",IFERROR(TRIM(INDEX($A112:$T112,MATCH(Lists!$F$9,$A$1:$T$1,0))&amp;""),""))),"Support",IF(ISNUMBER(SEARCH("oppose",IFERROR(TRIM(INDEX($A112:$T112,MATCH(Lists!$F$9,$A$1:$T$1,0))&amp;""),""))),"Oppose",IF(IFERROR(TRIM(INDEX($A112:$T112,MATCH(Lists!$F$9,$A$1:$T$1,0))&amp;""),"")="","No position","Neither"))))</f>
        <v/>
      </c>
      <c r="AD112" s="21">
        <f>IF(Y112="","",IF(ISNUMBER(SEARCH("in person",IFERROR(TRIM(INDEX($A112:$T112,MATCH(Lists!$F$13,$A$1:$T$1,0))&amp;""),""))),"In person",IF(ISNUMBER(SEARCH("online",IFERROR(TRIM(INDEX($A112:$T112,MATCH(Lists!$F$13,$A$1:$T$1,0))&amp;""),""))),"Online","Written only")))</f>
        <v/>
      </c>
      <c r="AE112" s="21">
        <f>IF(Y112="","",IFERROR(TRIM(INDEX($A112:$T112,MATCH(Lists!$F$11,$A$1:$T$1,0))&amp;""),""))</f>
        <v/>
      </c>
      <c r="AF112" s="21">
        <f>IF(Y112="","",IFERROR(TRIM(INDEX($A112:$T112,MATCH(Lists!$F$12,$A$1:$T$1,0))&amp;""),""))</f>
        <v/>
      </c>
      <c r="AG112" s="21">
        <f>IF(Y112="","",IFERROR(TRIM(INDEX($A112:$T112,MATCH(Lists!$F$14,$A$1:$T$1,0))&amp;""),""))</f>
        <v/>
      </c>
      <c r="AH112" s="21">
        <f>IF(Y112="","",LEFT(IFERROR(TRIM(INDEX($A112:$T112,MATCH(Lists!$F$10,$A$1:$T$1,0))&amp;""),""),80))</f>
        <v/>
      </c>
      <c r="AI112" s="21">
        <f>IF(Y112="",0,IF(OR(Tally!$B$5="",AA112=Tally!$B$5),1,0))</f>
        <v/>
      </c>
      <c r="AJ112" s="21">
        <f>IF(AI112=1,IF(COUNTIFS($AB$2:AB112,AB112,$AI$2:AI112,1)=1,1,0),0)</f>
        <v/>
      </c>
      <c r="AK112" s="21">
        <f>IF(AJ112=1,SUM($AJ$2:AJ112),"")</f>
        <v/>
      </c>
      <c r="AL112" s="21">
        <f>IF(AND(AI112=1,OR(AD112="In person",AD112="Online"),OR(Speakers!$B$5="",AB112=Speakers!$B$5)),N(Z112)+ROW()/1000000000,"")</f>
        <v/>
      </c>
    </row>
    <row r="113">
      <c r="U113" s="19" t="n"/>
      <c r="V113" s="24" t="n"/>
      <c r="W113" s="24" t="n"/>
      <c r="X113" s="19" t="n"/>
      <c r="Y113" s="21">
        <f>IFERROR(TRIM(INDEX($A113:$T113,MATCH(Lists!$F$2,$A$1:$T$1,0))&amp;""),"")</f>
        <v/>
      </c>
      <c r="Z113" s="22">
        <f>IF(Y113="","",IFERROR(IF(ISNUMBER(INDEX($A113:$T113,MATCH(Lists!$F$3,$A$1:$T$1,0))),INDEX($A113:$T113,MATCH(Lists!$F$3,$A$1:$T$1,0)),DATE(VALUE(LEFT(IFERROR(TRIM(INDEX($A113:$T113,MATCH(Lists!$F$3,$A$1:$T$1,0))&amp;""),""),4)),VALUE(MID(IFERROR(TRIM(INDEX($A113:$T113,MATCH(Lists!$F$3,$A$1:$T$1,0))&amp;""),""),6,2)),VALUE(MID(IFERROR(TRIM(INDEX($A113:$T113,MATCH(Lists!$F$3,$A$1:$T$1,0))&amp;""),""),9,2)))+TIME(VALUE(MID(IFERROR(TRIM(INDEX($A113:$T113,MATCH(Lists!$F$3,$A$1:$T$1,0))&amp;""),""),12,2)),VALUE(MID(IFERROR(TRIM(INDEX($A113:$T113,MATCH(Lists!$F$3,$A$1:$T$1,0))&amp;""),""),15,2)),VALUE(MID(IFERROR(TRIM(INDEX($A113:$T113,MATCH(Lists!$F$3,$A$1:$T$1,0))&amp;""),""),18,2)))),""))</f>
        <v/>
      </c>
      <c r="AA113" s="23">
        <f>IF(Y113="","",IF(ISNUMBER(IFERROR(IF(TRIM(INDEX($A113:$T113,MATCH(Lists!$F$4,$A$1:$T$1,0))&amp;"")="","",IF(ISNUMBER(INDEX($A113:$T113,MATCH(Lists!$F$4,$A$1:$T$1,0))),INT(INDEX($A113:$T113,MATCH(Lists!$F$4,$A$1:$T$1,0))),DATE(VALUE(LEFT(INDEX($A113:$T113,MATCH(Lists!$F$4,$A$1:$T$1,0)),4)),VALUE(MID(INDEX($A113:$T113,MATCH(Lists!$F$4,$A$1:$T$1,0)),6,2)),VALUE(MID(INDEX($A113:$T113,MATCH(Lists!$F$4,$A$1:$T$1,0)),9,2))))),"")),IFERROR(IF(TRIM(INDEX($A113:$T113,MATCH(Lists!$F$4,$A$1:$T$1,0))&amp;"")="","",IF(ISNUMBER(INDEX($A113:$T113,MATCH(Lists!$F$4,$A$1:$T$1,0))),INT(INDEX($A113:$T113,MATCH(Lists!$F$4,$A$1:$T$1,0))),DATE(VALUE(LEFT(INDEX($A113:$T113,MATCH(Lists!$F$4,$A$1:$T$1,0)),4)),VALUE(MID(INDEX($A113:$T113,MATCH(Lists!$F$4,$A$1:$T$1,0)),6,2)),VALUE(MID(INDEX($A113:$T113,MATCH(Lists!$F$4,$A$1:$T$1,0)),9,2))))),""),IFERROR(IF(TRIM(INDEX($A113:$T113,MATCH(Lists!$F$5,$A$1:$T$1,0))&amp;"")="","",IF(ISNUMBER(INDEX($A113:$T113,MATCH(Lists!$F$5,$A$1:$T$1,0))),INT(INDEX($A113:$T113,MATCH(Lists!$F$5,$A$1:$T$1,0))),DATE(VALUE(LEFT(INDEX($A113:$T113,MATCH(Lists!$F$5,$A$1:$T$1,0)),4)),VALUE(MID(INDEX($A113:$T113,MATCH(Lists!$F$5,$A$1:$T$1,0)),6,2)),VALUE(MID(INDEX($A113:$T113,MATCH(Lists!$F$5,$A$1:$T$1,0)),9,2))))),"")))</f>
        <v/>
      </c>
      <c r="AB113" s="21">
        <f>IF(Y113="","",IF(LEFT(IFERROR(TRIM(INDEX($A113:$T113,MATCH(Lists!$F$6,$A$1:$T$1,0))&amp;""),""),2)="No","General comment",IF(IFERROR(TRIM(INDEX($A113:$T113,MATCH(Lists!$F$7,$A$1:$T$1,0))&amp;""),"")&lt;&gt;"",IFERROR(TRIM(INDEX($A113:$T113,MATCH(Lists!$F$7,$A$1:$T$1,0))&amp;""),""),IF(IFERROR(TRIM(INDEX($A113:$T113,MATCH(Lists!$F$8,$A$1:$T$1,0))&amp;""),"")&lt;&gt;"",IFERROR(TRIM(INDEX($A113:$T113,MATCH(Lists!$F$8,$A$1:$T$1,0))&amp;""),""),"(no item given)"))))</f>
        <v/>
      </c>
      <c r="AC113" s="21">
        <f>IF(Y113="","",IF(ISNUMBER(SEARCH("support",IFERROR(TRIM(INDEX($A113:$T113,MATCH(Lists!$F$9,$A$1:$T$1,0))&amp;""),""))),"Support",IF(ISNUMBER(SEARCH("oppose",IFERROR(TRIM(INDEX($A113:$T113,MATCH(Lists!$F$9,$A$1:$T$1,0))&amp;""),""))),"Oppose",IF(IFERROR(TRIM(INDEX($A113:$T113,MATCH(Lists!$F$9,$A$1:$T$1,0))&amp;""),"")="","No position","Neither"))))</f>
        <v/>
      </c>
      <c r="AD113" s="21">
        <f>IF(Y113="","",IF(ISNUMBER(SEARCH("in person",IFERROR(TRIM(INDEX($A113:$T113,MATCH(Lists!$F$13,$A$1:$T$1,0))&amp;""),""))),"In person",IF(ISNUMBER(SEARCH("online",IFERROR(TRIM(INDEX($A113:$T113,MATCH(Lists!$F$13,$A$1:$T$1,0))&amp;""),""))),"Online","Written only")))</f>
        <v/>
      </c>
      <c r="AE113" s="21">
        <f>IF(Y113="","",IFERROR(TRIM(INDEX($A113:$T113,MATCH(Lists!$F$11,$A$1:$T$1,0))&amp;""),""))</f>
        <v/>
      </c>
      <c r="AF113" s="21">
        <f>IF(Y113="","",IFERROR(TRIM(INDEX($A113:$T113,MATCH(Lists!$F$12,$A$1:$T$1,0))&amp;""),""))</f>
        <v/>
      </c>
      <c r="AG113" s="21">
        <f>IF(Y113="","",IFERROR(TRIM(INDEX($A113:$T113,MATCH(Lists!$F$14,$A$1:$T$1,0))&amp;""),""))</f>
        <v/>
      </c>
      <c r="AH113" s="21">
        <f>IF(Y113="","",LEFT(IFERROR(TRIM(INDEX($A113:$T113,MATCH(Lists!$F$10,$A$1:$T$1,0))&amp;""),""),80))</f>
        <v/>
      </c>
      <c r="AI113" s="21">
        <f>IF(Y113="",0,IF(OR(Tally!$B$5="",AA113=Tally!$B$5),1,0))</f>
        <v/>
      </c>
      <c r="AJ113" s="21">
        <f>IF(AI113=1,IF(COUNTIFS($AB$2:AB113,AB113,$AI$2:AI113,1)=1,1,0),0)</f>
        <v/>
      </c>
      <c r="AK113" s="21">
        <f>IF(AJ113=1,SUM($AJ$2:AJ113),"")</f>
        <v/>
      </c>
      <c r="AL113" s="21">
        <f>IF(AND(AI113=1,OR(AD113="In person",AD113="Online"),OR(Speakers!$B$5="",AB113=Speakers!$B$5)),N(Z113)+ROW()/1000000000,"")</f>
        <v/>
      </c>
    </row>
    <row r="114">
      <c r="U114" s="19" t="n"/>
      <c r="V114" s="24" t="n"/>
      <c r="W114" s="24" t="n"/>
      <c r="X114" s="19" t="n"/>
      <c r="Y114" s="21">
        <f>IFERROR(TRIM(INDEX($A114:$T114,MATCH(Lists!$F$2,$A$1:$T$1,0))&amp;""),"")</f>
        <v/>
      </c>
      <c r="Z114" s="22">
        <f>IF(Y114="","",IFERROR(IF(ISNUMBER(INDEX($A114:$T114,MATCH(Lists!$F$3,$A$1:$T$1,0))),INDEX($A114:$T114,MATCH(Lists!$F$3,$A$1:$T$1,0)),DATE(VALUE(LEFT(IFERROR(TRIM(INDEX($A114:$T114,MATCH(Lists!$F$3,$A$1:$T$1,0))&amp;""),""),4)),VALUE(MID(IFERROR(TRIM(INDEX($A114:$T114,MATCH(Lists!$F$3,$A$1:$T$1,0))&amp;""),""),6,2)),VALUE(MID(IFERROR(TRIM(INDEX($A114:$T114,MATCH(Lists!$F$3,$A$1:$T$1,0))&amp;""),""),9,2)))+TIME(VALUE(MID(IFERROR(TRIM(INDEX($A114:$T114,MATCH(Lists!$F$3,$A$1:$T$1,0))&amp;""),""),12,2)),VALUE(MID(IFERROR(TRIM(INDEX($A114:$T114,MATCH(Lists!$F$3,$A$1:$T$1,0))&amp;""),""),15,2)),VALUE(MID(IFERROR(TRIM(INDEX($A114:$T114,MATCH(Lists!$F$3,$A$1:$T$1,0))&amp;""),""),18,2)))),""))</f>
        <v/>
      </c>
      <c r="AA114" s="23">
        <f>IF(Y114="","",IF(ISNUMBER(IFERROR(IF(TRIM(INDEX($A114:$T114,MATCH(Lists!$F$4,$A$1:$T$1,0))&amp;"")="","",IF(ISNUMBER(INDEX($A114:$T114,MATCH(Lists!$F$4,$A$1:$T$1,0))),INT(INDEX($A114:$T114,MATCH(Lists!$F$4,$A$1:$T$1,0))),DATE(VALUE(LEFT(INDEX($A114:$T114,MATCH(Lists!$F$4,$A$1:$T$1,0)),4)),VALUE(MID(INDEX($A114:$T114,MATCH(Lists!$F$4,$A$1:$T$1,0)),6,2)),VALUE(MID(INDEX($A114:$T114,MATCH(Lists!$F$4,$A$1:$T$1,0)),9,2))))),"")),IFERROR(IF(TRIM(INDEX($A114:$T114,MATCH(Lists!$F$4,$A$1:$T$1,0))&amp;"")="","",IF(ISNUMBER(INDEX($A114:$T114,MATCH(Lists!$F$4,$A$1:$T$1,0))),INT(INDEX($A114:$T114,MATCH(Lists!$F$4,$A$1:$T$1,0))),DATE(VALUE(LEFT(INDEX($A114:$T114,MATCH(Lists!$F$4,$A$1:$T$1,0)),4)),VALUE(MID(INDEX($A114:$T114,MATCH(Lists!$F$4,$A$1:$T$1,0)),6,2)),VALUE(MID(INDEX($A114:$T114,MATCH(Lists!$F$4,$A$1:$T$1,0)),9,2))))),""),IFERROR(IF(TRIM(INDEX($A114:$T114,MATCH(Lists!$F$5,$A$1:$T$1,0))&amp;"")="","",IF(ISNUMBER(INDEX($A114:$T114,MATCH(Lists!$F$5,$A$1:$T$1,0))),INT(INDEX($A114:$T114,MATCH(Lists!$F$5,$A$1:$T$1,0))),DATE(VALUE(LEFT(INDEX($A114:$T114,MATCH(Lists!$F$5,$A$1:$T$1,0)),4)),VALUE(MID(INDEX($A114:$T114,MATCH(Lists!$F$5,$A$1:$T$1,0)),6,2)),VALUE(MID(INDEX($A114:$T114,MATCH(Lists!$F$5,$A$1:$T$1,0)),9,2))))),"")))</f>
        <v/>
      </c>
      <c r="AB114" s="21">
        <f>IF(Y114="","",IF(LEFT(IFERROR(TRIM(INDEX($A114:$T114,MATCH(Lists!$F$6,$A$1:$T$1,0))&amp;""),""),2)="No","General comment",IF(IFERROR(TRIM(INDEX($A114:$T114,MATCH(Lists!$F$7,$A$1:$T$1,0))&amp;""),"")&lt;&gt;"",IFERROR(TRIM(INDEX($A114:$T114,MATCH(Lists!$F$7,$A$1:$T$1,0))&amp;""),""),IF(IFERROR(TRIM(INDEX($A114:$T114,MATCH(Lists!$F$8,$A$1:$T$1,0))&amp;""),"")&lt;&gt;"",IFERROR(TRIM(INDEX($A114:$T114,MATCH(Lists!$F$8,$A$1:$T$1,0))&amp;""),""),"(no item given)"))))</f>
        <v/>
      </c>
      <c r="AC114" s="21">
        <f>IF(Y114="","",IF(ISNUMBER(SEARCH("support",IFERROR(TRIM(INDEX($A114:$T114,MATCH(Lists!$F$9,$A$1:$T$1,0))&amp;""),""))),"Support",IF(ISNUMBER(SEARCH("oppose",IFERROR(TRIM(INDEX($A114:$T114,MATCH(Lists!$F$9,$A$1:$T$1,0))&amp;""),""))),"Oppose",IF(IFERROR(TRIM(INDEX($A114:$T114,MATCH(Lists!$F$9,$A$1:$T$1,0))&amp;""),"")="","No position","Neither"))))</f>
        <v/>
      </c>
      <c r="AD114" s="21">
        <f>IF(Y114="","",IF(ISNUMBER(SEARCH("in person",IFERROR(TRIM(INDEX($A114:$T114,MATCH(Lists!$F$13,$A$1:$T$1,0))&amp;""),""))),"In person",IF(ISNUMBER(SEARCH("online",IFERROR(TRIM(INDEX($A114:$T114,MATCH(Lists!$F$13,$A$1:$T$1,0))&amp;""),""))),"Online","Written only")))</f>
        <v/>
      </c>
      <c r="AE114" s="21">
        <f>IF(Y114="","",IFERROR(TRIM(INDEX($A114:$T114,MATCH(Lists!$F$11,$A$1:$T$1,0))&amp;""),""))</f>
        <v/>
      </c>
      <c r="AF114" s="21">
        <f>IF(Y114="","",IFERROR(TRIM(INDEX($A114:$T114,MATCH(Lists!$F$12,$A$1:$T$1,0))&amp;""),""))</f>
        <v/>
      </c>
      <c r="AG114" s="21">
        <f>IF(Y114="","",IFERROR(TRIM(INDEX($A114:$T114,MATCH(Lists!$F$14,$A$1:$T$1,0))&amp;""),""))</f>
        <v/>
      </c>
      <c r="AH114" s="21">
        <f>IF(Y114="","",LEFT(IFERROR(TRIM(INDEX($A114:$T114,MATCH(Lists!$F$10,$A$1:$T$1,0))&amp;""),""),80))</f>
        <v/>
      </c>
      <c r="AI114" s="21">
        <f>IF(Y114="",0,IF(OR(Tally!$B$5="",AA114=Tally!$B$5),1,0))</f>
        <v/>
      </c>
      <c r="AJ114" s="21">
        <f>IF(AI114=1,IF(COUNTIFS($AB$2:AB114,AB114,$AI$2:AI114,1)=1,1,0),0)</f>
        <v/>
      </c>
      <c r="AK114" s="21">
        <f>IF(AJ114=1,SUM($AJ$2:AJ114),"")</f>
        <v/>
      </c>
      <c r="AL114" s="21">
        <f>IF(AND(AI114=1,OR(AD114="In person",AD114="Online"),OR(Speakers!$B$5="",AB114=Speakers!$B$5)),N(Z114)+ROW()/1000000000,"")</f>
        <v/>
      </c>
    </row>
    <row r="115">
      <c r="U115" s="19" t="n"/>
      <c r="V115" s="24" t="n"/>
      <c r="W115" s="24" t="n"/>
      <c r="X115" s="19" t="n"/>
      <c r="Y115" s="21">
        <f>IFERROR(TRIM(INDEX($A115:$T115,MATCH(Lists!$F$2,$A$1:$T$1,0))&amp;""),"")</f>
        <v/>
      </c>
      <c r="Z115" s="22">
        <f>IF(Y115="","",IFERROR(IF(ISNUMBER(INDEX($A115:$T115,MATCH(Lists!$F$3,$A$1:$T$1,0))),INDEX($A115:$T115,MATCH(Lists!$F$3,$A$1:$T$1,0)),DATE(VALUE(LEFT(IFERROR(TRIM(INDEX($A115:$T115,MATCH(Lists!$F$3,$A$1:$T$1,0))&amp;""),""),4)),VALUE(MID(IFERROR(TRIM(INDEX($A115:$T115,MATCH(Lists!$F$3,$A$1:$T$1,0))&amp;""),""),6,2)),VALUE(MID(IFERROR(TRIM(INDEX($A115:$T115,MATCH(Lists!$F$3,$A$1:$T$1,0))&amp;""),""),9,2)))+TIME(VALUE(MID(IFERROR(TRIM(INDEX($A115:$T115,MATCH(Lists!$F$3,$A$1:$T$1,0))&amp;""),""),12,2)),VALUE(MID(IFERROR(TRIM(INDEX($A115:$T115,MATCH(Lists!$F$3,$A$1:$T$1,0))&amp;""),""),15,2)),VALUE(MID(IFERROR(TRIM(INDEX($A115:$T115,MATCH(Lists!$F$3,$A$1:$T$1,0))&amp;""),""),18,2)))),""))</f>
        <v/>
      </c>
      <c r="AA115" s="23">
        <f>IF(Y115="","",IF(ISNUMBER(IFERROR(IF(TRIM(INDEX($A115:$T115,MATCH(Lists!$F$4,$A$1:$T$1,0))&amp;"")="","",IF(ISNUMBER(INDEX($A115:$T115,MATCH(Lists!$F$4,$A$1:$T$1,0))),INT(INDEX($A115:$T115,MATCH(Lists!$F$4,$A$1:$T$1,0))),DATE(VALUE(LEFT(INDEX($A115:$T115,MATCH(Lists!$F$4,$A$1:$T$1,0)),4)),VALUE(MID(INDEX($A115:$T115,MATCH(Lists!$F$4,$A$1:$T$1,0)),6,2)),VALUE(MID(INDEX($A115:$T115,MATCH(Lists!$F$4,$A$1:$T$1,0)),9,2))))),"")),IFERROR(IF(TRIM(INDEX($A115:$T115,MATCH(Lists!$F$4,$A$1:$T$1,0))&amp;"")="","",IF(ISNUMBER(INDEX($A115:$T115,MATCH(Lists!$F$4,$A$1:$T$1,0))),INT(INDEX($A115:$T115,MATCH(Lists!$F$4,$A$1:$T$1,0))),DATE(VALUE(LEFT(INDEX($A115:$T115,MATCH(Lists!$F$4,$A$1:$T$1,0)),4)),VALUE(MID(INDEX($A115:$T115,MATCH(Lists!$F$4,$A$1:$T$1,0)),6,2)),VALUE(MID(INDEX($A115:$T115,MATCH(Lists!$F$4,$A$1:$T$1,0)),9,2))))),""),IFERROR(IF(TRIM(INDEX($A115:$T115,MATCH(Lists!$F$5,$A$1:$T$1,0))&amp;"")="","",IF(ISNUMBER(INDEX($A115:$T115,MATCH(Lists!$F$5,$A$1:$T$1,0))),INT(INDEX($A115:$T115,MATCH(Lists!$F$5,$A$1:$T$1,0))),DATE(VALUE(LEFT(INDEX($A115:$T115,MATCH(Lists!$F$5,$A$1:$T$1,0)),4)),VALUE(MID(INDEX($A115:$T115,MATCH(Lists!$F$5,$A$1:$T$1,0)),6,2)),VALUE(MID(INDEX($A115:$T115,MATCH(Lists!$F$5,$A$1:$T$1,0)),9,2))))),"")))</f>
        <v/>
      </c>
      <c r="AB115" s="21">
        <f>IF(Y115="","",IF(LEFT(IFERROR(TRIM(INDEX($A115:$T115,MATCH(Lists!$F$6,$A$1:$T$1,0))&amp;""),""),2)="No","General comment",IF(IFERROR(TRIM(INDEX($A115:$T115,MATCH(Lists!$F$7,$A$1:$T$1,0))&amp;""),"")&lt;&gt;"",IFERROR(TRIM(INDEX($A115:$T115,MATCH(Lists!$F$7,$A$1:$T$1,0))&amp;""),""),IF(IFERROR(TRIM(INDEX($A115:$T115,MATCH(Lists!$F$8,$A$1:$T$1,0))&amp;""),"")&lt;&gt;"",IFERROR(TRIM(INDEX($A115:$T115,MATCH(Lists!$F$8,$A$1:$T$1,0))&amp;""),""),"(no item given)"))))</f>
        <v/>
      </c>
      <c r="AC115" s="21">
        <f>IF(Y115="","",IF(ISNUMBER(SEARCH("support",IFERROR(TRIM(INDEX($A115:$T115,MATCH(Lists!$F$9,$A$1:$T$1,0))&amp;""),""))),"Support",IF(ISNUMBER(SEARCH("oppose",IFERROR(TRIM(INDEX($A115:$T115,MATCH(Lists!$F$9,$A$1:$T$1,0))&amp;""),""))),"Oppose",IF(IFERROR(TRIM(INDEX($A115:$T115,MATCH(Lists!$F$9,$A$1:$T$1,0))&amp;""),"")="","No position","Neither"))))</f>
        <v/>
      </c>
      <c r="AD115" s="21">
        <f>IF(Y115="","",IF(ISNUMBER(SEARCH("in person",IFERROR(TRIM(INDEX($A115:$T115,MATCH(Lists!$F$13,$A$1:$T$1,0))&amp;""),""))),"In person",IF(ISNUMBER(SEARCH("online",IFERROR(TRIM(INDEX($A115:$T115,MATCH(Lists!$F$13,$A$1:$T$1,0))&amp;""),""))),"Online","Written only")))</f>
        <v/>
      </c>
      <c r="AE115" s="21">
        <f>IF(Y115="","",IFERROR(TRIM(INDEX($A115:$T115,MATCH(Lists!$F$11,$A$1:$T$1,0))&amp;""),""))</f>
        <v/>
      </c>
      <c r="AF115" s="21">
        <f>IF(Y115="","",IFERROR(TRIM(INDEX($A115:$T115,MATCH(Lists!$F$12,$A$1:$T$1,0))&amp;""),""))</f>
        <v/>
      </c>
      <c r="AG115" s="21">
        <f>IF(Y115="","",IFERROR(TRIM(INDEX($A115:$T115,MATCH(Lists!$F$14,$A$1:$T$1,0))&amp;""),""))</f>
        <v/>
      </c>
      <c r="AH115" s="21">
        <f>IF(Y115="","",LEFT(IFERROR(TRIM(INDEX($A115:$T115,MATCH(Lists!$F$10,$A$1:$T$1,0))&amp;""),""),80))</f>
        <v/>
      </c>
      <c r="AI115" s="21">
        <f>IF(Y115="",0,IF(OR(Tally!$B$5="",AA115=Tally!$B$5),1,0))</f>
        <v/>
      </c>
      <c r="AJ115" s="21">
        <f>IF(AI115=1,IF(COUNTIFS($AB$2:AB115,AB115,$AI$2:AI115,1)=1,1,0),0)</f>
        <v/>
      </c>
      <c r="AK115" s="21">
        <f>IF(AJ115=1,SUM($AJ$2:AJ115),"")</f>
        <v/>
      </c>
      <c r="AL115" s="21">
        <f>IF(AND(AI115=1,OR(AD115="In person",AD115="Online"),OR(Speakers!$B$5="",AB115=Speakers!$B$5)),N(Z115)+ROW()/1000000000,"")</f>
        <v/>
      </c>
    </row>
    <row r="116">
      <c r="U116" s="19" t="n"/>
      <c r="V116" s="24" t="n"/>
      <c r="W116" s="24" t="n"/>
      <c r="X116" s="19" t="n"/>
      <c r="Y116" s="21">
        <f>IFERROR(TRIM(INDEX($A116:$T116,MATCH(Lists!$F$2,$A$1:$T$1,0))&amp;""),"")</f>
        <v/>
      </c>
      <c r="Z116" s="22">
        <f>IF(Y116="","",IFERROR(IF(ISNUMBER(INDEX($A116:$T116,MATCH(Lists!$F$3,$A$1:$T$1,0))),INDEX($A116:$T116,MATCH(Lists!$F$3,$A$1:$T$1,0)),DATE(VALUE(LEFT(IFERROR(TRIM(INDEX($A116:$T116,MATCH(Lists!$F$3,$A$1:$T$1,0))&amp;""),""),4)),VALUE(MID(IFERROR(TRIM(INDEX($A116:$T116,MATCH(Lists!$F$3,$A$1:$T$1,0))&amp;""),""),6,2)),VALUE(MID(IFERROR(TRIM(INDEX($A116:$T116,MATCH(Lists!$F$3,$A$1:$T$1,0))&amp;""),""),9,2)))+TIME(VALUE(MID(IFERROR(TRIM(INDEX($A116:$T116,MATCH(Lists!$F$3,$A$1:$T$1,0))&amp;""),""),12,2)),VALUE(MID(IFERROR(TRIM(INDEX($A116:$T116,MATCH(Lists!$F$3,$A$1:$T$1,0))&amp;""),""),15,2)),VALUE(MID(IFERROR(TRIM(INDEX($A116:$T116,MATCH(Lists!$F$3,$A$1:$T$1,0))&amp;""),""),18,2)))),""))</f>
        <v/>
      </c>
      <c r="AA116" s="23">
        <f>IF(Y116="","",IF(ISNUMBER(IFERROR(IF(TRIM(INDEX($A116:$T116,MATCH(Lists!$F$4,$A$1:$T$1,0))&amp;"")="","",IF(ISNUMBER(INDEX($A116:$T116,MATCH(Lists!$F$4,$A$1:$T$1,0))),INT(INDEX($A116:$T116,MATCH(Lists!$F$4,$A$1:$T$1,0))),DATE(VALUE(LEFT(INDEX($A116:$T116,MATCH(Lists!$F$4,$A$1:$T$1,0)),4)),VALUE(MID(INDEX($A116:$T116,MATCH(Lists!$F$4,$A$1:$T$1,0)),6,2)),VALUE(MID(INDEX($A116:$T116,MATCH(Lists!$F$4,$A$1:$T$1,0)),9,2))))),"")),IFERROR(IF(TRIM(INDEX($A116:$T116,MATCH(Lists!$F$4,$A$1:$T$1,0))&amp;"")="","",IF(ISNUMBER(INDEX($A116:$T116,MATCH(Lists!$F$4,$A$1:$T$1,0))),INT(INDEX($A116:$T116,MATCH(Lists!$F$4,$A$1:$T$1,0))),DATE(VALUE(LEFT(INDEX($A116:$T116,MATCH(Lists!$F$4,$A$1:$T$1,0)),4)),VALUE(MID(INDEX($A116:$T116,MATCH(Lists!$F$4,$A$1:$T$1,0)),6,2)),VALUE(MID(INDEX($A116:$T116,MATCH(Lists!$F$4,$A$1:$T$1,0)),9,2))))),""),IFERROR(IF(TRIM(INDEX($A116:$T116,MATCH(Lists!$F$5,$A$1:$T$1,0))&amp;"")="","",IF(ISNUMBER(INDEX($A116:$T116,MATCH(Lists!$F$5,$A$1:$T$1,0))),INT(INDEX($A116:$T116,MATCH(Lists!$F$5,$A$1:$T$1,0))),DATE(VALUE(LEFT(INDEX($A116:$T116,MATCH(Lists!$F$5,$A$1:$T$1,0)),4)),VALUE(MID(INDEX($A116:$T116,MATCH(Lists!$F$5,$A$1:$T$1,0)),6,2)),VALUE(MID(INDEX($A116:$T116,MATCH(Lists!$F$5,$A$1:$T$1,0)),9,2))))),"")))</f>
        <v/>
      </c>
      <c r="AB116" s="21">
        <f>IF(Y116="","",IF(LEFT(IFERROR(TRIM(INDEX($A116:$T116,MATCH(Lists!$F$6,$A$1:$T$1,0))&amp;""),""),2)="No","General comment",IF(IFERROR(TRIM(INDEX($A116:$T116,MATCH(Lists!$F$7,$A$1:$T$1,0))&amp;""),"")&lt;&gt;"",IFERROR(TRIM(INDEX($A116:$T116,MATCH(Lists!$F$7,$A$1:$T$1,0))&amp;""),""),IF(IFERROR(TRIM(INDEX($A116:$T116,MATCH(Lists!$F$8,$A$1:$T$1,0))&amp;""),"")&lt;&gt;"",IFERROR(TRIM(INDEX($A116:$T116,MATCH(Lists!$F$8,$A$1:$T$1,0))&amp;""),""),"(no item given)"))))</f>
        <v/>
      </c>
      <c r="AC116" s="21">
        <f>IF(Y116="","",IF(ISNUMBER(SEARCH("support",IFERROR(TRIM(INDEX($A116:$T116,MATCH(Lists!$F$9,$A$1:$T$1,0))&amp;""),""))),"Support",IF(ISNUMBER(SEARCH("oppose",IFERROR(TRIM(INDEX($A116:$T116,MATCH(Lists!$F$9,$A$1:$T$1,0))&amp;""),""))),"Oppose",IF(IFERROR(TRIM(INDEX($A116:$T116,MATCH(Lists!$F$9,$A$1:$T$1,0))&amp;""),"")="","No position","Neither"))))</f>
        <v/>
      </c>
      <c r="AD116" s="21">
        <f>IF(Y116="","",IF(ISNUMBER(SEARCH("in person",IFERROR(TRIM(INDEX($A116:$T116,MATCH(Lists!$F$13,$A$1:$T$1,0))&amp;""),""))),"In person",IF(ISNUMBER(SEARCH("online",IFERROR(TRIM(INDEX($A116:$T116,MATCH(Lists!$F$13,$A$1:$T$1,0))&amp;""),""))),"Online","Written only")))</f>
        <v/>
      </c>
      <c r="AE116" s="21">
        <f>IF(Y116="","",IFERROR(TRIM(INDEX($A116:$T116,MATCH(Lists!$F$11,$A$1:$T$1,0))&amp;""),""))</f>
        <v/>
      </c>
      <c r="AF116" s="21">
        <f>IF(Y116="","",IFERROR(TRIM(INDEX($A116:$T116,MATCH(Lists!$F$12,$A$1:$T$1,0))&amp;""),""))</f>
        <v/>
      </c>
      <c r="AG116" s="21">
        <f>IF(Y116="","",IFERROR(TRIM(INDEX($A116:$T116,MATCH(Lists!$F$14,$A$1:$T$1,0))&amp;""),""))</f>
        <v/>
      </c>
      <c r="AH116" s="21">
        <f>IF(Y116="","",LEFT(IFERROR(TRIM(INDEX($A116:$T116,MATCH(Lists!$F$10,$A$1:$T$1,0))&amp;""),""),80))</f>
        <v/>
      </c>
      <c r="AI116" s="21">
        <f>IF(Y116="",0,IF(OR(Tally!$B$5="",AA116=Tally!$B$5),1,0))</f>
        <v/>
      </c>
      <c r="AJ116" s="21">
        <f>IF(AI116=1,IF(COUNTIFS($AB$2:AB116,AB116,$AI$2:AI116,1)=1,1,0),0)</f>
        <v/>
      </c>
      <c r="AK116" s="21">
        <f>IF(AJ116=1,SUM($AJ$2:AJ116),"")</f>
        <v/>
      </c>
      <c r="AL116" s="21">
        <f>IF(AND(AI116=1,OR(AD116="In person",AD116="Online"),OR(Speakers!$B$5="",AB116=Speakers!$B$5)),N(Z116)+ROW()/1000000000,"")</f>
        <v/>
      </c>
    </row>
    <row r="117">
      <c r="U117" s="19" t="n"/>
      <c r="V117" s="24" t="n"/>
      <c r="W117" s="24" t="n"/>
      <c r="X117" s="19" t="n"/>
      <c r="Y117" s="21">
        <f>IFERROR(TRIM(INDEX($A117:$T117,MATCH(Lists!$F$2,$A$1:$T$1,0))&amp;""),"")</f>
        <v/>
      </c>
      <c r="Z117" s="22">
        <f>IF(Y117="","",IFERROR(IF(ISNUMBER(INDEX($A117:$T117,MATCH(Lists!$F$3,$A$1:$T$1,0))),INDEX($A117:$T117,MATCH(Lists!$F$3,$A$1:$T$1,0)),DATE(VALUE(LEFT(IFERROR(TRIM(INDEX($A117:$T117,MATCH(Lists!$F$3,$A$1:$T$1,0))&amp;""),""),4)),VALUE(MID(IFERROR(TRIM(INDEX($A117:$T117,MATCH(Lists!$F$3,$A$1:$T$1,0))&amp;""),""),6,2)),VALUE(MID(IFERROR(TRIM(INDEX($A117:$T117,MATCH(Lists!$F$3,$A$1:$T$1,0))&amp;""),""),9,2)))+TIME(VALUE(MID(IFERROR(TRIM(INDEX($A117:$T117,MATCH(Lists!$F$3,$A$1:$T$1,0))&amp;""),""),12,2)),VALUE(MID(IFERROR(TRIM(INDEX($A117:$T117,MATCH(Lists!$F$3,$A$1:$T$1,0))&amp;""),""),15,2)),VALUE(MID(IFERROR(TRIM(INDEX($A117:$T117,MATCH(Lists!$F$3,$A$1:$T$1,0))&amp;""),""),18,2)))),""))</f>
        <v/>
      </c>
      <c r="AA117" s="23">
        <f>IF(Y117="","",IF(ISNUMBER(IFERROR(IF(TRIM(INDEX($A117:$T117,MATCH(Lists!$F$4,$A$1:$T$1,0))&amp;"")="","",IF(ISNUMBER(INDEX($A117:$T117,MATCH(Lists!$F$4,$A$1:$T$1,0))),INT(INDEX($A117:$T117,MATCH(Lists!$F$4,$A$1:$T$1,0))),DATE(VALUE(LEFT(INDEX($A117:$T117,MATCH(Lists!$F$4,$A$1:$T$1,0)),4)),VALUE(MID(INDEX($A117:$T117,MATCH(Lists!$F$4,$A$1:$T$1,0)),6,2)),VALUE(MID(INDEX($A117:$T117,MATCH(Lists!$F$4,$A$1:$T$1,0)),9,2))))),"")),IFERROR(IF(TRIM(INDEX($A117:$T117,MATCH(Lists!$F$4,$A$1:$T$1,0))&amp;"")="","",IF(ISNUMBER(INDEX($A117:$T117,MATCH(Lists!$F$4,$A$1:$T$1,0))),INT(INDEX($A117:$T117,MATCH(Lists!$F$4,$A$1:$T$1,0))),DATE(VALUE(LEFT(INDEX($A117:$T117,MATCH(Lists!$F$4,$A$1:$T$1,0)),4)),VALUE(MID(INDEX($A117:$T117,MATCH(Lists!$F$4,$A$1:$T$1,0)),6,2)),VALUE(MID(INDEX($A117:$T117,MATCH(Lists!$F$4,$A$1:$T$1,0)),9,2))))),""),IFERROR(IF(TRIM(INDEX($A117:$T117,MATCH(Lists!$F$5,$A$1:$T$1,0))&amp;"")="","",IF(ISNUMBER(INDEX($A117:$T117,MATCH(Lists!$F$5,$A$1:$T$1,0))),INT(INDEX($A117:$T117,MATCH(Lists!$F$5,$A$1:$T$1,0))),DATE(VALUE(LEFT(INDEX($A117:$T117,MATCH(Lists!$F$5,$A$1:$T$1,0)),4)),VALUE(MID(INDEX($A117:$T117,MATCH(Lists!$F$5,$A$1:$T$1,0)),6,2)),VALUE(MID(INDEX($A117:$T117,MATCH(Lists!$F$5,$A$1:$T$1,0)),9,2))))),"")))</f>
        <v/>
      </c>
      <c r="AB117" s="21">
        <f>IF(Y117="","",IF(LEFT(IFERROR(TRIM(INDEX($A117:$T117,MATCH(Lists!$F$6,$A$1:$T$1,0))&amp;""),""),2)="No","General comment",IF(IFERROR(TRIM(INDEX($A117:$T117,MATCH(Lists!$F$7,$A$1:$T$1,0))&amp;""),"")&lt;&gt;"",IFERROR(TRIM(INDEX($A117:$T117,MATCH(Lists!$F$7,$A$1:$T$1,0))&amp;""),""),IF(IFERROR(TRIM(INDEX($A117:$T117,MATCH(Lists!$F$8,$A$1:$T$1,0))&amp;""),"")&lt;&gt;"",IFERROR(TRIM(INDEX($A117:$T117,MATCH(Lists!$F$8,$A$1:$T$1,0))&amp;""),""),"(no item given)"))))</f>
        <v/>
      </c>
      <c r="AC117" s="21">
        <f>IF(Y117="","",IF(ISNUMBER(SEARCH("support",IFERROR(TRIM(INDEX($A117:$T117,MATCH(Lists!$F$9,$A$1:$T$1,0))&amp;""),""))),"Support",IF(ISNUMBER(SEARCH("oppose",IFERROR(TRIM(INDEX($A117:$T117,MATCH(Lists!$F$9,$A$1:$T$1,0))&amp;""),""))),"Oppose",IF(IFERROR(TRIM(INDEX($A117:$T117,MATCH(Lists!$F$9,$A$1:$T$1,0))&amp;""),"")="","No position","Neither"))))</f>
        <v/>
      </c>
      <c r="AD117" s="21">
        <f>IF(Y117="","",IF(ISNUMBER(SEARCH("in person",IFERROR(TRIM(INDEX($A117:$T117,MATCH(Lists!$F$13,$A$1:$T$1,0))&amp;""),""))),"In person",IF(ISNUMBER(SEARCH("online",IFERROR(TRIM(INDEX($A117:$T117,MATCH(Lists!$F$13,$A$1:$T$1,0))&amp;""),""))),"Online","Written only")))</f>
        <v/>
      </c>
      <c r="AE117" s="21">
        <f>IF(Y117="","",IFERROR(TRIM(INDEX($A117:$T117,MATCH(Lists!$F$11,$A$1:$T$1,0))&amp;""),""))</f>
        <v/>
      </c>
      <c r="AF117" s="21">
        <f>IF(Y117="","",IFERROR(TRIM(INDEX($A117:$T117,MATCH(Lists!$F$12,$A$1:$T$1,0))&amp;""),""))</f>
        <v/>
      </c>
      <c r="AG117" s="21">
        <f>IF(Y117="","",IFERROR(TRIM(INDEX($A117:$T117,MATCH(Lists!$F$14,$A$1:$T$1,0))&amp;""),""))</f>
        <v/>
      </c>
      <c r="AH117" s="21">
        <f>IF(Y117="","",LEFT(IFERROR(TRIM(INDEX($A117:$T117,MATCH(Lists!$F$10,$A$1:$T$1,0))&amp;""),""),80))</f>
        <v/>
      </c>
      <c r="AI117" s="21">
        <f>IF(Y117="",0,IF(OR(Tally!$B$5="",AA117=Tally!$B$5),1,0))</f>
        <v/>
      </c>
      <c r="AJ117" s="21">
        <f>IF(AI117=1,IF(COUNTIFS($AB$2:AB117,AB117,$AI$2:AI117,1)=1,1,0),0)</f>
        <v/>
      </c>
      <c r="AK117" s="21">
        <f>IF(AJ117=1,SUM($AJ$2:AJ117),"")</f>
        <v/>
      </c>
      <c r="AL117" s="21">
        <f>IF(AND(AI117=1,OR(AD117="In person",AD117="Online"),OR(Speakers!$B$5="",AB117=Speakers!$B$5)),N(Z117)+ROW()/1000000000,"")</f>
        <v/>
      </c>
    </row>
    <row r="118">
      <c r="U118" s="19" t="n"/>
      <c r="V118" s="24" t="n"/>
      <c r="W118" s="24" t="n"/>
      <c r="X118" s="19" t="n"/>
      <c r="Y118" s="21">
        <f>IFERROR(TRIM(INDEX($A118:$T118,MATCH(Lists!$F$2,$A$1:$T$1,0))&amp;""),"")</f>
        <v/>
      </c>
      <c r="Z118" s="22">
        <f>IF(Y118="","",IFERROR(IF(ISNUMBER(INDEX($A118:$T118,MATCH(Lists!$F$3,$A$1:$T$1,0))),INDEX($A118:$T118,MATCH(Lists!$F$3,$A$1:$T$1,0)),DATE(VALUE(LEFT(IFERROR(TRIM(INDEX($A118:$T118,MATCH(Lists!$F$3,$A$1:$T$1,0))&amp;""),""),4)),VALUE(MID(IFERROR(TRIM(INDEX($A118:$T118,MATCH(Lists!$F$3,$A$1:$T$1,0))&amp;""),""),6,2)),VALUE(MID(IFERROR(TRIM(INDEX($A118:$T118,MATCH(Lists!$F$3,$A$1:$T$1,0))&amp;""),""),9,2)))+TIME(VALUE(MID(IFERROR(TRIM(INDEX($A118:$T118,MATCH(Lists!$F$3,$A$1:$T$1,0))&amp;""),""),12,2)),VALUE(MID(IFERROR(TRIM(INDEX($A118:$T118,MATCH(Lists!$F$3,$A$1:$T$1,0))&amp;""),""),15,2)),VALUE(MID(IFERROR(TRIM(INDEX($A118:$T118,MATCH(Lists!$F$3,$A$1:$T$1,0))&amp;""),""),18,2)))),""))</f>
        <v/>
      </c>
      <c r="AA118" s="23">
        <f>IF(Y118="","",IF(ISNUMBER(IFERROR(IF(TRIM(INDEX($A118:$T118,MATCH(Lists!$F$4,$A$1:$T$1,0))&amp;"")="","",IF(ISNUMBER(INDEX($A118:$T118,MATCH(Lists!$F$4,$A$1:$T$1,0))),INT(INDEX($A118:$T118,MATCH(Lists!$F$4,$A$1:$T$1,0))),DATE(VALUE(LEFT(INDEX($A118:$T118,MATCH(Lists!$F$4,$A$1:$T$1,0)),4)),VALUE(MID(INDEX($A118:$T118,MATCH(Lists!$F$4,$A$1:$T$1,0)),6,2)),VALUE(MID(INDEX($A118:$T118,MATCH(Lists!$F$4,$A$1:$T$1,0)),9,2))))),"")),IFERROR(IF(TRIM(INDEX($A118:$T118,MATCH(Lists!$F$4,$A$1:$T$1,0))&amp;"")="","",IF(ISNUMBER(INDEX($A118:$T118,MATCH(Lists!$F$4,$A$1:$T$1,0))),INT(INDEX($A118:$T118,MATCH(Lists!$F$4,$A$1:$T$1,0))),DATE(VALUE(LEFT(INDEX($A118:$T118,MATCH(Lists!$F$4,$A$1:$T$1,0)),4)),VALUE(MID(INDEX($A118:$T118,MATCH(Lists!$F$4,$A$1:$T$1,0)),6,2)),VALUE(MID(INDEX($A118:$T118,MATCH(Lists!$F$4,$A$1:$T$1,0)),9,2))))),""),IFERROR(IF(TRIM(INDEX($A118:$T118,MATCH(Lists!$F$5,$A$1:$T$1,0))&amp;"")="","",IF(ISNUMBER(INDEX($A118:$T118,MATCH(Lists!$F$5,$A$1:$T$1,0))),INT(INDEX($A118:$T118,MATCH(Lists!$F$5,$A$1:$T$1,0))),DATE(VALUE(LEFT(INDEX($A118:$T118,MATCH(Lists!$F$5,$A$1:$T$1,0)),4)),VALUE(MID(INDEX($A118:$T118,MATCH(Lists!$F$5,$A$1:$T$1,0)),6,2)),VALUE(MID(INDEX($A118:$T118,MATCH(Lists!$F$5,$A$1:$T$1,0)),9,2))))),"")))</f>
        <v/>
      </c>
      <c r="AB118" s="21">
        <f>IF(Y118="","",IF(LEFT(IFERROR(TRIM(INDEX($A118:$T118,MATCH(Lists!$F$6,$A$1:$T$1,0))&amp;""),""),2)="No","General comment",IF(IFERROR(TRIM(INDEX($A118:$T118,MATCH(Lists!$F$7,$A$1:$T$1,0))&amp;""),"")&lt;&gt;"",IFERROR(TRIM(INDEX($A118:$T118,MATCH(Lists!$F$7,$A$1:$T$1,0))&amp;""),""),IF(IFERROR(TRIM(INDEX($A118:$T118,MATCH(Lists!$F$8,$A$1:$T$1,0))&amp;""),"")&lt;&gt;"",IFERROR(TRIM(INDEX($A118:$T118,MATCH(Lists!$F$8,$A$1:$T$1,0))&amp;""),""),"(no item given)"))))</f>
        <v/>
      </c>
      <c r="AC118" s="21">
        <f>IF(Y118="","",IF(ISNUMBER(SEARCH("support",IFERROR(TRIM(INDEX($A118:$T118,MATCH(Lists!$F$9,$A$1:$T$1,0))&amp;""),""))),"Support",IF(ISNUMBER(SEARCH("oppose",IFERROR(TRIM(INDEX($A118:$T118,MATCH(Lists!$F$9,$A$1:$T$1,0))&amp;""),""))),"Oppose",IF(IFERROR(TRIM(INDEX($A118:$T118,MATCH(Lists!$F$9,$A$1:$T$1,0))&amp;""),"")="","No position","Neither"))))</f>
        <v/>
      </c>
      <c r="AD118" s="21">
        <f>IF(Y118="","",IF(ISNUMBER(SEARCH("in person",IFERROR(TRIM(INDEX($A118:$T118,MATCH(Lists!$F$13,$A$1:$T$1,0))&amp;""),""))),"In person",IF(ISNUMBER(SEARCH("online",IFERROR(TRIM(INDEX($A118:$T118,MATCH(Lists!$F$13,$A$1:$T$1,0))&amp;""),""))),"Online","Written only")))</f>
        <v/>
      </c>
      <c r="AE118" s="21">
        <f>IF(Y118="","",IFERROR(TRIM(INDEX($A118:$T118,MATCH(Lists!$F$11,$A$1:$T$1,0))&amp;""),""))</f>
        <v/>
      </c>
      <c r="AF118" s="21">
        <f>IF(Y118="","",IFERROR(TRIM(INDEX($A118:$T118,MATCH(Lists!$F$12,$A$1:$T$1,0))&amp;""),""))</f>
        <v/>
      </c>
      <c r="AG118" s="21">
        <f>IF(Y118="","",IFERROR(TRIM(INDEX($A118:$T118,MATCH(Lists!$F$14,$A$1:$T$1,0))&amp;""),""))</f>
        <v/>
      </c>
      <c r="AH118" s="21">
        <f>IF(Y118="","",LEFT(IFERROR(TRIM(INDEX($A118:$T118,MATCH(Lists!$F$10,$A$1:$T$1,0))&amp;""),""),80))</f>
        <v/>
      </c>
      <c r="AI118" s="21">
        <f>IF(Y118="",0,IF(OR(Tally!$B$5="",AA118=Tally!$B$5),1,0))</f>
        <v/>
      </c>
      <c r="AJ118" s="21">
        <f>IF(AI118=1,IF(COUNTIFS($AB$2:AB118,AB118,$AI$2:AI118,1)=1,1,0),0)</f>
        <v/>
      </c>
      <c r="AK118" s="21">
        <f>IF(AJ118=1,SUM($AJ$2:AJ118),"")</f>
        <v/>
      </c>
      <c r="AL118" s="21">
        <f>IF(AND(AI118=1,OR(AD118="In person",AD118="Online"),OR(Speakers!$B$5="",AB118=Speakers!$B$5)),N(Z118)+ROW()/1000000000,"")</f>
        <v/>
      </c>
    </row>
    <row r="119">
      <c r="U119" s="19" t="n"/>
      <c r="V119" s="24" t="n"/>
      <c r="W119" s="24" t="n"/>
      <c r="X119" s="19" t="n"/>
      <c r="Y119" s="21">
        <f>IFERROR(TRIM(INDEX($A119:$T119,MATCH(Lists!$F$2,$A$1:$T$1,0))&amp;""),"")</f>
        <v/>
      </c>
      <c r="Z119" s="22">
        <f>IF(Y119="","",IFERROR(IF(ISNUMBER(INDEX($A119:$T119,MATCH(Lists!$F$3,$A$1:$T$1,0))),INDEX($A119:$T119,MATCH(Lists!$F$3,$A$1:$T$1,0)),DATE(VALUE(LEFT(IFERROR(TRIM(INDEX($A119:$T119,MATCH(Lists!$F$3,$A$1:$T$1,0))&amp;""),""),4)),VALUE(MID(IFERROR(TRIM(INDEX($A119:$T119,MATCH(Lists!$F$3,$A$1:$T$1,0))&amp;""),""),6,2)),VALUE(MID(IFERROR(TRIM(INDEX($A119:$T119,MATCH(Lists!$F$3,$A$1:$T$1,0))&amp;""),""),9,2)))+TIME(VALUE(MID(IFERROR(TRIM(INDEX($A119:$T119,MATCH(Lists!$F$3,$A$1:$T$1,0))&amp;""),""),12,2)),VALUE(MID(IFERROR(TRIM(INDEX($A119:$T119,MATCH(Lists!$F$3,$A$1:$T$1,0))&amp;""),""),15,2)),VALUE(MID(IFERROR(TRIM(INDEX($A119:$T119,MATCH(Lists!$F$3,$A$1:$T$1,0))&amp;""),""),18,2)))),""))</f>
        <v/>
      </c>
      <c r="AA119" s="23">
        <f>IF(Y119="","",IF(ISNUMBER(IFERROR(IF(TRIM(INDEX($A119:$T119,MATCH(Lists!$F$4,$A$1:$T$1,0))&amp;"")="","",IF(ISNUMBER(INDEX($A119:$T119,MATCH(Lists!$F$4,$A$1:$T$1,0))),INT(INDEX($A119:$T119,MATCH(Lists!$F$4,$A$1:$T$1,0))),DATE(VALUE(LEFT(INDEX($A119:$T119,MATCH(Lists!$F$4,$A$1:$T$1,0)),4)),VALUE(MID(INDEX($A119:$T119,MATCH(Lists!$F$4,$A$1:$T$1,0)),6,2)),VALUE(MID(INDEX($A119:$T119,MATCH(Lists!$F$4,$A$1:$T$1,0)),9,2))))),"")),IFERROR(IF(TRIM(INDEX($A119:$T119,MATCH(Lists!$F$4,$A$1:$T$1,0))&amp;"")="","",IF(ISNUMBER(INDEX($A119:$T119,MATCH(Lists!$F$4,$A$1:$T$1,0))),INT(INDEX($A119:$T119,MATCH(Lists!$F$4,$A$1:$T$1,0))),DATE(VALUE(LEFT(INDEX($A119:$T119,MATCH(Lists!$F$4,$A$1:$T$1,0)),4)),VALUE(MID(INDEX($A119:$T119,MATCH(Lists!$F$4,$A$1:$T$1,0)),6,2)),VALUE(MID(INDEX($A119:$T119,MATCH(Lists!$F$4,$A$1:$T$1,0)),9,2))))),""),IFERROR(IF(TRIM(INDEX($A119:$T119,MATCH(Lists!$F$5,$A$1:$T$1,0))&amp;"")="","",IF(ISNUMBER(INDEX($A119:$T119,MATCH(Lists!$F$5,$A$1:$T$1,0))),INT(INDEX($A119:$T119,MATCH(Lists!$F$5,$A$1:$T$1,0))),DATE(VALUE(LEFT(INDEX($A119:$T119,MATCH(Lists!$F$5,$A$1:$T$1,0)),4)),VALUE(MID(INDEX($A119:$T119,MATCH(Lists!$F$5,$A$1:$T$1,0)),6,2)),VALUE(MID(INDEX($A119:$T119,MATCH(Lists!$F$5,$A$1:$T$1,0)),9,2))))),"")))</f>
        <v/>
      </c>
      <c r="AB119" s="21">
        <f>IF(Y119="","",IF(LEFT(IFERROR(TRIM(INDEX($A119:$T119,MATCH(Lists!$F$6,$A$1:$T$1,0))&amp;""),""),2)="No","General comment",IF(IFERROR(TRIM(INDEX($A119:$T119,MATCH(Lists!$F$7,$A$1:$T$1,0))&amp;""),"")&lt;&gt;"",IFERROR(TRIM(INDEX($A119:$T119,MATCH(Lists!$F$7,$A$1:$T$1,0))&amp;""),""),IF(IFERROR(TRIM(INDEX($A119:$T119,MATCH(Lists!$F$8,$A$1:$T$1,0))&amp;""),"")&lt;&gt;"",IFERROR(TRIM(INDEX($A119:$T119,MATCH(Lists!$F$8,$A$1:$T$1,0))&amp;""),""),"(no item given)"))))</f>
        <v/>
      </c>
      <c r="AC119" s="21">
        <f>IF(Y119="","",IF(ISNUMBER(SEARCH("support",IFERROR(TRIM(INDEX($A119:$T119,MATCH(Lists!$F$9,$A$1:$T$1,0))&amp;""),""))),"Support",IF(ISNUMBER(SEARCH("oppose",IFERROR(TRIM(INDEX($A119:$T119,MATCH(Lists!$F$9,$A$1:$T$1,0))&amp;""),""))),"Oppose",IF(IFERROR(TRIM(INDEX($A119:$T119,MATCH(Lists!$F$9,$A$1:$T$1,0))&amp;""),"")="","No position","Neither"))))</f>
        <v/>
      </c>
      <c r="AD119" s="21">
        <f>IF(Y119="","",IF(ISNUMBER(SEARCH("in person",IFERROR(TRIM(INDEX($A119:$T119,MATCH(Lists!$F$13,$A$1:$T$1,0))&amp;""),""))),"In person",IF(ISNUMBER(SEARCH("online",IFERROR(TRIM(INDEX($A119:$T119,MATCH(Lists!$F$13,$A$1:$T$1,0))&amp;""),""))),"Online","Written only")))</f>
        <v/>
      </c>
      <c r="AE119" s="21">
        <f>IF(Y119="","",IFERROR(TRIM(INDEX($A119:$T119,MATCH(Lists!$F$11,$A$1:$T$1,0))&amp;""),""))</f>
        <v/>
      </c>
      <c r="AF119" s="21">
        <f>IF(Y119="","",IFERROR(TRIM(INDEX($A119:$T119,MATCH(Lists!$F$12,$A$1:$T$1,0))&amp;""),""))</f>
        <v/>
      </c>
      <c r="AG119" s="21">
        <f>IF(Y119="","",IFERROR(TRIM(INDEX($A119:$T119,MATCH(Lists!$F$14,$A$1:$T$1,0))&amp;""),""))</f>
        <v/>
      </c>
      <c r="AH119" s="21">
        <f>IF(Y119="","",LEFT(IFERROR(TRIM(INDEX($A119:$T119,MATCH(Lists!$F$10,$A$1:$T$1,0))&amp;""),""),80))</f>
        <v/>
      </c>
      <c r="AI119" s="21">
        <f>IF(Y119="",0,IF(OR(Tally!$B$5="",AA119=Tally!$B$5),1,0))</f>
        <v/>
      </c>
      <c r="AJ119" s="21">
        <f>IF(AI119=1,IF(COUNTIFS($AB$2:AB119,AB119,$AI$2:AI119,1)=1,1,0),0)</f>
        <v/>
      </c>
      <c r="AK119" s="21">
        <f>IF(AJ119=1,SUM($AJ$2:AJ119),"")</f>
        <v/>
      </c>
      <c r="AL119" s="21">
        <f>IF(AND(AI119=1,OR(AD119="In person",AD119="Online"),OR(Speakers!$B$5="",AB119=Speakers!$B$5)),N(Z119)+ROW()/1000000000,"")</f>
        <v/>
      </c>
    </row>
    <row r="120">
      <c r="U120" s="19" t="n"/>
      <c r="V120" s="24" t="n"/>
      <c r="W120" s="24" t="n"/>
      <c r="X120" s="19" t="n"/>
      <c r="Y120" s="21">
        <f>IFERROR(TRIM(INDEX($A120:$T120,MATCH(Lists!$F$2,$A$1:$T$1,0))&amp;""),"")</f>
        <v/>
      </c>
      <c r="Z120" s="22">
        <f>IF(Y120="","",IFERROR(IF(ISNUMBER(INDEX($A120:$T120,MATCH(Lists!$F$3,$A$1:$T$1,0))),INDEX($A120:$T120,MATCH(Lists!$F$3,$A$1:$T$1,0)),DATE(VALUE(LEFT(IFERROR(TRIM(INDEX($A120:$T120,MATCH(Lists!$F$3,$A$1:$T$1,0))&amp;""),""),4)),VALUE(MID(IFERROR(TRIM(INDEX($A120:$T120,MATCH(Lists!$F$3,$A$1:$T$1,0))&amp;""),""),6,2)),VALUE(MID(IFERROR(TRIM(INDEX($A120:$T120,MATCH(Lists!$F$3,$A$1:$T$1,0))&amp;""),""),9,2)))+TIME(VALUE(MID(IFERROR(TRIM(INDEX($A120:$T120,MATCH(Lists!$F$3,$A$1:$T$1,0))&amp;""),""),12,2)),VALUE(MID(IFERROR(TRIM(INDEX($A120:$T120,MATCH(Lists!$F$3,$A$1:$T$1,0))&amp;""),""),15,2)),VALUE(MID(IFERROR(TRIM(INDEX($A120:$T120,MATCH(Lists!$F$3,$A$1:$T$1,0))&amp;""),""),18,2)))),""))</f>
        <v/>
      </c>
      <c r="AA120" s="23">
        <f>IF(Y120="","",IF(ISNUMBER(IFERROR(IF(TRIM(INDEX($A120:$T120,MATCH(Lists!$F$4,$A$1:$T$1,0))&amp;"")="","",IF(ISNUMBER(INDEX($A120:$T120,MATCH(Lists!$F$4,$A$1:$T$1,0))),INT(INDEX($A120:$T120,MATCH(Lists!$F$4,$A$1:$T$1,0))),DATE(VALUE(LEFT(INDEX($A120:$T120,MATCH(Lists!$F$4,$A$1:$T$1,0)),4)),VALUE(MID(INDEX($A120:$T120,MATCH(Lists!$F$4,$A$1:$T$1,0)),6,2)),VALUE(MID(INDEX($A120:$T120,MATCH(Lists!$F$4,$A$1:$T$1,0)),9,2))))),"")),IFERROR(IF(TRIM(INDEX($A120:$T120,MATCH(Lists!$F$4,$A$1:$T$1,0))&amp;"")="","",IF(ISNUMBER(INDEX($A120:$T120,MATCH(Lists!$F$4,$A$1:$T$1,0))),INT(INDEX($A120:$T120,MATCH(Lists!$F$4,$A$1:$T$1,0))),DATE(VALUE(LEFT(INDEX($A120:$T120,MATCH(Lists!$F$4,$A$1:$T$1,0)),4)),VALUE(MID(INDEX($A120:$T120,MATCH(Lists!$F$4,$A$1:$T$1,0)),6,2)),VALUE(MID(INDEX($A120:$T120,MATCH(Lists!$F$4,$A$1:$T$1,0)),9,2))))),""),IFERROR(IF(TRIM(INDEX($A120:$T120,MATCH(Lists!$F$5,$A$1:$T$1,0))&amp;"")="","",IF(ISNUMBER(INDEX($A120:$T120,MATCH(Lists!$F$5,$A$1:$T$1,0))),INT(INDEX($A120:$T120,MATCH(Lists!$F$5,$A$1:$T$1,0))),DATE(VALUE(LEFT(INDEX($A120:$T120,MATCH(Lists!$F$5,$A$1:$T$1,0)),4)),VALUE(MID(INDEX($A120:$T120,MATCH(Lists!$F$5,$A$1:$T$1,0)),6,2)),VALUE(MID(INDEX($A120:$T120,MATCH(Lists!$F$5,$A$1:$T$1,0)),9,2))))),"")))</f>
        <v/>
      </c>
      <c r="AB120" s="21">
        <f>IF(Y120="","",IF(LEFT(IFERROR(TRIM(INDEX($A120:$T120,MATCH(Lists!$F$6,$A$1:$T$1,0))&amp;""),""),2)="No","General comment",IF(IFERROR(TRIM(INDEX($A120:$T120,MATCH(Lists!$F$7,$A$1:$T$1,0))&amp;""),"")&lt;&gt;"",IFERROR(TRIM(INDEX($A120:$T120,MATCH(Lists!$F$7,$A$1:$T$1,0))&amp;""),""),IF(IFERROR(TRIM(INDEX($A120:$T120,MATCH(Lists!$F$8,$A$1:$T$1,0))&amp;""),"")&lt;&gt;"",IFERROR(TRIM(INDEX($A120:$T120,MATCH(Lists!$F$8,$A$1:$T$1,0))&amp;""),""),"(no item given)"))))</f>
        <v/>
      </c>
      <c r="AC120" s="21">
        <f>IF(Y120="","",IF(ISNUMBER(SEARCH("support",IFERROR(TRIM(INDEX($A120:$T120,MATCH(Lists!$F$9,$A$1:$T$1,0))&amp;""),""))),"Support",IF(ISNUMBER(SEARCH("oppose",IFERROR(TRIM(INDEX($A120:$T120,MATCH(Lists!$F$9,$A$1:$T$1,0))&amp;""),""))),"Oppose",IF(IFERROR(TRIM(INDEX($A120:$T120,MATCH(Lists!$F$9,$A$1:$T$1,0))&amp;""),"")="","No position","Neither"))))</f>
        <v/>
      </c>
      <c r="AD120" s="21">
        <f>IF(Y120="","",IF(ISNUMBER(SEARCH("in person",IFERROR(TRIM(INDEX($A120:$T120,MATCH(Lists!$F$13,$A$1:$T$1,0))&amp;""),""))),"In person",IF(ISNUMBER(SEARCH("online",IFERROR(TRIM(INDEX($A120:$T120,MATCH(Lists!$F$13,$A$1:$T$1,0))&amp;""),""))),"Online","Written only")))</f>
        <v/>
      </c>
      <c r="AE120" s="21">
        <f>IF(Y120="","",IFERROR(TRIM(INDEX($A120:$T120,MATCH(Lists!$F$11,$A$1:$T$1,0))&amp;""),""))</f>
        <v/>
      </c>
      <c r="AF120" s="21">
        <f>IF(Y120="","",IFERROR(TRIM(INDEX($A120:$T120,MATCH(Lists!$F$12,$A$1:$T$1,0))&amp;""),""))</f>
        <v/>
      </c>
      <c r="AG120" s="21">
        <f>IF(Y120="","",IFERROR(TRIM(INDEX($A120:$T120,MATCH(Lists!$F$14,$A$1:$T$1,0))&amp;""),""))</f>
        <v/>
      </c>
      <c r="AH120" s="21">
        <f>IF(Y120="","",LEFT(IFERROR(TRIM(INDEX($A120:$T120,MATCH(Lists!$F$10,$A$1:$T$1,0))&amp;""),""),80))</f>
        <v/>
      </c>
      <c r="AI120" s="21">
        <f>IF(Y120="",0,IF(OR(Tally!$B$5="",AA120=Tally!$B$5),1,0))</f>
        <v/>
      </c>
      <c r="AJ120" s="21">
        <f>IF(AI120=1,IF(COUNTIFS($AB$2:AB120,AB120,$AI$2:AI120,1)=1,1,0),0)</f>
        <v/>
      </c>
      <c r="AK120" s="21">
        <f>IF(AJ120=1,SUM($AJ$2:AJ120),"")</f>
        <v/>
      </c>
      <c r="AL120" s="21">
        <f>IF(AND(AI120=1,OR(AD120="In person",AD120="Online"),OR(Speakers!$B$5="",AB120=Speakers!$B$5)),N(Z120)+ROW()/1000000000,"")</f>
        <v/>
      </c>
    </row>
    <row r="121">
      <c r="U121" s="19" t="n"/>
      <c r="V121" s="24" t="n"/>
      <c r="W121" s="24" t="n"/>
      <c r="X121" s="19" t="n"/>
      <c r="Y121" s="21">
        <f>IFERROR(TRIM(INDEX($A121:$T121,MATCH(Lists!$F$2,$A$1:$T$1,0))&amp;""),"")</f>
        <v/>
      </c>
      <c r="Z121" s="22">
        <f>IF(Y121="","",IFERROR(IF(ISNUMBER(INDEX($A121:$T121,MATCH(Lists!$F$3,$A$1:$T$1,0))),INDEX($A121:$T121,MATCH(Lists!$F$3,$A$1:$T$1,0)),DATE(VALUE(LEFT(IFERROR(TRIM(INDEX($A121:$T121,MATCH(Lists!$F$3,$A$1:$T$1,0))&amp;""),""),4)),VALUE(MID(IFERROR(TRIM(INDEX($A121:$T121,MATCH(Lists!$F$3,$A$1:$T$1,0))&amp;""),""),6,2)),VALUE(MID(IFERROR(TRIM(INDEX($A121:$T121,MATCH(Lists!$F$3,$A$1:$T$1,0))&amp;""),""),9,2)))+TIME(VALUE(MID(IFERROR(TRIM(INDEX($A121:$T121,MATCH(Lists!$F$3,$A$1:$T$1,0))&amp;""),""),12,2)),VALUE(MID(IFERROR(TRIM(INDEX($A121:$T121,MATCH(Lists!$F$3,$A$1:$T$1,0))&amp;""),""),15,2)),VALUE(MID(IFERROR(TRIM(INDEX($A121:$T121,MATCH(Lists!$F$3,$A$1:$T$1,0))&amp;""),""),18,2)))),""))</f>
        <v/>
      </c>
      <c r="AA121" s="23">
        <f>IF(Y121="","",IF(ISNUMBER(IFERROR(IF(TRIM(INDEX($A121:$T121,MATCH(Lists!$F$4,$A$1:$T$1,0))&amp;"")="","",IF(ISNUMBER(INDEX($A121:$T121,MATCH(Lists!$F$4,$A$1:$T$1,0))),INT(INDEX($A121:$T121,MATCH(Lists!$F$4,$A$1:$T$1,0))),DATE(VALUE(LEFT(INDEX($A121:$T121,MATCH(Lists!$F$4,$A$1:$T$1,0)),4)),VALUE(MID(INDEX($A121:$T121,MATCH(Lists!$F$4,$A$1:$T$1,0)),6,2)),VALUE(MID(INDEX($A121:$T121,MATCH(Lists!$F$4,$A$1:$T$1,0)),9,2))))),"")),IFERROR(IF(TRIM(INDEX($A121:$T121,MATCH(Lists!$F$4,$A$1:$T$1,0))&amp;"")="","",IF(ISNUMBER(INDEX($A121:$T121,MATCH(Lists!$F$4,$A$1:$T$1,0))),INT(INDEX($A121:$T121,MATCH(Lists!$F$4,$A$1:$T$1,0))),DATE(VALUE(LEFT(INDEX($A121:$T121,MATCH(Lists!$F$4,$A$1:$T$1,0)),4)),VALUE(MID(INDEX($A121:$T121,MATCH(Lists!$F$4,$A$1:$T$1,0)),6,2)),VALUE(MID(INDEX($A121:$T121,MATCH(Lists!$F$4,$A$1:$T$1,0)),9,2))))),""),IFERROR(IF(TRIM(INDEX($A121:$T121,MATCH(Lists!$F$5,$A$1:$T$1,0))&amp;"")="","",IF(ISNUMBER(INDEX($A121:$T121,MATCH(Lists!$F$5,$A$1:$T$1,0))),INT(INDEX($A121:$T121,MATCH(Lists!$F$5,$A$1:$T$1,0))),DATE(VALUE(LEFT(INDEX($A121:$T121,MATCH(Lists!$F$5,$A$1:$T$1,0)),4)),VALUE(MID(INDEX($A121:$T121,MATCH(Lists!$F$5,$A$1:$T$1,0)),6,2)),VALUE(MID(INDEX($A121:$T121,MATCH(Lists!$F$5,$A$1:$T$1,0)),9,2))))),"")))</f>
        <v/>
      </c>
      <c r="AB121" s="21">
        <f>IF(Y121="","",IF(LEFT(IFERROR(TRIM(INDEX($A121:$T121,MATCH(Lists!$F$6,$A$1:$T$1,0))&amp;""),""),2)="No","General comment",IF(IFERROR(TRIM(INDEX($A121:$T121,MATCH(Lists!$F$7,$A$1:$T$1,0))&amp;""),"")&lt;&gt;"",IFERROR(TRIM(INDEX($A121:$T121,MATCH(Lists!$F$7,$A$1:$T$1,0))&amp;""),""),IF(IFERROR(TRIM(INDEX($A121:$T121,MATCH(Lists!$F$8,$A$1:$T$1,0))&amp;""),"")&lt;&gt;"",IFERROR(TRIM(INDEX($A121:$T121,MATCH(Lists!$F$8,$A$1:$T$1,0))&amp;""),""),"(no item given)"))))</f>
        <v/>
      </c>
      <c r="AC121" s="21">
        <f>IF(Y121="","",IF(ISNUMBER(SEARCH("support",IFERROR(TRIM(INDEX($A121:$T121,MATCH(Lists!$F$9,$A$1:$T$1,0))&amp;""),""))),"Support",IF(ISNUMBER(SEARCH("oppose",IFERROR(TRIM(INDEX($A121:$T121,MATCH(Lists!$F$9,$A$1:$T$1,0))&amp;""),""))),"Oppose",IF(IFERROR(TRIM(INDEX($A121:$T121,MATCH(Lists!$F$9,$A$1:$T$1,0))&amp;""),"")="","No position","Neither"))))</f>
        <v/>
      </c>
      <c r="AD121" s="21">
        <f>IF(Y121="","",IF(ISNUMBER(SEARCH("in person",IFERROR(TRIM(INDEX($A121:$T121,MATCH(Lists!$F$13,$A$1:$T$1,0))&amp;""),""))),"In person",IF(ISNUMBER(SEARCH("online",IFERROR(TRIM(INDEX($A121:$T121,MATCH(Lists!$F$13,$A$1:$T$1,0))&amp;""),""))),"Online","Written only")))</f>
        <v/>
      </c>
      <c r="AE121" s="21">
        <f>IF(Y121="","",IFERROR(TRIM(INDEX($A121:$T121,MATCH(Lists!$F$11,$A$1:$T$1,0))&amp;""),""))</f>
        <v/>
      </c>
      <c r="AF121" s="21">
        <f>IF(Y121="","",IFERROR(TRIM(INDEX($A121:$T121,MATCH(Lists!$F$12,$A$1:$T$1,0))&amp;""),""))</f>
        <v/>
      </c>
      <c r="AG121" s="21">
        <f>IF(Y121="","",IFERROR(TRIM(INDEX($A121:$T121,MATCH(Lists!$F$14,$A$1:$T$1,0))&amp;""),""))</f>
        <v/>
      </c>
      <c r="AH121" s="21">
        <f>IF(Y121="","",LEFT(IFERROR(TRIM(INDEX($A121:$T121,MATCH(Lists!$F$10,$A$1:$T$1,0))&amp;""),""),80))</f>
        <v/>
      </c>
      <c r="AI121" s="21">
        <f>IF(Y121="",0,IF(OR(Tally!$B$5="",AA121=Tally!$B$5),1,0))</f>
        <v/>
      </c>
      <c r="AJ121" s="21">
        <f>IF(AI121=1,IF(COUNTIFS($AB$2:AB121,AB121,$AI$2:AI121,1)=1,1,0),0)</f>
        <v/>
      </c>
      <c r="AK121" s="21">
        <f>IF(AJ121=1,SUM($AJ$2:AJ121),"")</f>
        <v/>
      </c>
      <c r="AL121" s="21">
        <f>IF(AND(AI121=1,OR(AD121="In person",AD121="Online"),OR(Speakers!$B$5="",AB121=Speakers!$B$5)),N(Z121)+ROW()/1000000000,"")</f>
        <v/>
      </c>
    </row>
    <row r="122">
      <c r="U122" s="19" t="n"/>
      <c r="V122" s="24" t="n"/>
      <c r="W122" s="24" t="n"/>
      <c r="X122" s="19" t="n"/>
      <c r="Y122" s="21">
        <f>IFERROR(TRIM(INDEX($A122:$T122,MATCH(Lists!$F$2,$A$1:$T$1,0))&amp;""),"")</f>
        <v/>
      </c>
      <c r="Z122" s="22">
        <f>IF(Y122="","",IFERROR(IF(ISNUMBER(INDEX($A122:$T122,MATCH(Lists!$F$3,$A$1:$T$1,0))),INDEX($A122:$T122,MATCH(Lists!$F$3,$A$1:$T$1,0)),DATE(VALUE(LEFT(IFERROR(TRIM(INDEX($A122:$T122,MATCH(Lists!$F$3,$A$1:$T$1,0))&amp;""),""),4)),VALUE(MID(IFERROR(TRIM(INDEX($A122:$T122,MATCH(Lists!$F$3,$A$1:$T$1,0))&amp;""),""),6,2)),VALUE(MID(IFERROR(TRIM(INDEX($A122:$T122,MATCH(Lists!$F$3,$A$1:$T$1,0))&amp;""),""),9,2)))+TIME(VALUE(MID(IFERROR(TRIM(INDEX($A122:$T122,MATCH(Lists!$F$3,$A$1:$T$1,0))&amp;""),""),12,2)),VALUE(MID(IFERROR(TRIM(INDEX($A122:$T122,MATCH(Lists!$F$3,$A$1:$T$1,0))&amp;""),""),15,2)),VALUE(MID(IFERROR(TRIM(INDEX($A122:$T122,MATCH(Lists!$F$3,$A$1:$T$1,0))&amp;""),""),18,2)))),""))</f>
        <v/>
      </c>
      <c r="AA122" s="23">
        <f>IF(Y122="","",IF(ISNUMBER(IFERROR(IF(TRIM(INDEX($A122:$T122,MATCH(Lists!$F$4,$A$1:$T$1,0))&amp;"")="","",IF(ISNUMBER(INDEX($A122:$T122,MATCH(Lists!$F$4,$A$1:$T$1,0))),INT(INDEX($A122:$T122,MATCH(Lists!$F$4,$A$1:$T$1,0))),DATE(VALUE(LEFT(INDEX($A122:$T122,MATCH(Lists!$F$4,$A$1:$T$1,0)),4)),VALUE(MID(INDEX($A122:$T122,MATCH(Lists!$F$4,$A$1:$T$1,0)),6,2)),VALUE(MID(INDEX($A122:$T122,MATCH(Lists!$F$4,$A$1:$T$1,0)),9,2))))),"")),IFERROR(IF(TRIM(INDEX($A122:$T122,MATCH(Lists!$F$4,$A$1:$T$1,0))&amp;"")="","",IF(ISNUMBER(INDEX($A122:$T122,MATCH(Lists!$F$4,$A$1:$T$1,0))),INT(INDEX($A122:$T122,MATCH(Lists!$F$4,$A$1:$T$1,0))),DATE(VALUE(LEFT(INDEX($A122:$T122,MATCH(Lists!$F$4,$A$1:$T$1,0)),4)),VALUE(MID(INDEX($A122:$T122,MATCH(Lists!$F$4,$A$1:$T$1,0)),6,2)),VALUE(MID(INDEX($A122:$T122,MATCH(Lists!$F$4,$A$1:$T$1,0)),9,2))))),""),IFERROR(IF(TRIM(INDEX($A122:$T122,MATCH(Lists!$F$5,$A$1:$T$1,0))&amp;"")="","",IF(ISNUMBER(INDEX($A122:$T122,MATCH(Lists!$F$5,$A$1:$T$1,0))),INT(INDEX($A122:$T122,MATCH(Lists!$F$5,$A$1:$T$1,0))),DATE(VALUE(LEFT(INDEX($A122:$T122,MATCH(Lists!$F$5,$A$1:$T$1,0)),4)),VALUE(MID(INDEX($A122:$T122,MATCH(Lists!$F$5,$A$1:$T$1,0)),6,2)),VALUE(MID(INDEX($A122:$T122,MATCH(Lists!$F$5,$A$1:$T$1,0)),9,2))))),"")))</f>
        <v/>
      </c>
      <c r="AB122" s="21">
        <f>IF(Y122="","",IF(LEFT(IFERROR(TRIM(INDEX($A122:$T122,MATCH(Lists!$F$6,$A$1:$T$1,0))&amp;""),""),2)="No","General comment",IF(IFERROR(TRIM(INDEX($A122:$T122,MATCH(Lists!$F$7,$A$1:$T$1,0))&amp;""),"")&lt;&gt;"",IFERROR(TRIM(INDEX($A122:$T122,MATCH(Lists!$F$7,$A$1:$T$1,0))&amp;""),""),IF(IFERROR(TRIM(INDEX($A122:$T122,MATCH(Lists!$F$8,$A$1:$T$1,0))&amp;""),"")&lt;&gt;"",IFERROR(TRIM(INDEX($A122:$T122,MATCH(Lists!$F$8,$A$1:$T$1,0))&amp;""),""),"(no item given)"))))</f>
        <v/>
      </c>
      <c r="AC122" s="21">
        <f>IF(Y122="","",IF(ISNUMBER(SEARCH("support",IFERROR(TRIM(INDEX($A122:$T122,MATCH(Lists!$F$9,$A$1:$T$1,0))&amp;""),""))),"Support",IF(ISNUMBER(SEARCH("oppose",IFERROR(TRIM(INDEX($A122:$T122,MATCH(Lists!$F$9,$A$1:$T$1,0))&amp;""),""))),"Oppose",IF(IFERROR(TRIM(INDEX($A122:$T122,MATCH(Lists!$F$9,$A$1:$T$1,0))&amp;""),"")="","No position","Neither"))))</f>
        <v/>
      </c>
      <c r="AD122" s="21">
        <f>IF(Y122="","",IF(ISNUMBER(SEARCH("in person",IFERROR(TRIM(INDEX($A122:$T122,MATCH(Lists!$F$13,$A$1:$T$1,0))&amp;""),""))),"In person",IF(ISNUMBER(SEARCH("online",IFERROR(TRIM(INDEX($A122:$T122,MATCH(Lists!$F$13,$A$1:$T$1,0))&amp;""),""))),"Online","Written only")))</f>
        <v/>
      </c>
      <c r="AE122" s="21">
        <f>IF(Y122="","",IFERROR(TRIM(INDEX($A122:$T122,MATCH(Lists!$F$11,$A$1:$T$1,0))&amp;""),""))</f>
        <v/>
      </c>
      <c r="AF122" s="21">
        <f>IF(Y122="","",IFERROR(TRIM(INDEX($A122:$T122,MATCH(Lists!$F$12,$A$1:$T$1,0))&amp;""),""))</f>
        <v/>
      </c>
      <c r="AG122" s="21">
        <f>IF(Y122="","",IFERROR(TRIM(INDEX($A122:$T122,MATCH(Lists!$F$14,$A$1:$T$1,0))&amp;""),""))</f>
        <v/>
      </c>
      <c r="AH122" s="21">
        <f>IF(Y122="","",LEFT(IFERROR(TRIM(INDEX($A122:$T122,MATCH(Lists!$F$10,$A$1:$T$1,0))&amp;""),""),80))</f>
        <v/>
      </c>
      <c r="AI122" s="21">
        <f>IF(Y122="",0,IF(OR(Tally!$B$5="",AA122=Tally!$B$5),1,0))</f>
        <v/>
      </c>
      <c r="AJ122" s="21">
        <f>IF(AI122=1,IF(COUNTIFS($AB$2:AB122,AB122,$AI$2:AI122,1)=1,1,0),0)</f>
        <v/>
      </c>
      <c r="AK122" s="21">
        <f>IF(AJ122=1,SUM($AJ$2:AJ122),"")</f>
        <v/>
      </c>
      <c r="AL122" s="21">
        <f>IF(AND(AI122=1,OR(AD122="In person",AD122="Online"),OR(Speakers!$B$5="",AB122=Speakers!$B$5)),N(Z122)+ROW()/1000000000,"")</f>
        <v/>
      </c>
    </row>
    <row r="123">
      <c r="U123" s="19" t="n"/>
      <c r="V123" s="24" t="n"/>
      <c r="W123" s="24" t="n"/>
      <c r="X123" s="19" t="n"/>
      <c r="Y123" s="21">
        <f>IFERROR(TRIM(INDEX($A123:$T123,MATCH(Lists!$F$2,$A$1:$T$1,0))&amp;""),"")</f>
        <v/>
      </c>
      <c r="Z123" s="22">
        <f>IF(Y123="","",IFERROR(IF(ISNUMBER(INDEX($A123:$T123,MATCH(Lists!$F$3,$A$1:$T$1,0))),INDEX($A123:$T123,MATCH(Lists!$F$3,$A$1:$T$1,0)),DATE(VALUE(LEFT(IFERROR(TRIM(INDEX($A123:$T123,MATCH(Lists!$F$3,$A$1:$T$1,0))&amp;""),""),4)),VALUE(MID(IFERROR(TRIM(INDEX($A123:$T123,MATCH(Lists!$F$3,$A$1:$T$1,0))&amp;""),""),6,2)),VALUE(MID(IFERROR(TRIM(INDEX($A123:$T123,MATCH(Lists!$F$3,$A$1:$T$1,0))&amp;""),""),9,2)))+TIME(VALUE(MID(IFERROR(TRIM(INDEX($A123:$T123,MATCH(Lists!$F$3,$A$1:$T$1,0))&amp;""),""),12,2)),VALUE(MID(IFERROR(TRIM(INDEX($A123:$T123,MATCH(Lists!$F$3,$A$1:$T$1,0))&amp;""),""),15,2)),VALUE(MID(IFERROR(TRIM(INDEX($A123:$T123,MATCH(Lists!$F$3,$A$1:$T$1,0))&amp;""),""),18,2)))),""))</f>
        <v/>
      </c>
      <c r="AA123" s="23">
        <f>IF(Y123="","",IF(ISNUMBER(IFERROR(IF(TRIM(INDEX($A123:$T123,MATCH(Lists!$F$4,$A$1:$T$1,0))&amp;"")="","",IF(ISNUMBER(INDEX($A123:$T123,MATCH(Lists!$F$4,$A$1:$T$1,0))),INT(INDEX($A123:$T123,MATCH(Lists!$F$4,$A$1:$T$1,0))),DATE(VALUE(LEFT(INDEX($A123:$T123,MATCH(Lists!$F$4,$A$1:$T$1,0)),4)),VALUE(MID(INDEX($A123:$T123,MATCH(Lists!$F$4,$A$1:$T$1,0)),6,2)),VALUE(MID(INDEX($A123:$T123,MATCH(Lists!$F$4,$A$1:$T$1,0)),9,2))))),"")),IFERROR(IF(TRIM(INDEX($A123:$T123,MATCH(Lists!$F$4,$A$1:$T$1,0))&amp;"")="","",IF(ISNUMBER(INDEX($A123:$T123,MATCH(Lists!$F$4,$A$1:$T$1,0))),INT(INDEX($A123:$T123,MATCH(Lists!$F$4,$A$1:$T$1,0))),DATE(VALUE(LEFT(INDEX($A123:$T123,MATCH(Lists!$F$4,$A$1:$T$1,0)),4)),VALUE(MID(INDEX($A123:$T123,MATCH(Lists!$F$4,$A$1:$T$1,0)),6,2)),VALUE(MID(INDEX($A123:$T123,MATCH(Lists!$F$4,$A$1:$T$1,0)),9,2))))),""),IFERROR(IF(TRIM(INDEX($A123:$T123,MATCH(Lists!$F$5,$A$1:$T$1,0))&amp;"")="","",IF(ISNUMBER(INDEX($A123:$T123,MATCH(Lists!$F$5,$A$1:$T$1,0))),INT(INDEX($A123:$T123,MATCH(Lists!$F$5,$A$1:$T$1,0))),DATE(VALUE(LEFT(INDEX($A123:$T123,MATCH(Lists!$F$5,$A$1:$T$1,0)),4)),VALUE(MID(INDEX($A123:$T123,MATCH(Lists!$F$5,$A$1:$T$1,0)),6,2)),VALUE(MID(INDEX($A123:$T123,MATCH(Lists!$F$5,$A$1:$T$1,0)),9,2))))),"")))</f>
        <v/>
      </c>
      <c r="AB123" s="21">
        <f>IF(Y123="","",IF(LEFT(IFERROR(TRIM(INDEX($A123:$T123,MATCH(Lists!$F$6,$A$1:$T$1,0))&amp;""),""),2)="No","General comment",IF(IFERROR(TRIM(INDEX($A123:$T123,MATCH(Lists!$F$7,$A$1:$T$1,0))&amp;""),"")&lt;&gt;"",IFERROR(TRIM(INDEX($A123:$T123,MATCH(Lists!$F$7,$A$1:$T$1,0))&amp;""),""),IF(IFERROR(TRIM(INDEX($A123:$T123,MATCH(Lists!$F$8,$A$1:$T$1,0))&amp;""),"")&lt;&gt;"",IFERROR(TRIM(INDEX($A123:$T123,MATCH(Lists!$F$8,$A$1:$T$1,0))&amp;""),""),"(no item given)"))))</f>
        <v/>
      </c>
      <c r="AC123" s="21">
        <f>IF(Y123="","",IF(ISNUMBER(SEARCH("support",IFERROR(TRIM(INDEX($A123:$T123,MATCH(Lists!$F$9,$A$1:$T$1,0))&amp;""),""))),"Support",IF(ISNUMBER(SEARCH("oppose",IFERROR(TRIM(INDEX($A123:$T123,MATCH(Lists!$F$9,$A$1:$T$1,0))&amp;""),""))),"Oppose",IF(IFERROR(TRIM(INDEX($A123:$T123,MATCH(Lists!$F$9,$A$1:$T$1,0))&amp;""),"")="","No position","Neither"))))</f>
        <v/>
      </c>
      <c r="AD123" s="21">
        <f>IF(Y123="","",IF(ISNUMBER(SEARCH("in person",IFERROR(TRIM(INDEX($A123:$T123,MATCH(Lists!$F$13,$A$1:$T$1,0))&amp;""),""))),"In person",IF(ISNUMBER(SEARCH("online",IFERROR(TRIM(INDEX($A123:$T123,MATCH(Lists!$F$13,$A$1:$T$1,0))&amp;""),""))),"Online","Written only")))</f>
        <v/>
      </c>
      <c r="AE123" s="21">
        <f>IF(Y123="","",IFERROR(TRIM(INDEX($A123:$T123,MATCH(Lists!$F$11,$A$1:$T$1,0))&amp;""),""))</f>
        <v/>
      </c>
      <c r="AF123" s="21">
        <f>IF(Y123="","",IFERROR(TRIM(INDEX($A123:$T123,MATCH(Lists!$F$12,$A$1:$T$1,0))&amp;""),""))</f>
        <v/>
      </c>
      <c r="AG123" s="21">
        <f>IF(Y123="","",IFERROR(TRIM(INDEX($A123:$T123,MATCH(Lists!$F$14,$A$1:$T$1,0))&amp;""),""))</f>
        <v/>
      </c>
      <c r="AH123" s="21">
        <f>IF(Y123="","",LEFT(IFERROR(TRIM(INDEX($A123:$T123,MATCH(Lists!$F$10,$A$1:$T$1,0))&amp;""),""),80))</f>
        <v/>
      </c>
      <c r="AI123" s="21">
        <f>IF(Y123="",0,IF(OR(Tally!$B$5="",AA123=Tally!$B$5),1,0))</f>
        <v/>
      </c>
      <c r="AJ123" s="21">
        <f>IF(AI123=1,IF(COUNTIFS($AB$2:AB123,AB123,$AI$2:AI123,1)=1,1,0),0)</f>
        <v/>
      </c>
      <c r="AK123" s="21">
        <f>IF(AJ123=1,SUM($AJ$2:AJ123),"")</f>
        <v/>
      </c>
      <c r="AL123" s="21">
        <f>IF(AND(AI123=1,OR(AD123="In person",AD123="Online"),OR(Speakers!$B$5="",AB123=Speakers!$B$5)),N(Z123)+ROW()/1000000000,"")</f>
        <v/>
      </c>
    </row>
    <row r="124">
      <c r="U124" s="19" t="n"/>
      <c r="V124" s="24" t="n"/>
      <c r="W124" s="24" t="n"/>
      <c r="X124" s="19" t="n"/>
      <c r="Y124" s="21">
        <f>IFERROR(TRIM(INDEX($A124:$T124,MATCH(Lists!$F$2,$A$1:$T$1,0))&amp;""),"")</f>
        <v/>
      </c>
      <c r="Z124" s="22">
        <f>IF(Y124="","",IFERROR(IF(ISNUMBER(INDEX($A124:$T124,MATCH(Lists!$F$3,$A$1:$T$1,0))),INDEX($A124:$T124,MATCH(Lists!$F$3,$A$1:$T$1,0)),DATE(VALUE(LEFT(IFERROR(TRIM(INDEX($A124:$T124,MATCH(Lists!$F$3,$A$1:$T$1,0))&amp;""),""),4)),VALUE(MID(IFERROR(TRIM(INDEX($A124:$T124,MATCH(Lists!$F$3,$A$1:$T$1,0))&amp;""),""),6,2)),VALUE(MID(IFERROR(TRIM(INDEX($A124:$T124,MATCH(Lists!$F$3,$A$1:$T$1,0))&amp;""),""),9,2)))+TIME(VALUE(MID(IFERROR(TRIM(INDEX($A124:$T124,MATCH(Lists!$F$3,$A$1:$T$1,0))&amp;""),""),12,2)),VALUE(MID(IFERROR(TRIM(INDEX($A124:$T124,MATCH(Lists!$F$3,$A$1:$T$1,0))&amp;""),""),15,2)),VALUE(MID(IFERROR(TRIM(INDEX($A124:$T124,MATCH(Lists!$F$3,$A$1:$T$1,0))&amp;""),""),18,2)))),""))</f>
        <v/>
      </c>
      <c r="AA124" s="23">
        <f>IF(Y124="","",IF(ISNUMBER(IFERROR(IF(TRIM(INDEX($A124:$T124,MATCH(Lists!$F$4,$A$1:$T$1,0))&amp;"")="","",IF(ISNUMBER(INDEX($A124:$T124,MATCH(Lists!$F$4,$A$1:$T$1,0))),INT(INDEX($A124:$T124,MATCH(Lists!$F$4,$A$1:$T$1,0))),DATE(VALUE(LEFT(INDEX($A124:$T124,MATCH(Lists!$F$4,$A$1:$T$1,0)),4)),VALUE(MID(INDEX($A124:$T124,MATCH(Lists!$F$4,$A$1:$T$1,0)),6,2)),VALUE(MID(INDEX($A124:$T124,MATCH(Lists!$F$4,$A$1:$T$1,0)),9,2))))),"")),IFERROR(IF(TRIM(INDEX($A124:$T124,MATCH(Lists!$F$4,$A$1:$T$1,0))&amp;"")="","",IF(ISNUMBER(INDEX($A124:$T124,MATCH(Lists!$F$4,$A$1:$T$1,0))),INT(INDEX($A124:$T124,MATCH(Lists!$F$4,$A$1:$T$1,0))),DATE(VALUE(LEFT(INDEX($A124:$T124,MATCH(Lists!$F$4,$A$1:$T$1,0)),4)),VALUE(MID(INDEX($A124:$T124,MATCH(Lists!$F$4,$A$1:$T$1,0)),6,2)),VALUE(MID(INDEX($A124:$T124,MATCH(Lists!$F$4,$A$1:$T$1,0)),9,2))))),""),IFERROR(IF(TRIM(INDEX($A124:$T124,MATCH(Lists!$F$5,$A$1:$T$1,0))&amp;"")="","",IF(ISNUMBER(INDEX($A124:$T124,MATCH(Lists!$F$5,$A$1:$T$1,0))),INT(INDEX($A124:$T124,MATCH(Lists!$F$5,$A$1:$T$1,0))),DATE(VALUE(LEFT(INDEX($A124:$T124,MATCH(Lists!$F$5,$A$1:$T$1,0)),4)),VALUE(MID(INDEX($A124:$T124,MATCH(Lists!$F$5,$A$1:$T$1,0)),6,2)),VALUE(MID(INDEX($A124:$T124,MATCH(Lists!$F$5,$A$1:$T$1,0)),9,2))))),"")))</f>
        <v/>
      </c>
      <c r="AB124" s="21">
        <f>IF(Y124="","",IF(LEFT(IFERROR(TRIM(INDEX($A124:$T124,MATCH(Lists!$F$6,$A$1:$T$1,0))&amp;""),""),2)="No","General comment",IF(IFERROR(TRIM(INDEX($A124:$T124,MATCH(Lists!$F$7,$A$1:$T$1,0))&amp;""),"")&lt;&gt;"",IFERROR(TRIM(INDEX($A124:$T124,MATCH(Lists!$F$7,$A$1:$T$1,0))&amp;""),""),IF(IFERROR(TRIM(INDEX($A124:$T124,MATCH(Lists!$F$8,$A$1:$T$1,0))&amp;""),"")&lt;&gt;"",IFERROR(TRIM(INDEX($A124:$T124,MATCH(Lists!$F$8,$A$1:$T$1,0))&amp;""),""),"(no item given)"))))</f>
        <v/>
      </c>
      <c r="AC124" s="21">
        <f>IF(Y124="","",IF(ISNUMBER(SEARCH("support",IFERROR(TRIM(INDEX($A124:$T124,MATCH(Lists!$F$9,$A$1:$T$1,0))&amp;""),""))),"Support",IF(ISNUMBER(SEARCH("oppose",IFERROR(TRIM(INDEX($A124:$T124,MATCH(Lists!$F$9,$A$1:$T$1,0))&amp;""),""))),"Oppose",IF(IFERROR(TRIM(INDEX($A124:$T124,MATCH(Lists!$F$9,$A$1:$T$1,0))&amp;""),"")="","No position","Neither"))))</f>
        <v/>
      </c>
      <c r="AD124" s="21">
        <f>IF(Y124="","",IF(ISNUMBER(SEARCH("in person",IFERROR(TRIM(INDEX($A124:$T124,MATCH(Lists!$F$13,$A$1:$T$1,0))&amp;""),""))),"In person",IF(ISNUMBER(SEARCH("online",IFERROR(TRIM(INDEX($A124:$T124,MATCH(Lists!$F$13,$A$1:$T$1,0))&amp;""),""))),"Online","Written only")))</f>
        <v/>
      </c>
      <c r="AE124" s="21">
        <f>IF(Y124="","",IFERROR(TRIM(INDEX($A124:$T124,MATCH(Lists!$F$11,$A$1:$T$1,0))&amp;""),""))</f>
        <v/>
      </c>
      <c r="AF124" s="21">
        <f>IF(Y124="","",IFERROR(TRIM(INDEX($A124:$T124,MATCH(Lists!$F$12,$A$1:$T$1,0))&amp;""),""))</f>
        <v/>
      </c>
      <c r="AG124" s="21">
        <f>IF(Y124="","",IFERROR(TRIM(INDEX($A124:$T124,MATCH(Lists!$F$14,$A$1:$T$1,0))&amp;""),""))</f>
        <v/>
      </c>
      <c r="AH124" s="21">
        <f>IF(Y124="","",LEFT(IFERROR(TRIM(INDEX($A124:$T124,MATCH(Lists!$F$10,$A$1:$T$1,0))&amp;""),""),80))</f>
        <v/>
      </c>
      <c r="AI124" s="21">
        <f>IF(Y124="",0,IF(OR(Tally!$B$5="",AA124=Tally!$B$5),1,0))</f>
        <v/>
      </c>
      <c r="AJ124" s="21">
        <f>IF(AI124=1,IF(COUNTIFS($AB$2:AB124,AB124,$AI$2:AI124,1)=1,1,0),0)</f>
        <v/>
      </c>
      <c r="AK124" s="21">
        <f>IF(AJ124=1,SUM($AJ$2:AJ124),"")</f>
        <v/>
      </c>
      <c r="AL124" s="21">
        <f>IF(AND(AI124=1,OR(AD124="In person",AD124="Online"),OR(Speakers!$B$5="",AB124=Speakers!$B$5)),N(Z124)+ROW()/1000000000,"")</f>
        <v/>
      </c>
    </row>
    <row r="125">
      <c r="U125" s="19" t="n"/>
      <c r="V125" s="24" t="n"/>
      <c r="W125" s="24" t="n"/>
      <c r="X125" s="19" t="n"/>
      <c r="Y125" s="21">
        <f>IFERROR(TRIM(INDEX($A125:$T125,MATCH(Lists!$F$2,$A$1:$T$1,0))&amp;""),"")</f>
        <v/>
      </c>
      <c r="Z125" s="22">
        <f>IF(Y125="","",IFERROR(IF(ISNUMBER(INDEX($A125:$T125,MATCH(Lists!$F$3,$A$1:$T$1,0))),INDEX($A125:$T125,MATCH(Lists!$F$3,$A$1:$T$1,0)),DATE(VALUE(LEFT(IFERROR(TRIM(INDEX($A125:$T125,MATCH(Lists!$F$3,$A$1:$T$1,0))&amp;""),""),4)),VALUE(MID(IFERROR(TRIM(INDEX($A125:$T125,MATCH(Lists!$F$3,$A$1:$T$1,0))&amp;""),""),6,2)),VALUE(MID(IFERROR(TRIM(INDEX($A125:$T125,MATCH(Lists!$F$3,$A$1:$T$1,0))&amp;""),""),9,2)))+TIME(VALUE(MID(IFERROR(TRIM(INDEX($A125:$T125,MATCH(Lists!$F$3,$A$1:$T$1,0))&amp;""),""),12,2)),VALUE(MID(IFERROR(TRIM(INDEX($A125:$T125,MATCH(Lists!$F$3,$A$1:$T$1,0))&amp;""),""),15,2)),VALUE(MID(IFERROR(TRIM(INDEX($A125:$T125,MATCH(Lists!$F$3,$A$1:$T$1,0))&amp;""),""),18,2)))),""))</f>
        <v/>
      </c>
      <c r="AA125" s="23">
        <f>IF(Y125="","",IF(ISNUMBER(IFERROR(IF(TRIM(INDEX($A125:$T125,MATCH(Lists!$F$4,$A$1:$T$1,0))&amp;"")="","",IF(ISNUMBER(INDEX($A125:$T125,MATCH(Lists!$F$4,$A$1:$T$1,0))),INT(INDEX($A125:$T125,MATCH(Lists!$F$4,$A$1:$T$1,0))),DATE(VALUE(LEFT(INDEX($A125:$T125,MATCH(Lists!$F$4,$A$1:$T$1,0)),4)),VALUE(MID(INDEX($A125:$T125,MATCH(Lists!$F$4,$A$1:$T$1,0)),6,2)),VALUE(MID(INDEX($A125:$T125,MATCH(Lists!$F$4,$A$1:$T$1,0)),9,2))))),"")),IFERROR(IF(TRIM(INDEX($A125:$T125,MATCH(Lists!$F$4,$A$1:$T$1,0))&amp;"")="","",IF(ISNUMBER(INDEX($A125:$T125,MATCH(Lists!$F$4,$A$1:$T$1,0))),INT(INDEX($A125:$T125,MATCH(Lists!$F$4,$A$1:$T$1,0))),DATE(VALUE(LEFT(INDEX($A125:$T125,MATCH(Lists!$F$4,$A$1:$T$1,0)),4)),VALUE(MID(INDEX($A125:$T125,MATCH(Lists!$F$4,$A$1:$T$1,0)),6,2)),VALUE(MID(INDEX($A125:$T125,MATCH(Lists!$F$4,$A$1:$T$1,0)),9,2))))),""),IFERROR(IF(TRIM(INDEX($A125:$T125,MATCH(Lists!$F$5,$A$1:$T$1,0))&amp;"")="","",IF(ISNUMBER(INDEX($A125:$T125,MATCH(Lists!$F$5,$A$1:$T$1,0))),INT(INDEX($A125:$T125,MATCH(Lists!$F$5,$A$1:$T$1,0))),DATE(VALUE(LEFT(INDEX($A125:$T125,MATCH(Lists!$F$5,$A$1:$T$1,0)),4)),VALUE(MID(INDEX($A125:$T125,MATCH(Lists!$F$5,$A$1:$T$1,0)),6,2)),VALUE(MID(INDEX($A125:$T125,MATCH(Lists!$F$5,$A$1:$T$1,0)),9,2))))),"")))</f>
        <v/>
      </c>
      <c r="AB125" s="21">
        <f>IF(Y125="","",IF(LEFT(IFERROR(TRIM(INDEX($A125:$T125,MATCH(Lists!$F$6,$A$1:$T$1,0))&amp;""),""),2)="No","General comment",IF(IFERROR(TRIM(INDEX($A125:$T125,MATCH(Lists!$F$7,$A$1:$T$1,0))&amp;""),"")&lt;&gt;"",IFERROR(TRIM(INDEX($A125:$T125,MATCH(Lists!$F$7,$A$1:$T$1,0))&amp;""),""),IF(IFERROR(TRIM(INDEX($A125:$T125,MATCH(Lists!$F$8,$A$1:$T$1,0))&amp;""),"")&lt;&gt;"",IFERROR(TRIM(INDEX($A125:$T125,MATCH(Lists!$F$8,$A$1:$T$1,0))&amp;""),""),"(no item given)"))))</f>
        <v/>
      </c>
      <c r="AC125" s="21">
        <f>IF(Y125="","",IF(ISNUMBER(SEARCH("support",IFERROR(TRIM(INDEX($A125:$T125,MATCH(Lists!$F$9,$A$1:$T$1,0))&amp;""),""))),"Support",IF(ISNUMBER(SEARCH("oppose",IFERROR(TRIM(INDEX($A125:$T125,MATCH(Lists!$F$9,$A$1:$T$1,0))&amp;""),""))),"Oppose",IF(IFERROR(TRIM(INDEX($A125:$T125,MATCH(Lists!$F$9,$A$1:$T$1,0))&amp;""),"")="","No position","Neither"))))</f>
        <v/>
      </c>
      <c r="AD125" s="21">
        <f>IF(Y125="","",IF(ISNUMBER(SEARCH("in person",IFERROR(TRIM(INDEX($A125:$T125,MATCH(Lists!$F$13,$A$1:$T$1,0))&amp;""),""))),"In person",IF(ISNUMBER(SEARCH("online",IFERROR(TRIM(INDEX($A125:$T125,MATCH(Lists!$F$13,$A$1:$T$1,0))&amp;""),""))),"Online","Written only")))</f>
        <v/>
      </c>
      <c r="AE125" s="21">
        <f>IF(Y125="","",IFERROR(TRIM(INDEX($A125:$T125,MATCH(Lists!$F$11,$A$1:$T$1,0))&amp;""),""))</f>
        <v/>
      </c>
      <c r="AF125" s="21">
        <f>IF(Y125="","",IFERROR(TRIM(INDEX($A125:$T125,MATCH(Lists!$F$12,$A$1:$T$1,0))&amp;""),""))</f>
        <v/>
      </c>
      <c r="AG125" s="21">
        <f>IF(Y125="","",IFERROR(TRIM(INDEX($A125:$T125,MATCH(Lists!$F$14,$A$1:$T$1,0))&amp;""),""))</f>
        <v/>
      </c>
      <c r="AH125" s="21">
        <f>IF(Y125="","",LEFT(IFERROR(TRIM(INDEX($A125:$T125,MATCH(Lists!$F$10,$A$1:$T$1,0))&amp;""),""),80))</f>
        <v/>
      </c>
      <c r="AI125" s="21">
        <f>IF(Y125="",0,IF(OR(Tally!$B$5="",AA125=Tally!$B$5),1,0))</f>
        <v/>
      </c>
      <c r="AJ125" s="21">
        <f>IF(AI125=1,IF(COUNTIFS($AB$2:AB125,AB125,$AI$2:AI125,1)=1,1,0),0)</f>
        <v/>
      </c>
      <c r="AK125" s="21">
        <f>IF(AJ125=1,SUM($AJ$2:AJ125),"")</f>
        <v/>
      </c>
      <c r="AL125" s="21">
        <f>IF(AND(AI125=1,OR(AD125="In person",AD125="Online"),OR(Speakers!$B$5="",AB125=Speakers!$B$5)),N(Z125)+ROW()/1000000000,"")</f>
        <v/>
      </c>
    </row>
    <row r="126">
      <c r="U126" s="19" t="n"/>
      <c r="V126" s="24" t="n"/>
      <c r="W126" s="24" t="n"/>
      <c r="X126" s="19" t="n"/>
      <c r="Y126" s="21">
        <f>IFERROR(TRIM(INDEX($A126:$T126,MATCH(Lists!$F$2,$A$1:$T$1,0))&amp;""),"")</f>
        <v/>
      </c>
      <c r="Z126" s="22">
        <f>IF(Y126="","",IFERROR(IF(ISNUMBER(INDEX($A126:$T126,MATCH(Lists!$F$3,$A$1:$T$1,0))),INDEX($A126:$T126,MATCH(Lists!$F$3,$A$1:$T$1,0)),DATE(VALUE(LEFT(IFERROR(TRIM(INDEX($A126:$T126,MATCH(Lists!$F$3,$A$1:$T$1,0))&amp;""),""),4)),VALUE(MID(IFERROR(TRIM(INDEX($A126:$T126,MATCH(Lists!$F$3,$A$1:$T$1,0))&amp;""),""),6,2)),VALUE(MID(IFERROR(TRIM(INDEX($A126:$T126,MATCH(Lists!$F$3,$A$1:$T$1,0))&amp;""),""),9,2)))+TIME(VALUE(MID(IFERROR(TRIM(INDEX($A126:$T126,MATCH(Lists!$F$3,$A$1:$T$1,0))&amp;""),""),12,2)),VALUE(MID(IFERROR(TRIM(INDEX($A126:$T126,MATCH(Lists!$F$3,$A$1:$T$1,0))&amp;""),""),15,2)),VALUE(MID(IFERROR(TRIM(INDEX($A126:$T126,MATCH(Lists!$F$3,$A$1:$T$1,0))&amp;""),""),18,2)))),""))</f>
        <v/>
      </c>
      <c r="AA126" s="23">
        <f>IF(Y126="","",IF(ISNUMBER(IFERROR(IF(TRIM(INDEX($A126:$T126,MATCH(Lists!$F$4,$A$1:$T$1,0))&amp;"")="","",IF(ISNUMBER(INDEX($A126:$T126,MATCH(Lists!$F$4,$A$1:$T$1,0))),INT(INDEX($A126:$T126,MATCH(Lists!$F$4,$A$1:$T$1,0))),DATE(VALUE(LEFT(INDEX($A126:$T126,MATCH(Lists!$F$4,$A$1:$T$1,0)),4)),VALUE(MID(INDEX($A126:$T126,MATCH(Lists!$F$4,$A$1:$T$1,0)),6,2)),VALUE(MID(INDEX($A126:$T126,MATCH(Lists!$F$4,$A$1:$T$1,0)),9,2))))),"")),IFERROR(IF(TRIM(INDEX($A126:$T126,MATCH(Lists!$F$4,$A$1:$T$1,0))&amp;"")="","",IF(ISNUMBER(INDEX($A126:$T126,MATCH(Lists!$F$4,$A$1:$T$1,0))),INT(INDEX($A126:$T126,MATCH(Lists!$F$4,$A$1:$T$1,0))),DATE(VALUE(LEFT(INDEX($A126:$T126,MATCH(Lists!$F$4,$A$1:$T$1,0)),4)),VALUE(MID(INDEX($A126:$T126,MATCH(Lists!$F$4,$A$1:$T$1,0)),6,2)),VALUE(MID(INDEX($A126:$T126,MATCH(Lists!$F$4,$A$1:$T$1,0)),9,2))))),""),IFERROR(IF(TRIM(INDEX($A126:$T126,MATCH(Lists!$F$5,$A$1:$T$1,0))&amp;"")="","",IF(ISNUMBER(INDEX($A126:$T126,MATCH(Lists!$F$5,$A$1:$T$1,0))),INT(INDEX($A126:$T126,MATCH(Lists!$F$5,$A$1:$T$1,0))),DATE(VALUE(LEFT(INDEX($A126:$T126,MATCH(Lists!$F$5,$A$1:$T$1,0)),4)),VALUE(MID(INDEX($A126:$T126,MATCH(Lists!$F$5,$A$1:$T$1,0)),6,2)),VALUE(MID(INDEX($A126:$T126,MATCH(Lists!$F$5,$A$1:$T$1,0)),9,2))))),"")))</f>
        <v/>
      </c>
      <c r="AB126" s="21">
        <f>IF(Y126="","",IF(LEFT(IFERROR(TRIM(INDEX($A126:$T126,MATCH(Lists!$F$6,$A$1:$T$1,0))&amp;""),""),2)="No","General comment",IF(IFERROR(TRIM(INDEX($A126:$T126,MATCH(Lists!$F$7,$A$1:$T$1,0))&amp;""),"")&lt;&gt;"",IFERROR(TRIM(INDEX($A126:$T126,MATCH(Lists!$F$7,$A$1:$T$1,0))&amp;""),""),IF(IFERROR(TRIM(INDEX($A126:$T126,MATCH(Lists!$F$8,$A$1:$T$1,0))&amp;""),"")&lt;&gt;"",IFERROR(TRIM(INDEX($A126:$T126,MATCH(Lists!$F$8,$A$1:$T$1,0))&amp;""),""),"(no item given)"))))</f>
        <v/>
      </c>
      <c r="AC126" s="21">
        <f>IF(Y126="","",IF(ISNUMBER(SEARCH("support",IFERROR(TRIM(INDEX($A126:$T126,MATCH(Lists!$F$9,$A$1:$T$1,0))&amp;""),""))),"Support",IF(ISNUMBER(SEARCH("oppose",IFERROR(TRIM(INDEX($A126:$T126,MATCH(Lists!$F$9,$A$1:$T$1,0))&amp;""),""))),"Oppose",IF(IFERROR(TRIM(INDEX($A126:$T126,MATCH(Lists!$F$9,$A$1:$T$1,0))&amp;""),"")="","No position","Neither"))))</f>
        <v/>
      </c>
      <c r="AD126" s="21">
        <f>IF(Y126="","",IF(ISNUMBER(SEARCH("in person",IFERROR(TRIM(INDEX($A126:$T126,MATCH(Lists!$F$13,$A$1:$T$1,0))&amp;""),""))),"In person",IF(ISNUMBER(SEARCH("online",IFERROR(TRIM(INDEX($A126:$T126,MATCH(Lists!$F$13,$A$1:$T$1,0))&amp;""),""))),"Online","Written only")))</f>
        <v/>
      </c>
      <c r="AE126" s="21">
        <f>IF(Y126="","",IFERROR(TRIM(INDEX($A126:$T126,MATCH(Lists!$F$11,$A$1:$T$1,0))&amp;""),""))</f>
        <v/>
      </c>
      <c r="AF126" s="21">
        <f>IF(Y126="","",IFERROR(TRIM(INDEX($A126:$T126,MATCH(Lists!$F$12,$A$1:$T$1,0))&amp;""),""))</f>
        <v/>
      </c>
      <c r="AG126" s="21">
        <f>IF(Y126="","",IFERROR(TRIM(INDEX($A126:$T126,MATCH(Lists!$F$14,$A$1:$T$1,0))&amp;""),""))</f>
        <v/>
      </c>
      <c r="AH126" s="21">
        <f>IF(Y126="","",LEFT(IFERROR(TRIM(INDEX($A126:$T126,MATCH(Lists!$F$10,$A$1:$T$1,0))&amp;""),""),80))</f>
        <v/>
      </c>
      <c r="AI126" s="21">
        <f>IF(Y126="",0,IF(OR(Tally!$B$5="",AA126=Tally!$B$5),1,0))</f>
        <v/>
      </c>
      <c r="AJ126" s="21">
        <f>IF(AI126=1,IF(COUNTIFS($AB$2:AB126,AB126,$AI$2:AI126,1)=1,1,0),0)</f>
        <v/>
      </c>
      <c r="AK126" s="21">
        <f>IF(AJ126=1,SUM($AJ$2:AJ126),"")</f>
        <v/>
      </c>
      <c r="AL126" s="21">
        <f>IF(AND(AI126=1,OR(AD126="In person",AD126="Online"),OR(Speakers!$B$5="",AB126=Speakers!$B$5)),N(Z126)+ROW()/1000000000,"")</f>
        <v/>
      </c>
    </row>
    <row r="127">
      <c r="U127" s="19" t="n"/>
      <c r="V127" s="24" t="n"/>
      <c r="W127" s="24" t="n"/>
      <c r="X127" s="19" t="n"/>
      <c r="Y127" s="21">
        <f>IFERROR(TRIM(INDEX($A127:$T127,MATCH(Lists!$F$2,$A$1:$T$1,0))&amp;""),"")</f>
        <v/>
      </c>
      <c r="Z127" s="22">
        <f>IF(Y127="","",IFERROR(IF(ISNUMBER(INDEX($A127:$T127,MATCH(Lists!$F$3,$A$1:$T$1,0))),INDEX($A127:$T127,MATCH(Lists!$F$3,$A$1:$T$1,0)),DATE(VALUE(LEFT(IFERROR(TRIM(INDEX($A127:$T127,MATCH(Lists!$F$3,$A$1:$T$1,0))&amp;""),""),4)),VALUE(MID(IFERROR(TRIM(INDEX($A127:$T127,MATCH(Lists!$F$3,$A$1:$T$1,0))&amp;""),""),6,2)),VALUE(MID(IFERROR(TRIM(INDEX($A127:$T127,MATCH(Lists!$F$3,$A$1:$T$1,0))&amp;""),""),9,2)))+TIME(VALUE(MID(IFERROR(TRIM(INDEX($A127:$T127,MATCH(Lists!$F$3,$A$1:$T$1,0))&amp;""),""),12,2)),VALUE(MID(IFERROR(TRIM(INDEX($A127:$T127,MATCH(Lists!$F$3,$A$1:$T$1,0))&amp;""),""),15,2)),VALUE(MID(IFERROR(TRIM(INDEX($A127:$T127,MATCH(Lists!$F$3,$A$1:$T$1,0))&amp;""),""),18,2)))),""))</f>
        <v/>
      </c>
      <c r="AA127" s="23">
        <f>IF(Y127="","",IF(ISNUMBER(IFERROR(IF(TRIM(INDEX($A127:$T127,MATCH(Lists!$F$4,$A$1:$T$1,0))&amp;"")="","",IF(ISNUMBER(INDEX($A127:$T127,MATCH(Lists!$F$4,$A$1:$T$1,0))),INT(INDEX($A127:$T127,MATCH(Lists!$F$4,$A$1:$T$1,0))),DATE(VALUE(LEFT(INDEX($A127:$T127,MATCH(Lists!$F$4,$A$1:$T$1,0)),4)),VALUE(MID(INDEX($A127:$T127,MATCH(Lists!$F$4,$A$1:$T$1,0)),6,2)),VALUE(MID(INDEX($A127:$T127,MATCH(Lists!$F$4,$A$1:$T$1,0)),9,2))))),"")),IFERROR(IF(TRIM(INDEX($A127:$T127,MATCH(Lists!$F$4,$A$1:$T$1,0))&amp;"")="","",IF(ISNUMBER(INDEX($A127:$T127,MATCH(Lists!$F$4,$A$1:$T$1,0))),INT(INDEX($A127:$T127,MATCH(Lists!$F$4,$A$1:$T$1,0))),DATE(VALUE(LEFT(INDEX($A127:$T127,MATCH(Lists!$F$4,$A$1:$T$1,0)),4)),VALUE(MID(INDEX($A127:$T127,MATCH(Lists!$F$4,$A$1:$T$1,0)),6,2)),VALUE(MID(INDEX($A127:$T127,MATCH(Lists!$F$4,$A$1:$T$1,0)),9,2))))),""),IFERROR(IF(TRIM(INDEX($A127:$T127,MATCH(Lists!$F$5,$A$1:$T$1,0))&amp;"")="","",IF(ISNUMBER(INDEX($A127:$T127,MATCH(Lists!$F$5,$A$1:$T$1,0))),INT(INDEX($A127:$T127,MATCH(Lists!$F$5,$A$1:$T$1,0))),DATE(VALUE(LEFT(INDEX($A127:$T127,MATCH(Lists!$F$5,$A$1:$T$1,0)),4)),VALUE(MID(INDEX($A127:$T127,MATCH(Lists!$F$5,$A$1:$T$1,0)),6,2)),VALUE(MID(INDEX($A127:$T127,MATCH(Lists!$F$5,$A$1:$T$1,0)),9,2))))),"")))</f>
        <v/>
      </c>
      <c r="AB127" s="21">
        <f>IF(Y127="","",IF(LEFT(IFERROR(TRIM(INDEX($A127:$T127,MATCH(Lists!$F$6,$A$1:$T$1,0))&amp;""),""),2)="No","General comment",IF(IFERROR(TRIM(INDEX($A127:$T127,MATCH(Lists!$F$7,$A$1:$T$1,0))&amp;""),"")&lt;&gt;"",IFERROR(TRIM(INDEX($A127:$T127,MATCH(Lists!$F$7,$A$1:$T$1,0))&amp;""),""),IF(IFERROR(TRIM(INDEX($A127:$T127,MATCH(Lists!$F$8,$A$1:$T$1,0))&amp;""),"")&lt;&gt;"",IFERROR(TRIM(INDEX($A127:$T127,MATCH(Lists!$F$8,$A$1:$T$1,0))&amp;""),""),"(no item given)"))))</f>
        <v/>
      </c>
      <c r="AC127" s="21">
        <f>IF(Y127="","",IF(ISNUMBER(SEARCH("support",IFERROR(TRIM(INDEX($A127:$T127,MATCH(Lists!$F$9,$A$1:$T$1,0))&amp;""),""))),"Support",IF(ISNUMBER(SEARCH("oppose",IFERROR(TRIM(INDEX($A127:$T127,MATCH(Lists!$F$9,$A$1:$T$1,0))&amp;""),""))),"Oppose",IF(IFERROR(TRIM(INDEX($A127:$T127,MATCH(Lists!$F$9,$A$1:$T$1,0))&amp;""),"")="","No position","Neither"))))</f>
        <v/>
      </c>
      <c r="AD127" s="21">
        <f>IF(Y127="","",IF(ISNUMBER(SEARCH("in person",IFERROR(TRIM(INDEX($A127:$T127,MATCH(Lists!$F$13,$A$1:$T$1,0))&amp;""),""))),"In person",IF(ISNUMBER(SEARCH("online",IFERROR(TRIM(INDEX($A127:$T127,MATCH(Lists!$F$13,$A$1:$T$1,0))&amp;""),""))),"Online","Written only")))</f>
        <v/>
      </c>
      <c r="AE127" s="21">
        <f>IF(Y127="","",IFERROR(TRIM(INDEX($A127:$T127,MATCH(Lists!$F$11,$A$1:$T$1,0))&amp;""),""))</f>
        <v/>
      </c>
      <c r="AF127" s="21">
        <f>IF(Y127="","",IFERROR(TRIM(INDEX($A127:$T127,MATCH(Lists!$F$12,$A$1:$T$1,0))&amp;""),""))</f>
        <v/>
      </c>
      <c r="AG127" s="21">
        <f>IF(Y127="","",IFERROR(TRIM(INDEX($A127:$T127,MATCH(Lists!$F$14,$A$1:$T$1,0))&amp;""),""))</f>
        <v/>
      </c>
      <c r="AH127" s="21">
        <f>IF(Y127="","",LEFT(IFERROR(TRIM(INDEX($A127:$T127,MATCH(Lists!$F$10,$A$1:$T$1,0))&amp;""),""),80))</f>
        <v/>
      </c>
      <c r="AI127" s="21">
        <f>IF(Y127="",0,IF(OR(Tally!$B$5="",AA127=Tally!$B$5),1,0))</f>
        <v/>
      </c>
      <c r="AJ127" s="21">
        <f>IF(AI127=1,IF(COUNTIFS($AB$2:AB127,AB127,$AI$2:AI127,1)=1,1,0),0)</f>
        <v/>
      </c>
      <c r="AK127" s="21">
        <f>IF(AJ127=1,SUM($AJ$2:AJ127),"")</f>
        <v/>
      </c>
      <c r="AL127" s="21">
        <f>IF(AND(AI127=1,OR(AD127="In person",AD127="Online"),OR(Speakers!$B$5="",AB127=Speakers!$B$5)),N(Z127)+ROW()/1000000000,"")</f>
        <v/>
      </c>
    </row>
    <row r="128">
      <c r="U128" s="19" t="n"/>
      <c r="V128" s="24" t="n"/>
      <c r="W128" s="24" t="n"/>
      <c r="X128" s="19" t="n"/>
      <c r="Y128" s="21">
        <f>IFERROR(TRIM(INDEX($A128:$T128,MATCH(Lists!$F$2,$A$1:$T$1,0))&amp;""),"")</f>
        <v/>
      </c>
      <c r="Z128" s="22">
        <f>IF(Y128="","",IFERROR(IF(ISNUMBER(INDEX($A128:$T128,MATCH(Lists!$F$3,$A$1:$T$1,0))),INDEX($A128:$T128,MATCH(Lists!$F$3,$A$1:$T$1,0)),DATE(VALUE(LEFT(IFERROR(TRIM(INDEX($A128:$T128,MATCH(Lists!$F$3,$A$1:$T$1,0))&amp;""),""),4)),VALUE(MID(IFERROR(TRIM(INDEX($A128:$T128,MATCH(Lists!$F$3,$A$1:$T$1,0))&amp;""),""),6,2)),VALUE(MID(IFERROR(TRIM(INDEX($A128:$T128,MATCH(Lists!$F$3,$A$1:$T$1,0))&amp;""),""),9,2)))+TIME(VALUE(MID(IFERROR(TRIM(INDEX($A128:$T128,MATCH(Lists!$F$3,$A$1:$T$1,0))&amp;""),""),12,2)),VALUE(MID(IFERROR(TRIM(INDEX($A128:$T128,MATCH(Lists!$F$3,$A$1:$T$1,0))&amp;""),""),15,2)),VALUE(MID(IFERROR(TRIM(INDEX($A128:$T128,MATCH(Lists!$F$3,$A$1:$T$1,0))&amp;""),""),18,2)))),""))</f>
        <v/>
      </c>
      <c r="AA128" s="23">
        <f>IF(Y128="","",IF(ISNUMBER(IFERROR(IF(TRIM(INDEX($A128:$T128,MATCH(Lists!$F$4,$A$1:$T$1,0))&amp;"")="","",IF(ISNUMBER(INDEX($A128:$T128,MATCH(Lists!$F$4,$A$1:$T$1,0))),INT(INDEX($A128:$T128,MATCH(Lists!$F$4,$A$1:$T$1,0))),DATE(VALUE(LEFT(INDEX($A128:$T128,MATCH(Lists!$F$4,$A$1:$T$1,0)),4)),VALUE(MID(INDEX($A128:$T128,MATCH(Lists!$F$4,$A$1:$T$1,0)),6,2)),VALUE(MID(INDEX($A128:$T128,MATCH(Lists!$F$4,$A$1:$T$1,0)),9,2))))),"")),IFERROR(IF(TRIM(INDEX($A128:$T128,MATCH(Lists!$F$4,$A$1:$T$1,0))&amp;"")="","",IF(ISNUMBER(INDEX($A128:$T128,MATCH(Lists!$F$4,$A$1:$T$1,0))),INT(INDEX($A128:$T128,MATCH(Lists!$F$4,$A$1:$T$1,0))),DATE(VALUE(LEFT(INDEX($A128:$T128,MATCH(Lists!$F$4,$A$1:$T$1,0)),4)),VALUE(MID(INDEX($A128:$T128,MATCH(Lists!$F$4,$A$1:$T$1,0)),6,2)),VALUE(MID(INDEX($A128:$T128,MATCH(Lists!$F$4,$A$1:$T$1,0)),9,2))))),""),IFERROR(IF(TRIM(INDEX($A128:$T128,MATCH(Lists!$F$5,$A$1:$T$1,0))&amp;"")="","",IF(ISNUMBER(INDEX($A128:$T128,MATCH(Lists!$F$5,$A$1:$T$1,0))),INT(INDEX($A128:$T128,MATCH(Lists!$F$5,$A$1:$T$1,0))),DATE(VALUE(LEFT(INDEX($A128:$T128,MATCH(Lists!$F$5,$A$1:$T$1,0)),4)),VALUE(MID(INDEX($A128:$T128,MATCH(Lists!$F$5,$A$1:$T$1,0)),6,2)),VALUE(MID(INDEX($A128:$T128,MATCH(Lists!$F$5,$A$1:$T$1,0)),9,2))))),"")))</f>
        <v/>
      </c>
      <c r="AB128" s="21">
        <f>IF(Y128="","",IF(LEFT(IFERROR(TRIM(INDEX($A128:$T128,MATCH(Lists!$F$6,$A$1:$T$1,0))&amp;""),""),2)="No","General comment",IF(IFERROR(TRIM(INDEX($A128:$T128,MATCH(Lists!$F$7,$A$1:$T$1,0))&amp;""),"")&lt;&gt;"",IFERROR(TRIM(INDEX($A128:$T128,MATCH(Lists!$F$7,$A$1:$T$1,0))&amp;""),""),IF(IFERROR(TRIM(INDEX($A128:$T128,MATCH(Lists!$F$8,$A$1:$T$1,0))&amp;""),"")&lt;&gt;"",IFERROR(TRIM(INDEX($A128:$T128,MATCH(Lists!$F$8,$A$1:$T$1,0))&amp;""),""),"(no item given)"))))</f>
        <v/>
      </c>
      <c r="AC128" s="21">
        <f>IF(Y128="","",IF(ISNUMBER(SEARCH("support",IFERROR(TRIM(INDEX($A128:$T128,MATCH(Lists!$F$9,$A$1:$T$1,0))&amp;""),""))),"Support",IF(ISNUMBER(SEARCH("oppose",IFERROR(TRIM(INDEX($A128:$T128,MATCH(Lists!$F$9,$A$1:$T$1,0))&amp;""),""))),"Oppose",IF(IFERROR(TRIM(INDEX($A128:$T128,MATCH(Lists!$F$9,$A$1:$T$1,0))&amp;""),"")="","No position","Neither"))))</f>
        <v/>
      </c>
      <c r="AD128" s="21">
        <f>IF(Y128="","",IF(ISNUMBER(SEARCH("in person",IFERROR(TRIM(INDEX($A128:$T128,MATCH(Lists!$F$13,$A$1:$T$1,0))&amp;""),""))),"In person",IF(ISNUMBER(SEARCH("online",IFERROR(TRIM(INDEX($A128:$T128,MATCH(Lists!$F$13,$A$1:$T$1,0))&amp;""),""))),"Online","Written only")))</f>
        <v/>
      </c>
      <c r="AE128" s="21">
        <f>IF(Y128="","",IFERROR(TRIM(INDEX($A128:$T128,MATCH(Lists!$F$11,$A$1:$T$1,0))&amp;""),""))</f>
        <v/>
      </c>
      <c r="AF128" s="21">
        <f>IF(Y128="","",IFERROR(TRIM(INDEX($A128:$T128,MATCH(Lists!$F$12,$A$1:$T$1,0))&amp;""),""))</f>
        <v/>
      </c>
      <c r="AG128" s="21">
        <f>IF(Y128="","",IFERROR(TRIM(INDEX($A128:$T128,MATCH(Lists!$F$14,$A$1:$T$1,0))&amp;""),""))</f>
        <v/>
      </c>
      <c r="AH128" s="21">
        <f>IF(Y128="","",LEFT(IFERROR(TRIM(INDEX($A128:$T128,MATCH(Lists!$F$10,$A$1:$T$1,0))&amp;""),""),80))</f>
        <v/>
      </c>
      <c r="AI128" s="21">
        <f>IF(Y128="",0,IF(OR(Tally!$B$5="",AA128=Tally!$B$5),1,0))</f>
        <v/>
      </c>
      <c r="AJ128" s="21">
        <f>IF(AI128=1,IF(COUNTIFS($AB$2:AB128,AB128,$AI$2:AI128,1)=1,1,0),0)</f>
        <v/>
      </c>
      <c r="AK128" s="21">
        <f>IF(AJ128=1,SUM($AJ$2:AJ128),"")</f>
        <v/>
      </c>
      <c r="AL128" s="21">
        <f>IF(AND(AI128=1,OR(AD128="In person",AD128="Online"),OR(Speakers!$B$5="",AB128=Speakers!$B$5)),N(Z128)+ROW()/1000000000,"")</f>
        <v/>
      </c>
    </row>
    <row r="129">
      <c r="U129" s="19" t="n"/>
      <c r="V129" s="24" t="n"/>
      <c r="W129" s="24" t="n"/>
      <c r="X129" s="19" t="n"/>
      <c r="Y129" s="21">
        <f>IFERROR(TRIM(INDEX($A129:$T129,MATCH(Lists!$F$2,$A$1:$T$1,0))&amp;""),"")</f>
        <v/>
      </c>
      <c r="Z129" s="22">
        <f>IF(Y129="","",IFERROR(IF(ISNUMBER(INDEX($A129:$T129,MATCH(Lists!$F$3,$A$1:$T$1,0))),INDEX($A129:$T129,MATCH(Lists!$F$3,$A$1:$T$1,0)),DATE(VALUE(LEFT(IFERROR(TRIM(INDEX($A129:$T129,MATCH(Lists!$F$3,$A$1:$T$1,0))&amp;""),""),4)),VALUE(MID(IFERROR(TRIM(INDEX($A129:$T129,MATCH(Lists!$F$3,$A$1:$T$1,0))&amp;""),""),6,2)),VALUE(MID(IFERROR(TRIM(INDEX($A129:$T129,MATCH(Lists!$F$3,$A$1:$T$1,0))&amp;""),""),9,2)))+TIME(VALUE(MID(IFERROR(TRIM(INDEX($A129:$T129,MATCH(Lists!$F$3,$A$1:$T$1,0))&amp;""),""),12,2)),VALUE(MID(IFERROR(TRIM(INDEX($A129:$T129,MATCH(Lists!$F$3,$A$1:$T$1,0))&amp;""),""),15,2)),VALUE(MID(IFERROR(TRIM(INDEX($A129:$T129,MATCH(Lists!$F$3,$A$1:$T$1,0))&amp;""),""),18,2)))),""))</f>
        <v/>
      </c>
      <c r="AA129" s="23">
        <f>IF(Y129="","",IF(ISNUMBER(IFERROR(IF(TRIM(INDEX($A129:$T129,MATCH(Lists!$F$4,$A$1:$T$1,0))&amp;"")="","",IF(ISNUMBER(INDEX($A129:$T129,MATCH(Lists!$F$4,$A$1:$T$1,0))),INT(INDEX($A129:$T129,MATCH(Lists!$F$4,$A$1:$T$1,0))),DATE(VALUE(LEFT(INDEX($A129:$T129,MATCH(Lists!$F$4,$A$1:$T$1,0)),4)),VALUE(MID(INDEX($A129:$T129,MATCH(Lists!$F$4,$A$1:$T$1,0)),6,2)),VALUE(MID(INDEX($A129:$T129,MATCH(Lists!$F$4,$A$1:$T$1,0)),9,2))))),"")),IFERROR(IF(TRIM(INDEX($A129:$T129,MATCH(Lists!$F$4,$A$1:$T$1,0))&amp;"")="","",IF(ISNUMBER(INDEX($A129:$T129,MATCH(Lists!$F$4,$A$1:$T$1,0))),INT(INDEX($A129:$T129,MATCH(Lists!$F$4,$A$1:$T$1,0))),DATE(VALUE(LEFT(INDEX($A129:$T129,MATCH(Lists!$F$4,$A$1:$T$1,0)),4)),VALUE(MID(INDEX($A129:$T129,MATCH(Lists!$F$4,$A$1:$T$1,0)),6,2)),VALUE(MID(INDEX($A129:$T129,MATCH(Lists!$F$4,$A$1:$T$1,0)),9,2))))),""),IFERROR(IF(TRIM(INDEX($A129:$T129,MATCH(Lists!$F$5,$A$1:$T$1,0))&amp;"")="","",IF(ISNUMBER(INDEX($A129:$T129,MATCH(Lists!$F$5,$A$1:$T$1,0))),INT(INDEX($A129:$T129,MATCH(Lists!$F$5,$A$1:$T$1,0))),DATE(VALUE(LEFT(INDEX($A129:$T129,MATCH(Lists!$F$5,$A$1:$T$1,0)),4)),VALUE(MID(INDEX($A129:$T129,MATCH(Lists!$F$5,$A$1:$T$1,0)),6,2)),VALUE(MID(INDEX($A129:$T129,MATCH(Lists!$F$5,$A$1:$T$1,0)),9,2))))),"")))</f>
        <v/>
      </c>
      <c r="AB129" s="21">
        <f>IF(Y129="","",IF(LEFT(IFERROR(TRIM(INDEX($A129:$T129,MATCH(Lists!$F$6,$A$1:$T$1,0))&amp;""),""),2)="No","General comment",IF(IFERROR(TRIM(INDEX($A129:$T129,MATCH(Lists!$F$7,$A$1:$T$1,0))&amp;""),"")&lt;&gt;"",IFERROR(TRIM(INDEX($A129:$T129,MATCH(Lists!$F$7,$A$1:$T$1,0))&amp;""),""),IF(IFERROR(TRIM(INDEX($A129:$T129,MATCH(Lists!$F$8,$A$1:$T$1,0))&amp;""),"")&lt;&gt;"",IFERROR(TRIM(INDEX($A129:$T129,MATCH(Lists!$F$8,$A$1:$T$1,0))&amp;""),""),"(no item given)"))))</f>
        <v/>
      </c>
      <c r="AC129" s="21">
        <f>IF(Y129="","",IF(ISNUMBER(SEARCH("support",IFERROR(TRIM(INDEX($A129:$T129,MATCH(Lists!$F$9,$A$1:$T$1,0))&amp;""),""))),"Support",IF(ISNUMBER(SEARCH("oppose",IFERROR(TRIM(INDEX($A129:$T129,MATCH(Lists!$F$9,$A$1:$T$1,0))&amp;""),""))),"Oppose",IF(IFERROR(TRIM(INDEX($A129:$T129,MATCH(Lists!$F$9,$A$1:$T$1,0))&amp;""),"")="","No position","Neither"))))</f>
        <v/>
      </c>
      <c r="AD129" s="21">
        <f>IF(Y129="","",IF(ISNUMBER(SEARCH("in person",IFERROR(TRIM(INDEX($A129:$T129,MATCH(Lists!$F$13,$A$1:$T$1,0))&amp;""),""))),"In person",IF(ISNUMBER(SEARCH("online",IFERROR(TRIM(INDEX($A129:$T129,MATCH(Lists!$F$13,$A$1:$T$1,0))&amp;""),""))),"Online","Written only")))</f>
        <v/>
      </c>
      <c r="AE129" s="21">
        <f>IF(Y129="","",IFERROR(TRIM(INDEX($A129:$T129,MATCH(Lists!$F$11,$A$1:$T$1,0))&amp;""),""))</f>
        <v/>
      </c>
      <c r="AF129" s="21">
        <f>IF(Y129="","",IFERROR(TRIM(INDEX($A129:$T129,MATCH(Lists!$F$12,$A$1:$T$1,0))&amp;""),""))</f>
        <v/>
      </c>
      <c r="AG129" s="21">
        <f>IF(Y129="","",IFERROR(TRIM(INDEX($A129:$T129,MATCH(Lists!$F$14,$A$1:$T$1,0))&amp;""),""))</f>
        <v/>
      </c>
      <c r="AH129" s="21">
        <f>IF(Y129="","",LEFT(IFERROR(TRIM(INDEX($A129:$T129,MATCH(Lists!$F$10,$A$1:$T$1,0))&amp;""),""),80))</f>
        <v/>
      </c>
      <c r="AI129" s="21">
        <f>IF(Y129="",0,IF(OR(Tally!$B$5="",AA129=Tally!$B$5),1,0))</f>
        <v/>
      </c>
      <c r="AJ129" s="21">
        <f>IF(AI129=1,IF(COUNTIFS($AB$2:AB129,AB129,$AI$2:AI129,1)=1,1,0),0)</f>
        <v/>
      </c>
      <c r="AK129" s="21">
        <f>IF(AJ129=1,SUM($AJ$2:AJ129),"")</f>
        <v/>
      </c>
      <c r="AL129" s="21">
        <f>IF(AND(AI129=1,OR(AD129="In person",AD129="Online"),OR(Speakers!$B$5="",AB129=Speakers!$B$5)),N(Z129)+ROW()/1000000000,"")</f>
        <v/>
      </c>
    </row>
    <row r="130">
      <c r="U130" s="19" t="n"/>
      <c r="V130" s="24" t="n"/>
      <c r="W130" s="24" t="n"/>
      <c r="X130" s="19" t="n"/>
      <c r="Y130" s="21">
        <f>IFERROR(TRIM(INDEX($A130:$T130,MATCH(Lists!$F$2,$A$1:$T$1,0))&amp;""),"")</f>
        <v/>
      </c>
      <c r="Z130" s="22">
        <f>IF(Y130="","",IFERROR(IF(ISNUMBER(INDEX($A130:$T130,MATCH(Lists!$F$3,$A$1:$T$1,0))),INDEX($A130:$T130,MATCH(Lists!$F$3,$A$1:$T$1,0)),DATE(VALUE(LEFT(IFERROR(TRIM(INDEX($A130:$T130,MATCH(Lists!$F$3,$A$1:$T$1,0))&amp;""),""),4)),VALUE(MID(IFERROR(TRIM(INDEX($A130:$T130,MATCH(Lists!$F$3,$A$1:$T$1,0))&amp;""),""),6,2)),VALUE(MID(IFERROR(TRIM(INDEX($A130:$T130,MATCH(Lists!$F$3,$A$1:$T$1,0))&amp;""),""),9,2)))+TIME(VALUE(MID(IFERROR(TRIM(INDEX($A130:$T130,MATCH(Lists!$F$3,$A$1:$T$1,0))&amp;""),""),12,2)),VALUE(MID(IFERROR(TRIM(INDEX($A130:$T130,MATCH(Lists!$F$3,$A$1:$T$1,0))&amp;""),""),15,2)),VALUE(MID(IFERROR(TRIM(INDEX($A130:$T130,MATCH(Lists!$F$3,$A$1:$T$1,0))&amp;""),""),18,2)))),""))</f>
        <v/>
      </c>
      <c r="AA130" s="23">
        <f>IF(Y130="","",IF(ISNUMBER(IFERROR(IF(TRIM(INDEX($A130:$T130,MATCH(Lists!$F$4,$A$1:$T$1,0))&amp;"")="","",IF(ISNUMBER(INDEX($A130:$T130,MATCH(Lists!$F$4,$A$1:$T$1,0))),INT(INDEX($A130:$T130,MATCH(Lists!$F$4,$A$1:$T$1,0))),DATE(VALUE(LEFT(INDEX($A130:$T130,MATCH(Lists!$F$4,$A$1:$T$1,0)),4)),VALUE(MID(INDEX($A130:$T130,MATCH(Lists!$F$4,$A$1:$T$1,0)),6,2)),VALUE(MID(INDEX($A130:$T130,MATCH(Lists!$F$4,$A$1:$T$1,0)),9,2))))),"")),IFERROR(IF(TRIM(INDEX($A130:$T130,MATCH(Lists!$F$4,$A$1:$T$1,0))&amp;"")="","",IF(ISNUMBER(INDEX($A130:$T130,MATCH(Lists!$F$4,$A$1:$T$1,0))),INT(INDEX($A130:$T130,MATCH(Lists!$F$4,$A$1:$T$1,0))),DATE(VALUE(LEFT(INDEX($A130:$T130,MATCH(Lists!$F$4,$A$1:$T$1,0)),4)),VALUE(MID(INDEX($A130:$T130,MATCH(Lists!$F$4,$A$1:$T$1,0)),6,2)),VALUE(MID(INDEX($A130:$T130,MATCH(Lists!$F$4,$A$1:$T$1,0)),9,2))))),""),IFERROR(IF(TRIM(INDEX($A130:$T130,MATCH(Lists!$F$5,$A$1:$T$1,0))&amp;"")="","",IF(ISNUMBER(INDEX($A130:$T130,MATCH(Lists!$F$5,$A$1:$T$1,0))),INT(INDEX($A130:$T130,MATCH(Lists!$F$5,$A$1:$T$1,0))),DATE(VALUE(LEFT(INDEX($A130:$T130,MATCH(Lists!$F$5,$A$1:$T$1,0)),4)),VALUE(MID(INDEX($A130:$T130,MATCH(Lists!$F$5,$A$1:$T$1,0)),6,2)),VALUE(MID(INDEX($A130:$T130,MATCH(Lists!$F$5,$A$1:$T$1,0)),9,2))))),"")))</f>
        <v/>
      </c>
      <c r="AB130" s="21">
        <f>IF(Y130="","",IF(LEFT(IFERROR(TRIM(INDEX($A130:$T130,MATCH(Lists!$F$6,$A$1:$T$1,0))&amp;""),""),2)="No","General comment",IF(IFERROR(TRIM(INDEX($A130:$T130,MATCH(Lists!$F$7,$A$1:$T$1,0))&amp;""),"")&lt;&gt;"",IFERROR(TRIM(INDEX($A130:$T130,MATCH(Lists!$F$7,$A$1:$T$1,0))&amp;""),""),IF(IFERROR(TRIM(INDEX($A130:$T130,MATCH(Lists!$F$8,$A$1:$T$1,0))&amp;""),"")&lt;&gt;"",IFERROR(TRIM(INDEX($A130:$T130,MATCH(Lists!$F$8,$A$1:$T$1,0))&amp;""),""),"(no item given)"))))</f>
        <v/>
      </c>
      <c r="AC130" s="21">
        <f>IF(Y130="","",IF(ISNUMBER(SEARCH("support",IFERROR(TRIM(INDEX($A130:$T130,MATCH(Lists!$F$9,$A$1:$T$1,0))&amp;""),""))),"Support",IF(ISNUMBER(SEARCH("oppose",IFERROR(TRIM(INDEX($A130:$T130,MATCH(Lists!$F$9,$A$1:$T$1,0))&amp;""),""))),"Oppose",IF(IFERROR(TRIM(INDEX($A130:$T130,MATCH(Lists!$F$9,$A$1:$T$1,0))&amp;""),"")="","No position","Neither"))))</f>
        <v/>
      </c>
      <c r="AD130" s="21">
        <f>IF(Y130="","",IF(ISNUMBER(SEARCH("in person",IFERROR(TRIM(INDEX($A130:$T130,MATCH(Lists!$F$13,$A$1:$T$1,0))&amp;""),""))),"In person",IF(ISNUMBER(SEARCH("online",IFERROR(TRIM(INDEX($A130:$T130,MATCH(Lists!$F$13,$A$1:$T$1,0))&amp;""),""))),"Online","Written only")))</f>
        <v/>
      </c>
      <c r="AE130" s="21">
        <f>IF(Y130="","",IFERROR(TRIM(INDEX($A130:$T130,MATCH(Lists!$F$11,$A$1:$T$1,0))&amp;""),""))</f>
        <v/>
      </c>
      <c r="AF130" s="21">
        <f>IF(Y130="","",IFERROR(TRIM(INDEX($A130:$T130,MATCH(Lists!$F$12,$A$1:$T$1,0))&amp;""),""))</f>
        <v/>
      </c>
      <c r="AG130" s="21">
        <f>IF(Y130="","",IFERROR(TRIM(INDEX($A130:$T130,MATCH(Lists!$F$14,$A$1:$T$1,0))&amp;""),""))</f>
        <v/>
      </c>
      <c r="AH130" s="21">
        <f>IF(Y130="","",LEFT(IFERROR(TRIM(INDEX($A130:$T130,MATCH(Lists!$F$10,$A$1:$T$1,0))&amp;""),""),80))</f>
        <v/>
      </c>
      <c r="AI130" s="21">
        <f>IF(Y130="",0,IF(OR(Tally!$B$5="",AA130=Tally!$B$5),1,0))</f>
        <v/>
      </c>
      <c r="AJ130" s="21">
        <f>IF(AI130=1,IF(COUNTIFS($AB$2:AB130,AB130,$AI$2:AI130,1)=1,1,0),0)</f>
        <v/>
      </c>
      <c r="AK130" s="21">
        <f>IF(AJ130=1,SUM($AJ$2:AJ130),"")</f>
        <v/>
      </c>
      <c r="AL130" s="21">
        <f>IF(AND(AI130=1,OR(AD130="In person",AD130="Online"),OR(Speakers!$B$5="",AB130=Speakers!$B$5)),N(Z130)+ROW()/1000000000,"")</f>
        <v/>
      </c>
    </row>
    <row r="131">
      <c r="U131" s="19" t="n"/>
      <c r="V131" s="24" t="n"/>
      <c r="W131" s="24" t="n"/>
      <c r="X131" s="19" t="n"/>
      <c r="Y131" s="21">
        <f>IFERROR(TRIM(INDEX($A131:$T131,MATCH(Lists!$F$2,$A$1:$T$1,0))&amp;""),"")</f>
        <v/>
      </c>
      <c r="Z131" s="22">
        <f>IF(Y131="","",IFERROR(IF(ISNUMBER(INDEX($A131:$T131,MATCH(Lists!$F$3,$A$1:$T$1,0))),INDEX($A131:$T131,MATCH(Lists!$F$3,$A$1:$T$1,0)),DATE(VALUE(LEFT(IFERROR(TRIM(INDEX($A131:$T131,MATCH(Lists!$F$3,$A$1:$T$1,0))&amp;""),""),4)),VALUE(MID(IFERROR(TRIM(INDEX($A131:$T131,MATCH(Lists!$F$3,$A$1:$T$1,0))&amp;""),""),6,2)),VALUE(MID(IFERROR(TRIM(INDEX($A131:$T131,MATCH(Lists!$F$3,$A$1:$T$1,0))&amp;""),""),9,2)))+TIME(VALUE(MID(IFERROR(TRIM(INDEX($A131:$T131,MATCH(Lists!$F$3,$A$1:$T$1,0))&amp;""),""),12,2)),VALUE(MID(IFERROR(TRIM(INDEX($A131:$T131,MATCH(Lists!$F$3,$A$1:$T$1,0))&amp;""),""),15,2)),VALUE(MID(IFERROR(TRIM(INDEX($A131:$T131,MATCH(Lists!$F$3,$A$1:$T$1,0))&amp;""),""),18,2)))),""))</f>
        <v/>
      </c>
      <c r="AA131" s="23">
        <f>IF(Y131="","",IF(ISNUMBER(IFERROR(IF(TRIM(INDEX($A131:$T131,MATCH(Lists!$F$4,$A$1:$T$1,0))&amp;"")="","",IF(ISNUMBER(INDEX($A131:$T131,MATCH(Lists!$F$4,$A$1:$T$1,0))),INT(INDEX($A131:$T131,MATCH(Lists!$F$4,$A$1:$T$1,0))),DATE(VALUE(LEFT(INDEX($A131:$T131,MATCH(Lists!$F$4,$A$1:$T$1,0)),4)),VALUE(MID(INDEX($A131:$T131,MATCH(Lists!$F$4,$A$1:$T$1,0)),6,2)),VALUE(MID(INDEX($A131:$T131,MATCH(Lists!$F$4,$A$1:$T$1,0)),9,2))))),"")),IFERROR(IF(TRIM(INDEX($A131:$T131,MATCH(Lists!$F$4,$A$1:$T$1,0))&amp;"")="","",IF(ISNUMBER(INDEX($A131:$T131,MATCH(Lists!$F$4,$A$1:$T$1,0))),INT(INDEX($A131:$T131,MATCH(Lists!$F$4,$A$1:$T$1,0))),DATE(VALUE(LEFT(INDEX($A131:$T131,MATCH(Lists!$F$4,$A$1:$T$1,0)),4)),VALUE(MID(INDEX($A131:$T131,MATCH(Lists!$F$4,$A$1:$T$1,0)),6,2)),VALUE(MID(INDEX($A131:$T131,MATCH(Lists!$F$4,$A$1:$T$1,0)),9,2))))),""),IFERROR(IF(TRIM(INDEX($A131:$T131,MATCH(Lists!$F$5,$A$1:$T$1,0))&amp;"")="","",IF(ISNUMBER(INDEX($A131:$T131,MATCH(Lists!$F$5,$A$1:$T$1,0))),INT(INDEX($A131:$T131,MATCH(Lists!$F$5,$A$1:$T$1,0))),DATE(VALUE(LEFT(INDEX($A131:$T131,MATCH(Lists!$F$5,$A$1:$T$1,0)),4)),VALUE(MID(INDEX($A131:$T131,MATCH(Lists!$F$5,$A$1:$T$1,0)),6,2)),VALUE(MID(INDEX($A131:$T131,MATCH(Lists!$F$5,$A$1:$T$1,0)),9,2))))),"")))</f>
        <v/>
      </c>
      <c r="AB131" s="21">
        <f>IF(Y131="","",IF(LEFT(IFERROR(TRIM(INDEX($A131:$T131,MATCH(Lists!$F$6,$A$1:$T$1,0))&amp;""),""),2)="No","General comment",IF(IFERROR(TRIM(INDEX($A131:$T131,MATCH(Lists!$F$7,$A$1:$T$1,0))&amp;""),"")&lt;&gt;"",IFERROR(TRIM(INDEX($A131:$T131,MATCH(Lists!$F$7,$A$1:$T$1,0))&amp;""),""),IF(IFERROR(TRIM(INDEX($A131:$T131,MATCH(Lists!$F$8,$A$1:$T$1,0))&amp;""),"")&lt;&gt;"",IFERROR(TRIM(INDEX($A131:$T131,MATCH(Lists!$F$8,$A$1:$T$1,0))&amp;""),""),"(no item given)"))))</f>
        <v/>
      </c>
      <c r="AC131" s="21">
        <f>IF(Y131="","",IF(ISNUMBER(SEARCH("support",IFERROR(TRIM(INDEX($A131:$T131,MATCH(Lists!$F$9,$A$1:$T$1,0))&amp;""),""))),"Support",IF(ISNUMBER(SEARCH("oppose",IFERROR(TRIM(INDEX($A131:$T131,MATCH(Lists!$F$9,$A$1:$T$1,0))&amp;""),""))),"Oppose",IF(IFERROR(TRIM(INDEX($A131:$T131,MATCH(Lists!$F$9,$A$1:$T$1,0))&amp;""),"")="","No position","Neither"))))</f>
        <v/>
      </c>
      <c r="AD131" s="21">
        <f>IF(Y131="","",IF(ISNUMBER(SEARCH("in person",IFERROR(TRIM(INDEX($A131:$T131,MATCH(Lists!$F$13,$A$1:$T$1,0))&amp;""),""))),"In person",IF(ISNUMBER(SEARCH("online",IFERROR(TRIM(INDEX($A131:$T131,MATCH(Lists!$F$13,$A$1:$T$1,0))&amp;""),""))),"Online","Written only")))</f>
        <v/>
      </c>
      <c r="AE131" s="21">
        <f>IF(Y131="","",IFERROR(TRIM(INDEX($A131:$T131,MATCH(Lists!$F$11,$A$1:$T$1,0))&amp;""),""))</f>
        <v/>
      </c>
      <c r="AF131" s="21">
        <f>IF(Y131="","",IFERROR(TRIM(INDEX($A131:$T131,MATCH(Lists!$F$12,$A$1:$T$1,0))&amp;""),""))</f>
        <v/>
      </c>
      <c r="AG131" s="21">
        <f>IF(Y131="","",IFERROR(TRIM(INDEX($A131:$T131,MATCH(Lists!$F$14,$A$1:$T$1,0))&amp;""),""))</f>
        <v/>
      </c>
      <c r="AH131" s="21">
        <f>IF(Y131="","",LEFT(IFERROR(TRIM(INDEX($A131:$T131,MATCH(Lists!$F$10,$A$1:$T$1,0))&amp;""),""),80))</f>
        <v/>
      </c>
      <c r="AI131" s="21">
        <f>IF(Y131="",0,IF(OR(Tally!$B$5="",AA131=Tally!$B$5),1,0))</f>
        <v/>
      </c>
      <c r="AJ131" s="21">
        <f>IF(AI131=1,IF(COUNTIFS($AB$2:AB131,AB131,$AI$2:AI131,1)=1,1,0),0)</f>
        <v/>
      </c>
      <c r="AK131" s="21">
        <f>IF(AJ131=1,SUM($AJ$2:AJ131),"")</f>
        <v/>
      </c>
      <c r="AL131" s="21">
        <f>IF(AND(AI131=1,OR(AD131="In person",AD131="Online"),OR(Speakers!$B$5="",AB131=Speakers!$B$5)),N(Z131)+ROW()/1000000000,"")</f>
        <v/>
      </c>
    </row>
    <row r="132">
      <c r="U132" s="19" t="n"/>
      <c r="V132" s="24" t="n"/>
      <c r="W132" s="24" t="n"/>
      <c r="X132" s="19" t="n"/>
      <c r="Y132" s="21">
        <f>IFERROR(TRIM(INDEX($A132:$T132,MATCH(Lists!$F$2,$A$1:$T$1,0))&amp;""),"")</f>
        <v/>
      </c>
      <c r="Z132" s="22">
        <f>IF(Y132="","",IFERROR(IF(ISNUMBER(INDEX($A132:$T132,MATCH(Lists!$F$3,$A$1:$T$1,0))),INDEX($A132:$T132,MATCH(Lists!$F$3,$A$1:$T$1,0)),DATE(VALUE(LEFT(IFERROR(TRIM(INDEX($A132:$T132,MATCH(Lists!$F$3,$A$1:$T$1,0))&amp;""),""),4)),VALUE(MID(IFERROR(TRIM(INDEX($A132:$T132,MATCH(Lists!$F$3,$A$1:$T$1,0))&amp;""),""),6,2)),VALUE(MID(IFERROR(TRIM(INDEX($A132:$T132,MATCH(Lists!$F$3,$A$1:$T$1,0))&amp;""),""),9,2)))+TIME(VALUE(MID(IFERROR(TRIM(INDEX($A132:$T132,MATCH(Lists!$F$3,$A$1:$T$1,0))&amp;""),""),12,2)),VALUE(MID(IFERROR(TRIM(INDEX($A132:$T132,MATCH(Lists!$F$3,$A$1:$T$1,0))&amp;""),""),15,2)),VALUE(MID(IFERROR(TRIM(INDEX($A132:$T132,MATCH(Lists!$F$3,$A$1:$T$1,0))&amp;""),""),18,2)))),""))</f>
        <v/>
      </c>
      <c r="AA132" s="23">
        <f>IF(Y132="","",IF(ISNUMBER(IFERROR(IF(TRIM(INDEX($A132:$T132,MATCH(Lists!$F$4,$A$1:$T$1,0))&amp;"")="","",IF(ISNUMBER(INDEX($A132:$T132,MATCH(Lists!$F$4,$A$1:$T$1,0))),INT(INDEX($A132:$T132,MATCH(Lists!$F$4,$A$1:$T$1,0))),DATE(VALUE(LEFT(INDEX($A132:$T132,MATCH(Lists!$F$4,$A$1:$T$1,0)),4)),VALUE(MID(INDEX($A132:$T132,MATCH(Lists!$F$4,$A$1:$T$1,0)),6,2)),VALUE(MID(INDEX($A132:$T132,MATCH(Lists!$F$4,$A$1:$T$1,0)),9,2))))),"")),IFERROR(IF(TRIM(INDEX($A132:$T132,MATCH(Lists!$F$4,$A$1:$T$1,0))&amp;"")="","",IF(ISNUMBER(INDEX($A132:$T132,MATCH(Lists!$F$4,$A$1:$T$1,0))),INT(INDEX($A132:$T132,MATCH(Lists!$F$4,$A$1:$T$1,0))),DATE(VALUE(LEFT(INDEX($A132:$T132,MATCH(Lists!$F$4,$A$1:$T$1,0)),4)),VALUE(MID(INDEX($A132:$T132,MATCH(Lists!$F$4,$A$1:$T$1,0)),6,2)),VALUE(MID(INDEX($A132:$T132,MATCH(Lists!$F$4,$A$1:$T$1,0)),9,2))))),""),IFERROR(IF(TRIM(INDEX($A132:$T132,MATCH(Lists!$F$5,$A$1:$T$1,0))&amp;"")="","",IF(ISNUMBER(INDEX($A132:$T132,MATCH(Lists!$F$5,$A$1:$T$1,0))),INT(INDEX($A132:$T132,MATCH(Lists!$F$5,$A$1:$T$1,0))),DATE(VALUE(LEFT(INDEX($A132:$T132,MATCH(Lists!$F$5,$A$1:$T$1,0)),4)),VALUE(MID(INDEX($A132:$T132,MATCH(Lists!$F$5,$A$1:$T$1,0)),6,2)),VALUE(MID(INDEX($A132:$T132,MATCH(Lists!$F$5,$A$1:$T$1,0)),9,2))))),"")))</f>
        <v/>
      </c>
      <c r="AB132" s="21">
        <f>IF(Y132="","",IF(LEFT(IFERROR(TRIM(INDEX($A132:$T132,MATCH(Lists!$F$6,$A$1:$T$1,0))&amp;""),""),2)="No","General comment",IF(IFERROR(TRIM(INDEX($A132:$T132,MATCH(Lists!$F$7,$A$1:$T$1,0))&amp;""),"")&lt;&gt;"",IFERROR(TRIM(INDEX($A132:$T132,MATCH(Lists!$F$7,$A$1:$T$1,0))&amp;""),""),IF(IFERROR(TRIM(INDEX($A132:$T132,MATCH(Lists!$F$8,$A$1:$T$1,0))&amp;""),"")&lt;&gt;"",IFERROR(TRIM(INDEX($A132:$T132,MATCH(Lists!$F$8,$A$1:$T$1,0))&amp;""),""),"(no item given)"))))</f>
        <v/>
      </c>
      <c r="AC132" s="21">
        <f>IF(Y132="","",IF(ISNUMBER(SEARCH("support",IFERROR(TRIM(INDEX($A132:$T132,MATCH(Lists!$F$9,$A$1:$T$1,0))&amp;""),""))),"Support",IF(ISNUMBER(SEARCH("oppose",IFERROR(TRIM(INDEX($A132:$T132,MATCH(Lists!$F$9,$A$1:$T$1,0))&amp;""),""))),"Oppose",IF(IFERROR(TRIM(INDEX($A132:$T132,MATCH(Lists!$F$9,$A$1:$T$1,0))&amp;""),"")="","No position","Neither"))))</f>
        <v/>
      </c>
      <c r="AD132" s="21">
        <f>IF(Y132="","",IF(ISNUMBER(SEARCH("in person",IFERROR(TRIM(INDEX($A132:$T132,MATCH(Lists!$F$13,$A$1:$T$1,0))&amp;""),""))),"In person",IF(ISNUMBER(SEARCH("online",IFERROR(TRIM(INDEX($A132:$T132,MATCH(Lists!$F$13,$A$1:$T$1,0))&amp;""),""))),"Online","Written only")))</f>
        <v/>
      </c>
      <c r="AE132" s="21">
        <f>IF(Y132="","",IFERROR(TRIM(INDEX($A132:$T132,MATCH(Lists!$F$11,$A$1:$T$1,0))&amp;""),""))</f>
        <v/>
      </c>
      <c r="AF132" s="21">
        <f>IF(Y132="","",IFERROR(TRIM(INDEX($A132:$T132,MATCH(Lists!$F$12,$A$1:$T$1,0))&amp;""),""))</f>
        <v/>
      </c>
      <c r="AG132" s="21">
        <f>IF(Y132="","",IFERROR(TRIM(INDEX($A132:$T132,MATCH(Lists!$F$14,$A$1:$T$1,0))&amp;""),""))</f>
        <v/>
      </c>
      <c r="AH132" s="21">
        <f>IF(Y132="","",LEFT(IFERROR(TRIM(INDEX($A132:$T132,MATCH(Lists!$F$10,$A$1:$T$1,0))&amp;""),""),80))</f>
        <v/>
      </c>
      <c r="AI132" s="21">
        <f>IF(Y132="",0,IF(OR(Tally!$B$5="",AA132=Tally!$B$5),1,0))</f>
        <v/>
      </c>
      <c r="AJ132" s="21">
        <f>IF(AI132=1,IF(COUNTIFS($AB$2:AB132,AB132,$AI$2:AI132,1)=1,1,0),0)</f>
        <v/>
      </c>
      <c r="AK132" s="21">
        <f>IF(AJ132=1,SUM($AJ$2:AJ132),"")</f>
        <v/>
      </c>
      <c r="AL132" s="21">
        <f>IF(AND(AI132=1,OR(AD132="In person",AD132="Online"),OR(Speakers!$B$5="",AB132=Speakers!$B$5)),N(Z132)+ROW()/1000000000,"")</f>
        <v/>
      </c>
    </row>
    <row r="133">
      <c r="U133" s="19" t="n"/>
      <c r="V133" s="24" t="n"/>
      <c r="W133" s="24" t="n"/>
      <c r="X133" s="19" t="n"/>
      <c r="Y133" s="21">
        <f>IFERROR(TRIM(INDEX($A133:$T133,MATCH(Lists!$F$2,$A$1:$T$1,0))&amp;""),"")</f>
        <v/>
      </c>
      <c r="Z133" s="22">
        <f>IF(Y133="","",IFERROR(IF(ISNUMBER(INDEX($A133:$T133,MATCH(Lists!$F$3,$A$1:$T$1,0))),INDEX($A133:$T133,MATCH(Lists!$F$3,$A$1:$T$1,0)),DATE(VALUE(LEFT(IFERROR(TRIM(INDEX($A133:$T133,MATCH(Lists!$F$3,$A$1:$T$1,0))&amp;""),""),4)),VALUE(MID(IFERROR(TRIM(INDEX($A133:$T133,MATCH(Lists!$F$3,$A$1:$T$1,0))&amp;""),""),6,2)),VALUE(MID(IFERROR(TRIM(INDEX($A133:$T133,MATCH(Lists!$F$3,$A$1:$T$1,0))&amp;""),""),9,2)))+TIME(VALUE(MID(IFERROR(TRIM(INDEX($A133:$T133,MATCH(Lists!$F$3,$A$1:$T$1,0))&amp;""),""),12,2)),VALUE(MID(IFERROR(TRIM(INDEX($A133:$T133,MATCH(Lists!$F$3,$A$1:$T$1,0))&amp;""),""),15,2)),VALUE(MID(IFERROR(TRIM(INDEX($A133:$T133,MATCH(Lists!$F$3,$A$1:$T$1,0))&amp;""),""),18,2)))),""))</f>
        <v/>
      </c>
      <c r="AA133" s="23">
        <f>IF(Y133="","",IF(ISNUMBER(IFERROR(IF(TRIM(INDEX($A133:$T133,MATCH(Lists!$F$4,$A$1:$T$1,0))&amp;"")="","",IF(ISNUMBER(INDEX($A133:$T133,MATCH(Lists!$F$4,$A$1:$T$1,0))),INT(INDEX($A133:$T133,MATCH(Lists!$F$4,$A$1:$T$1,0))),DATE(VALUE(LEFT(INDEX($A133:$T133,MATCH(Lists!$F$4,$A$1:$T$1,0)),4)),VALUE(MID(INDEX($A133:$T133,MATCH(Lists!$F$4,$A$1:$T$1,0)),6,2)),VALUE(MID(INDEX($A133:$T133,MATCH(Lists!$F$4,$A$1:$T$1,0)),9,2))))),"")),IFERROR(IF(TRIM(INDEX($A133:$T133,MATCH(Lists!$F$4,$A$1:$T$1,0))&amp;"")="","",IF(ISNUMBER(INDEX($A133:$T133,MATCH(Lists!$F$4,$A$1:$T$1,0))),INT(INDEX($A133:$T133,MATCH(Lists!$F$4,$A$1:$T$1,0))),DATE(VALUE(LEFT(INDEX($A133:$T133,MATCH(Lists!$F$4,$A$1:$T$1,0)),4)),VALUE(MID(INDEX($A133:$T133,MATCH(Lists!$F$4,$A$1:$T$1,0)),6,2)),VALUE(MID(INDEX($A133:$T133,MATCH(Lists!$F$4,$A$1:$T$1,0)),9,2))))),""),IFERROR(IF(TRIM(INDEX($A133:$T133,MATCH(Lists!$F$5,$A$1:$T$1,0))&amp;"")="","",IF(ISNUMBER(INDEX($A133:$T133,MATCH(Lists!$F$5,$A$1:$T$1,0))),INT(INDEX($A133:$T133,MATCH(Lists!$F$5,$A$1:$T$1,0))),DATE(VALUE(LEFT(INDEX($A133:$T133,MATCH(Lists!$F$5,$A$1:$T$1,0)),4)),VALUE(MID(INDEX($A133:$T133,MATCH(Lists!$F$5,$A$1:$T$1,0)),6,2)),VALUE(MID(INDEX($A133:$T133,MATCH(Lists!$F$5,$A$1:$T$1,0)),9,2))))),"")))</f>
        <v/>
      </c>
      <c r="AB133" s="21">
        <f>IF(Y133="","",IF(LEFT(IFERROR(TRIM(INDEX($A133:$T133,MATCH(Lists!$F$6,$A$1:$T$1,0))&amp;""),""),2)="No","General comment",IF(IFERROR(TRIM(INDEX($A133:$T133,MATCH(Lists!$F$7,$A$1:$T$1,0))&amp;""),"")&lt;&gt;"",IFERROR(TRIM(INDEX($A133:$T133,MATCH(Lists!$F$7,$A$1:$T$1,0))&amp;""),""),IF(IFERROR(TRIM(INDEX($A133:$T133,MATCH(Lists!$F$8,$A$1:$T$1,0))&amp;""),"")&lt;&gt;"",IFERROR(TRIM(INDEX($A133:$T133,MATCH(Lists!$F$8,$A$1:$T$1,0))&amp;""),""),"(no item given)"))))</f>
        <v/>
      </c>
      <c r="AC133" s="21">
        <f>IF(Y133="","",IF(ISNUMBER(SEARCH("support",IFERROR(TRIM(INDEX($A133:$T133,MATCH(Lists!$F$9,$A$1:$T$1,0))&amp;""),""))),"Support",IF(ISNUMBER(SEARCH("oppose",IFERROR(TRIM(INDEX($A133:$T133,MATCH(Lists!$F$9,$A$1:$T$1,0))&amp;""),""))),"Oppose",IF(IFERROR(TRIM(INDEX($A133:$T133,MATCH(Lists!$F$9,$A$1:$T$1,0))&amp;""),"")="","No position","Neither"))))</f>
        <v/>
      </c>
      <c r="AD133" s="21">
        <f>IF(Y133="","",IF(ISNUMBER(SEARCH("in person",IFERROR(TRIM(INDEX($A133:$T133,MATCH(Lists!$F$13,$A$1:$T$1,0))&amp;""),""))),"In person",IF(ISNUMBER(SEARCH("online",IFERROR(TRIM(INDEX($A133:$T133,MATCH(Lists!$F$13,$A$1:$T$1,0))&amp;""),""))),"Online","Written only")))</f>
        <v/>
      </c>
      <c r="AE133" s="21">
        <f>IF(Y133="","",IFERROR(TRIM(INDEX($A133:$T133,MATCH(Lists!$F$11,$A$1:$T$1,0))&amp;""),""))</f>
        <v/>
      </c>
      <c r="AF133" s="21">
        <f>IF(Y133="","",IFERROR(TRIM(INDEX($A133:$T133,MATCH(Lists!$F$12,$A$1:$T$1,0))&amp;""),""))</f>
        <v/>
      </c>
      <c r="AG133" s="21">
        <f>IF(Y133="","",IFERROR(TRIM(INDEX($A133:$T133,MATCH(Lists!$F$14,$A$1:$T$1,0))&amp;""),""))</f>
        <v/>
      </c>
      <c r="AH133" s="21">
        <f>IF(Y133="","",LEFT(IFERROR(TRIM(INDEX($A133:$T133,MATCH(Lists!$F$10,$A$1:$T$1,0))&amp;""),""),80))</f>
        <v/>
      </c>
      <c r="AI133" s="21">
        <f>IF(Y133="",0,IF(OR(Tally!$B$5="",AA133=Tally!$B$5),1,0))</f>
        <v/>
      </c>
      <c r="AJ133" s="21">
        <f>IF(AI133=1,IF(COUNTIFS($AB$2:AB133,AB133,$AI$2:AI133,1)=1,1,0),0)</f>
        <v/>
      </c>
      <c r="AK133" s="21">
        <f>IF(AJ133=1,SUM($AJ$2:AJ133),"")</f>
        <v/>
      </c>
      <c r="AL133" s="21">
        <f>IF(AND(AI133=1,OR(AD133="In person",AD133="Online"),OR(Speakers!$B$5="",AB133=Speakers!$B$5)),N(Z133)+ROW()/1000000000,"")</f>
        <v/>
      </c>
    </row>
    <row r="134">
      <c r="U134" s="19" t="n"/>
      <c r="V134" s="24" t="n"/>
      <c r="W134" s="24" t="n"/>
      <c r="X134" s="19" t="n"/>
      <c r="Y134" s="21">
        <f>IFERROR(TRIM(INDEX($A134:$T134,MATCH(Lists!$F$2,$A$1:$T$1,0))&amp;""),"")</f>
        <v/>
      </c>
      <c r="Z134" s="22">
        <f>IF(Y134="","",IFERROR(IF(ISNUMBER(INDEX($A134:$T134,MATCH(Lists!$F$3,$A$1:$T$1,0))),INDEX($A134:$T134,MATCH(Lists!$F$3,$A$1:$T$1,0)),DATE(VALUE(LEFT(IFERROR(TRIM(INDEX($A134:$T134,MATCH(Lists!$F$3,$A$1:$T$1,0))&amp;""),""),4)),VALUE(MID(IFERROR(TRIM(INDEX($A134:$T134,MATCH(Lists!$F$3,$A$1:$T$1,0))&amp;""),""),6,2)),VALUE(MID(IFERROR(TRIM(INDEX($A134:$T134,MATCH(Lists!$F$3,$A$1:$T$1,0))&amp;""),""),9,2)))+TIME(VALUE(MID(IFERROR(TRIM(INDEX($A134:$T134,MATCH(Lists!$F$3,$A$1:$T$1,0))&amp;""),""),12,2)),VALUE(MID(IFERROR(TRIM(INDEX($A134:$T134,MATCH(Lists!$F$3,$A$1:$T$1,0))&amp;""),""),15,2)),VALUE(MID(IFERROR(TRIM(INDEX($A134:$T134,MATCH(Lists!$F$3,$A$1:$T$1,0))&amp;""),""),18,2)))),""))</f>
        <v/>
      </c>
      <c r="AA134" s="23">
        <f>IF(Y134="","",IF(ISNUMBER(IFERROR(IF(TRIM(INDEX($A134:$T134,MATCH(Lists!$F$4,$A$1:$T$1,0))&amp;"")="","",IF(ISNUMBER(INDEX($A134:$T134,MATCH(Lists!$F$4,$A$1:$T$1,0))),INT(INDEX($A134:$T134,MATCH(Lists!$F$4,$A$1:$T$1,0))),DATE(VALUE(LEFT(INDEX($A134:$T134,MATCH(Lists!$F$4,$A$1:$T$1,0)),4)),VALUE(MID(INDEX($A134:$T134,MATCH(Lists!$F$4,$A$1:$T$1,0)),6,2)),VALUE(MID(INDEX($A134:$T134,MATCH(Lists!$F$4,$A$1:$T$1,0)),9,2))))),"")),IFERROR(IF(TRIM(INDEX($A134:$T134,MATCH(Lists!$F$4,$A$1:$T$1,0))&amp;"")="","",IF(ISNUMBER(INDEX($A134:$T134,MATCH(Lists!$F$4,$A$1:$T$1,0))),INT(INDEX($A134:$T134,MATCH(Lists!$F$4,$A$1:$T$1,0))),DATE(VALUE(LEFT(INDEX($A134:$T134,MATCH(Lists!$F$4,$A$1:$T$1,0)),4)),VALUE(MID(INDEX($A134:$T134,MATCH(Lists!$F$4,$A$1:$T$1,0)),6,2)),VALUE(MID(INDEX($A134:$T134,MATCH(Lists!$F$4,$A$1:$T$1,0)),9,2))))),""),IFERROR(IF(TRIM(INDEX($A134:$T134,MATCH(Lists!$F$5,$A$1:$T$1,0))&amp;"")="","",IF(ISNUMBER(INDEX($A134:$T134,MATCH(Lists!$F$5,$A$1:$T$1,0))),INT(INDEX($A134:$T134,MATCH(Lists!$F$5,$A$1:$T$1,0))),DATE(VALUE(LEFT(INDEX($A134:$T134,MATCH(Lists!$F$5,$A$1:$T$1,0)),4)),VALUE(MID(INDEX($A134:$T134,MATCH(Lists!$F$5,$A$1:$T$1,0)),6,2)),VALUE(MID(INDEX($A134:$T134,MATCH(Lists!$F$5,$A$1:$T$1,0)),9,2))))),"")))</f>
        <v/>
      </c>
      <c r="AB134" s="21">
        <f>IF(Y134="","",IF(LEFT(IFERROR(TRIM(INDEX($A134:$T134,MATCH(Lists!$F$6,$A$1:$T$1,0))&amp;""),""),2)="No","General comment",IF(IFERROR(TRIM(INDEX($A134:$T134,MATCH(Lists!$F$7,$A$1:$T$1,0))&amp;""),"")&lt;&gt;"",IFERROR(TRIM(INDEX($A134:$T134,MATCH(Lists!$F$7,$A$1:$T$1,0))&amp;""),""),IF(IFERROR(TRIM(INDEX($A134:$T134,MATCH(Lists!$F$8,$A$1:$T$1,0))&amp;""),"")&lt;&gt;"",IFERROR(TRIM(INDEX($A134:$T134,MATCH(Lists!$F$8,$A$1:$T$1,0))&amp;""),""),"(no item given)"))))</f>
        <v/>
      </c>
      <c r="AC134" s="21">
        <f>IF(Y134="","",IF(ISNUMBER(SEARCH("support",IFERROR(TRIM(INDEX($A134:$T134,MATCH(Lists!$F$9,$A$1:$T$1,0))&amp;""),""))),"Support",IF(ISNUMBER(SEARCH("oppose",IFERROR(TRIM(INDEX($A134:$T134,MATCH(Lists!$F$9,$A$1:$T$1,0))&amp;""),""))),"Oppose",IF(IFERROR(TRIM(INDEX($A134:$T134,MATCH(Lists!$F$9,$A$1:$T$1,0))&amp;""),"")="","No position","Neither"))))</f>
        <v/>
      </c>
      <c r="AD134" s="21">
        <f>IF(Y134="","",IF(ISNUMBER(SEARCH("in person",IFERROR(TRIM(INDEX($A134:$T134,MATCH(Lists!$F$13,$A$1:$T$1,0))&amp;""),""))),"In person",IF(ISNUMBER(SEARCH("online",IFERROR(TRIM(INDEX($A134:$T134,MATCH(Lists!$F$13,$A$1:$T$1,0))&amp;""),""))),"Online","Written only")))</f>
        <v/>
      </c>
      <c r="AE134" s="21">
        <f>IF(Y134="","",IFERROR(TRIM(INDEX($A134:$T134,MATCH(Lists!$F$11,$A$1:$T$1,0))&amp;""),""))</f>
        <v/>
      </c>
      <c r="AF134" s="21">
        <f>IF(Y134="","",IFERROR(TRIM(INDEX($A134:$T134,MATCH(Lists!$F$12,$A$1:$T$1,0))&amp;""),""))</f>
        <v/>
      </c>
      <c r="AG134" s="21">
        <f>IF(Y134="","",IFERROR(TRIM(INDEX($A134:$T134,MATCH(Lists!$F$14,$A$1:$T$1,0))&amp;""),""))</f>
        <v/>
      </c>
      <c r="AH134" s="21">
        <f>IF(Y134="","",LEFT(IFERROR(TRIM(INDEX($A134:$T134,MATCH(Lists!$F$10,$A$1:$T$1,0))&amp;""),""),80))</f>
        <v/>
      </c>
      <c r="AI134" s="21">
        <f>IF(Y134="",0,IF(OR(Tally!$B$5="",AA134=Tally!$B$5),1,0))</f>
        <v/>
      </c>
      <c r="AJ134" s="21">
        <f>IF(AI134=1,IF(COUNTIFS($AB$2:AB134,AB134,$AI$2:AI134,1)=1,1,0),0)</f>
        <v/>
      </c>
      <c r="AK134" s="21">
        <f>IF(AJ134=1,SUM($AJ$2:AJ134),"")</f>
        <v/>
      </c>
      <c r="AL134" s="21">
        <f>IF(AND(AI134=1,OR(AD134="In person",AD134="Online"),OR(Speakers!$B$5="",AB134=Speakers!$B$5)),N(Z134)+ROW()/1000000000,"")</f>
        <v/>
      </c>
    </row>
    <row r="135">
      <c r="U135" s="19" t="n"/>
      <c r="V135" s="24" t="n"/>
      <c r="W135" s="24" t="n"/>
      <c r="X135" s="19" t="n"/>
      <c r="Y135" s="21">
        <f>IFERROR(TRIM(INDEX($A135:$T135,MATCH(Lists!$F$2,$A$1:$T$1,0))&amp;""),"")</f>
        <v/>
      </c>
      <c r="Z135" s="22">
        <f>IF(Y135="","",IFERROR(IF(ISNUMBER(INDEX($A135:$T135,MATCH(Lists!$F$3,$A$1:$T$1,0))),INDEX($A135:$T135,MATCH(Lists!$F$3,$A$1:$T$1,0)),DATE(VALUE(LEFT(IFERROR(TRIM(INDEX($A135:$T135,MATCH(Lists!$F$3,$A$1:$T$1,0))&amp;""),""),4)),VALUE(MID(IFERROR(TRIM(INDEX($A135:$T135,MATCH(Lists!$F$3,$A$1:$T$1,0))&amp;""),""),6,2)),VALUE(MID(IFERROR(TRIM(INDEX($A135:$T135,MATCH(Lists!$F$3,$A$1:$T$1,0))&amp;""),""),9,2)))+TIME(VALUE(MID(IFERROR(TRIM(INDEX($A135:$T135,MATCH(Lists!$F$3,$A$1:$T$1,0))&amp;""),""),12,2)),VALUE(MID(IFERROR(TRIM(INDEX($A135:$T135,MATCH(Lists!$F$3,$A$1:$T$1,0))&amp;""),""),15,2)),VALUE(MID(IFERROR(TRIM(INDEX($A135:$T135,MATCH(Lists!$F$3,$A$1:$T$1,0))&amp;""),""),18,2)))),""))</f>
        <v/>
      </c>
      <c r="AA135" s="23">
        <f>IF(Y135="","",IF(ISNUMBER(IFERROR(IF(TRIM(INDEX($A135:$T135,MATCH(Lists!$F$4,$A$1:$T$1,0))&amp;"")="","",IF(ISNUMBER(INDEX($A135:$T135,MATCH(Lists!$F$4,$A$1:$T$1,0))),INT(INDEX($A135:$T135,MATCH(Lists!$F$4,$A$1:$T$1,0))),DATE(VALUE(LEFT(INDEX($A135:$T135,MATCH(Lists!$F$4,$A$1:$T$1,0)),4)),VALUE(MID(INDEX($A135:$T135,MATCH(Lists!$F$4,$A$1:$T$1,0)),6,2)),VALUE(MID(INDEX($A135:$T135,MATCH(Lists!$F$4,$A$1:$T$1,0)),9,2))))),"")),IFERROR(IF(TRIM(INDEX($A135:$T135,MATCH(Lists!$F$4,$A$1:$T$1,0))&amp;"")="","",IF(ISNUMBER(INDEX($A135:$T135,MATCH(Lists!$F$4,$A$1:$T$1,0))),INT(INDEX($A135:$T135,MATCH(Lists!$F$4,$A$1:$T$1,0))),DATE(VALUE(LEFT(INDEX($A135:$T135,MATCH(Lists!$F$4,$A$1:$T$1,0)),4)),VALUE(MID(INDEX($A135:$T135,MATCH(Lists!$F$4,$A$1:$T$1,0)),6,2)),VALUE(MID(INDEX($A135:$T135,MATCH(Lists!$F$4,$A$1:$T$1,0)),9,2))))),""),IFERROR(IF(TRIM(INDEX($A135:$T135,MATCH(Lists!$F$5,$A$1:$T$1,0))&amp;"")="","",IF(ISNUMBER(INDEX($A135:$T135,MATCH(Lists!$F$5,$A$1:$T$1,0))),INT(INDEX($A135:$T135,MATCH(Lists!$F$5,$A$1:$T$1,0))),DATE(VALUE(LEFT(INDEX($A135:$T135,MATCH(Lists!$F$5,$A$1:$T$1,0)),4)),VALUE(MID(INDEX($A135:$T135,MATCH(Lists!$F$5,$A$1:$T$1,0)),6,2)),VALUE(MID(INDEX($A135:$T135,MATCH(Lists!$F$5,$A$1:$T$1,0)),9,2))))),"")))</f>
        <v/>
      </c>
      <c r="AB135" s="21">
        <f>IF(Y135="","",IF(LEFT(IFERROR(TRIM(INDEX($A135:$T135,MATCH(Lists!$F$6,$A$1:$T$1,0))&amp;""),""),2)="No","General comment",IF(IFERROR(TRIM(INDEX($A135:$T135,MATCH(Lists!$F$7,$A$1:$T$1,0))&amp;""),"")&lt;&gt;"",IFERROR(TRIM(INDEX($A135:$T135,MATCH(Lists!$F$7,$A$1:$T$1,0))&amp;""),""),IF(IFERROR(TRIM(INDEX($A135:$T135,MATCH(Lists!$F$8,$A$1:$T$1,0))&amp;""),"")&lt;&gt;"",IFERROR(TRIM(INDEX($A135:$T135,MATCH(Lists!$F$8,$A$1:$T$1,0))&amp;""),""),"(no item given)"))))</f>
        <v/>
      </c>
      <c r="AC135" s="21">
        <f>IF(Y135="","",IF(ISNUMBER(SEARCH("support",IFERROR(TRIM(INDEX($A135:$T135,MATCH(Lists!$F$9,$A$1:$T$1,0))&amp;""),""))),"Support",IF(ISNUMBER(SEARCH("oppose",IFERROR(TRIM(INDEX($A135:$T135,MATCH(Lists!$F$9,$A$1:$T$1,0))&amp;""),""))),"Oppose",IF(IFERROR(TRIM(INDEX($A135:$T135,MATCH(Lists!$F$9,$A$1:$T$1,0))&amp;""),"")="","No position","Neither"))))</f>
        <v/>
      </c>
      <c r="AD135" s="21">
        <f>IF(Y135="","",IF(ISNUMBER(SEARCH("in person",IFERROR(TRIM(INDEX($A135:$T135,MATCH(Lists!$F$13,$A$1:$T$1,0))&amp;""),""))),"In person",IF(ISNUMBER(SEARCH("online",IFERROR(TRIM(INDEX($A135:$T135,MATCH(Lists!$F$13,$A$1:$T$1,0))&amp;""),""))),"Online","Written only")))</f>
        <v/>
      </c>
      <c r="AE135" s="21">
        <f>IF(Y135="","",IFERROR(TRIM(INDEX($A135:$T135,MATCH(Lists!$F$11,$A$1:$T$1,0))&amp;""),""))</f>
        <v/>
      </c>
      <c r="AF135" s="21">
        <f>IF(Y135="","",IFERROR(TRIM(INDEX($A135:$T135,MATCH(Lists!$F$12,$A$1:$T$1,0))&amp;""),""))</f>
        <v/>
      </c>
      <c r="AG135" s="21">
        <f>IF(Y135="","",IFERROR(TRIM(INDEX($A135:$T135,MATCH(Lists!$F$14,$A$1:$T$1,0))&amp;""),""))</f>
        <v/>
      </c>
      <c r="AH135" s="21">
        <f>IF(Y135="","",LEFT(IFERROR(TRIM(INDEX($A135:$T135,MATCH(Lists!$F$10,$A$1:$T$1,0))&amp;""),""),80))</f>
        <v/>
      </c>
      <c r="AI135" s="21">
        <f>IF(Y135="",0,IF(OR(Tally!$B$5="",AA135=Tally!$B$5),1,0))</f>
        <v/>
      </c>
      <c r="AJ135" s="21">
        <f>IF(AI135=1,IF(COUNTIFS($AB$2:AB135,AB135,$AI$2:AI135,1)=1,1,0),0)</f>
        <v/>
      </c>
      <c r="AK135" s="21">
        <f>IF(AJ135=1,SUM($AJ$2:AJ135),"")</f>
        <v/>
      </c>
      <c r="AL135" s="21">
        <f>IF(AND(AI135=1,OR(AD135="In person",AD135="Online"),OR(Speakers!$B$5="",AB135=Speakers!$B$5)),N(Z135)+ROW()/1000000000,"")</f>
        <v/>
      </c>
    </row>
    <row r="136">
      <c r="U136" s="19" t="n"/>
      <c r="V136" s="24" t="n"/>
      <c r="W136" s="24" t="n"/>
      <c r="X136" s="19" t="n"/>
      <c r="Y136" s="21">
        <f>IFERROR(TRIM(INDEX($A136:$T136,MATCH(Lists!$F$2,$A$1:$T$1,0))&amp;""),"")</f>
        <v/>
      </c>
      <c r="Z136" s="22">
        <f>IF(Y136="","",IFERROR(IF(ISNUMBER(INDEX($A136:$T136,MATCH(Lists!$F$3,$A$1:$T$1,0))),INDEX($A136:$T136,MATCH(Lists!$F$3,$A$1:$T$1,0)),DATE(VALUE(LEFT(IFERROR(TRIM(INDEX($A136:$T136,MATCH(Lists!$F$3,$A$1:$T$1,0))&amp;""),""),4)),VALUE(MID(IFERROR(TRIM(INDEX($A136:$T136,MATCH(Lists!$F$3,$A$1:$T$1,0))&amp;""),""),6,2)),VALUE(MID(IFERROR(TRIM(INDEX($A136:$T136,MATCH(Lists!$F$3,$A$1:$T$1,0))&amp;""),""),9,2)))+TIME(VALUE(MID(IFERROR(TRIM(INDEX($A136:$T136,MATCH(Lists!$F$3,$A$1:$T$1,0))&amp;""),""),12,2)),VALUE(MID(IFERROR(TRIM(INDEX($A136:$T136,MATCH(Lists!$F$3,$A$1:$T$1,0))&amp;""),""),15,2)),VALUE(MID(IFERROR(TRIM(INDEX($A136:$T136,MATCH(Lists!$F$3,$A$1:$T$1,0))&amp;""),""),18,2)))),""))</f>
        <v/>
      </c>
      <c r="AA136" s="23">
        <f>IF(Y136="","",IF(ISNUMBER(IFERROR(IF(TRIM(INDEX($A136:$T136,MATCH(Lists!$F$4,$A$1:$T$1,0))&amp;"")="","",IF(ISNUMBER(INDEX($A136:$T136,MATCH(Lists!$F$4,$A$1:$T$1,0))),INT(INDEX($A136:$T136,MATCH(Lists!$F$4,$A$1:$T$1,0))),DATE(VALUE(LEFT(INDEX($A136:$T136,MATCH(Lists!$F$4,$A$1:$T$1,0)),4)),VALUE(MID(INDEX($A136:$T136,MATCH(Lists!$F$4,$A$1:$T$1,0)),6,2)),VALUE(MID(INDEX($A136:$T136,MATCH(Lists!$F$4,$A$1:$T$1,0)),9,2))))),"")),IFERROR(IF(TRIM(INDEX($A136:$T136,MATCH(Lists!$F$4,$A$1:$T$1,0))&amp;"")="","",IF(ISNUMBER(INDEX($A136:$T136,MATCH(Lists!$F$4,$A$1:$T$1,0))),INT(INDEX($A136:$T136,MATCH(Lists!$F$4,$A$1:$T$1,0))),DATE(VALUE(LEFT(INDEX($A136:$T136,MATCH(Lists!$F$4,$A$1:$T$1,0)),4)),VALUE(MID(INDEX($A136:$T136,MATCH(Lists!$F$4,$A$1:$T$1,0)),6,2)),VALUE(MID(INDEX($A136:$T136,MATCH(Lists!$F$4,$A$1:$T$1,0)),9,2))))),""),IFERROR(IF(TRIM(INDEX($A136:$T136,MATCH(Lists!$F$5,$A$1:$T$1,0))&amp;"")="","",IF(ISNUMBER(INDEX($A136:$T136,MATCH(Lists!$F$5,$A$1:$T$1,0))),INT(INDEX($A136:$T136,MATCH(Lists!$F$5,$A$1:$T$1,0))),DATE(VALUE(LEFT(INDEX($A136:$T136,MATCH(Lists!$F$5,$A$1:$T$1,0)),4)),VALUE(MID(INDEX($A136:$T136,MATCH(Lists!$F$5,$A$1:$T$1,0)),6,2)),VALUE(MID(INDEX($A136:$T136,MATCH(Lists!$F$5,$A$1:$T$1,0)),9,2))))),"")))</f>
        <v/>
      </c>
      <c r="AB136" s="21">
        <f>IF(Y136="","",IF(LEFT(IFERROR(TRIM(INDEX($A136:$T136,MATCH(Lists!$F$6,$A$1:$T$1,0))&amp;""),""),2)="No","General comment",IF(IFERROR(TRIM(INDEX($A136:$T136,MATCH(Lists!$F$7,$A$1:$T$1,0))&amp;""),"")&lt;&gt;"",IFERROR(TRIM(INDEX($A136:$T136,MATCH(Lists!$F$7,$A$1:$T$1,0))&amp;""),""),IF(IFERROR(TRIM(INDEX($A136:$T136,MATCH(Lists!$F$8,$A$1:$T$1,0))&amp;""),"")&lt;&gt;"",IFERROR(TRIM(INDEX($A136:$T136,MATCH(Lists!$F$8,$A$1:$T$1,0))&amp;""),""),"(no item given)"))))</f>
        <v/>
      </c>
      <c r="AC136" s="21">
        <f>IF(Y136="","",IF(ISNUMBER(SEARCH("support",IFERROR(TRIM(INDEX($A136:$T136,MATCH(Lists!$F$9,$A$1:$T$1,0))&amp;""),""))),"Support",IF(ISNUMBER(SEARCH("oppose",IFERROR(TRIM(INDEX($A136:$T136,MATCH(Lists!$F$9,$A$1:$T$1,0))&amp;""),""))),"Oppose",IF(IFERROR(TRIM(INDEX($A136:$T136,MATCH(Lists!$F$9,$A$1:$T$1,0))&amp;""),"")="","No position","Neither"))))</f>
        <v/>
      </c>
      <c r="AD136" s="21">
        <f>IF(Y136="","",IF(ISNUMBER(SEARCH("in person",IFERROR(TRIM(INDEX($A136:$T136,MATCH(Lists!$F$13,$A$1:$T$1,0))&amp;""),""))),"In person",IF(ISNUMBER(SEARCH("online",IFERROR(TRIM(INDEX($A136:$T136,MATCH(Lists!$F$13,$A$1:$T$1,0))&amp;""),""))),"Online","Written only")))</f>
        <v/>
      </c>
      <c r="AE136" s="21">
        <f>IF(Y136="","",IFERROR(TRIM(INDEX($A136:$T136,MATCH(Lists!$F$11,$A$1:$T$1,0))&amp;""),""))</f>
        <v/>
      </c>
      <c r="AF136" s="21">
        <f>IF(Y136="","",IFERROR(TRIM(INDEX($A136:$T136,MATCH(Lists!$F$12,$A$1:$T$1,0))&amp;""),""))</f>
        <v/>
      </c>
      <c r="AG136" s="21">
        <f>IF(Y136="","",IFERROR(TRIM(INDEX($A136:$T136,MATCH(Lists!$F$14,$A$1:$T$1,0))&amp;""),""))</f>
        <v/>
      </c>
      <c r="AH136" s="21">
        <f>IF(Y136="","",LEFT(IFERROR(TRIM(INDEX($A136:$T136,MATCH(Lists!$F$10,$A$1:$T$1,0))&amp;""),""),80))</f>
        <v/>
      </c>
      <c r="AI136" s="21">
        <f>IF(Y136="",0,IF(OR(Tally!$B$5="",AA136=Tally!$B$5),1,0))</f>
        <v/>
      </c>
      <c r="AJ136" s="21">
        <f>IF(AI136=1,IF(COUNTIFS($AB$2:AB136,AB136,$AI$2:AI136,1)=1,1,0),0)</f>
        <v/>
      </c>
      <c r="AK136" s="21">
        <f>IF(AJ136=1,SUM($AJ$2:AJ136),"")</f>
        <v/>
      </c>
      <c r="AL136" s="21">
        <f>IF(AND(AI136=1,OR(AD136="In person",AD136="Online"),OR(Speakers!$B$5="",AB136=Speakers!$B$5)),N(Z136)+ROW()/1000000000,"")</f>
        <v/>
      </c>
    </row>
    <row r="137">
      <c r="U137" s="19" t="n"/>
      <c r="V137" s="24" t="n"/>
      <c r="W137" s="24" t="n"/>
      <c r="X137" s="19" t="n"/>
      <c r="Y137" s="21">
        <f>IFERROR(TRIM(INDEX($A137:$T137,MATCH(Lists!$F$2,$A$1:$T$1,0))&amp;""),"")</f>
        <v/>
      </c>
      <c r="Z137" s="22">
        <f>IF(Y137="","",IFERROR(IF(ISNUMBER(INDEX($A137:$T137,MATCH(Lists!$F$3,$A$1:$T$1,0))),INDEX($A137:$T137,MATCH(Lists!$F$3,$A$1:$T$1,0)),DATE(VALUE(LEFT(IFERROR(TRIM(INDEX($A137:$T137,MATCH(Lists!$F$3,$A$1:$T$1,0))&amp;""),""),4)),VALUE(MID(IFERROR(TRIM(INDEX($A137:$T137,MATCH(Lists!$F$3,$A$1:$T$1,0))&amp;""),""),6,2)),VALUE(MID(IFERROR(TRIM(INDEX($A137:$T137,MATCH(Lists!$F$3,$A$1:$T$1,0))&amp;""),""),9,2)))+TIME(VALUE(MID(IFERROR(TRIM(INDEX($A137:$T137,MATCH(Lists!$F$3,$A$1:$T$1,0))&amp;""),""),12,2)),VALUE(MID(IFERROR(TRIM(INDEX($A137:$T137,MATCH(Lists!$F$3,$A$1:$T$1,0))&amp;""),""),15,2)),VALUE(MID(IFERROR(TRIM(INDEX($A137:$T137,MATCH(Lists!$F$3,$A$1:$T$1,0))&amp;""),""),18,2)))),""))</f>
        <v/>
      </c>
      <c r="AA137" s="23">
        <f>IF(Y137="","",IF(ISNUMBER(IFERROR(IF(TRIM(INDEX($A137:$T137,MATCH(Lists!$F$4,$A$1:$T$1,0))&amp;"")="","",IF(ISNUMBER(INDEX($A137:$T137,MATCH(Lists!$F$4,$A$1:$T$1,0))),INT(INDEX($A137:$T137,MATCH(Lists!$F$4,$A$1:$T$1,0))),DATE(VALUE(LEFT(INDEX($A137:$T137,MATCH(Lists!$F$4,$A$1:$T$1,0)),4)),VALUE(MID(INDEX($A137:$T137,MATCH(Lists!$F$4,$A$1:$T$1,0)),6,2)),VALUE(MID(INDEX($A137:$T137,MATCH(Lists!$F$4,$A$1:$T$1,0)),9,2))))),"")),IFERROR(IF(TRIM(INDEX($A137:$T137,MATCH(Lists!$F$4,$A$1:$T$1,0))&amp;"")="","",IF(ISNUMBER(INDEX($A137:$T137,MATCH(Lists!$F$4,$A$1:$T$1,0))),INT(INDEX($A137:$T137,MATCH(Lists!$F$4,$A$1:$T$1,0))),DATE(VALUE(LEFT(INDEX($A137:$T137,MATCH(Lists!$F$4,$A$1:$T$1,0)),4)),VALUE(MID(INDEX($A137:$T137,MATCH(Lists!$F$4,$A$1:$T$1,0)),6,2)),VALUE(MID(INDEX($A137:$T137,MATCH(Lists!$F$4,$A$1:$T$1,0)),9,2))))),""),IFERROR(IF(TRIM(INDEX($A137:$T137,MATCH(Lists!$F$5,$A$1:$T$1,0))&amp;"")="","",IF(ISNUMBER(INDEX($A137:$T137,MATCH(Lists!$F$5,$A$1:$T$1,0))),INT(INDEX($A137:$T137,MATCH(Lists!$F$5,$A$1:$T$1,0))),DATE(VALUE(LEFT(INDEX($A137:$T137,MATCH(Lists!$F$5,$A$1:$T$1,0)),4)),VALUE(MID(INDEX($A137:$T137,MATCH(Lists!$F$5,$A$1:$T$1,0)),6,2)),VALUE(MID(INDEX($A137:$T137,MATCH(Lists!$F$5,$A$1:$T$1,0)),9,2))))),"")))</f>
        <v/>
      </c>
      <c r="AB137" s="21">
        <f>IF(Y137="","",IF(LEFT(IFERROR(TRIM(INDEX($A137:$T137,MATCH(Lists!$F$6,$A$1:$T$1,0))&amp;""),""),2)="No","General comment",IF(IFERROR(TRIM(INDEX($A137:$T137,MATCH(Lists!$F$7,$A$1:$T$1,0))&amp;""),"")&lt;&gt;"",IFERROR(TRIM(INDEX($A137:$T137,MATCH(Lists!$F$7,$A$1:$T$1,0))&amp;""),""),IF(IFERROR(TRIM(INDEX($A137:$T137,MATCH(Lists!$F$8,$A$1:$T$1,0))&amp;""),"")&lt;&gt;"",IFERROR(TRIM(INDEX($A137:$T137,MATCH(Lists!$F$8,$A$1:$T$1,0))&amp;""),""),"(no item given)"))))</f>
        <v/>
      </c>
      <c r="AC137" s="21">
        <f>IF(Y137="","",IF(ISNUMBER(SEARCH("support",IFERROR(TRIM(INDEX($A137:$T137,MATCH(Lists!$F$9,$A$1:$T$1,0))&amp;""),""))),"Support",IF(ISNUMBER(SEARCH("oppose",IFERROR(TRIM(INDEX($A137:$T137,MATCH(Lists!$F$9,$A$1:$T$1,0))&amp;""),""))),"Oppose",IF(IFERROR(TRIM(INDEX($A137:$T137,MATCH(Lists!$F$9,$A$1:$T$1,0))&amp;""),"")="","No position","Neither"))))</f>
        <v/>
      </c>
      <c r="AD137" s="21">
        <f>IF(Y137="","",IF(ISNUMBER(SEARCH("in person",IFERROR(TRIM(INDEX($A137:$T137,MATCH(Lists!$F$13,$A$1:$T$1,0))&amp;""),""))),"In person",IF(ISNUMBER(SEARCH("online",IFERROR(TRIM(INDEX($A137:$T137,MATCH(Lists!$F$13,$A$1:$T$1,0))&amp;""),""))),"Online","Written only")))</f>
        <v/>
      </c>
      <c r="AE137" s="21">
        <f>IF(Y137="","",IFERROR(TRIM(INDEX($A137:$T137,MATCH(Lists!$F$11,$A$1:$T$1,0))&amp;""),""))</f>
        <v/>
      </c>
      <c r="AF137" s="21">
        <f>IF(Y137="","",IFERROR(TRIM(INDEX($A137:$T137,MATCH(Lists!$F$12,$A$1:$T$1,0))&amp;""),""))</f>
        <v/>
      </c>
      <c r="AG137" s="21">
        <f>IF(Y137="","",IFERROR(TRIM(INDEX($A137:$T137,MATCH(Lists!$F$14,$A$1:$T$1,0))&amp;""),""))</f>
        <v/>
      </c>
      <c r="AH137" s="21">
        <f>IF(Y137="","",LEFT(IFERROR(TRIM(INDEX($A137:$T137,MATCH(Lists!$F$10,$A$1:$T$1,0))&amp;""),""),80))</f>
        <v/>
      </c>
      <c r="AI137" s="21">
        <f>IF(Y137="",0,IF(OR(Tally!$B$5="",AA137=Tally!$B$5),1,0))</f>
        <v/>
      </c>
      <c r="AJ137" s="21">
        <f>IF(AI137=1,IF(COUNTIFS($AB$2:AB137,AB137,$AI$2:AI137,1)=1,1,0),0)</f>
        <v/>
      </c>
      <c r="AK137" s="21">
        <f>IF(AJ137=1,SUM($AJ$2:AJ137),"")</f>
        <v/>
      </c>
      <c r="AL137" s="21">
        <f>IF(AND(AI137=1,OR(AD137="In person",AD137="Online"),OR(Speakers!$B$5="",AB137=Speakers!$B$5)),N(Z137)+ROW()/1000000000,"")</f>
        <v/>
      </c>
    </row>
    <row r="138">
      <c r="U138" s="19" t="n"/>
      <c r="V138" s="24" t="n"/>
      <c r="W138" s="24" t="n"/>
      <c r="X138" s="19" t="n"/>
      <c r="Y138" s="21">
        <f>IFERROR(TRIM(INDEX($A138:$T138,MATCH(Lists!$F$2,$A$1:$T$1,0))&amp;""),"")</f>
        <v/>
      </c>
      <c r="Z138" s="22">
        <f>IF(Y138="","",IFERROR(IF(ISNUMBER(INDEX($A138:$T138,MATCH(Lists!$F$3,$A$1:$T$1,0))),INDEX($A138:$T138,MATCH(Lists!$F$3,$A$1:$T$1,0)),DATE(VALUE(LEFT(IFERROR(TRIM(INDEX($A138:$T138,MATCH(Lists!$F$3,$A$1:$T$1,0))&amp;""),""),4)),VALUE(MID(IFERROR(TRIM(INDEX($A138:$T138,MATCH(Lists!$F$3,$A$1:$T$1,0))&amp;""),""),6,2)),VALUE(MID(IFERROR(TRIM(INDEX($A138:$T138,MATCH(Lists!$F$3,$A$1:$T$1,0))&amp;""),""),9,2)))+TIME(VALUE(MID(IFERROR(TRIM(INDEX($A138:$T138,MATCH(Lists!$F$3,$A$1:$T$1,0))&amp;""),""),12,2)),VALUE(MID(IFERROR(TRIM(INDEX($A138:$T138,MATCH(Lists!$F$3,$A$1:$T$1,0))&amp;""),""),15,2)),VALUE(MID(IFERROR(TRIM(INDEX($A138:$T138,MATCH(Lists!$F$3,$A$1:$T$1,0))&amp;""),""),18,2)))),""))</f>
        <v/>
      </c>
      <c r="AA138" s="23">
        <f>IF(Y138="","",IF(ISNUMBER(IFERROR(IF(TRIM(INDEX($A138:$T138,MATCH(Lists!$F$4,$A$1:$T$1,0))&amp;"")="","",IF(ISNUMBER(INDEX($A138:$T138,MATCH(Lists!$F$4,$A$1:$T$1,0))),INT(INDEX($A138:$T138,MATCH(Lists!$F$4,$A$1:$T$1,0))),DATE(VALUE(LEFT(INDEX($A138:$T138,MATCH(Lists!$F$4,$A$1:$T$1,0)),4)),VALUE(MID(INDEX($A138:$T138,MATCH(Lists!$F$4,$A$1:$T$1,0)),6,2)),VALUE(MID(INDEX($A138:$T138,MATCH(Lists!$F$4,$A$1:$T$1,0)),9,2))))),"")),IFERROR(IF(TRIM(INDEX($A138:$T138,MATCH(Lists!$F$4,$A$1:$T$1,0))&amp;"")="","",IF(ISNUMBER(INDEX($A138:$T138,MATCH(Lists!$F$4,$A$1:$T$1,0))),INT(INDEX($A138:$T138,MATCH(Lists!$F$4,$A$1:$T$1,0))),DATE(VALUE(LEFT(INDEX($A138:$T138,MATCH(Lists!$F$4,$A$1:$T$1,0)),4)),VALUE(MID(INDEX($A138:$T138,MATCH(Lists!$F$4,$A$1:$T$1,0)),6,2)),VALUE(MID(INDEX($A138:$T138,MATCH(Lists!$F$4,$A$1:$T$1,0)),9,2))))),""),IFERROR(IF(TRIM(INDEX($A138:$T138,MATCH(Lists!$F$5,$A$1:$T$1,0))&amp;"")="","",IF(ISNUMBER(INDEX($A138:$T138,MATCH(Lists!$F$5,$A$1:$T$1,0))),INT(INDEX($A138:$T138,MATCH(Lists!$F$5,$A$1:$T$1,0))),DATE(VALUE(LEFT(INDEX($A138:$T138,MATCH(Lists!$F$5,$A$1:$T$1,0)),4)),VALUE(MID(INDEX($A138:$T138,MATCH(Lists!$F$5,$A$1:$T$1,0)),6,2)),VALUE(MID(INDEX($A138:$T138,MATCH(Lists!$F$5,$A$1:$T$1,0)),9,2))))),"")))</f>
        <v/>
      </c>
      <c r="AB138" s="21">
        <f>IF(Y138="","",IF(LEFT(IFERROR(TRIM(INDEX($A138:$T138,MATCH(Lists!$F$6,$A$1:$T$1,0))&amp;""),""),2)="No","General comment",IF(IFERROR(TRIM(INDEX($A138:$T138,MATCH(Lists!$F$7,$A$1:$T$1,0))&amp;""),"")&lt;&gt;"",IFERROR(TRIM(INDEX($A138:$T138,MATCH(Lists!$F$7,$A$1:$T$1,0))&amp;""),""),IF(IFERROR(TRIM(INDEX($A138:$T138,MATCH(Lists!$F$8,$A$1:$T$1,0))&amp;""),"")&lt;&gt;"",IFERROR(TRIM(INDEX($A138:$T138,MATCH(Lists!$F$8,$A$1:$T$1,0))&amp;""),""),"(no item given)"))))</f>
        <v/>
      </c>
      <c r="AC138" s="21">
        <f>IF(Y138="","",IF(ISNUMBER(SEARCH("support",IFERROR(TRIM(INDEX($A138:$T138,MATCH(Lists!$F$9,$A$1:$T$1,0))&amp;""),""))),"Support",IF(ISNUMBER(SEARCH("oppose",IFERROR(TRIM(INDEX($A138:$T138,MATCH(Lists!$F$9,$A$1:$T$1,0))&amp;""),""))),"Oppose",IF(IFERROR(TRIM(INDEX($A138:$T138,MATCH(Lists!$F$9,$A$1:$T$1,0))&amp;""),"")="","No position","Neither"))))</f>
        <v/>
      </c>
      <c r="AD138" s="21">
        <f>IF(Y138="","",IF(ISNUMBER(SEARCH("in person",IFERROR(TRIM(INDEX($A138:$T138,MATCH(Lists!$F$13,$A$1:$T$1,0))&amp;""),""))),"In person",IF(ISNUMBER(SEARCH("online",IFERROR(TRIM(INDEX($A138:$T138,MATCH(Lists!$F$13,$A$1:$T$1,0))&amp;""),""))),"Online","Written only")))</f>
        <v/>
      </c>
      <c r="AE138" s="21">
        <f>IF(Y138="","",IFERROR(TRIM(INDEX($A138:$T138,MATCH(Lists!$F$11,$A$1:$T$1,0))&amp;""),""))</f>
        <v/>
      </c>
      <c r="AF138" s="21">
        <f>IF(Y138="","",IFERROR(TRIM(INDEX($A138:$T138,MATCH(Lists!$F$12,$A$1:$T$1,0))&amp;""),""))</f>
        <v/>
      </c>
      <c r="AG138" s="21">
        <f>IF(Y138="","",IFERROR(TRIM(INDEX($A138:$T138,MATCH(Lists!$F$14,$A$1:$T$1,0))&amp;""),""))</f>
        <v/>
      </c>
      <c r="AH138" s="21">
        <f>IF(Y138="","",LEFT(IFERROR(TRIM(INDEX($A138:$T138,MATCH(Lists!$F$10,$A$1:$T$1,0))&amp;""),""),80))</f>
        <v/>
      </c>
      <c r="AI138" s="21">
        <f>IF(Y138="",0,IF(OR(Tally!$B$5="",AA138=Tally!$B$5),1,0))</f>
        <v/>
      </c>
      <c r="AJ138" s="21">
        <f>IF(AI138=1,IF(COUNTIFS($AB$2:AB138,AB138,$AI$2:AI138,1)=1,1,0),0)</f>
        <v/>
      </c>
      <c r="AK138" s="21">
        <f>IF(AJ138=1,SUM($AJ$2:AJ138),"")</f>
        <v/>
      </c>
      <c r="AL138" s="21">
        <f>IF(AND(AI138=1,OR(AD138="In person",AD138="Online"),OR(Speakers!$B$5="",AB138=Speakers!$B$5)),N(Z138)+ROW()/1000000000,"")</f>
        <v/>
      </c>
    </row>
    <row r="139">
      <c r="U139" s="19" t="n"/>
      <c r="V139" s="24" t="n"/>
      <c r="W139" s="24" t="n"/>
      <c r="X139" s="19" t="n"/>
      <c r="Y139" s="21">
        <f>IFERROR(TRIM(INDEX($A139:$T139,MATCH(Lists!$F$2,$A$1:$T$1,0))&amp;""),"")</f>
        <v/>
      </c>
      <c r="Z139" s="22">
        <f>IF(Y139="","",IFERROR(IF(ISNUMBER(INDEX($A139:$T139,MATCH(Lists!$F$3,$A$1:$T$1,0))),INDEX($A139:$T139,MATCH(Lists!$F$3,$A$1:$T$1,0)),DATE(VALUE(LEFT(IFERROR(TRIM(INDEX($A139:$T139,MATCH(Lists!$F$3,$A$1:$T$1,0))&amp;""),""),4)),VALUE(MID(IFERROR(TRIM(INDEX($A139:$T139,MATCH(Lists!$F$3,$A$1:$T$1,0))&amp;""),""),6,2)),VALUE(MID(IFERROR(TRIM(INDEX($A139:$T139,MATCH(Lists!$F$3,$A$1:$T$1,0))&amp;""),""),9,2)))+TIME(VALUE(MID(IFERROR(TRIM(INDEX($A139:$T139,MATCH(Lists!$F$3,$A$1:$T$1,0))&amp;""),""),12,2)),VALUE(MID(IFERROR(TRIM(INDEX($A139:$T139,MATCH(Lists!$F$3,$A$1:$T$1,0))&amp;""),""),15,2)),VALUE(MID(IFERROR(TRIM(INDEX($A139:$T139,MATCH(Lists!$F$3,$A$1:$T$1,0))&amp;""),""),18,2)))),""))</f>
        <v/>
      </c>
      <c r="AA139" s="23">
        <f>IF(Y139="","",IF(ISNUMBER(IFERROR(IF(TRIM(INDEX($A139:$T139,MATCH(Lists!$F$4,$A$1:$T$1,0))&amp;"")="","",IF(ISNUMBER(INDEX($A139:$T139,MATCH(Lists!$F$4,$A$1:$T$1,0))),INT(INDEX($A139:$T139,MATCH(Lists!$F$4,$A$1:$T$1,0))),DATE(VALUE(LEFT(INDEX($A139:$T139,MATCH(Lists!$F$4,$A$1:$T$1,0)),4)),VALUE(MID(INDEX($A139:$T139,MATCH(Lists!$F$4,$A$1:$T$1,0)),6,2)),VALUE(MID(INDEX($A139:$T139,MATCH(Lists!$F$4,$A$1:$T$1,0)),9,2))))),"")),IFERROR(IF(TRIM(INDEX($A139:$T139,MATCH(Lists!$F$4,$A$1:$T$1,0))&amp;"")="","",IF(ISNUMBER(INDEX($A139:$T139,MATCH(Lists!$F$4,$A$1:$T$1,0))),INT(INDEX($A139:$T139,MATCH(Lists!$F$4,$A$1:$T$1,0))),DATE(VALUE(LEFT(INDEX($A139:$T139,MATCH(Lists!$F$4,$A$1:$T$1,0)),4)),VALUE(MID(INDEX($A139:$T139,MATCH(Lists!$F$4,$A$1:$T$1,0)),6,2)),VALUE(MID(INDEX($A139:$T139,MATCH(Lists!$F$4,$A$1:$T$1,0)),9,2))))),""),IFERROR(IF(TRIM(INDEX($A139:$T139,MATCH(Lists!$F$5,$A$1:$T$1,0))&amp;"")="","",IF(ISNUMBER(INDEX($A139:$T139,MATCH(Lists!$F$5,$A$1:$T$1,0))),INT(INDEX($A139:$T139,MATCH(Lists!$F$5,$A$1:$T$1,0))),DATE(VALUE(LEFT(INDEX($A139:$T139,MATCH(Lists!$F$5,$A$1:$T$1,0)),4)),VALUE(MID(INDEX($A139:$T139,MATCH(Lists!$F$5,$A$1:$T$1,0)),6,2)),VALUE(MID(INDEX($A139:$T139,MATCH(Lists!$F$5,$A$1:$T$1,0)),9,2))))),"")))</f>
        <v/>
      </c>
      <c r="AB139" s="21">
        <f>IF(Y139="","",IF(LEFT(IFERROR(TRIM(INDEX($A139:$T139,MATCH(Lists!$F$6,$A$1:$T$1,0))&amp;""),""),2)="No","General comment",IF(IFERROR(TRIM(INDEX($A139:$T139,MATCH(Lists!$F$7,$A$1:$T$1,0))&amp;""),"")&lt;&gt;"",IFERROR(TRIM(INDEX($A139:$T139,MATCH(Lists!$F$7,$A$1:$T$1,0))&amp;""),""),IF(IFERROR(TRIM(INDEX($A139:$T139,MATCH(Lists!$F$8,$A$1:$T$1,0))&amp;""),"")&lt;&gt;"",IFERROR(TRIM(INDEX($A139:$T139,MATCH(Lists!$F$8,$A$1:$T$1,0))&amp;""),""),"(no item given)"))))</f>
        <v/>
      </c>
      <c r="AC139" s="21">
        <f>IF(Y139="","",IF(ISNUMBER(SEARCH("support",IFERROR(TRIM(INDEX($A139:$T139,MATCH(Lists!$F$9,$A$1:$T$1,0))&amp;""),""))),"Support",IF(ISNUMBER(SEARCH("oppose",IFERROR(TRIM(INDEX($A139:$T139,MATCH(Lists!$F$9,$A$1:$T$1,0))&amp;""),""))),"Oppose",IF(IFERROR(TRIM(INDEX($A139:$T139,MATCH(Lists!$F$9,$A$1:$T$1,0))&amp;""),"")="","No position","Neither"))))</f>
        <v/>
      </c>
      <c r="AD139" s="21">
        <f>IF(Y139="","",IF(ISNUMBER(SEARCH("in person",IFERROR(TRIM(INDEX($A139:$T139,MATCH(Lists!$F$13,$A$1:$T$1,0))&amp;""),""))),"In person",IF(ISNUMBER(SEARCH("online",IFERROR(TRIM(INDEX($A139:$T139,MATCH(Lists!$F$13,$A$1:$T$1,0))&amp;""),""))),"Online","Written only")))</f>
        <v/>
      </c>
      <c r="AE139" s="21">
        <f>IF(Y139="","",IFERROR(TRIM(INDEX($A139:$T139,MATCH(Lists!$F$11,$A$1:$T$1,0))&amp;""),""))</f>
        <v/>
      </c>
      <c r="AF139" s="21">
        <f>IF(Y139="","",IFERROR(TRIM(INDEX($A139:$T139,MATCH(Lists!$F$12,$A$1:$T$1,0))&amp;""),""))</f>
        <v/>
      </c>
      <c r="AG139" s="21">
        <f>IF(Y139="","",IFERROR(TRIM(INDEX($A139:$T139,MATCH(Lists!$F$14,$A$1:$T$1,0))&amp;""),""))</f>
        <v/>
      </c>
      <c r="AH139" s="21">
        <f>IF(Y139="","",LEFT(IFERROR(TRIM(INDEX($A139:$T139,MATCH(Lists!$F$10,$A$1:$T$1,0))&amp;""),""),80))</f>
        <v/>
      </c>
      <c r="AI139" s="21">
        <f>IF(Y139="",0,IF(OR(Tally!$B$5="",AA139=Tally!$B$5),1,0))</f>
        <v/>
      </c>
      <c r="AJ139" s="21">
        <f>IF(AI139=1,IF(COUNTIFS($AB$2:AB139,AB139,$AI$2:AI139,1)=1,1,0),0)</f>
        <v/>
      </c>
      <c r="AK139" s="21">
        <f>IF(AJ139=1,SUM($AJ$2:AJ139),"")</f>
        <v/>
      </c>
      <c r="AL139" s="21">
        <f>IF(AND(AI139=1,OR(AD139="In person",AD139="Online"),OR(Speakers!$B$5="",AB139=Speakers!$B$5)),N(Z139)+ROW()/1000000000,"")</f>
        <v/>
      </c>
    </row>
    <row r="140">
      <c r="U140" s="19" t="n"/>
      <c r="V140" s="24" t="n"/>
      <c r="W140" s="24" t="n"/>
      <c r="X140" s="19" t="n"/>
      <c r="Y140" s="21">
        <f>IFERROR(TRIM(INDEX($A140:$T140,MATCH(Lists!$F$2,$A$1:$T$1,0))&amp;""),"")</f>
        <v/>
      </c>
      <c r="Z140" s="22">
        <f>IF(Y140="","",IFERROR(IF(ISNUMBER(INDEX($A140:$T140,MATCH(Lists!$F$3,$A$1:$T$1,0))),INDEX($A140:$T140,MATCH(Lists!$F$3,$A$1:$T$1,0)),DATE(VALUE(LEFT(IFERROR(TRIM(INDEX($A140:$T140,MATCH(Lists!$F$3,$A$1:$T$1,0))&amp;""),""),4)),VALUE(MID(IFERROR(TRIM(INDEX($A140:$T140,MATCH(Lists!$F$3,$A$1:$T$1,0))&amp;""),""),6,2)),VALUE(MID(IFERROR(TRIM(INDEX($A140:$T140,MATCH(Lists!$F$3,$A$1:$T$1,0))&amp;""),""),9,2)))+TIME(VALUE(MID(IFERROR(TRIM(INDEX($A140:$T140,MATCH(Lists!$F$3,$A$1:$T$1,0))&amp;""),""),12,2)),VALUE(MID(IFERROR(TRIM(INDEX($A140:$T140,MATCH(Lists!$F$3,$A$1:$T$1,0))&amp;""),""),15,2)),VALUE(MID(IFERROR(TRIM(INDEX($A140:$T140,MATCH(Lists!$F$3,$A$1:$T$1,0))&amp;""),""),18,2)))),""))</f>
        <v/>
      </c>
      <c r="AA140" s="23">
        <f>IF(Y140="","",IF(ISNUMBER(IFERROR(IF(TRIM(INDEX($A140:$T140,MATCH(Lists!$F$4,$A$1:$T$1,0))&amp;"")="","",IF(ISNUMBER(INDEX($A140:$T140,MATCH(Lists!$F$4,$A$1:$T$1,0))),INT(INDEX($A140:$T140,MATCH(Lists!$F$4,$A$1:$T$1,0))),DATE(VALUE(LEFT(INDEX($A140:$T140,MATCH(Lists!$F$4,$A$1:$T$1,0)),4)),VALUE(MID(INDEX($A140:$T140,MATCH(Lists!$F$4,$A$1:$T$1,0)),6,2)),VALUE(MID(INDEX($A140:$T140,MATCH(Lists!$F$4,$A$1:$T$1,0)),9,2))))),"")),IFERROR(IF(TRIM(INDEX($A140:$T140,MATCH(Lists!$F$4,$A$1:$T$1,0))&amp;"")="","",IF(ISNUMBER(INDEX($A140:$T140,MATCH(Lists!$F$4,$A$1:$T$1,0))),INT(INDEX($A140:$T140,MATCH(Lists!$F$4,$A$1:$T$1,0))),DATE(VALUE(LEFT(INDEX($A140:$T140,MATCH(Lists!$F$4,$A$1:$T$1,0)),4)),VALUE(MID(INDEX($A140:$T140,MATCH(Lists!$F$4,$A$1:$T$1,0)),6,2)),VALUE(MID(INDEX($A140:$T140,MATCH(Lists!$F$4,$A$1:$T$1,0)),9,2))))),""),IFERROR(IF(TRIM(INDEX($A140:$T140,MATCH(Lists!$F$5,$A$1:$T$1,0))&amp;"")="","",IF(ISNUMBER(INDEX($A140:$T140,MATCH(Lists!$F$5,$A$1:$T$1,0))),INT(INDEX($A140:$T140,MATCH(Lists!$F$5,$A$1:$T$1,0))),DATE(VALUE(LEFT(INDEX($A140:$T140,MATCH(Lists!$F$5,$A$1:$T$1,0)),4)),VALUE(MID(INDEX($A140:$T140,MATCH(Lists!$F$5,$A$1:$T$1,0)),6,2)),VALUE(MID(INDEX($A140:$T140,MATCH(Lists!$F$5,$A$1:$T$1,0)),9,2))))),"")))</f>
        <v/>
      </c>
      <c r="AB140" s="21">
        <f>IF(Y140="","",IF(LEFT(IFERROR(TRIM(INDEX($A140:$T140,MATCH(Lists!$F$6,$A$1:$T$1,0))&amp;""),""),2)="No","General comment",IF(IFERROR(TRIM(INDEX($A140:$T140,MATCH(Lists!$F$7,$A$1:$T$1,0))&amp;""),"")&lt;&gt;"",IFERROR(TRIM(INDEX($A140:$T140,MATCH(Lists!$F$7,$A$1:$T$1,0))&amp;""),""),IF(IFERROR(TRIM(INDEX($A140:$T140,MATCH(Lists!$F$8,$A$1:$T$1,0))&amp;""),"")&lt;&gt;"",IFERROR(TRIM(INDEX($A140:$T140,MATCH(Lists!$F$8,$A$1:$T$1,0))&amp;""),""),"(no item given)"))))</f>
        <v/>
      </c>
      <c r="AC140" s="21">
        <f>IF(Y140="","",IF(ISNUMBER(SEARCH("support",IFERROR(TRIM(INDEX($A140:$T140,MATCH(Lists!$F$9,$A$1:$T$1,0))&amp;""),""))),"Support",IF(ISNUMBER(SEARCH("oppose",IFERROR(TRIM(INDEX($A140:$T140,MATCH(Lists!$F$9,$A$1:$T$1,0))&amp;""),""))),"Oppose",IF(IFERROR(TRIM(INDEX($A140:$T140,MATCH(Lists!$F$9,$A$1:$T$1,0))&amp;""),"")="","No position","Neither"))))</f>
        <v/>
      </c>
      <c r="AD140" s="21">
        <f>IF(Y140="","",IF(ISNUMBER(SEARCH("in person",IFERROR(TRIM(INDEX($A140:$T140,MATCH(Lists!$F$13,$A$1:$T$1,0))&amp;""),""))),"In person",IF(ISNUMBER(SEARCH("online",IFERROR(TRIM(INDEX($A140:$T140,MATCH(Lists!$F$13,$A$1:$T$1,0))&amp;""),""))),"Online","Written only")))</f>
        <v/>
      </c>
      <c r="AE140" s="21">
        <f>IF(Y140="","",IFERROR(TRIM(INDEX($A140:$T140,MATCH(Lists!$F$11,$A$1:$T$1,0))&amp;""),""))</f>
        <v/>
      </c>
      <c r="AF140" s="21">
        <f>IF(Y140="","",IFERROR(TRIM(INDEX($A140:$T140,MATCH(Lists!$F$12,$A$1:$T$1,0))&amp;""),""))</f>
        <v/>
      </c>
      <c r="AG140" s="21">
        <f>IF(Y140="","",IFERROR(TRIM(INDEX($A140:$T140,MATCH(Lists!$F$14,$A$1:$T$1,0))&amp;""),""))</f>
        <v/>
      </c>
      <c r="AH140" s="21">
        <f>IF(Y140="","",LEFT(IFERROR(TRIM(INDEX($A140:$T140,MATCH(Lists!$F$10,$A$1:$T$1,0))&amp;""),""),80))</f>
        <v/>
      </c>
      <c r="AI140" s="21">
        <f>IF(Y140="",0,IF(OR(Tally!$B$5="",AA140=Tally!$B$5),1,0))</f>
        <v/>
      </c>
      <c r="AJ140" s="21">
        <f>IF(AI140=1,IF(COUNTIFS($AB$2:AB140,AB140,$AI$2:AI140,1)=1,1,0),0)</f>
        <v/>
      </c>
      <c r="AK140" s="21">
        <f>IF(AJ140=1,SUM($AJ$2:AJ140),"")</f>
        <v/>
      </c>
      <c r="AL140" s="21">
        <f>IF(AND(AI140=1,OR(AD140="In person",AD140="Online"),OR(Speakers!$B$5="",AB140=Speakers!$B$5)),N(Z140)+ROW()/1000000000,"")</f>
        <v/>
      </c>
    </row>
    <row r="141">
      <c r="U141" s="19" t="n"/>
      <c r="V141" s="24" t="n"/>
      <c r="W141" s="24" t="n"/>
      <c r="X141" s="19" t="n"/>
      <c r="Y141" s="21">
        <f>IFERROR(TRIM(INDEX($A141:$T141,MATCH(Lists!$F$2,$A$1:$T$1,0))&amp;""),"")</f>
        <v/>
      </c>
      <c r="Z141" s="22">
        <f>IF(Y141="","",IFERROR(IF(ISNUMBER(INDEX($A141:$T141,MATCH(Lists!$F$3,$A$1:$T$1,0))),INDEX($A141:$T141,MATCH(Lists!$F$3,$A$1:$T$1,0)),DATE(VALUE(LEFT(IFERROR(TRIM(INDEX($A141:$T141,MATCH(Lists!$F$3,$A$1:$T$1,0))&amp;""),""),4)),VALUE(MID(IFERROR(TRIM(INDEX($A141:$T141,MATCH(Lists!$F$3,$A$1:$T$1,0))&amp;""),""),6,2)),VALUE(MID(IFERROR(TRIM(INDEX($A141:$T141,MATCH(Lists!$F$3,$A$1:$T$1,0))&amp;""),""),9,2)))+TIME(VALUE(MID(IFERROR(TRIM(INDEX($A141:$T141,MATCH(Lists!$F$3,$A$1:$T$1,0))&amp;""),""),12,2)),VALUE(MID(IFERROR(TRIM(INDEX($A141:$T141,MATCH(Lists!$F$3,$A$1:$T$1,0))&amp;""),""),15,2)),VALUE(MID(IFERROR(TRIM(INDEX($A141:$T141,MATCH(Lists!$F$3,$A$1:$T$1,0))&amp;""),""),18,2)))),""))</f>
        <v/>
      </c>
      <c r="AA141" s="23">
        <f>IF(Y141="","",IF(ISNUMBER(IFERROR(IF(TRIM(INDEX($A141:$T141,MATCH(Lists!$F$4,$A$1:$T$1,0))&amp;"")="","",IF(ISNUMBER(INDEX($A141:$T141,MATCH(Lists!$F$4,$A$1:$T$1,0))),INT(INDEX($A141:$T141,MATCH(Lists!$F$4,$A$1:$T$1,0))),DATE(VALUE(LEFT(INDEX($A141:$T141,MATCH(Lists!$F$4,$A$1:$T$1,0)),4)),VALUE(MID(INDEX($A141:$T141,MATCH(Lists!$F$4,$A$1:$T$1,0)),6,2)),VALUE(MID(INDEX($A141:$T141,MATCH(Lists!$F$4,$A$1:$T$1,0)),9,2))))),"")),IFERROR(IF(TRIM(INDEX($A141:$T141,MATCH(Lists!$F$4,$A$1:$T$1,0))&amp;"")="","",IF(ISNUMBER(INDEX($A141:$T141,MATCH(Lists!$F$4,$A$1:$T$1,0))),INT(INDEX($A141:$T141,MATCH(Lists!$F$4,$A$1:$T$1,0))),DATE(VALUE(LEFT(INDEX($A141:$T141,MATCH(Lists!$F$4,$A$1:$T$1,0)),4)),VALUE(MID(INDEX($A141:$T141,MATCH(Lists!$F$4,$A$1:$T$1,0)),6,2)),VALUE(MID(INDEX($A141:$T141,MATCH(Lists!$F$4,$A$1:$T$1,0)),9,2))))),""),IFERROR(IF(TRIM(INDEX($A141:$T141,MATCH(Lists!$F$5,$A$1:$T$1,0))&amp;"")="","",IF(ISNUMBER(INDEX($A141:$T141,MATCH(Lists!$F$5,$A$1:$T$1,0))),INT(INDEX($A141:$T141,MATCH(Lists!$F$5,$A$1:$T$1,0))),DATE(VALUE(LEFT(INDEX($A141:$T141,MATCH(Lists!$F$5,$A$1:$T$1,0)),4)),VALUE(MID(INDEX($A141:$T141,MATCH(Lists!$F$5,$A$1:$T$1,0)),6,2)),VALUE(MID(INDEX($A141:$T141,MATCH(Lists!$F$5,$A$1:$T$1,0)),9,2))))),"")))</f>
        <v/>
      </c>
      <c r="AB141" s="21">
        <f>IF(Y141="","",IF(LEFT(IFERROR(TRIM(INDEX($A141:$T141,MATCH(Lists!$F$6,$A$1:$T$1,0))&amp;""),""),2)="No","General comment",IF(IFERROR(TRIM(INDEX($A141:$T141,MATCH(Lists!$F$7,$A$1:$T$1,0))&amp;""),"")&lt;&gt;"",IFERROR(TRIM(INDEX($A141:$T141,MATCH(Lists!$F$7,$A$1:$T$1,0))&amp;""),""),IF(IFERROR(TRIM(INDEX($A141:$T141,MATCH(Lists!$F$8,$A$1:$T$1,0))&amp;""),"")&lt;&gt;"",IFERROR(TRIM(INDEX($A141:$T141,MATCH(Lists!$F$8,$A$1:$T$1,0))&amp;""),""),"(no item given)"))))</f>
        <v/>
      </c>
      <c r="AC141" s="21">
        <f>IF(Y141="","",IF(ISNUMBER(SEARCH("support",IFERROR(TRIM(INDEX($A141:$T141,MATCH(Lists!$F$9,$A$1:$T$1,0))&amp;""),""))),"Support",IF(ISNUMBER(SEARCH("oppose",IFERROR(TRIM(INDEX($A141:$T141,MATCH(Lists!$F$9,$A$1:$T$1,0))&amp;""),""))),"Oppose",IF(IFERROR(TRIM(INDEX($A141:$T141,MATCH(Lists!$F$9,$A$1:$T$1,0))&amp;""),"")="","No position","Neither"))))</f>
        <v/>
      </c>
      <c r="AD141" s="21">
        <f>IF(Y141="","",IF(ISNUMBER(SEARCH("in person",IFERROR(TRIM(INDEX($A141:$T141,MATCH(Lists!$F$13,$A$1:$T$1,0))&amp;""),""))),"In person",IF(ISNUMBER(SEARCH("online",IFERROR(TRIM(INDEX($A141:$T141,MATCH(Lists!$F$13,$A$1:$T$1,0))&amp;""),""))),"Online","Written only")))</f>
        <v/>
      </c>
      <c r="AE141" s="21">
        <f>IF(Y141="","",IFERROR(TRIM(INDEX($A141:$T141,MATCH(Lists!$F$11,$A$1:$T$1,0))&amp;""),""))</f>
        <v/>
      </c>
      <c r="AF141" s="21">
        <f>IF(Y141="","",IFERROR(TRIM(INDEX($A141:$T141,MATCH(Lists!$F$12,$A$1:$T$1,0))&amp;""),""))</f>
        <v/>
      </c>
      <c r="AG141" s="21">
        <f>IF(Y141="","",IFERROR(TRIM(INDEX($A141:$T141,MATCH(Lists!$F$14,$A$1:$T$1,0))&amp;""),""))</f>
        <v/>
      </c>
      <c r="AH141" s="21">
        <f>IF(Y141="","",LEFT(IFERROR(TRIM(INDEX($A141:$T141,MATCH(Lists!$F$10,$A$1:$T$1,0))&amp;""),""),80))</f>
        <v/>
      </c>
      <c r="AI141" s="21">
        <f>IF(Y141="",0,IF(OR(Tally!$B$5="",AA141=Tally!$B$5),1,0))</f>
        <v/>
      </c>
      <c r="AJ141" s="21">
        <f>IF(AI141=1,IF(COUNTIFS($AB$2:AB141,AB141,$AI$2:AI141,1)=1,1,0),0)</f>
        <v/>
      </c>
      <c r="AK141" s="21">
        <f>IF(AJ141=1,SUM($AJ$2:AJ141),"")</f>
        <v/>
      </c>
      <c r="AL141" s="21">
        <f>IF(AND(AI141=1,OR(AD141="In person",AD141="Online"),OR(Speakers!$B$5="",AB141=Speakers!$B$5)),N(Z141)+ROW()/1000000000,"")</f>
        <v/>
      </c>
    </row>
    <row r="142">
      <c r="U142" s="19" t="n"/>
      <c r="V142" s="24" t="n"/>
      <c r="W142" s="24" t="n"/>
      <c r="X142" s="19" t="n"/>
      <c r="Y142" s="21">
        <f>IFERROR(TRIM(INDEX($A142:$T142,MATCH(Lists!$F$2,$A$1:$T$1,0))&amp;""),"")</f>
        <v/>
      </c>
      <c r="Z142" s="22">
        <f>IF(Y142="","",IFERROR(IF(ISNUMBER(INDEX($A142:$T142,MATCH(Lists!$F$3,$A$1:$T$1,0))),INDEX($A142:$T142,MATCH(Lists!$F$3,$A$1:$T$1,0)),DATE(VALUE(LEFT(IFERROR(TRIM(INDEX($A142:$T142,MATCH(Lists!$F$3,$A$1:$T$1,0))&amp;""),""),4)),VALUE(MID(IFERROR(TRIM(INDEX($A142:$T142,MATCH(Lists!$F$3,$A$1:$T$1,0))&amp;""),""),6,2)),VALUE(MID(IFERROR(TRIM(INDEX($A142:$T142,MATCH(Lists!$F$3,$A$1:$T$1,0))&amp;""),""),9,2)))+TIME(VALUE(MID(IFERROR(TRIM(INDEX($A142:$T142,MATCH(Lists!$F$3,$A$1:$T$1,0))&amp;""),""),12,2)),VALUE(MID(IFERROR(TRIM(INDEX($A142:$T142,MATCH(Lists!$F$3,$A$1:$T$1,0))&amp;""),""),15,2)),VALUE(MID(IFERROR(TRIM(INDEX($A142:$T142,MATCH(Lists!$F$3,$A$1:$T$1,0))&amp;""),""),18,2)))),""))</f>
        <v/>
      </c>
      <c r="AA142" s="23">
        <f>IF(Y142="","",IF(ISNUMBER(IFERROR(IF(TRIM(INDEX($A142:$T142,MATCH(Lists!$F$4,$A$1:$T$1,0))&amp;"")="","",IF(ISNUMBER(INDEX($A142:$T142,MATCH(Lists!$F$4,$A$1:$T$1,0))),INT(INDEX($A142:$T142,MATCH(Lists!$F$4,$A$1:$T$1,0))),DATE(VALUE(LEFT(INDEX($A142:$T142,MATCH(Lists!$F$4,$A$1:$T$1,0)),4)),VALUE(MID(INDEX($A142:$T142,MATCH(Lists!$F$4,$A$1:$T$1,0)),6,2)),VALUE(MID(INDEX($A142:$T142,MATCH(Lists!$F$4,$A$1:$T$1,0)),9,2))))),"")),IFERROR(IF(TRIM(INDEX($A142:$T142,MATCH(Lists!$F$4,$A$1:$T$1,0))&amp;"")="","",IF(ISNUMBER(INDEX($A142:$T142,MATCH(Lists!$F$4,$A$1:$T$1,0))),INT(INDEX($A142:$T142,MATCH(Lists!$F$4,$A$1:$T$1,0))),DATE(VALUE(LEFT(INDEX($A142:$T142,MATCH(Lists!$F$4,$A$1:$T$1,0)),4)),VALUE(MID(INDEX($A142:$T142,MATCH(Lists!$F$4,$A$1:$T$1,0)),6,2)),VALUE(MID(INDEX($A142:$T142,MATCH(Lists!$F$4,$A$1:$T$1,0)),9,2))))),""),IFERROR(IF(TRIM(INDEX($A142:$T142,MATCH(Lists!$F$5,$A$1:$T$1,0))&amp;"")="","",IF(ISNUMBER(INDEX($A142:$T142,MATCH(Lists!$F$5,$A$1:$T$1,0))),INT(INDEX($A142:$T142,MATCH(Lists!$F$5,$A$1:$T$1,0))),DATE(VALUE(LEFT(INDEX($A142:$T142,MATCH(Lists!$F$5,$A$1:$T$1,0)),4)),VALUE(MID(INDEX($A142:$T142,MATCH(Lists!$F$5,$A$1:$T$1,0)),6,2)),VALUE(MID(INDEX($A142:$T142,MATCH(Lists!$F$5,$A$1:$T$1,0)),9,2))))),"")))</f>
        <v/>
      </c>
      <c r="AB142" s="21">
        <f>IF(Y142="","",IF(LEFT(IFERROR(TRIM(INDEX($A142:$T142,MATCH(Lists!$F$6,$A$1:$T$1,0))&amp;""),""),2)="No","General comment",IF(IFERROR(TRIM(INDEX($A142:$T142,MATCH(Lists!$F$7,$A$1:$T$1,0))&amp;""),"")&lt;&gt;"",IFERROR(TRIM(INDEX($A142:$T142,MATCH(Lists!$F$7,$A$1:$T$1,0))&amp;""),""),IF(IFERROR(TRIM(INDEX($A142:$T142,MATCH(Lists!$F$8,$A$1:$T$1,0))&amp;""),"")&lt;&gt;"",IFERROR(TRIM(INDEX($A142:$T142,MATCH(Lists!$F$8,$A$1:$T$1,0))&amp;""),""),"(no item given)"))))</f>
        <v/>
      </c>
      <c r="AC142" s="21">
        <f>IF(Y142="","",IF(ISNUMBER(SEARCH("support",IFERROR(TRIM(INDEX($A142:$T142,MATCH(Lists!$F$9,$A$1:$T$1,0))&amp;""),""))),"Support",IF(ISNUMBER(SEARCH("oppose",IFERROR(TRIM(INDEX($A142:$T142,MATCH(Lists!$F$9,$A$1:$T$1,0))&amp;""),""))),"Oppose",IF(IFERROR(TRIM(INDEX($A142:$T142,MATCH(Lists!$F$9,$A$1:$T$1,0))&amp;""),"")="","No position","Neither"))))</f>
        <v/>
      </c>
      <c r="AD142" s="21">
        <f>IF(Y142="","",IF(ISNUMBER(SEARCH("in person",IFERROR(TRIM(INDEX($A142:$T142,MATCH(Lists!$F$13,$A$1:$T$1,0))&amp;""),""))),"In person",IF(ISNUMBER(SEARCH("online",IFERROR(TRIM(INDEX($A142:$T142,MATCH(Lists!$F$13,$A$1:$T$1,0))&amp;""),""))),"Online","Written only")))</f>
        <v/>
      </c>
      <c r="AE142" s="21">
        <f>IF(Y142="","",IFERROR(TRIM(INDEX($A142:$T142,MATCH(Lists!$F$11,$A$1:$T$1,0))&amp;""),""))</f>
        <v/>
      </c>
      <c r="AF142" s="21">
        <f>IF(Y142="","",IFERROR(TRIM(INDEX($A142:$T142,MATCH(Lists!$F$12,$A$1:$T$1,0))&amp;""),""))</f>
        <v/>
      </c>
      <c r="AG142" s="21">
        <f>IF(Y142="","",IFERROR(TRIM(INDEX($A142:$T142,MATCH(Lists!$F$14,$A$1:$T$1,0))&amp;""),""))</f>
        <v/>
      </c>
      <c r="AH142" s="21">
        <f>IF(Y142="","",LEFT(IFERROR(TRIM(INDEX($A142:$T142,MATCH(Lists!$F$10,$A$1:$T$1,0))&amp;""),""),80))</f>
        <v/>
      </c>
      <c r="AI142" s="21">
        <f>IF(Y142="",0,IF(OR(Tally!$B$5="",AA142=Tally!$B$5),1,0))</f>
        <v/>
      </c>
      <c r="AJ142" s="21">
        <f>IF(AI142=1,IF(COUNTIFS($AB$2:AB142,AB142,$AI$2:AI142,1)=1,1,0),0)</f>
        <v/>
      </c>
      <c r="AK142" s="21">
        <f>IF(AJ142=1,SUM($AJ$2:AJ142),"")</f>
        <v/>
      </c>
      <c r="AL142" s="21">
        <f>IF(AND(AI142=1,OR(AD142="In person",AD142="Online"),OR(Speakers!$B$5="",AB142=Speakers!$B$5)),N(Z142)+ROW()/1000000000,"")</f>
        <v/>
      </c>
    </row>
    <row r="143">
      <c r="U143" s="19" t="n"/>
      <c r="V143" s="24" t="n"/>
      <c r="W143" s="24" t="n"/>
      <c r="X143" s="19" t="n"/>
      <c r="Y143" s="21">
        <f>IFERROR(TRIM(INDEX($A143:$T143,MATCH(Lists!$F$2,$A$1:$T$1,0))&amp;""),"")</f>
        <v/>
      </c>
      <c r="Z143" s="22">
        <f>IF(Y143="","",IFERROR(IF(ISNUMBER(INDEX($A143:$T143,MATCH(Lists!$F$3,$A$1:$T$1,0))),INDEX($A143:$T143,MATCH(Lists!$F$3,$A$1:$T$1,0)),DATE(VALUE(LEFT(IFERROR(TRIM(INDEX($A143:$T143,MATCH(Lists!$F$3,$A$1:$T$1,0))&amp;""),""),4)),VALUE(MID(IFERROR(TRIM(INDEX($A143:$T143,MATCH(Lists!$F$3,$A$1:$T$1,0))&amp;""),""),6,2)),VALUE(MID(IFERROR(TRIM(INDEX($A143:$T143,MATCH(Lists!$F$3,$A$1:$T$1,0))&amp;""),""),9,2)))+TIME(VALUE(MID(IFERROR(TRIM(INDEX($A143:$T143,MATCH(Lists!$F$3,$A$1:$T$1,0))&amp;""),""),12,2)),VALUE(MID(IFERROR(TRIM(INDEX($A143:$T143,MATCH(Lists!$F$3,$A$1:$T$1,0))&amp;""),""),15,2)),VALUE(MID(IFERROR(TRIM(INDEX($A143:$T143,MATCH(Lists!$F$3,$A$1:$T$1,0))&amp;""),""),18,2)))),""))</f>
        <v/>
      </c>
      <c r="AA143" s="23">
        <f>IF(Y143="","",IF(ISNUMBER(IFERROR(IF(TRIM(INDEX($A143:$T143,MATCH(Lists!$F$4,$A$1:$T$1,0))&amp;"")="","",IF(ISNUMBER(INDEX($A143:$T143,MATCH(Lists!$F$4,$A$1:$T$1,0))),INT(INDEX($A143:$T143,MATCH(Lists!$F$4,$A$1:$T$1,0))),DATE(VALUE(LEFT(INDEX($A143:$T143,MATCH(Lists!$F$4,$A$1:$T$1,0)),4)),VALUE(MID(INDEX($A143:$T143,MATCH(Lists!$F$4,$A$1:$T$1,0)),6,2)),VALUE(MID(INDEX($A143:$T143,MATCH(Lists!$F$4,$A$1:$T$1,0)),9,2))))),"")),IFERROR(IF(TRIM(INDEX($A143:$T143,MATCH(Lists!$F$4,$A$1:$T$1,0))&amp;"")="","",IF(ISNUMBER(INDEX($A143:$T143,MATCH(Lists!$F$4,$A$1:$T$1,0))),INT(INDEX($A143:$T143,MATCH(Lists!$F$4,$A$1:$T$1,0))),DATE(VALUE(LEFT(INDEX($A143:$T143,MATCH(Lists!$F$4,$A$1:$T$1,0)),4)),VALUE(MID(INDEX($A143:$T143,MATCH(Lists!$F$4,$A$1:$T$1,0)),6,2)),VALUE(MID(INDEX($A143:$T143,MATCH(Lists!$F$4,$A$1:$T$1,0)),9,2))))),""),IFERROR(IF(TRIM(INDEX($A143:$T143,MATCH(Lists!$F$5,$A$1:$T$1,0))&amp;"")="","",IF(ISNUMBER(INDEX($A143:$T143,MATCH(Lists!$F$5,$A$1:$T$1,0))),INT(INDEX($A143:$T143,MATCH(Lists!$F$5,$A$1:$T$1,0))),DATE(VALUE(LEFT(INDEX($A143:$T143,MATCH(Lists!$F$5,$A$1:$T$1,0)),4)),VALUE(MID(INDEX($A143:$T143,MATCH(Lists!$F$5,$A$1:$T$1,0)),6,2)),VALUE(MID(INDEX($A143:$T143,MATCH(Lists!$F$5,$A$1:$T$1,0)),9,2))))),"")))</f>
        <v/>
      </c>
      <c r="AB143" s="21">
        <f>IF(Y143="","",IF(LEFT(IFERROR(TRIM(INDEX($A143:$T143,MATCH(Lists!$F$6,$A$1:$T$1,0))&amp;""),""),2)="No","General comment",IF(IFERROR(TRIM(INDEX($A143:$T143,MATCH(Lists!$F$7,$A$1:$T$1,0))&amp;""),"")&lt;&gt;"",IFERROR(TRIM(INDEX($A143:$T143,MATCH(Lists!$F$7,$A$1:$T$1,0))&amp;""),""),IF(IFERROR(TRIM(INDEX($A143:$T143,MATCH(Lists!$F$8,$A$1:$T$1,0))&amp;""),"")&lt;&gt;"",IFERROR(TRIM(INDEX($A143:$T143,MATCH(Lists!$F$8,$A$1:$T$1,0))&amp;""),""),"(no item given)"))))</f>
        <v/>
      </c>
      <c r="AC143" s="21">
        <f>IF(Y143="","",IF(ISNUMBER(SEARCH("support",IFERROR(TRIM(INDEX($A143:$T143,MATCH(Lists!$F$9,$A$1:$T$1,0))&amp;""),""))),"Support",IF(ISNUMBER(SEARCH("oppose",IFERROR(TRIM(INDEX($A143:$T143,MATCH(Lists!$F$9,$A$1:$T$1,0))&amp;""),""))),"Oppose",IF(IFERROR(TRIM(INDEX($A143:$T143,MATCH(Lists!$F$9,$A$1:$T$1,0))&amp;""),"")="","No position","Neither"))))</f>
        <v/>
      </c>
      <c r="AD143" s="21">
        <f>IF(Y143="","",IF(ISNUMBER(SEARCH("in person",IFERROR(TRIM(INDEX($A143:$T143,MATCH(Lists!$F$13,$A$1:$T$1,0))&amp;""),""))),"In person",IF(ISNUMBER(SEARCH("online",IFERROR(TRIM(INDEX($A143:$T143,MATCH(Lists!$F$13,$A$1:$T$1,0))&amp;""),""))),"Online","Written only")))</f>
        <v/>
      </c>
      <c r="AE143" s="21">
        <f>IF(Y143="","",IFERROR(TRIM(INDEX($A143:$T143,MATCH(Lists!$F$11,$A$1:$T$1,0))&amp;""),""))</f>
        <v/>
      </c>
      <c r="AF143" s="21">
        <f>IF(Y143="","",IFERROR(TRIM(INDEX($A143:$T143,MATCH(Lists!$F$12,$A$1:$T$1,0))&amp;""),""))</f>
        <v/>
      </c>
      <c r="AG143" s="21">
        <f>IF(Y143="","",IFERROR(TRIM(INDEX($A143:$T143,MATCH(Lists!$F$14,$A$1:$T$1,0))&amp;""),""))</f>
        <v/>
      </c>
      <c r="AH143" s="21">
        <f>IF(Y143="","",LEFT(IFERROR(TRIM(INDEX($A143:$T143,MATCH(Lists!$F$10,$A$1:$T$1,0))&amp;""),""),80))</f>
        <v/>
      </c>
      <c r="AI143" s="21">
        <f>IF(Y143="",0,IF(OR(Tally!$B$5="",AA143=Tally!$B$5),1,0))</f>
        <v/>
      </c>
      <c r="AJ143" s="21">
        <f>IF(AI143=1,IF(COUNTIFS($AB$2:AB143,AB143,$AI$2:AI143,1)=1,1,0),0)</f>
        <v/>
      </c>
      <c r="AK143" s="21">
        <f>IF(AJ143=1,SUM($AJ$2:AJ143),"")</f>
        <v/>
      </c>
      <c r="AL143" s="21">
        <f>IF(AND(AI143=1,OR(AD143="In person",AD143="Online"),OR(Speakers!$B$5="",AB143=Speakers!$B$5)),N(Z143)+ROW()/1000000000,"")</f>
        <v/>
      </c>
    </row>
    <row r="144">
      <c r="U144" s="19" t="n"/>
      <c r="V144" s="24" t="n"/>
      <c r="W144" s="24" t="n"/>
      <c r="X144" s="19" t="n"/>
      <c r="Y144" s="21">
        <f>IFERROR(TRIM(INDEX($A144:$T144,MATCH(Lists!$F$2,$A$1:$T$1,0))&amp;""),"")</f>
        <v/>
      </c>
      <c r="Z144" s="22">
        <f>IF(Y144="","",IFERROR(IF(ISNUMBER(INDEX($A144:$T144,MATCH(Lists!$F$3,$A$1:$T$1,0))),INDEX($A144:$T144,MATCH(Lists!$F$3,$A$1:$T$1,0)),DATE(VALUE(LEFT(IFERROR(TRIM(INDEX($A144:$T144,MATCH(Lists!$F$3,$A$1:$T$1,0))&amp;""),""),4)),VALUE(MID(IFERROR(TRIM(INDEX($A144:$T144,MATCH(Lists!$F$3,$A$1:$T$1,0))&amp;""),""),6,2)),VALUE(MID(IFERROR(TRIM(INDEX($A144:$T144,MATCH(Lists!$F$3,$A$1:$T$1,0))&amp;""),""),9,2)))+TIME(VALUE(MID(IFERROR(TRIM(INDEX($A144:$T144,MATCH(Lists!$F$3,$A$1:$T$1,0))&amp;""),""),12,2)),VALUE(MID(IFERROR(TRIM(INDEX($A144:$T144,MATCH(Lists!$F$3,$A$1:$T$1,0))&amp;""),""),15,2)),VALUE(MID(IFERROR(TRIM(INDEX($A144:$T144,MATCH(Lists!$F$3,$A$1:$T$1,0))&amp;""),""),18,2)))),""))</f>
        <v/>
      </c>
      <c r="AA144" s="23">
        <f>IF(Y144="","",IF(ISNUMBER(IFERROR(IF(TRIM(INDEX($A144:$T144,MATCH(Lists!$F$4,$A$1:$T$1,0))&amp;"")="","",IF(ISNUMBER(INDEX($A144:$T144,MATCH(Lists!$F$4,$A$1:$T$1,0))),INT(INDEX($A144:$T144,MATCH(Lists!$F$4,$A$1:$T$1,0))),DATE(VALUE(LEFT(INDEX($A144:$T144,MATCH(Lists!$F$4,$A$1:$T$1,0)),4)),VALUE(MID(INDEX($A144:$T144,MATCH(Lists!$F$4,$A$1:$T$1,0)),6,2)),VALUE(MID(INDEX($A144:$T144,MATCH(Lists!$F$4,$A$1:$T$1,0)),9,2))))),"")),IFERROR(IF(TRIM(INDEX($A144:$T144,MATCH(Lists!$F$4,$A$1:$T$1,0))&amp;"")="","",IF(ISNUMBER(INDEX($A144:$T144,MATCH(Lists!$F$4,$A$1:$T$1,0))),INT(INDEX($A144:$T144,MATCH(Lists!$F$4,$A$1:$T$1,0))),DATE(VALUE(LEFT(INDEX($A144:$T144,MATCH(Lists!$F$4,$A$1:$T$1,0)),4)),VALUE(MID(INDEX($A144:$T144,MATCH(Lists!$F$4,$A$1:$T$1,0)),6,2)),VALUE(MID(INDEX($A144:$T144,MATCH(Lists!$F$4,$A$1:$T$1,0)),9,2))))),""),IFERROR(IF(TRIM(INDEX($A144:$T144,MATCH(Lists!$F$5,$A$1:$T$1,0))&amp;"")="","",IF(ISNUMBER(INDEX($A144:$T144,MATCH(Lists!$F$5,$A$1:$T$1,0))),INT(INDEX($A144:$T144,MATCH(Lists!$F$5,$A$1:$T$1,0))),DATE(VALUE(LEFT(INDEX($A144:$T144,MATCH(Lists!$F$5,$A$1:$T$1,0)),4)),VALUE(MID(INDEX($A144:$T144,MATCH(Lists!$F$5,$A$1:$T$1,0)),6,2)),VALUE(MID(INDEX($A144:$T144,MATCH(Lists!$F$5,$A$1:$T$1,0)),9,2))))),"")))</f>
        <v/>
      </c>
      <c r="AB144" s="21">
        <f>IF(Y144="","",IF(LEFT(IFERROR(TRIM(INDEX($A144:$T144,MATCH(Lists!$F$6,$A$1:$T$1,0))&amp;""),""),2)="No","General comment",IF(IFERROR(TRIM(INDEX($A144:$T144,MATCH(Lists!$F$7,$A$1:$T$1,0))&amp;""),"")&lt;&gt;"",IFERROR(TRIM(INDEX($A144:$T144,MATCH(Lists!$F$7,$A$1:$T$1,0))&amp;""),""),IF(IFERROR(TRIM(INDEX($A144:$T144,MATCH(Lists!$F$8,$A$1:$T$1,0))&amp;""),"")&lt;&gt;"",IFERROR(TRIM(INDEX($A144:$T144,MATCH(Lists!$F$8,$A$1:$T$1,0))&amp;""),""),"(no item given)"))))</f>
        <v/>
      </c>
      <c r="AC144" s="21">
        <f>IF(Y144="","",IF(ISNUMBER(SEARCH("support",IFERROR(TRIM(INDEX($A144:$T144,MATCH(Lists!$F$9,$A$1:$T$1,0))&amp;""),""))),"Support",IF(ISNUMBER(SEARCH("oppose",IFERROR(TRIM(INDEX($A144:$T144,MATCH(Lists!$F$9,$A$1:$T$1,0))&amp;""),""))),"Oppose",IF(IFERROR(TRIM(INDEX($A144:$T144,MATCH(Lists!$F$9,$A$1:$T$1,0))&amp;""),"")="","No position","Neither"))))</f>
        <v/>
      </c>
      <c r="AD144" s="21">
        <f>IF(Y144="","",IF(ISNUMBER(SEARCH("in person",IFERROR(TRIM(INDEX($A144:$T144,MATCH(Lists!$F$13,$A$1:$T$1,0))&amp;""),""))),"In person",IF(ISNUMBER(SEARCH("online",IFERROR(TRIM(INDEX($A144:$T144,MATCH(Lists!$F$13,$A$1:$T$1,0))&amp;""),""))),"Online","Written only")))</f>
        <v/>
      </c>
      <c r="AE144" s="21">
        <f>IF(Y144="","",IFERROR(TRIM(INDEX($A144:$T144,MATCH(Lists!$F$11,$A$1:$T$1,0))&amp;""),""))</f>
        <v/>
      </c>
      <c r="AF144" s="21">
        <f>IF(Y144="","",IFERROR(TRIM(INDEX($A144:$T144,MATCH(Lists!$F$12,$A$1:$T$1,0))&amp;""),""))</f>
        <v/>
      </c>
      <c r="AG144" s="21">
        <f>IF(Y144="","",IFERROR(TRIM(INDEX($A144:$T144,MATCH(Lists!$F$14,$A$1:$T$1,0))&amp;""),""))</f>
        <v/>
      </c>
      <c r="AH144" s="21">
        <f>IF(Y144="","",LEFT(IFERROR(TRIM(INDEX($A144:$T144,MATCH(Lists!$F$10,$A$1:$T$1,0))&amp;""),""),80))</f>
        <v/>
      </c>
      <c r="AI144" s="21">
        <f>IF(Y144="",0,IF(OR(Tally!$B$5="",AA144=Tally!$B$5),1,0))</f>
        <v/>
      </c>
      <c r="AJ144" s="21">
        <f>IF(AI144=1,IF(COUNTIFS($AB$2:AB144,AB144,$AI$2:AI144,1)=1,1,0),0)</f>
        <v/>
      </c>
      <c r="AK144" s="21">
        <f>IF(AJ144=1,SUM($AJ$2:AJ144),"")</f>
        <v/>
      </c>
      <c r="AL144" s="21">
        <f>IF(AND(AI144=1,OR(AD144="In person",AD144="Online"),OR(Speakers!$B$5="",AB144=Speakers!$B$5)),N(Z144)+ROW()/1000000000,"")</f>
        <v/>
      </c>
    </row>
    <row r="145">
      <c r="U145" s="19" t="n"/>
      <c r="V145" s="24" t="n"/>
      <c r="W145" s="24" t="n"/>
      <c r="X145" s="19" t="n"/>
      <c r="Y145" s="21">
        <f>IFERROR(TRIM(INDEX($A145:$T145,MATCH(Lists!$F$2,$A$1:$T$1,0))&amp;""),"")</f>
        <v/>
      </c>
      <c r="Z145" s="22">
        <f>IF(Y145="","",IFERROR(IF(ISNUMBER(INDEX($A145:$T145,MATCH(Lists!$F$3,$A$1:$T$1,0))),INDEX($A145:$T145,MATCH(Lists!$F$3,$A$1:$T$1,0)),DATE(VALUE(LEFT(IFERROR(TRIM(INDEX($A145:$T145,MATCH(Lists!$F$3,$A$1:$T$1,0))&amp;""),""),4)),VALUE(MID(IFERROR(TRIM(INDEX($A145:$T145,MATCH(Lists!$F$3,$A$1:$T$1,0))&amp;""),""),6,2)),VALUE(MID(IFERROR(TRIM(INDEX($A145:$T145,MATCH(Lists!$F$3,$A$1:$T$1,0))&amp;""),""),9,2)))+TIME(VALUE(MID(IFERROR(TRIM(INDEX($A145:$T145,MATCH(Lists!$F$3,$A$1:$T$1,0))&amp;""),""),12,2)),VALUE(MID(IFERROR(TRIM(INDEX($A145:$T145,MATCH(Lists!$F$3,$A$1:$T$1,0))&amp;""),""),15,2)),VALUE(MID(IFERROR(TRIM(INDEX($A145:$T145,MATCH(Lists!$F$3,$A$1:$T$1,0))&amp;""),""),18,2)))),""))</f>
        <v/>
      </c>
      <c r="AA145" s="23">
        <f>IF(Y145="","",IF(ISNUMBER(IFERROR(IF(TRIM(INDEX($A145:$T145,MATCH(Lists!$F$4,$A$1:$T$1,0))&amp;"")="","",IF(ISNUMBER(INDEX($A145:$T145,MATCH(Lists!$F$4,$A$1:$T$1,0))),INT(INDEX($A145:$T145,MATCH(Lists!$F$4,$A$1:$T$1,0))),DATE(VALUE(LEFT(INDEX($A145:$T145,MATCH(Lists!$F$4,$A$1:$T$1,0)),4)),VALUE(MID(INDEX($A145:$T145,MATCH(Lists!$F$4,$A$1:$T$1,0)),6,2)),VALUE(MID(INDEX($A145:$T145,MATCH(Lists!$F$4,$A$1:$T$1,0)),9,2))))),"")),IFERROR(IF(TRIM(INDEX($A145:$T145,MATCH(Lists!$F$4,$A$1:$T$1,0))&amp;"")="","",IF(ISNUMBER(INDEX($A145:$T145,MATCH(Lists!$F$4,$A$1:$T$1,0))),INT(INDEX($A145:$T145,MATCH(Lists!$F$4,$A$1:$T$1,0))),DATE(VALUE(LEFT(INDEX($A145:$T145,MATCH(Lists!$F$4,$A$1:$T$1,0)),4)),VALUE(MID(INDEX($A145:$T145,MATCH(Lists!$F$4,$A$1:$T$1,0)),6,2)),VALUE(MID(INDEX($A145:$T145,MATCH(Lists!$F$4,$A$1:$T$1,0)),9,2))))),""),IFERROR(IF(TRIM(INDEX($A145:$T145,MATCH(Lists!$F$5,$A$1:$T$1,0))&amp;"")="","",IF(ISNUMBER(INDEX($A145:$T145,MATCH(Lists!$F$5,$A$1:$T$1,0))),INT(INDEX($A145:$T145,MATCH(Lists!$F$5,$A$1:$T$1,0))),DATE(VALUE(LEFT(INDEX($A145:$T145,MATCH(Lists!$F$5,$A$1:$T$1,0)),4)),VALUE(MID(INDEX($A145:$T145,MATCH(Lists!$F$5,$A$1:$T$1,0)),6,2)),VALUE(MID(INDEX($A145:$T145,MATCH(Lists!$F$5,$A$1:$T$1,0)),9,2))))),"")))</f>
        <v/>
      </c>
      <c r="AB145" s="21">
        <f>IF(Y145="","",IF(LEFT(IFERROR(TRIM(INDEX($A145:$T145,MATCH(Lists!$F$6,$A$1:$T$1,0))&amp;""),""),2)="No","General comment",IF(IFERROR(TRIM(INDEX($A145:$T145,MATCH(Lists!$F$7,$A$1:$T$1,0))&amp;""),"")&lt;&gt;"",IFERROR(TRIM(INDEX($A145:$T145,MATCH(Lists!$F$7,$A$1:$T$1,0))&amp;""),""),IF(IFERROR(TRIM(INDEX($A145:$T145,MATCH(Lists!$F$8,$A$1:$T$1,0))&amp;""),"")&lt;&gt;"",IFERROR(TRIM(INDEX($A145:$T145,MATCH(Lists!$F$8,$A$1:$T$1,0))&amp;""),""),"(no item given)"))))</f>
        <v/>
      </c>
      <c r="AC145" s="21">
        <f>IF(Y145="","",IF(ISNUMBER(SEARCH("support",IFERROR(TRIM(INDEX($A145:$T145,MATCH(Lists!$F$9,$A$1:$T$1,0))&amp;""),""))),"Support",IF(ISNUMBER(SEARCH("oppose",IFERROR(TRIM(INDEX($A145:$T145,MATCH(Lists!$F$9,$A$1:$T$1,0))&amp;""),""))),"Oppose",IF(IFERROR(TRIM(INDEX($A145:$T145,MATCH(Lists!$F$9,$A$1:$T$1,0))&amp;""),"")="","No position","Neither"))))</f>
        <v/>
      </c>
      <c r="AD145" s="21">
        <f>IF(Y145="","",IF(ISNUMBER(SEARCH("in person",IFERROR(TRIM(INDEX($A145:$T145,MATCH(Lists!$F$13,$A$1:$T$1,0))&amp;""),""))),"In person",IF(ISNUMBER(SEARCH("online",IFERROR(TRIM(INDEX($A145:$T145,MATCH(Lists!$F$13,$A$1:$T$1,0))&amp;""),""))),"Online","Written only")))</f>
        <v/>
      </c>
      <c r="AE145" s="21">
        <f>IF(Y145="","",IFERROR(TRIM(INDEX($A145:$T145,MATCH(Lists!$F$11,$A$1:$T$1,0))&amp;""),""))</f>
        <v/>
      </c>
      <c r="AF145" s="21">
        <f>IF(Y145="","",IFERROR(TRIM(INDEX($A145:$T145,MATCH(Lists!$F$12,$A$1:$T$1,0))&amp;""),""))</f>
        <v/>
      </c>
      <c r="AG145" s="21">
        <f>IF(Y145="","",IFERROR(TRIM(INDEX($A145:$T145,MATCH(Lists!$F$14,$A$1:$T$1,0))&amp;""),""))</f>
        <v/>
      </c>
      <c r="AH145" s="21">
        <f>IF(Y145="","",LEFT(IFERROR(TRIM(INDEX($A145:$T145,MATCH(Lists!$F$10,$A$1:$T$1,0))&amp;""),""),80))</f>
        <v/>
      </c>
      <c r="AI145" s="21">
        <f>IF(Y145="",0,IF(OR(Tally!$B$5="",AA145=Tally!$B$5),1,0))</f>
        <v/>
      </c>
      <c r="AJ145" s="21">
        <f>IF(AI145=1,IF(COUNTIFS($AB$2:AB145,AB145,$AI$2:AI145,1)=1,1,0),0)</f>
        <v/>
      </c>
      <c r="AK145" s="21">
        <f>IF(AJ145=1,SUM($AJ$2:AJ145),"")</f>
        <v/>
      </c>
      <c r="AL145" s="21">
        <f>IF(AND(AI145=1,OR(AD145="In person",AD145="Online"),OR(Speakers!$B$5="",AB145=Speakers!$B$5)),N(Z145)+ROW()/1000000000,"")</f>
        <v/>
      </c>
    </row>
    <row r="146">
      <c r="U146" s="19" t="n"/>
      <c r="V146" s="24" t="n"/>
      <c r="W146" s="24" t="n"/>
      <c r="X146" s="19" t="n"/>
      <c r="Y146" s="21">
        <f>IFERROR(TRIM(INDEX($A146:$T146,MATCH(Lists!$F$2,$A$1:$T$1,0))&amp;""),"")</f>
        <v/>
      </c>
      <c r="Z146" s="22">
        <f>IF(Y146="","",IFERROR(IF(ISNUMBER(INDEX($A146:$T146,MATCH(Lists!$F$3,$A$1:$T$1,0))),INDEX($A146:$T146,MATCH(Lists!$F$3,$A$1:$T$1,0)),DATE(VALUE(LEFT(IFERROR(TRIM(INDEX($A146:$T146,MATCH(Lists!$F$3,$A$1:$T$1,0))&amp;""),""),4)),VALUE(MID(IFERROR(TRIM(INDEX($A146:$T146,MATCH(Lists!$F$3,$A$1:$T$1,0))&amp;""),""),6,2)),VALUE(MID(IFERROR(TRIM(INDEX($A146:$T146,MATCH(Lists!$F$3,$A$1:$T$1,0))&amp;""),""),9,2)))+TIME(VALUE(MID(IFERROR(TRIM(INDEX($A146:$T146,MATCH(Lists!$F$3,$A$1:$T$1,0))&amp;""),""),12,2)),VALUE(MID(IFERROR(TRIM(INDEX($A146:$T146,MATCH(Lists!$F$3,$A$1:$T$1,0))&amp;""),""),15,2)),VALUE(MID(IFERROR(TRIM(INDEX($A146:$T146,MATCH(Lists!$F$3,$A$1:$T$1,0))&amp;""),""),18,2)))),""))</f>
        <v/>
      </c>
      <c r="AA146" s="23">
        <f>IF(Y146="","",IF(ISNUMBER(IFERROR(IF(TRIM(INDEX($A146:$T146,MATCH(Lists!$F$4,$A$1:$T$1,0))&amp;"")="","",IF(ISNUMBER(INDEX($A146:$T146,MATCH(Lists!$F$4,$A$1:$T$1,0))),INT(INDEX($A146:$T146,MATCH(Lists!$F$4,$A$1:$T$1,0))),DATE(VALUE(LEFT(INDEX($A146:$T146,MATCH(Lists!$F$4,$A$1:$T$1,0)),4)),VALUE(MID(INDEX($A146:$T146,MATCH(Lists!$F$4,$A$1:$T$1,0)),6,2)),VALUE(MID(INDEX($A146:$T146,MATCH(Lists!$F$4,$A$1:$T$1,0)),9,2))))),"")),IFERROR(IF(TRIM(INDEX($A146:$T146,MATCH(Lists!$F$4,$A$1:$T$1,0))&amp;"")="","",IF(ISNUMBER(INDEX($A146:$T146,MATCH(Lists!$F$4,$A$1:$T$1,0))),INT(INDEX($A146:$T146,MATCH(Lists!$F$4,$A$1:$T$1,0))),DATE(VALUE(LEFT(INDEX($A146:$T146,MATCH(Lists!$F$4,$A$1:$T$1,0)),4)),VALUE(MID(INDEX($A146:$T146,MATCH(Lists!$F$4,$A$1:$T$1,0)),6,2)),VALUE(MID(INDEX($A146:$T146,MATCH(Lists!$F$4,$A$1:$T$1,0)),9,2))))),""),IFERROR(IF(TRIM(INDEX($A146:$T146,MATCH(Lists!$F$5,$A$1:$T$1,0))&amp;"")="","",IF(ISNUMBER(INDEX($A146:$T146,MATCH(Lists!$F$5,$A$1:$T$1,0))),INT(INDEX($A146:$T146,MATCH(Lists!$F$5,$A$1:$T$1,0))),DATE(VALUE(LEFT(INDEX($A146:$T146,MATCH(Lists!$F$5,$A$1:$T$1,0)),4)),VALUE(MID(INDEX($A146:$T146,MATCH(Lists!$F$5,$A$1:$T$1,0)),6,2)),VALUE(MID(INDEX($A146:$T146,MATCH(Lists!$F$5,$A$1:$T$1,0)),9,2))))),"")))</f>
        <v/>
      </c>
      <c r="AB146" s="21">
        <f>IF(Y146="","",IF(LEFT(IFERROR(TRIM(INDEX($A146:$T146,MATCH(Lists!$F$6,$A$1:$T$1,0))&amp;""),""),2)="No","General comment",IF(IFERROR(TRIM(INDEX($A146:$T146,MATCH(Lists!$F$7,$A$1:$T$1,0))&amp;""),"")&lt;&gt;"",IFERROR(TRIM(INDEX($A146:$T146,MATCH(Lists!$F$7,$A$1:$T$1,0))&amp;""),""),IF(IFERROR(TRIM(INDEX($A146:$T146,MATCH(Lists!$F$8,$A$1:$T$1,0))&amp;""),"")&lt;&gt;"",IFERROR(TRIM(INDEX($A146:$T146,MATCH(Lists!$F$8,$A$1:$T$1,0))&amp;""),""),"(no item given)"))))</f>
        <v/>
      </c>
      <c r="AC146" s="21">
        <f>IF(Y146="","",IF(ISNUMBER(SEARCH("support",IFERROR(TRIM(INDEX($A146:$T146,MATCH(Lists!$F$9,$A$1:$T$1,0))&amp;""),""))),"Support",IF(ISNUMBER(SEARCH("oppose",IFERROR(TRIM(INDEX($A146:$T146,MATCH(Lists!$F$9,$A$1:$T$1,0))&amp;""),""))),"Oppose",IF(IFERROR(TRIM(INDEX($A146:$T146,MATCH(Lists!$F$9,$A$1:$T$1,0))&amp;""),"")="","No position","Neither"))))</f>
        <v/>
      </c>
      <c r="AD146" s="21">
        <f>IF(Y146="","",IF(ISNUMBER(SEARCH("in person",IFERROR(TRIM(INDEX($A146:$T146,MATCH(Lists!$F$13,$A$1:$T$1,0))&amp;""),""))),"In person",IF(ISNUMBER(SEARCH("online",IFERROR(TRIM(INDEX($A146:$T146,MATCH(Lists!$F$13,$A$1:$T$1,0))&amp;""),""))),"Online","Written only")))</f>
        <v/>
      </c>
      <c r="AE146" s="21">
        <f>IF(Y146="","",IFERROR(TRIM(INDEX($A146:$T146,MATCH(Lists!$F$11,$A$1:$T$1,0))&amp;""),""))</f>
        <v/>
      </c>
      <c r="AF146" s="21">
        <f>IF(Y146="","",IFERROR(TRIM(INDEX($A146:$T146,MATCH(Lists!$F$12,$A$1:$T$1,0))&amp;""),""))</f>
        <v/>
      </c>
      <c r="AG146" s="21">
        <f>IF(Y146="","",IFERROR(TRIM(INDEX($A146:$T146,MATCH(Lists!$F$14,$A$1:$T$1,0))&amp;""),""))</f>
        <v/>
      </c>
      <c r="AH146" s="21">
        <f>IF(Y146="","",LEFT(IFERROR(TRIM(INDEX($A146:$T146,MATCH(Lists!$F$10,$A$1:$T$1,0))&amp;""),""),80))</f>
        <v/>
      </c>
      <c r="AI146" s="21">
        <f>IF(Y146="",0,IF(OR(Tally!$B$5="",AA146=Tally!$B$5),1,0))</f>
        <v/>
      </c>
      <c r="AJ146" s="21">
        <f>IF(AI146=1,IF(COUNTIFS($AB$2:AB146,AB146,$AI$2:AI146,1)=1,1,0),0)</f>
        <v/>
      </c>
      <c r="AK146" s="21">
        <f>IF(AJ146=1,SUM($AJ$2:AJ146),"")</f>
        <v/>
      </c>
      <c r="AL146" s="21">
        <f>IF(AND(AI146=1,OR(AD146="In person",AD146="Online"),OR(Speakers!$B$5="",AB146=Speakers!$B$5)),N(Z146)+ROW()/1000000000,"")</f>
        <v/>
      </c>
    </row>
    <row r="147">
      <c r="U147" s="19" t="n"/>
      <c r="V147" s="24" t="n"/>
      <c r="W147" s="24" t="n"/>
      <c r="X147" s="19" t="n"/>
      <c r="Y147" s="21">
        <f>IFERROR(TRIM(INDEX($A147:$T147,MATCH(Lists!$F$2,$A$1:$T$1,0))&amp;""),"")</f>
        <v/>
      </c>
      <c r="Z147" s="22">
        <f>IF(Y147="","",IFERROR(IF(ISNUMBER(INDEX($A147:$T147,MATCH(Lists!$F$3,$A$1:$T$1,0))),INDEX($A147:$T147,MATCH(Lists!$F$3,$A$1:$T$1,0)),DATE(VALUE(LEFT(IFERROR(TRIM(INDEX($A147:$T147,MATCH(Lists!$F$3,$A$1:$T$1,0))&amp;""),""),4)),VALUE(MID(IFERROR(TRIM(INDEX($A147:$T147,MATCH(Lists!$F$3,$A$1:$T$1,0))&amp;""),""),6,2)),VALUE(MID(IFERROR(TRIM(INDEX($A147:$T147,MATCH(Lists!$F$3,$A$1:$T$1,0))&amp;""),""),9,2)))+TIME(VALUE(MID(IFERROR(TRIM(INDEX($A147:$T147,MATCH(Lists!$F$3,$A$1:$T$1,0))&amp;""),""),12,2)),VALUE(MID(IFERROR(TRIM(INDEX($A147:$T147,MATCH(Lists!$F$3,$A$1:$T$1,0))&amp;""),""),15,2)),VALUE(MID(IFERROR(TRIM(INDEX($A147:$T147,MATCH(Lists!$F$3,$A$1:$T$1,0))&amp;""),""),18,2)))),""))</f>
        <v/>
      </c>
      <c r="AA147" s="23">
        <f>IF(Y147="","",IF(ISNUMBER(IFERROR(IF(TRIM(INDEX($A147:$T147,MATCH(Lists!$F$4,$A$1:$T$1,0))&amp;"")="","",IF(ISNUMBER(INDEX($A147:$T147,MATCH(Lists!$F$4,$A$1:$T$1,0))),INT(INDEX($A147:$T147,MATCH(Lists!$F$4,$A$1:$T$1,0))),DATE(VALUE(LEFT(INDEX($A147:$T147,MATCH(Lists!$F$4,$A$1:$T$1,0)),4)),VALUE(MID(INDEX($A147:$T147,MATCH(Lists!$F$4,$A$1:$T$1,0)),6,2)),VALUE(MID(INDEX($A147:$T147,MATCH(Lists!$F$4,$A$1:$T$1,0)),9,2))))),"")),IFERROR(IF(TRIM(INDEX($A147:$T147,MATCH(Lists!$F$4,$A$1:$T$1,0))&amp;"")="","",IF(ISNUMBER(INDEX($A147:$T147,MATCH(Lists!$F$4,$A$1:$T$1,0))),INT(INDEX($A147:$T147,MATCH(Lists!$F$4,$A$1:$T$1,0))),DATE(VALUE(LEFT(INDEX($A147:$T147,MATCH(Lists!$F$4,$A$1:$T$1,0)),4)),VALUE(MID(INDEX($A147:$T147,MATCH(Lists!$F$4,$A$1:$T$1,0)),6,2)),VALUE(MID(INDEX($A147:$T147,MATCH(Lists!$F$4,$A$1:$T$1,0)),9,2))))),""),IFERROR(IF(TRIM(INDEX($A147:$T147,MATCH(Lists!$F$5,$A$1:$T$1,0))&amp;"")="","",IF(ISNUMBER(INDEX($A147:$T147,MATCH(Lists!$F$5,$A$1:$T$1,0))),INT(INDEX($A147:$T147,MATCH(Lists!$F$5,$A$1:$T$1,0))),DATE(VALUE(LEFT(INDEX($A147:$T147,MATCH(Lists!$F$5,$A$1:$T$1,0)),4)),VALUE(MID(INDEX($A147:$T147,MATCH(Lists!$F$5,$A$1:$T$1,0)),6,2)),VALUE(MID(INDEX($A147:$T147,MATCH(Lists!$F$5,$A$1:$T$1,0)),9,2))))),"")))</f>
        <v/>
      </c>
      <c r="AB147" s="21">
        <f>IF(Y147="","",IF(LEFT(IFERROR(TRIM(INDEX($A147:$T147,MATCH(Lists!$F$6,$A$1:$T$1,0))&amp;""),""),2)="No","General comment",IF(IFERROR(TRIM(INDEX($A147:$T147,MATCH(Lists!$F$7,$A$1:$T$1,0))&amp;""),"")&lt;&gt;"",IFERROR(TRIM(INDEX($A147:$T147,MATCH(Lists!$F$7,$A$1:$T$1,0))&amp;""),""),IF(IFERROR(TRIM(INDEX($A147:$T147,MATCH(Lists!$F$8,$A$1:$T$1,0))&amp;""),"")&lt;&gt;"",IFERROR(TRIM(INDEX($A147:$T147,MATCH(Lists!$F$8,$A$1:$T$1,0))&amp;""),""),"(no item given)"))))</f>
        <v/>
      </c>
      <c r="AC147" s="21">
        <f>IF(Y147="","",IF(ISNUMBER(SEARCH("support",IFERROR(TRIM(INDEX($A147:$T147,MATCH(Lists!$F$9,$A$1:$T$1,0))&amp;""),""))),"Support",IF(ISNUMBER(SEARCH("oppose",IFERROR(TRIM(INDEX($A147:$T147,MATCH(Lists!$F$9,$A$1:$T$1,0))&amp;""),""))),"Oppose",IF(IFERROR(TRIM(INDEX($A147:$T147,MATCH(Lists!$F$9,$A$1:$T$1,0))&amp;""),"")="","No position","Neither"))))</f>
        <v/>
      </c>
      <c r="AD147" s="21">
        <f>IF(Y147="","",IF(ISNUMBER(SEARCH("in person",IFERROR(TRIM(INDEX($A147:$T147,MATCH(Lists!$F$13,$A$1:$T$1,0))&amp;""),""))),"In person",IF(ISNUMBER(SEARCH("online",IFERROR(TRIM(INDEX($A147:$T147,MATCH(Lists!$F$13,$A$1:$T$1,0))&amp;""),""))),"Online","Written only")))</f>
        <v/>
      </c>
      <c r="AE147" s="21">
        <f>IF(Y147="","",IFERROR(TRIM(INDEX($A147:$T147,MATCH(Lists!$F$11,$A$1:$T$1,0))&amp;""),""))</f>
        <v/>
      </c>
      <c r="AF147" s="21">
        <f>IF(Y147="","",IFERROR(TRIM(INDEX($A147:$T147,MATCH(Lists!$F$12,$A$1:$T$1,0))&amp;""),""))</f>
        <v/>
      </c>
      <c r="AG147" s="21">
        <f>IF(Y147="","",IFERROR(TRIM(INDEX($A147:$T147,MATCH(Lists!$F$14,$A$1:$T$1,0))&amp;""),""))</f>
        <v/>
      </c>
      <c r="AH147" s="21">
        <f>IF(Y147="","",LEFT(IFERROR(TRIM(INDEX($A147:$T147,MATCH(Lists!$F$10,$A$1:$T$1,0))&amp;""),""),80))</f>
        <v/>
      </c>
      <c r="AI147" s="21">
        <f>IF(Y147="",0,IF(OR(Tally!$B$5="",AA147=Tally!$B$5),1,0))</f>
        <v/>
      </c>
      <c r="AJ147" s="21">
        <f>IF(AI147=1,IF(COUNTIFS($AB$2:AB147,AB147,$AI$2:AI147,1)=1,1,0),0)</f>
        <v/>
      </c>
      <c r="AK147" s="21">
        <f>IF(AJ147=1,SUM($AJ$2:AJ147),"")</f>
        <v/>
      </c>
      <c r="AL147" s="21">
        <f>IF(AND(AI147=1,OR(AD147="In person",AD147="Online"),OR(Speakers!$B$5="",AB147=Speakers!$B$5)),N(Z147)+ROW()/1000000000,"")</f>
        <v/>
      </c>
    </row>
    <row r="148">
      <c r="U148" s="19" t="n"/>
      <c r="V148" s="24" t="n"/>
      <c r="W148" s="24" t="n"/>
      <c r="X148" s="19" t="n"/>
      <c r="Y148" s="21">
        <f>IFERROR(TRIM(INDEX($A148:$T148,MATCH(Lists!$F$2,$A$1:$T$1,0))&amp;""),"")</f>
        <v/>
      </c>
      <c r="Z148" s="22">
        <f>IF(Y148="","",IFERROR(IF(ISNUMBER(INDEX($A148:$T148,MATCH(Lists!$F$3,$A$1:$T$1,0))),INDEX($A148:$T148,MATCH(Lists!$F$3,$A$1:$T$1,0)),DATE(VALUE(LEFT(IFERROR(TRIM(INDEX($A148:$T148,MATCH(Lists!$F$3,$A$1:$T$1,0))&amp;""),""),4)),VALUE(MID(IFERROR(TRIM(INDEX($A148:$T148,MATCH(Lists!$F$3,$A$1:$T$1,0))&amp;""),""),6,2)),VALUE(MID(IFERROR(TRIM(INDEX($A148:$T148,MATCH(Lists!$F$3,$A$1:$T$1,0))&amp;""),""),9,2)))+TIME(VALUE(MID(IFERROR(TRIM(INDEX($A148:$T148,MATCH(Lists!$F$3,$A$1:$T$1,0))&amp;""),""),12,2)),VALUE(MID(IFERROR(TRIM(INDEX($A148:$T148,MATCH(Lists!$F$3,$A$1:$T$1,0))&amp;""),""),15,2)),VALUE(MID(IFERROR(TRIM(INDEX($A148:$T148,MATCH(Lists!$F$3,$A$1:$T$1,0))&amp;""),""),18,2)))),""))</f>
        <v/>
      </c>
      <c r="AA148" s="23">
        <f>IF(Y148="","",IF(ISNUMBER(IFERROR(IF(TRIM(INDEX($A148:$T148,MATCH(Lists!$F$4,$A$1:$T$1,0))&amp;"")="","",IF(ISNUMBER(INDEX($A148:$T148,MATCH(Lists!$F$4,$A$1:$T$1,0))),INT(INDEX($A148:$T148,MATCH(Lists!$F$4,$A$1:$T$1,0))),DATE(VALUE(LEFT(INDEX($A148:$T148,MATCH(Lists!$F$4,$A$1:$T$1,0)),4)),VALUE(MID(INDEX($A148:$T148,MATCH(Lists!$F$4,$A$1:$T$1,0)),6,2)),VALUE(MID(INDEX($A148:$T148,MATCH(Lists!$F$4,$A$1:$T$1,0)),9,2))))),"")),IFERROR(IF(TRIM(INDEX($A148:$T148,MATCH(Lists!$F$4,$A$1:$T$1,0))&amp;"")="","",IF(ISNUMBER(INDEX($A148:$T148,MATCH(Lists!$F$4,$A$1:$T$1,0))),INT(INDEX($A148:$T148,MATCH(Lists!$F$4,$A$1:$T$1,0))),DATE(VALUE(LEFT(INDEX($A148:$T148,MATCH(Lists!$F$4,$A$1:$T$1,0)),4)),VALUE(MID(INDEX($A148:$T148,MATCH(Lists!$F$4,$A$1:$T$1,0)),6,2)),VALUE(MID(INDEX($A148:$T148,MATCH(Lists!$F$4,$A$1:$T$1,0)),9,2))))),""),IFERROR(IF(TRIM(INDEX($A148:$T148,MATCH(Lists!$F$5,$A$1:$T$1,0))&amp;"")="","",IF(ISNUMBER(INDEX($A148:$T148,MATCH(Lists!$F$5,$A$1:$T$1,0))),INT(INDEX($A148:$T148,MATCH(Lists!$F$5,$A$1:$T$1,0))),DATE(VALUE(LEFT(INDEX($A148:$T148,MATCH(Lists!$F$5,$A$1:$T$1,0)),4)),VALUE(MID(INDEX($A148:$T148,MATCH(Lists!$F$5,$A$1:$T$1,0)),6,2)),VALUE(MID(INDEX($A148:$T148,MATCH(Lists!$F$5,$A$1:$T$1,0)),9,2))))),"")))</f>
        <v/>
      </c>
      <c r="AB148" s="21">
        <f>IF(Y148="","",IF(LEFT(IFERROR(TRIM(INDEX($A148:$T148,MATCH(Lists!$F$6,$A$1:$T$1,0))&amp;""),""),2)="No","General comment",IF(IFERROR(TRIM(INDEX($A148:$T148,MATCH(Lists!$F$7,$A$1:$T$1,0))&amp;""),"")&lt;&gt;"",IFERROR(TRIM(INDEX($A148:$T148,MATCH(Lists!$F$7,$A$1:$T$1,0))&amp;""),""),IF(IFERROR(TRIM(INDEX($A148:$T148,MATCH(Lists!$F$8,$A$1:$T$1,0))&amp;""),"")&lt;&gt;"",IFERROR(TRIM(INDEX($A148:$T148,MATCH(Lists!$F$8,$A$1:$T$1,0))&amp;""),""),"(no item given)"))))</f>
        <v/>
      </c>
      <c r="AC148" s="21">
        <f>IF(Y148="","",IF(ISNUMBER(SEARCH("support",IFERROR(TRIM(INDEX($A148:$T148,MATCH(Lists!$F$9,$A$1:$T$1,0))&amp;""),""))),"Support",IF(ISNUMBER(SEARCH("oppose",IFERROR(TRIM(INDEX($A148:$T148,MATCH(Lists!$F$9,$A$1:$T$1,0))&amp;""),""))),"Oppose",IF(IFERROR(TRIM(INDEX($A148:$T148,MATCH(Lists!$F$9,$A$1:$T$1,0))&amp;""),"")="","No position","Neither"))))</f>
        <v/>
      </c>
      <c r="AD148" s="21">
        <f>IF(Y148="","",IF(ISNUMBER(SEARCH("in person",IFERROR(TRIM(INDEX($A148:$T148,MATCH(Lists!$F$13,$A$1:$T$1,0))&amp;""),""))),"In person",IF(ISNUMBER(SEARCH("online",IFERROR(TRIM(INDEX($A148:$T148,MATCH(Lists!$F$13,$A$1:$T$1,0))&amp;""),""))),"Online","Written only")))</f>
        <v/>
      </c>
      <c r="AE148" s="21">
        <f>IF(Y148="","",IFERROR(TRIM(INDEX($A148:$T148,MATCH(Lists!$F$11,$A$1:$T$1,0))&amp;""),""))</f>
        <v/>
      </c>
      <c r="AF148" s="21">
        <f>IF(Y148="","",IFERROR(TRIM(INDEX($A148:$T148,MATCH(Lists!$F$12,$A$1:$T$1,0))&amp;""),""))</f>
        <v/>
      </c>
      <c r="AG148" s="21">
        <f>IF(Y148="","",IFERROR(TRIM(INDEX($A148:$T148,MATCH(Lists!$F$14,$A$1:$T$1,0))&amp;""),""))</f>
        <v/>
      </c>
      <c r="AH148" s="21">
        <f>IF(Y148="","",LEFT(IFERROR(TRIM(INDEX($A148:$T148,MATCH(Lists!$F$10,$A$1:$T$1,0))&amp;""),""),80))</f>
        <v/>
      </c>
      <c r="AI148" s="21">
        <f>IF(Y148="",0,IF(OR(Tally!$B$5="",AA148=Tally!$B$5),1,0))</f>
        <v/>
      </c>
      <c r="AJ148" s="21">
        <f>IF(AI148=1,IF(COUNTIFS($AB$2:AB148,AB148,$AI$2:AI148,1)=1,1,0),0)</f>
        <v/>
      </c>
      <c r="AK148" s="21">
        <f>IF(AJ148=1,SUM($AJ$2:AJ148),"")</f>
        <v/>
      </c>
      <c r="AL148" s="21">
        <f>IF(AND(AI148=1,OR(AD148="In person",AD148="Online"),OR(Speakers!$B$5="",AB148=Speakers!$B$5)),N(Z148)+ROW()/1000000000,"")</f>
        <v/>
      </c>
    </row>
    <row r="149">
      <c r="U149" s="19" t="n"/>
      <c r="V149" s="24" t="n"/>
      <c r="W149" s="24" t="n"/>
      <c r="X149" s="19" t="n"/>
      <c r="Y149" s="21">
        <f>IFERROR(TRIM(INDEX($A149:$T149,MATCH(Lists!$F$2,$A$1:$T$1,0))&amp;""),"")</f>
        <v/>
      </c>
      <c r="Z149" s="22">
        <f>IF(Y149="","",IFERROR(IF(ISNUMBER(INDEX($A149:$T149,MATCH(Lists!$F$3,$A$1:$T$1,0))),INDEX($A149:$T149,MATCH(Lists!$F$3,$A$1:$T$1,0)),DATE(VALUE(LEFT(IFERROR(TRIM(INDEX($A149:$T149,MATCH(Lists!$F$3,$A$1:$T$1,0))&amp;""),""),4)),VALUE(MID(IFERROR(TRIM(INDEX($A149:$T149,MATCH(Lists!$F$3,$A$1:$T$1,0))&amp;""),""),6,2)),VALUE(MID(IFERROR(TRIM(INDEX($A149:$T149,MATCH(Lists!$F$3,$A$1:$T$1,0))&amp;""),""),9,2)))+TIME(VALUE(MID(IFERROR(TRIM(INDEX($A149:$T149,MATCH(Lists!$F$3,$A$1:$T$1,0))&amp;""),""),12,2)),VALUE(MID(IFERROR(TRIM(INDEX($A149:$T149,MATCH(Lists!$F$3,$A$1:$T$1,0))&amp;""),""),15,2)),VALUE(MID(IFERROR(TRIM(INDEX($A149:$T149,MATCH(Lists!$F$3,$A$1:$T$1,0))&amp;""),""),18,2)))),""))</f>
        <v/>
      </c>
      <c r="AA149" s="23">
        <f>IF(Y149="","",IF(ISNUMBER(IFERROR(IF(TRIM(INDEX($A149:$T149,MATCH(Lists!$F$4,$A$1:$T$1,0))&amp;"")="","",IF(ISNUMBER(INDEX($A149:$T149,MATCH(Lists!$F$4,$A$1:$T$1,0))),INT(INDEX($A149:$T149,MATCH(Lists!$F$4,$A$1:$T$1,0))),DATE(VALUE(LEFT(INDEX($A149:$T149,MATCH(Lists!$F$4,$A$1:$T$1,0)),4)),VALUE(MID(INDEX($A149:$T149,MATCH(Lists!$F$4,$A$1:$T$1,0)),6,2)),VALUE(MID(INDEX($A149:$T149,MATCH(Lists!$F$4,$A$1:$T$1,0)),9,2))))),"")),IFERROR(IF(TRIM(INDEX($A149:$T149,MATCH(Lists!$F$4,$A$1:$T$1,0))&amp;"")="","",IF(ISNUMBER(INDEX($A149:$T149,MATCH(Lists!$F$4,$A$1:$T$1,0))),INT(INDEX($A149:$T149,MATCH(Lists!$F$4,$A$1:$T$1,0))),DATE(VALUE(LEFT(INDEX($A149:$T149,MATCH(Lists!$F$4,$A$1:$T$1,0)),4)),VALUE(MID(INDEX($A149:$T149,MATCH(Lists!$F$4,$A$1:$T$1,0)),6,2)),VALUE(MID(INDEX($A149:$T149,MATCH(Lists!$F$4,$A$1:$T$1,0)),9,2))))),""),IFERROR(IF(TRIM(INDEX($A149:$T149,MATCH(Lists!$F$5,$A$1:$T$1,0))&amp;"")="","",IF(ISNUMBER(INDEX($A149:$T149,MATCH(Lists!$F$5,$A$1:$T$1,0))),INT(INDEX($A149:$T149,MATCH(Lists!$F$5,$A$1:$T$1,0))),DATE(VALUE(LEFT(INDEX($A149:$T149,MATCH(Lists!$F$5,$A$1:$T$1,0)),4)),VALUE(MID(INDEX($A149:$T149,MATCH(Lists!$F$5,$A$1:$T$1,0)),6,2)),VALUE(MID(INDEX($A149:$T149,MATCH(Lists!$F$5,$A$1:$T$1,0)),9,2))))),"")))</f>
        <v/>
      </c>
      <c r="AB149" s="21">
        <f>IF(Y149="","",IF(LEFT(IFERROR(TRIM(INDEX($A149:$T149,MATCH(Lists!$F$6,$A$1:$T$1,0))&amp;""),""),2)="No","General comment",IF(IFERROR(TRIM(INDEX($A149:$T149,MATCH(Lists!$F$7,$A$1:$T$1,0))&amp;""),"")&lt;&gt;"",IFERROR(TRIM(INDEX($A149:$T149,MATCH(Lists!$F$7,$A$1:$T$1,0))&amp;""),""),IF(IFERROR(TRIM(INDEX($A149:$T149,MATCH(Lists!$F$8,$A$1:$T$1,0))&amp;""),"")&lt;&gt;"",IFERROR(TRIM(INDEX($A149:$T149,MATCH(Lists!$F$8,$A$1:$T$1,0))&amp;""),""),"(no item given)"))))</f>
        <v/>
      </c>
      <c r="AC149" s="21">
        <f>IF(Y149="","",IF(ISNUMBER(SEARCH("support",IFERROR(TRIM(INDEX($A149:$T149,MATCH(Lists!$F$9,$A$1:$T$1,0))&amp;""),""))),"Support",IF(ISNUMBER(SEARCH("oppose",IFERROR(TRIM(INDEX($A149:$T149,MATCH(Lists!$F$9,$A$1:$T$1,0))&amp;""),""))),"Oppose",IF(IFERROR(TRIM(INDEX($A149:$T149,MATCH(Lists!$F$9,$A$1:$T$1,0))&amp;""),"")="","No position","Neither"))))</f>
        <v/>
      </c>
      <c r="AD149" s="21">
        <f>IF(Y149="","",IF(ISNUMBER(SEARCH("in person",IFERROR(TRIM(INDEX($A149:$T149,MATCH(Lists!$F$13,$A$1:$T$1,0))&amp;""),""))),"In person",IF(ISNUMBER(SEARCH("online",IFERROR(TRIM(INDEX($A149:$T149,MATCH(Lists!$F$13,$A$1:$T$1,0))&amp;""),""))),"Online","Written only")))</f>
        <v/>
      </c>
      <c r="AE149" s="21">
        <f>IF(Y149="","",IFERROR(TRIM(INDEX($A149:$T149,MATCH(Lists!$F$11,$A$1:$T$1,0))&amp;""),""))</f>
        <v/>
      </c>
      <c r="AF149" s="21">
        <f>IF(Y149="","",IFERROR(TRIM(INDEX($A149:$T149,MATCH(Lists!$F$12,$A$1:$T$1,0))&amp;""),""))</f>
        <v/>
      </c>
      <c r="AG149" s="21">
        <f>IF(Y149="","",IFERROR(TRIM(INDEX($A149:$T149,MATCH(Lists!$F$14,$A$1:$T$1,0))&amp;""),""))</f>
        <v/>
      </c>
      <c r="AH149" s="21">
        <f>IF(Y149="","",LEFT(IFERROR(TRIM(INDEX($A149:$T149,MATCH(Lists!$F$10,$A$1:$T$1,0))&amp;""),""),80))</f>
        <v/>
      </c>
      <c r="AI149" s="21">
        <f>IF(Y149="",0,IF(OR(Tally!$B$5="",AA149=Tally!$B$5),1,0))</f>
        <v/>
      </c>
      <c r="AJ149" s="21">
        <f>IF(AI149=1,IF(COUNTIFS($AB$2:AB149,AB149,$AI$2:AI149,1)=1,1,0),0)</f>
        <v/>
      </c>
      <c r="AK149" s="21">
        <f>IF(AJ149=1,SUM($AJ$2:AJ149),"")</f>
        <v/>
      </c>
      <c r="AL149" s="21">
        <f>IF(AND(AI149=1,OR(AD149="In person",AD149="Online"),OR(Speakers!$B$5="",AB149=Speakers!$B$5)),N(Z149)+ROW()/1000000000,"")</f>
        <v/>
      </c>
    </row>
    <row r="150">
      <c r="U150" s="19" t="n"/>
      <c r="V150" s="24" t="n"/>
      <c r="W150" s="24" t="n"/>
      <c r="X150" s="19" t="n"/>
      <c r="Y150" s="21">
        <f>IFERROR(TRIM(INDEX($A150:$T150,MATCH(Lists!$F$2,$A$1:$T$1,0))&amp;""),"")</f>
        <v/>
      </c>
      <c r="Z150" s="22">
        <f>IF(Y150="","",IFERROR(IF(ISNUMBER(INDEX($A150:$T150,MATCH(Lists!$F$3,$A$1:$T$1,0))),INDEX($A150:$T150,MATCH(Lists!$F$3,$A$1:$T$1,0)),DATE(VALUE(LEFT(IFERROR(TRIM(INDEX($A150:$T150,MATCH(Lists!$F$3,$A$1:$T$1,0))&amp;""),""),4)),VALUE(MID(IFERROR(TRIM(INDEX($A150:$T150,MATCH(Lists!$F$3,$A$1:$T$1,0))&amp;""),""),6,2)),VALUE(MID(IFERROR(TRIM(INDEX($A150:$T150,MATCH(Lists!$F$3,$A$1:$T$1,0))&amp;""),""),9,2)))+TIME(VALUE(MID(IFERROR(TRIM(INDEX($A150:$T150,MATCH(Lists!$F$3,$A$1:$T$1,0))&amp;""),""),12,2)),VALUE(MID(IFERROR(TRIM(INDEX($A150:$T150,MATCH(Lists!$F$3,$A$1:$T$1,0))&amp;""),""),15,2)),VALUE(MID(IFERROR(TRIM(INDEX($A150:$T150,MATCH(Lists!$F$3,$A$1:$T$1,0))&amp;""),""),18,2)))),""))</f>
        <v/>
      </c>
      <c r="AA150" s="23">
        <f>IF(Y150="","",IF(ISNUMBER(IFERROR(IF(TRIM(INDEX($A150:$T150,MATCH(Lists!$F$4,$A$1:$T$1,0))&amp;"")="","",IF(ISNUMBER(INDEX($A150:$T150,MATCH(Lists!$F$4,$A$1:$T$1,0))),INT(INDEX($A150:$T150,MATCH(Lists!$F$4,$A$1:$T$1,0))),DATE(VALUE(LEFT(INDEX($A150:$T150,MATCH(Lists!$F$4,$A$1:$T$1,0)),4)),VALUE(MID(INDEX($A150:$T150,MATCH(Lists!$F$4,$A$1:$T$1,0)),6,2)),VALUE(MID(INDEX($A150:$T150,MATCH(Lists!$F$4,$A$1:$T$1,0)),9,2))))),"")),IFERROR(IF(TRIM(INDEX($A150:$T150,MATCH(Lists!$F$4,$A$1:$T$1,0))&amp;"")="","",IF(ISNUMBER(INDEX($A150:$T150,MATCH(Lists!$F$4,$A$1:$T$1,0))),INT(INDEX($A150:$T150,MATCH(Lists!$F$4,$A$1:$T$1,0))),DATE(VALUE(LEFT(INDEX($A150:$T150,MATCH(Lists!$F$4,$A$1:$T$1,0)),4)),VALUE(MID(INDEX($A150:$T150,MATCH(Lists!$F$4,$A$1:$T$1,0)),6,2)),VALUE(MID(INDEX($A150:$T150,MATCH(Lists!$F$4,$A$1:$T$1,0)),9,2))))),""),IFERROR(IF(TRIM(INDEX($A150:$T150,MATCH(Lists!$F$5,$A$1:$T$1,0))&amp;"")="","",IF(ISNUMBER(INDEX($A150:$T150,MATCH(Lists!$F$5,$A$1:$T$1,0))),INT(INDEX($A150:$T150,MATCH(Lists!$F$5,$A$1:$T$1,0))),DATE(VALUE(LEFT(INDEX($A150:$T150,MATCH(Lists!$F$5,$A$1:$T$1,0)),4)),VALUE(MID(INDEX($A150:$T150,MATCH(Lists!$F$5,$A$1:$T$1,0)),6,2)),VALUE(MID(INDEX($A150:$T150,MATCH(Lists!$F$5,$A$1:$T$1,0)),9,2))))),"")))</f>
        <v/>
      </c>
      <c r="AB150" s="21">
        <f>IF(Y150="","",IF(LEFT(IFERROR(TRIM(INDEX($A150:$T150,MATCH(Lists!$F$6,$A$1:$T$1,0))&amp;""),""),2)="No","General comment",IF(IFERROR(TRIM(INDEX($A150:$T150,MATCH(Lists!$F$7,$A$1:$T$1,0))&amp;""),"")&lt;&gt;"",IFERROR(TRIM(INDEX($A150:$T150,MATCH(Lists!$F$7,$A$1:$T$1,0))&amp;""),""),IF(IFERROR(TRIM(INDEX($A150:$T150,MATCH(Lists!$F$8,$A$1:$T$1,0))&amp;""),"")&lt;&gt;"",IFERROR(TRIM(INDEX($A150:$T150,MATCH(Lists!$F$8,$A$1:$T$1,0))&amp;""),""),"(no item given)"))))</f>
        <v/>
      </c>
      <c r="AC150" s="21">
        <f>IF(Y150="","",IF(ISNUMBER(SEARCH("support",IFERROR(TRIM(INDEX($A150:$T150,MATCH(Lists!$F$9,$A$1:$T$1,0))&amp;""),""))),"Support",IF(ISNUMBER(SEARCH("oppose",IFERROR(TRIM(INDEX($A150:$T150,MATCH(Lists!$F$9,$A$1:$T$1,0))&amp;""),""))),"Oppose",IF(IFERROR(TRIM(INDEX($A150:$T150,MATCH(Lists!$F$9,$A$1:$T$1,0))&amp;""),"")="","No position","Neither"))))</f>
        <v/>
      </c>
      <c r="AD150" s="21">
        <f>IF(Y150="","",IF(ISNUMBER(SEARCH("in person",IFERROR(TRIM(INDEX($A150:$T150,MATCH(Lists!$F$13,$A$1:$T$1,0))&amp;""),""))),"In person",IF(ISNUMBER(SEARCH("online",IFERROR(TRIM(INDEX($A150:$T150,MATCH(Lists!$F$13,$A$1:$T$1,0))&amp;""),""))),"Online","Written only")))</f>
        <v/>
      </c>
      <c r="AE150" s="21">
        <f>IF(Y150="","",IFERROR(TRIM(INDEX($A150:$T150,MATCH(Lists!$F$11,$A$1:$T$1,0))&amp;""),""))</f>
        <v/>
      </c>
      <c r="AF150" s="21">
        <f>IF(Y150="","",IFERROR(TRIM(INDEX($A150:$T150,MATCH(Lists!$F$12,$A$1:$T$1,0))&amp;""),""))</f>
        <v/>
      </c>
      <c r="AG150" s="21">
        <f>IF(Y150="","",IFERROR(TRIM(INDEX($A150:$T150,MATCH(Lists!$F$14,$A$1:$T$1,0))&amp;""),""))</f>
        <v/>
      </c>
      <c r="AH150" s="21">
        <f>IF(Y150="","",LEFT(IFERROR(TRIM(INDEX($A150:$T150,MATCH(Lists!$F$10,$A$1:$T$1,0))&amp;""),""),80))</f>
        <v/>
      </c>
      <c r="AI150" s="21">
        <f>IF(Y150="",0,IF(OR(Tally!$B$5="",AA150=Tally!$B$5),1,0))</f>
        <v/>
      </c>
      <c r="AJ150" s="21">
        <f>IF(AI150=1,IF(COUNTIFS($AB$2:AB150,AB150,$AI$2:AI150,1)=1,1,0),0)</f>
        <v/>
      </c>
      <c r="AK150" s="21">
        <f>IF(AJ150=1,SUM($AJ$2:AJ150),"")</f>
        <v/>
      </c>
      <c r="AL150" s="21">
        <f>IF(AND(AI150=1,OR(AD150="In person",AD150="Online"),OR(Speakers!$B$5="",AB150=Speakers!$B$5)),N(Z150)+ROW()/1000000000,"")</f>
        <v/>
      </c>
    </row>
    <row r="151">
      <c r="U151" s="19" t="n"/>
      <c r="V151" s="24" t="n"/>
      <c r="W151" s="24" t="n"/>
      <c r="X151" s="19" t="n"/>
      <c r="Y151" s="21">
        <f>IFERROR(TRIM(INDEX($A151:$T151,MATCH(Lists!$F$2,$A$1:$T$1,0))&amp;""),"")</f>
        <v/>
      </c>
      <c r="Z151" s="22">
        <f>IF(Y151="","",IFERROR(IF(ISNUMBER(INDEX($A151:$T151,MATCH(Lists!$F$3,$A$1:$T$1,0))),INDEX($A151:$T151,MATCH(Lists!$F$3,$A$1:$T$1,0)),DATE(VALUE(LEFT(IFERROR(TRIM(INDEX($A151:$T151,MATCH(Lists!$F$3,$A$1:$T$1,0))&amp;""),""),4)),VALUE(MID(IFERROR(TRIM(INDEX($A151:$T151,MATCH(Lists!$F$3,$A$1:$T$1,0))&amp;""),""),6,2)),VALUE(MID(IFERROR(TRIM(INDEX($A151:$T151,MATCH(Lists!$F$3,$A$1:$T$1,0))&amp;""),""),9,2)))+TIME(VALUE(MID(IFERROR(TRIM(INDEX($A151:$T151,MATCH(Lists!$F$3,$A$1:$T$1,0))&amp;""),""),12,2)),VALUE(MID(IFERROR(TRIM(INDEX($A151:$T151,MATCH(Lists!$F$3,$A$1:$T$1,0))&amp;""),""),15,2)),VALUE(MID(IFERROR(TRIM(INDEX($A151:$T151,MATCH(Lists!$F$3,$A$1:$T$1,0))&amp;""),""),18,2)))),""))</f>
        <v/>
      </c>
      <c r="AA151" s="23">
        <f>IF(Y151="","",IF(ISNUMBER(IFERROR(IF(TRIM(INDEX($A151:$T151,MATCH(Lists!$F$4,$A$1:$T$1,0))&amp;"")="","",IF(ISNUMBER(INDEX($A151:$T151,MATCH(Lists!$F$4,$A$1:$T$1,0))),INT(INDEX($A151:$T151,MATCH(Lists!$F$4,$A$1:$T$1,0))),DATE(VALUE(LEFT(INDEX($A151:$T151,MATCH(Lists!$F$4,$A$1:$T$1,0)),4)),VALUE(MID(INDEX($A151:$T151,MATCH(Lists!$F$4,$A$1:$T$1,0)),6,2)),VALUE(MID(INDEX($A151:$T151,MATCH(Lists!$F$4,$A$1:$T$1,0)),9,2))))),"")),IFERROR(IF(TRIM(INDEX($A151:$T151,MATCH(Lists!$F$4,$A$1:$T$1,0))&amp;"")="","",IF(ISNUMBER(INDEX($A151:$T151,MATCH(Lists!$F$4,$A$1:$T$1,0))),INT(INDEX($A151:$T151,MATCH(Lists!$F$4,$A$1:$T$1,0))),DATE(VALUE(LEFT(INDEX($A151:$T151,MATCH(Lists!$F$4,$A$1:$T$1,0)),4)),VALUE(MID(INDEX($A151:$T151,MATCH(Lists!$F$4,$A$1:$T$1,0)),6,2)),VALUE(MID(INDEX($A151:$T151,MATCH(Lists!$F$4,$A$1:$T$1,0)),9,2))))),""),IFERROR(IF(TRIM(INDEX($A151:$T151,MATCH(Lists!$F$5,$A$1:$T$1,0))&amp;"")="","",IF(ISNUMBER(INDEX($A151:$T151,MATCH(Lists!$F$5,$A$1:$T$1,0))),INT(INDEX($A151:$T151,MATCH(Lists!$F$5,$A$1:$T$1,0))),DATE(VALUE(LEFT(INDEX($A151:$T151,MATCH(Lists!$F$5,$A$1:$T$1,0)),4)),VALUE(MID(INDEX($A151:$T151,MATCH(Lists!$F$5,$A$1:$T$1,0)),6,2)),VALUE(MID(INDEX($A151:$T151,MATCH(Lists!$F$5,$A$1:$T$1,0)),9,2))))),"")))</f>
        <v/>
      </c>
      <c r="AB151" s="21">
        <f>IF(Y151="","",IF(LEFT(IFERROR(TRIM(INDEX($A151:$T151,MATCH(Lists!$F$6,$A$1:$T$1,0))&amp;""),""),2)="No","General comment",IF(IFERROR(TRIM(INDEX($A151:$T151,MATCH(Lists!$F$7,$A$1:$T$1,0))&amp;""),"")&lt;&gt;"",IFERROR(TRIM(INDEX($A151:$T151,MATCH(Lists!$F$7,$A$1:$T$1,0))&amp;""),""),IF(IFERROR(TRIM(INDEX($A151:$T151,MATCH(Lists!$F$8,$A$1:$T$1,0))&amp;""),"")&lt;&gt;"",IFERROR(TRIM(INDEX($A151:$T151,MATCH(Lists!$F$8,$A$1:$T$1,0))&amp;""),""),"(no item given)"))))</f>
        <v/>
      </c>
      <c r="AC151" s="21">
        <f>IF(Y151="","",IF(ISNUMBER(SEARCH("support",IFERROR(TRIM(INDEX($A151:$T151,MATCH(Lists!$F$9,$A$1:$T$1,0))&amp;""),""))),"Support",IF(ISNUMBER(SEARCH("oppose",IFERROR(TRIM(INDEX($A151:$T151,MATCH(Lists!$F$9,$A$1:$T$1,0))&amp;""),""))),"Oppose",IF(IFERROR(TRIM(INDEX($A151:$T151,MATCH(Lists!$F$9,$A$1:$T$1,0))&amp;""),"")="","No position","Neither"))))</f>
        <v/>
      </c>
      <c r="AD151" s="21">
        <f>IF(Y151="","",IF(ISNUMBER(SEARCH("in person",IFERROR(TRIM(INDEX($A151:$T151,MATCH(Lists!$F$13,$A$1:$T$1,0))&amp;""),""))),"In person",IF(ISNUMBER(SEARCH("online",IFERROR(TRIM(INDEX($A151:$T151,MATCH(Lists!$F$13,$A$1:$T$1,0))&amp;""),""))),"Online","Written only")))</f>
        <v/>
      </c>
      <c r="AE151" s="21">
        <f>IF(Y151="","",IFERROR(TRIM(INDEX($A151:$T151,MATCH(Lists!$F$11,$A$1:$T$1,0))&amp;""),""))</f>
        <v/>
      </c>
      <c r="AF151" s="21">
        <f>IF(Y151="","",IFERROR(TRIM(INDEX($A151:$T151,MATCH(Lists!$F$12,$A$1:$T$1,0))&amp;""),""))</f>
        <v/>
      </c>
      <c r="AG151" s="21">
        <f>IF(Y151="","",IFERROR(TRIM(INDEX($A151:$T151,MATCH(Lists!$F$14,$A$1:$T$1,0))&amp;""),""))</f>
        <v/>
      </c>
      <c r="AH151" s="21">
        <f>IF(Y151="","",LEFT(IFERROR(TRIM(INDEX($A151:$T151,MATCH(Lists!$F$10,$A$1:$T$1,0))&amp;""),""),80))</f>
        <v/>
      </c>
      <c r="AI151" s="21">
        <f>IF(Y151="",0,IF(OR(Tally!$B$5="",AA151=Tally!$B$5),1,0))</f>
        <v/>
      </c>
      <c r="AJ151" s="21">
        <f>IF(AI151=1,IF(COUNTIFS($AB$2:AB151,AB151,$AI$2:AI151,1)=1,1,0),0)</f>
        <v/>
      </c>
      <c r="AK151" s="21">
        <f>IF(AJ151=1,SUM($AJ$2:AJ151),"")</f>
        <v/>
      </c>
      <c r="AL151" s="21">
        <f>IF(AND(AI151=1,OR(AD151="In person",AD151="Online"),OR(Speakers!$B$5="",AB151=Speakers!$B$5)),N(Z151)+ROW()/1000000000,"")</f>
        <v/>
      </c>
    </row>
    <row r="152">
      <c r="U152" s="19" t="n"/>
      <c r="V152" s="24" t="n"/>
      <c r="W152" s="24" t="n"/>
      <c r="X152" s="19" t="n"/>
      <c r="Y152" s="21">
        <f>IFERROR(TRIM(INDEX($A152:$T152,MATCH(Lists!$F$2,$A$1:$T$1,0))&amp;""),"")</f>
        <v/>
      </c>
      <c r="Z152" s="22">
        <f>IF(Y152="","",IFERROR(IF(ISNUMBER(INDEX($A152:$T152,MATCH(Lists!$F$3,$A$1:$T$1,0))),INDEX($A152:$T152,MATCH(Lists!$F$3,$A$1:$T$1,0)),DATE(VALUE(LEFT(IFERROR(TRIM(INDEX($A152:$T152,MATCH(Lists!$F$3,$A$1:$T$1,0))&amp;""),""),4)),VALUE(MID(IFERROR(TRIM(INDEX($A152:$T152,MATCH(Lists!$F$3,$A$1:$T$1,0))&amp;""),""),6,2)),VALUE(MID(IFERROR(TRIM(INDEX($A152:$T152,MATCH(Lists!$F$3,$A$1:$T$1,0))&amp;""),""),9,2)))+TIME(VALUE(MID(IFERROR(TRIM(INDEX($A152:$T152,MATCH(Lists!$F$3,$A$1:$T$1,0))&amp;""),""),12,2)),VALUE(MID(IFERROR(TRIM(INDEX($A152:$T152,MATCH(Lists!$F$3,$A$1:$T$1,0))&amp;""),""),15,2)),VALUE(MID(IFERROR(TRIM(INDEX($A152:$T152,MATCH(Lists!$F$3,$A$1:$T$1,0))&amp;""),""),18,2)))),""))</f>
        <v/>
      </c>
      <c r="AA152" s="23">
        <f>IF(Y152="","",IF(ISNUMBER(IFERROR(IF(TRIM(INDEX($A152:$T152,MATCH(Lists!$F$4,$A$1:$T$1,0))&amp;"")="","",IF(ISNUMBER(INDEX($A152:$T152,MATCH(Lists!$F$4,$A$1:$T$1,0))),INT(INDEX($A152:$T152,MATCH(Lists!$F$4,$A$1:$T$1,0))),DATE(VALUE(LEFT(INDEX($A152:$T152,MATCH(Lists!$F$4,$A$1:$T$1,0)),4)),VALUE(MID(INDEX($A152:$T152,MATCH(Lists!$F$4,$A$1:$T$1,0)),6,2)),VALUE(MID(INDEX($A152:$T152,MATCH(Lists!$F$4,$A$1:$T$1,0)),9,2))))),"")),IFERROR(IF(TRIM(INDEX($A152:$T152,MATCH(Lists!$F$4,$A$1:$T$1,0))&amp;"")="","",IF(ISNUMBER(INDEX($A152:$T152,MATCH(Lists!$F$4,$A$1:$T$1,0))),INT(INDEX($A152:$T152,MATCH(Lists!$F$4,$A$1:$T$1,0))),DATE(VALUE(LEFT(INDEX($A152:$T152,MATCH(Lists!$F$4,$A$1:$T$1,0)),4)),VALUE(MID(INDEX($A152:$T152,MATCH(Lists!$F$4,$A$1:$T$1,0)),6,2)),VALUE(MID(INDEX($A152:$T152,MATCH(Lists!$F$4,$A$1:$T$1,0)),9,2))))),""),IFERROR(IF(TRIM(INDEX($A152:$T152,MATCH(Lists!$F$5,$A$1:$T$1,0))&amp;"")="","",IF(ISNUMBER(INDEX($A152:$T152,MATCH(Lists!$F$5,$A$1:$T$1,0))),INT(INDEX($A152:$T152,MATCH(Lists!$F$5,$A$1:$T$1,0))),DATE(VALUE(LEFT(INDEX($A152:$T152,MATCH(Lists!$F$5,$A$1:$T$1,0)),4)),VALUE(MID(INDEX($A152:$T152,MATCH(Lists!$F$5,$A$1:$T$1,0)),6,2)),VALUE(MID(INDEX($A152:$T152,MATCH(Lists!$F$5,$A$1:$T$1,0)),9,2))))),"")))</f>
        <v/>
      </c>
      <c r="AB152" s="21">
        <f>IF(Y152="","",IF(LEFT(IFERROR(TRIM(INDEX($A152:$T152,MATCH(Lists!$F$6,$A$1:$T$1,0))&amp;""),""),2)="No","General comment",IF(IFERROR(TRIM(INDEX($A152:$T152,MATCH(Lists!$F$7,$A$1:$T$1,0))&amp;""),"")&lt;&gt;"",IFERROR(TRIM(INDEX($A152:$T152,MATCH(Lists!$F$7,$A$1:$T$1,0))&amp;""),""),IF(IFERROR(TRIM(INDEX($A152:$T152,MATCH(Lists!$F$8,$A$1:$T$1,0))&amp;""),"")&lt;&gt;"",IFERROR(TRIM(INDEX($A152:$T152,MATCH(Lists!$F$8,$A$1:$T$1,0))&amp;""),""),"(no item given)"))))</f>
        <v/>
      </c>
      <c r="AC152" s="21">
        <f>IF(Y152="","",IF(ISNUMBER(SEARCH("support",IFERROR(TRIM(INDEX($A152:$T152,MATCH(Lists!$F$9,$A$1:$T$1,0))&amp;""),""))),"Support",IF(ISNUMBER(SEARCH("oppose",IFERROR(TRIM(INDEX($A152:$T152,MATCH(Lists!$F$9,$A$1:$T$1,0))&amp;""),""))),"Oppose",IF(IFERROR(TRIM(INDEX($A152:$T152,MATCH(Lists!$F$9,$A$1:$T$1,0))&amp;""),"")="","No position","Neither"))))</f>
        <v/>
      </c>
      <c r="AD152" s="21">
        <f>IF(Y152="","",IF(ISNUMBER(SEARCH("in person",IFERROR(TRIM(INDEX($A152:$T152,MATCH(Lists!$F$13,$A$1:$T$1,0))&amp;""),""))),"In person",IF(ISNUMBER(SEARCH("online",IFERROR(TRIM(INDEX($A152:$T152,MATCH(Lists!$F$13,$A$1:$T$1,0))&amp;""),""))),"Online","Written only")))</f>
        <v/>
      </c>
      <c r="AE152" s="21">
        <f>IF(Y152="","",IFERROR(TRIM(INDEX($A152:$T152,MATCH(Lists!$F$11,$A$1:$T$1,0))&amp;""),""))</f>
        <v/>
      </c>
      <c r="AF152" s="21">
        <f>IF(Y152="","",IFERROR(TRIM(INDEX($A152:$T152,MATCH(Lists!$F$12,$A$1:$T$1,0))&amp;""),""))</f>
        <v/>
      </c>
      <c r="AG152" s="21">
        <f>IF(Y152="","",IFERROR(TRIM(INDEX($A152:$T152,MATCH(Lists!$F$14,$A$1:$T$1,0))&amp;""),""))</f>
        <v/>
      </c>
      <c r="AH152" s="21">
        <f>IF(Y152="","",LEFT(IFERROR(TRIM(INDEX($A152:$T152,MATCH(Lists!$F$10,$A$1:$T$1,0))&amp;""),""),80))</f>
        <v/>
      </c>
      <c r="AI152" s="21">
        <f>IF(Y152="",0,IF(OR(Tally!$B$5="",AA152=Tally!$B$5),1,0))</f>
        <v/>
      </c>
      <c r="AJ152" s="21">
        <f>IF(AI152=1,IF(COUNTIFS($AB$2:AB152,AB152,$AI$2:AI152,1)=1,1,0),0)</f>
        <v/>
      </c>
      <c r="AK152" s="21">
        <f>IF(AJ152=1,SUM($AJ$2:AJ152),"")</f>
        <v/>
      </c>
      <c r="AL152" s="21">
        <f>IF(AND(AI152=1,OR(AD152="In person",AD152="Online"),OR(Speakers!$B$5="",AB152=Speakers!$B$5)),N(Z152)+ROW()/1000000000,"")</f>
        <v/>
      </c>
    </row>
    <row r="153">
      <c r="U153" s="19" t="n"/>
      <c r="V153" s="24" t="n"/>
      <c r="W153" s="24" t="n"/>
      <c r="X153" s="19" t="n"/>
      <c r="Y153" s="21">
        <f>IFERROR(TRIM(INDEX($A153:$T153,MATCH(Lists!$F$2,$A$1:$T$1,0))&amp;""),"")</f>
        <v/>
      </c>
      <c r="Z153" s="22">
        <f>IF(Y153="","",IFERROR(IF(ISNUMBER(INDEX($A153:$T153,MATCH(Lists!$F$3,$A$1:$T$1,0))),INDEX($A153:$T153,MATCH(Lists!$F$3,$A$1:$T$1,0)),DATE(VALUE(LEFT(IFERROR(TRIM(INDEX($A153:$T153,MATCH(Lists!$F$3,$A$1:$T$1,0))&amp;""),""),4)),VALUE(MID(IFERROR(TRIM(INDEX($A153:$T153,MATCH(Lists!$F$3,$A$1:$T$1,0))&amp;""),""),6,2)),VALUE(MID(IFERROR(TRIM(INDEX($A153:$T153,MATCH(Lists!$F$3,$A$1:$T$1,0))&amp;""),""),9,2)))+TIME(VALUE(MID(IFERROR(TRIM(INDEX($A153:$T153,MATCH(Lists!$F$3,$A$1:$T$1,0))&amp;""),""),12,2)),VALUE(MID(IFERROR(TRIM(INDEX($A153:$T153,MATCH(Lists!$F$3,$A$1:$T$1,0))&amp;""),""),15,2)),VALUE(MID(IFERROR(TRIM(INDEX($A153:$T153,MATCH(Lists!$F$3,$A$1:$T$1,0))&amp;""),""),18,2)))),""))</f>
        <v/>
      </c>
      <c r="AA153" s="23">
        <f>IF(Y153="","",IF(ISNUMBER(IFERROR(IF(TRIM(INDEX($A153:$T153,MATCH(Lists!$F$4,$A$1:$T$1,0))&amp;"")="","",IF(ISNUMBER(INDEX($A153:$T153,MATCH(Lists!$F$4,$A$1:$T$1,0))),INT(INDEX($A153:$T153,MATCH(Lists!$F$4,$A$1:$T$1,0))),DATE(VALUE(LEFT(INDEX($A153:$T153,MATCH(Lists!$F$4,$A$1:$T$1,0)),4)),VALUE(MID(INDEX($A153:$T153,MATCH(Lists!$F$4,$A$1:$T$1,0)),6,2)),VALUE(MID(INDEX($A153:$T153,MATCH(Lists!$F$4,$A$1:$T$1,0)),9,2))))),"")),IFERROR(IF(TRIM(INDEX($A153:$T153,MATCH(Lists!$F$4,$A$1:$T$1,0))&amp;"")="","",IF(ISNUMBER(INDEX($A153:$T153,MATCH(Lists!$F$4,$A$1:$T$1,0))),INT(INDEX($A153:$T153,MATCH(Lists!$F$4,$A$1:$T$1,0))),DATE(VALUE(LEFT(INDEX($A153:$T153,MATCH(Lists!$F$4,$A$1:$T$1,0)),4)),VALUE(MID(INDEX($A153:$T153,MATCH(Lists!$F$4,$A$1:$T$1,0)),6,2)),VALUE(MID(INDEX($A153:$T153,MATCH(Lists!$F$4,$A$1:$T$1,0)),9,2))))),""),IFERROR(IF(TRIM(INDEX($A153:$T153,MATCH(Lists!$F$5,$A$1:$T$1,0))&amp;"")="","",IF(ISNUMBER(INDEX($A153:$T153,MATCH(Lists!$F$5,$A$1:$T$1,0))),INT(INDEX($A153:$T153,MATCH(Lists!$F$5,$A$1:$T$1,0))),DATE(VALUE(LEFT(INDEX($A153:$T153,MATCH(Lists!$F$5,$A$1:$T$1,0)),4)),VALUE(MID(INDEX($A153:$T153,MATCH(Lists!$F$5,$A$1:$T$1,0)),6,2)),VALUE(MID(INDEX($A153:$T153,MATCH(Lists!$F$5,$A$1:$T$1,0)),9,2))))),"")))</f>
        <v/>
      </c>
      <c r="AB153" s="21">
        <f>IF(Y153="","",IF(LEFT(IFERROR(TRIM(INDEX($A153:$T153,MATCH(Lists!$F$6,$A$1:$T$1,0))&amp;""),""),2)="No","General comment",IF(IFERROR(TRIM(INDEX($A153:$T153,MATCH(Lists!$F$7,$A$1:$T$1,0))&amp;""),"")&lt;&gt;"",IFERROR(TRIM(INDEX($A153:$T153,MATCH(Lists!$F$7,$A$1:$T$1,0))&amp;""),""),IF(IFERROR(TRIM(INDEX($A153:$T153,MATCH(Lists!$F$8,$A$1:$T$1,0))&amp;""),"")&lt;&gt;"",IFERROR(TRIM(INDEX($A153:$T153,MATCH(Lists!$F$8,$A$1:$T$1,0))&amp;""),""),"(no item given)"))))</f>
        <v/>
      </c>
      <c r="AC153" s="21">
        <f>IF(Y153="","",IF(ISNUMBER(SEARCH("support",IFERROR(TRIM(INDEX($A153:$T153,MATCH(Lists!$F$9,$A$1:$T$1,0))&amp;""),""))),"Support",IF(ISNUMBER(SEARCH("oppose",IFERROR(TRIM(INDEX($A153:$T153,MATCH(Lists!$F$9,$A$1:$T$1,0))&amp;""),""))),"Oppose",IF(IFERROR(TRIM(INDEX($A153:$T153,MATCH(Lists!$F$9,$A$1:$T$1,0))&amp;""),"")="","No position","Neither"))))</f>
        <v/>
      </c>
      <c r="AD153" s="21">
        <f>IF(Y153="","",IF(ISNUMBER(SEARCH("in person",IFERROR(TRIM(INDEX($A153:$T153,MATCH(Lists!$F$13,$A$1:$T$1,0))&amp;""),""))),"In person",IF(ISNUMBER(SEARCH("online",IFERROR(TRIM(INDEX($A153:$T153,MATCH(Lists!$F$13,$A$1:$T$1,0))&amp;""),""))),"Online","Written only")))</f>
        <v/>
      </c>
      <c r="AE153" s="21">
        <f>IF(Y153="","",IFERROR(TRIM(INDEX($A153:$T153,MATCH(Lists!$F$11,$A$1:$T$1,0))&amp;""),""))</f>
        <v/>
      </c>
      <c r="AF153" s="21">
        <f>IF(Y153="","",IFERROR(TRIM(INDEX($A153:$T153,MATCH(Lists!$F$12,$A$1:$T$1,0))&amp;""),""))</f>
        <v/>
      </c>
      <c r="AG153" s="21">
        <f>IF(Y153="","",IFERROR(TRIM(INDEX($A153:$T153,MATCH(Lists!$F$14,$A$1:$T$1,0))&amp;""),""))</f>
        <v/>
      </c>
      <c r="AH153" s="21">
        <f>IF(Y153="","",LEFT(IFERROR(TRIM(INDEX($A153:$T153,MATCH(Lists!$F$10,$A$1:$T$1,0))&amp;""),""),80))</f>
        <v/>
      </c>
      <c r="AI153" s="21">
        <f>IF(Y153="",0,IF(OR(Tally!$B$5="",AA153=Tally!$B$5),1,0))</f>
        <v/>
      </c>
      <c r="AJ153" s="21">
        <f>IF(AI153=1,IF(COUNTIFS($AB$2:AB153,AB153,$AI$2:AI153,1)=1,1,0),0)</f>
        <v/>
      </c>
      <c r="AK153" s="21">
        <f>IF(AJ153=1,SUM($AJ$2:AJ153),"")</f>
        <v/>
      </c>
      <c r="AL153" s="21">
        <f>IF(AND(AI153=1,OR(AD153="In person",AD153="Online"),OR(Speakers!$B$5="",AB153=Speakers!$B$5)),N(Z153)+ROW()/1000000000,"")</f>
        <v/>
      </c>
    </row>
    <row r="154">
      <c r="U154" s="19" t="n"/>
      <c r="V154" s="24" t="n"/>
      <c r="W154" s="24" t="n"/>
      <c r="X154" s="19" t="n"/>
      <c r="Y154" s="21">
        <f>IFERROR(TRIM(INDEX($A154:$T154,MATCH(Lists!$F$2,$A$1:$T$1,0))&amp;""),"")</f>
        <v/>
      </c>
      <c r="Z154" s="22">
        <f>IF(Y154="","",IFERROR(IF(ISNUMBER(INDEX($A154:$T154,MATCH(Lists!$F$3,$A$1:$T$1,0))),INDEX($A154:$T154,MATCH(Lists!$F$3,$A$1:$T$1,0)),DATE(VALUE(LEFT(IFERROR(TRIM(INDEX($A154:$T154,MATCH(Lists!$F$3,$A$1:$T$1,0))&amp;""),""),4)),VALUE(MID(IFERROR(TRIM(INDEX($A154:$T154,MATCH(Lists!$F$3,$A$1:$T$1,0))&amp;""),""),6,2)),VALUE(MID(IFERROR(TRIM(INDEX($A154:$T154,MATCH(Lists!$F$3,$A$1:$T$1,0))&amp;""),""),9,2)))+TIME(VALUE(MID(IFERROR(TRIM(INDEX($A154:$T154,MATCH(Lists!$F$3,$A$1:$T$1,0))&amp;""),""),12,2)),VALUE(MID(IFERROR(TRIM(INDEX($A154:$T154,MATCH(Lists!$F$3,$A$1:$T$1,0))&amp;""),""),15,2)),VALUE(MID(IFERROR(TRIM(INDEX($A154:$T154,MATCH(Lists!$F$3,$A$1:$T$1,0))&amp;""),""),18,2)))),""))</f>
        <v/>
      </c>
      <c r="AA154" s="23">
        <f>IF(Y154="","",IF(ISNUMBER(IFERROR(IF(TRIM(INDEX($A154:$T154,MATCH(Lists!$F$4,$A$1:$T$1,0))&amp;"")="","",IF(ISNUMBER(INDEX($A154:$T154,MATCH(Lists!$F$4,$A$1:$T$1,0))),INT(INDEX($A154:$T154,MATCH(Lists!$F$4,$A$1:$T$1,0))),DATE(VALUE(LEFT(INDEX($A154:$T154,MATCH(Lists!$F$4,$A$1:$T$1,0)),4)),VALUE(MID(INDEX($A154:$T154,MATCH(Lists!$F$4,$A$1:$T$1,0)),6,2)),VALUE(MID(INDEX($A154:$T154,MATCH(Lists!$F$4,$A$1:$T$1,0)),9,2))))),"")),IFERROR(IF(TRIM(INDEX($A154:$T154,MATCH(Lists!$F$4,$A$1:$T$1,0))&amp;"")="","",IF(ISNUMBER(INDEX($A154:$T154,MATCH(Lists!$F$4,$A$1:$T$1,0))),INT(INDEX($A154:$T154,MATCH(Lists!$F$4,$A$1:$T$1,0))),DATE(VALUE(LEFT(INDEX($A154:$T154,MATCH(Lists!$F$4,$A$1:$T$1,0)),4)),VALUE(MID(INDEX($A154:$T154,MATCH(Lists!$F$4,$A$1:$T$1,0)),6,2)),VALUE(MID(INDEX($A154:$T154,MATCH(Lists!$F$4,$A$1:$T$1,0)),9,2))))),""),IFERROR(IF(TRIM(INDEX($A154:$T154,MATCH(Lists!$F$5,$A$1:$T$1,0))&amp;"")="","",IF(ISNUMBER(INDEX($A154:$T154,MATCH(Lists!$F$5,$A$1:$T$1,0))),INT(INDEX($A154:$T154,MATCH(Lists!$F$5,$A$1:$T$1,0))),DATE(VALUE(LEFT(INDEX($A154:$T154,MATCH(Lists!$F$5,$A$1:$T$1,0)),4)),VALUE(MID(INDEX($A154:$T154,MATCH(Lists!$F$5,$A$1:$T$1,0)),6,2)),VALUE(MID(INDEX($A154:$T154,MATCH(Lists!$F$5,$A$1:$T$1,0)),9,2))))),"")))</f>
        <v/>
      </c>
      <c r="AB154" s="21">
        <f>IF(Y154="","",IF(LEFT(IFERROR(TRIM(INDEX($A154:$T154,MATCH(Lists!$F$6,$A$1:$T$1,0))&amp;""),""),2)="No","General comment",IF(IFERROR(TRIM(INDEX($A154:$T154,MATCH(Lists!$F$7,$A$1:$T$1,0))&amp;""),"")&lt;&gt;"",IFERROR(TRIM(INDEX($A154:$T154,MATCH(Lists!$F$7,$A$1:$T$1,0))&amp;""),""),IF(IFERROR(TRIM(INDEX($A154:$T154,MATCH(Lists!$F$8,$A$1:$T$1,0))&amp;""),"")&lt;&gt;"",IFERROR(TRIM(INDEX($A154:$T154,MATCH(Lists!$F$8,$A$1:$T$1,0))&amp;""),""),"(no item given)"))))</f>
        <v/>
      </c>
      <c r="AC154" s="21">
        <f>IF(Y154="","",IF(ISNUMBER(SEARCH("support",IFERROR(TRIM(INDEX($A154:$T154,MATCH(Lists!$F$9,$A$1:$T$1,0))&amp;""),""))),"Support",IF(ISNUMBER(SEARCH("oppose",IFERROR(TRIM(INDEX($A154:$T154,MATCH(Lists!$F$9,$A$1:$T$1,0))&amp;""),""))),"Oppose",IF(IFERROR(TRIM(INDEX($A154:$T154,MATCH(Lists!$F$9,$A$1:$T$1,0))&amp;""),"")="","No position","Neither"))))</f>
        <v/>
      </c>
      <c r="AD154" s="21">
        <f>IF(Y154="","",IF(ISNUMBER(SEARCH("in person",IFERROR(TRIM(INDEX($A154:$T154,MATCH(Lists!$F$13,$A$1:$T$1,0))&amp;""),""))),"In person",IF(ISNUMBER(SEARCH("online",IFERROR(TRIM(INDEX($A154:$T154,MATCH(Lists!$F$13,$A$1:$T$1,0))&amp;""),""))),"Online","Written only")))</f>
        <v/>
      </c>
      <c r="AE154" s="21">
        <f>IF(Y154="","",IFERROR(TRIM(INDEX($A154:$T154,MATCH(Lists!$F$11,$A$1:$T$1,0))&amp;""),""))</f>
        <v/>
      </c>
      <c r="AF154" s="21">
        <f>IF(Y154="","",IFERROR(TRIM(INDEX($A154:$T154,MATCH(Lists!$F$12,$A$1:$T$1,0))&amp;""),""))</f>
        <v/>
      </c>
      <c r="AG154" s="21">
        <f>IF(Y154="","",IFERROR(TRIM(INDEX($A154:$T154,MATCH(Lists!$F$14,$A$1:$T$1,0))&amp;""),""))</f>
        <v/>
      </c>
      <c r="AH154" s="21">
        <f>IF(Y154="","",LEFT(IFERROR(TRIM(INDEX($A154:$T154,MATCH(Lists!$F$10,$A$1:$T$1,0))&amp;""),""),80))</f>
        <v/>
      </c>
      <c r="AI154" s="21">
        <f>IF(Y154="",0,IF(OR(Tally!$B$5="",AA154=Tally!$B$5),1,0))</f>
        <v/>
      </c>
      <c r="AJ154" s="21">
        <f>IF(AI154=1,IF(COUNTIFS($AB$2:AB154,AB154,$AI$2:AI154,1)=1,1,0),0)</f>
        <v/>
      </c>
      <c r="AK154" s="21">
        <f>IF(AJ154=1,SUM($AJ$2:AJ154),"")</f>
        <v/>
      </c>
      <c r="AL154" s="21">
        <f>IF(AND(AI154=1,OR(AD154="In person",AD154="Online"),OR(Speakers!$B$5="",AB154=Speakers!$B$5)),N(Z154)+ROW()/1000000000,"")</f>
        <v/>
      </c>
    </row>
    <row r="155">
      <c r="U155" s="19" t="n"/>
      <c r="V155" s="24" t="n"/>
      <c r="W155" s="24" t="n"/>
      <c r="X155" s="19" t="n"/>
      <c r="Y155" s="21">
        <f>IFERROR(TRIM(INDEX($A155:$T155,MATCH(Lists!$F$2,$A$1:$T$1,0))&amp;""),"")</f>
        <v/>
      </c>
      <c r="Z155" s="22">
        <f>IF(Y155="","",IFERROR(IF(ISNUMBER(INDEX($A155:$T155,MATCH(Lists!$F$3,$A$1:$T$1,0))),INDEX($A155:$T155,MATCH(Lists!$F$3,$A$1:$T$1,0)),DATE(VALUE(LEFT(IFERROR(TRIM(INDEX($A155:$T155,MATCH(Lists!$F$3,$A$1:$T$1,0))&amp;""),""),4)),VALUE(MID(IFERROR(TRIM(INDEX($A155:$T155,MATCH(Lists!$F$3,$A$1:$T$1,0))&amp;""),""),6,2)),VALUE(MID(IFERROR(TRIM(INDEX($A155:$T155,MATCH(Lists!$F$3,$A$1:$T$1,0))&amp;""),""),9,2)))+TIME(VALUE(MID(IFERROR(TRIM(INDEX($A155:$T155,MATCH(Lists!$F$3,$A$1:$T$1,0))&amp;""),""),12,2)),VALUE(MID(IFERROR(TRIM(INDEX($A155:$T155,MATCH(Lists!$F$3,$A$1:$T$1,0))&amp;""),""),15,2)),VALUE(MID(IFERROR(TRIM(INDEX($A155:$T155,MATCH(Lists!$F$3,$A$1:$T$1,0))&amp;""),""),18,2)))),""))</f>
        <v/>
      </c>
      <c r="AA155" s="23">
        <f>IF(Y155="","",IF(ISNUMBER(IFERROR(IF(TRIM(INDEX($A155:$T155,MATCH(Lists!$F$4,$A$1:$T$1,0))&amp;"")="","",IF(ISNUMBER(INDEX($A155:$T155,MATCH(Lists!$F$4,$A$1:$T$1,0))),INT(INDEX($A155:$T155,MATCH(Lists!$F$4,$A$1:$T$1,0))),DATE(VALUE(LEFT(INDEX($A155:$T155,MATCH(Lists!$F$4,$A$1:$T$1,0)),4)),VALUE(MID(INDEX($A155:$T155,MATCH(Lists!$F$4,$A$1:$T$1,0)),6,2)),VALUE(MID(INDEX($A155:$T155,MATCH(Lists!$F$4,$A$1:$T$1,0)),9,2))))),"")),IFERROR(IF(TRIM(INDEX($A155:$T155,MATCH(Lists!$F$4,$A$1:$T$1,0))&amp;"")="","",IF(ISNUMBER(INDEX($A155:$T155,MATCH(Lists!$F$4,$A$1:$T$1,0))),INT(INDEX($A155:$T155,MATCH(Lists!$F$4,$A$1:$T$1,0))),DATE(VALUE(LEFT(INDEX($A155:$T155,MATCH(Lists!$F$4,$A$1:$T$1,0)),4)),VALUE(MID(INDEX($A155:$T155,MATCH(Lists!$F$4,$A$1:$T$1,0)),6,2)),VALUE(MID(INDEX($A155:$T155,MATCH(Lists!$F$4,$A$1:$T$1,0)),9,2))))),""),IFERROR(IF(TRIM(INDEX($A155:$T155,MATCH(Lists!$F$5,$A$1:$T$1,0))&amp;"")="","",IF(ISNUMBER(INDEX($A155:$T155,MATCH(Lists!$F$5,$A$1:$T$1,0))),INT(INDEX($A155:$T155,MATCH(Lists!$F$5,$A$1:$T$1,0))),DATE(VALUE(LEFT(INDEX($A155:$T155,MATCH(Lists!$F$5,$A$1:$T$1,0)),4)),VALUE(MID(INDEX($A155:$T155,MATCH(Lists!$F$5,$A$1:$T$1,0)),6,2)),VALUE(MID(INDEX($A155:$T155,MATCH(Lists!$F$5,$A$1:$T$1,0)),9,2))))),"")))</f>
        <v/>
      </c>
      <c r="AB155" s="21">
        <f>IF(Y155="","",IF(LEFT(IFERROR(TRIM(INDEX($A155:$T155,MATCH(Lists!$F$6,$A$1:$T$1,0))&amp;""),""),2)="No","General comment",IF(IFERROR(TRIM(INDEX($A155:$T155,MATCH(Lists!$F$7,$A$1:$T$1,0))&amp;""),"")&lt;&gt;"",IFERROR(TRIM(INDEX($A155:$T155,MATCH(Lists!$F$7,$A$1:$T$1,0))&amp;""),""),IF(IFERROR(TRIM(INDEX($A155:$T155,MATCH(Lists!$F$8,$A$1:$T$1,0))&amp;""),"")&lt;&gt;"",IFERROR(TRIM(INDEX($A155:$T155,MATCH(Lists!$F$8,$A$1:$T$1,0))&amp;""),""),"(no item given)"))))</f>
        <v/>
      </c>
      <c r="AC155" s="21">
        <f>IF(Y155="","",IF(ISNUMBER(SEARCH("support",IFERROR(TRIM(INDEX($A155:$T155,MATCH(Lists!$F$9,$A$1:$T$1,0))&amp;""),""))),"Support",IF(ISNUMBER(SEARCH("oppose",IFERROR(TRIM(INDEX($A155:$T155,MATCH(Lists!$F$9,$A$1:$T$1,0))&amp;""),""))),"Oppose",IF(IFERROR(TRIM(INDEX($A155:$T155,MATCH(Lists!$F$9,$A$1:$T$1,0))&amp;""),"")="","No position","Neither"))))</f>
        <v/>
      </c>
      <c r="AD155" s="21">
        <f>IF(Y155="","",IF(ISNUMBER(SEARCH("in person",IFERROR(TRIM(INDEX($A155:$T155,MATCH(Lists!$F$13,$A$1:$T$1,0))&amp;""),""))),"In person",IF(ISNUMBER(SEARCH("online",IFERROR(TRIM(INDEX($A155:$T155,MATCH(Lists!$F$13,$A$1:$T$1,0))&amp;""),""))),"Online","Written only")))</f>
        <v/>
      </c>
      <c r="AE155" s="21">
        <f>IF(Y155="","",IFERROR(TRIM(INDEX($A155:$T155,MATCH(Lists!$F$11,$A$1:$T$1,0))&amp;""),""))</f>
        <v/>
      </c>
      <c r="AF155" s="21">
        <f>IF(Y155="","",IFERROR(TRIM(INDEX($A155:$T155,MATCH(Lists!$F$12,$A$1:$T$1,0))&amp;""),""))</f>
        <v/>
      </c>
      <c r="AG155" s="21">
        <f>IF(Y155="","",IFERROR(TRIM(INDEX($A155:$T155,MATCH(Lists!$F$14,$A$1:$T$1,0))&amp;""),""))</f>
        <v/>
      </c>
      <c r="AH155" s="21">
        <f>IF(Y155="","",LEFT(IFERROR(TRIM(INDEX($A155:$T155,MATCH(Lists!$F$10,$A$1:$T$1,0))&amp;""),""),80))</f>
        <v/>
      </c>
      <c r="AI155" s="21">
        <f>IF(Y155="",0,IF(OR(Tally!$B$5="",AA155=Tally!$B$5),1,0))</f>
        <v/>
      </c>
      <c r="AJ155" s="21">
        <f>IF(AI155=1,IF(COUNTIFS($AB$2:AB155,AB155,$AI$2:AI155,1)=1,1,0),0)</f>
        <v/>
      </c>
      <c r="AK155" s="21">
        <f>IF(AJ155=1,SUM($AJ$2:AJ155),"")</f>
        <v/>
      </c>
      <c r="AL155" s="21">
        <f>IF(AND(AI155=1,OR(AD155="In person",AD155="Online"),OR(Speakers!$B$5="",AB155=Speakers!$B$5)),N(Z155)+ROW()/1000000000,"")</f>
        <v/>
      </c>
    </row>
    <row r="156">
      <c r="U156" s="19" t="n"/>
      <c r="V156" s="24" t="n"/>
      <c r="W156" s="24" t="n"/>
      <c r="X156" s="19" t="n"/>
      <c r="Y156" s="21">
        <f>IFERROR(TRIM(INDEX($A156:$T156,MATCH(Lists!$F$2,$A$1:$T$1,0))&amp;""),"")</f>
        <v/>
      </c>
      <c r="Z156" s="22">
        <f>IF(Y156="","",IFERROR(IF(ISNUMBER(INDEX($A156:$T156,MATCH(Lists!$F$3,$A$1:$T$1,0))),INDEX($A156:$T156,MATCH(Lists!$F$3,$A$1:$T$1,0)),DATE(VALUE(LEFT(IFERROR(TRIM(INDEX($A156:$T156,MATCH(Lists!$F$3,$A$1:$T$1,0))&amp;""),""),4)),VALUE(MID(IFERROR(TRIM(INDEX($A156:$T156,MATCH(Lists!$F$3,$A$1:$T$1,0))&amp;""),""),6,2)),VALUE(MID(IFERROR(TRIM(INDEX($A156:$T156,MATCH(Lists!$F$3,$A$1:$T$1,0))&amp;""),""),9,2)))+TIME(VALUE(MID(IFERROR(TRIM(INDEX($A156:$T156,MATCH(Lists!$F$3,$A$1:$T$1,0))&amp;""),""),12,2)),VALUE(MID(IFERROR(TRIM(INDEX($A156:$T156,MATCH(Lists!$F$3,$A$1:$T$1,0))&amp;""),""),15,2)),VALUE(MID(IFERROR(TRIM(INDEX($A156:$T156,MATCH(Lists!$F$3,$A$1:$T$1,0))&amp;""),""),18,2)))),""))</f>
        <v/>
      </c>
      <c r="AA156" s="23">
        <f>IF(Y156="","",IF(ISNUMBER(IFERROR(IF(TRIM(INDEX($A156:$T156,MATCH(Lists!$F$4,$A$1:$T$1,0))&amp;"")="","",IF(ISNUMBER(INDEX($A156:$T156,MATCH(Lists!$F$4,$A$1:$T$1,0))),INT(INDEX($A156:$T156,MATCH(Lists!$F$4,$A$1:$T$1,0))),DATE(VALUE(LEFT(INDEX($A156:$T156,MATCH(Lists!$F$4,$A$1:$T$1,0)),4)),VALUE(MID(INDEX($A156:$T156,MATCH(Lists!$F$4,$A$1:$T$1,0)),6,2)),VALUE(MID(INDEX($A156:$T156,MATCH(Lists!$F$4,$A$1:$T$1,0)),9,2))))),"")),IFERROR(IF(TRIM(INDEX($A156:$T156,MATCH(Lists!$F$4,$A$1:$T$1,0))&amp;"")="","",IF(ISNUMBER(INDEX($A156:$T156,MATCH(Lists!$F$4,$A$1:$T$1,0))),INT(INDEX($A156:$T156,MATCH(Lists!$F$4,$A$1:$T$1,0))),DATE(VALUE(LEFT(INDEX($A156:$T156,MATCH(Lists!$F$4,$A$1:$T$1,0)),4)),VALUE(MID(INDEX($A156:$T156,MATCH(Lists!$F$4,$A$1:$T$1,0)),6,2)),VALUE(MID(INDEX($A156:$T156,MATCH(Lists!$F$4,$A$1:$T$1,0)),9,2))))),""),IFERROR(IF(TRIM(INDEX($A156:$T156,MATCH(Lists!$F$5,$A$1:$T$1,0))&amp;"")="","",IF(ISNUMBER(INDEX($A156:$T156,MATCH(Lists!$F$5,$A$1:$T$1,0))),INT(INDEX($A156:$T156,MATCH(Lists!$F$5,$A$1:$T$1,0))),DATE(VALUE(LEFT(INDEX($A156:$T156,MATCH(Lists!$F$5,$A$1:$T$1,0)),4)),VALUE(MID(INDEX($A156:$T156,MATCH(Lists!$F$5,$A$1:$T$1,0)),6,2)),VALUE(MID(INDEX($A156:$T156,MATCH(Lists!$F$5,$A$1:$T$1,0)),9,2))))),"")))</f>
        <v/>
      </c>
      <c r="AB156" s="21">
        <f>IF(Y156="","",IF(LEFT(IFERROR(TRIM(INDEX($A156:$T156,MATCH(Lists!$F$6,$A$1:$T$1,0))&amp;""),""),2)="No","General comment",IF(IFERROR(TRIM(INDEX($A156:$T156,MATCH(Lists!$F$7,$A$1:$T$1,0))&amp;""),"")&lt;&gt;"",IFERROR(TRIM(INDEX($A156:$T156,MATCH(Lists!$F$7,$A$1:$T$1,0))&amp;""),""),IF(IFERROR(TRIM(INDEX($A156:$T156,MATCH(Lists!$F$8,$A$1:$T$1,0))&amp;""),"")&lt;&gt;"",IFERROR(TRIM(INDEX($A156:$T156,MATCH(Lists!$F$8,$A$1:$T$1,0))&amp;""),""),"(no item given)"))))</f>
        <v/>
      </c>
      <c r="AC156" s="21">
        <f>IF(Y156="","",IF(ISNUMBER(SEARCH("support",IFERROR(TRIM(INDEX($A156:$T156,MATCH(Lists!$F$9,$A$1:$T$1,0))&amp;""),""))),"Support",IF(ISNUMBER(SEARCH("oppose",IFERROR(TRIM(INDEX($A156:$T156,MATCH(Lists!$F$9,$A$1:$T$1,0))&amp;""),""))),"Oppose",IF(IFERROR(TRIM(INDEX($A156:$T156,MATCH(Lists!$F$9,$A$1:$T$1,0))&amp;""),"")="","No position","Neither"))))</f>
        <v/>
      </c>
      <c r="AD156" s="21">
        <f>IF(Y156="","",IF(ISNUMBER(SEARCH("in person",IFERROR(TRIM(INDEX($A156:$T156,MATCH(Lists!$F$13,$A$1:$T$1,0))&amp;""),""))),"In person",IF(ISNUMBER(SEARCH("online",IFERROR(TRIM(INDEX($A156:$T156,MATCH(Lists!$F$13,$A$1:$T$1,0))&amp;""),""))),"Online","Written only")))</f>
        <v/>
      </c>
      <c r="AE156" s="21">
        <f>IF(Y156="","",IFERROR(TRIM(INDEX($A156:$T156,MATCH(Lists!$F$11,$A$1:$T$1,0))&amp;""),""))</f>
        <v/>
      </c>
      <c r="AF156" s="21">
        <f>IF(Y156="","",IFERROR(TRIM(INDEX($A156:$T156,MATCH(Lists!$F$12,$A$1:$T$1,0))&amp;""),""))</f>
        <v/>
      </c>
      <c r="AG156" s="21">
        <f>IF(Y156="","",IFERROR(TRIM(INDEX($A156:$T156,MATCH(Lists!$F$14,$A$1:$T$1,0))&amp;""),""))</f>
        <v/>
      </c>
      <c r="AH156" s="21">
        <f>IF(Y156="","",LEFT(IFERROR(TRIM(INDEX($A156:$T156,MATCH(Lists!$F$10,$A$1:$T$1,0))&amp;""),""),80))</f>
        <v/>
      </c>
      <c r="AI156" s="21">
        <f>IF(Y156="",0,IF(OR(Tally!$B$5="",AA156=Tally!$B$5),1,0))</f>
        <v/>
      </c>
      <c r="AJ156" s="21">
        <f>IF(AI156=1,IF(COUNTIFS($AB$2:AB156,AB156,$AI$2:AI156,1)=1,1,0),0)</f>
        <v/>
      </c>
      <c r="AK156" s="21">
        <f>IF(AJ156=1,SUM($AJ$2:AJ156),"")</f>
        <v/>
      </c>
      <c r="AL156" s="21">
        <f>IF(AND(AI156=1,OR(AD156="In person",AD156="Online"),OR(Speakers!$B$5="",AB156=Speakers!$B$5)),N(Z156)+ROW()/1000000000,"")</f>
        <v/>
      </c>
    </row>
    <row r="157">
      <c r="U157" s="19" t="n"/>
      <c r="V157" s="24" t="n"/>
      <c r="W157" s="24" t="n"/>
      <c r="X157" s="19" t="n"/>
      <c r="Y157" s="21">
        <f>IFERROR(TRIM(INDEX($A157:$T157,MATCH(Lists!$F$2,$A$1:$T$1,0))&amp;""),"")</f>
        <v/>
      </c>
      <c r="Z157" s="22">
        <f>IF(Y157="","",IFERROR(IF(ISNUMBER(INDEX($A157:$T157,MATCH(Lists!$F$3,$A$1:$T$1,0))),INDEX($A157:$T157,MATCH(Lists!$F$3,$A$1:$T$1,0)),DATE(VALUE(LEFT(IFERROR(TRIM(INDEX($A157:$T157,MATCH(Lists!$F$3,$A$1:$T$1,0))&amp;""),""),4)),VALUE(MID(IFERROR(TRIM(INDEX($A157:$T157,MATCH(Lists!$F$3,$A$1:$T$1,0))&amp;""),""),6,2)),VALUE(MID(IFERROR(TRIM(INDEX($A157:$T157,MATCH(Lists!$F$3,$A$1:$T$1,0))&amp;""),""),9,2)))+TIME(VALUE(MID(IFERROR(TRIM(INDEX($A157:$T157,MATCH(Lists!$F$3,$A$1:$T$1,0))&amp;""),""),12,2)),VALUE(MID(IFERROR(TRIM(INDEX($A157:$T157,MATCH(Lists!$F$3,$A$1:$T$1,0))&amp;""),""),15,2)),VALUE(MID(IFERROR(TRIM(INDEX($A157:$T157,MATCH(Lists!$F$3,$A$1:$T$1,0))&amp;""),""),18,2)))),""))</f>
        <v/>
      </c>
      <c r="AA157" s="23">
        <f>IF(Y157="","",IF(ISNUMBER(IFERROR(IF(TRIM(INDEX($A157:$T157,MATCH(Lists!$F$4,$A$1:$T$1,0))&amp;"")="","",IF(ISNUMBER(INDEX($A157:$T157,MATCH(Lists!$F$4,$A$1:$T$1,0))),INT(INDEX($A157:$T157,MATCH(Lists!$F$4,$A$1:$T$1,0))),DATE(VALUE(LEFT(INDEX($A157:$T157,MATCH(Lists!$F$4,$A$1:$T$1,0)),4)),VALUE(MID(INDEX($A157:$T157,MATCH(Lists!$F$4,$A$1:$T$1,0)),6,2)),VALUE(MID(INDEX($A157:$T157,MATCH(Lists!$F$4,$A$1:$T$1,0)),9,2))))),"")),IFERROR(IF(TRIM(INDEX($A157:$T157,MATCH(Lists!$F$4,$A$1:$T$1,0))&amp;"")="","",IF(ISNUMBER(INDEX($A157:$T157,MATCH(Lists!$F$4,$A$1:$T$1,0))),INT(INDEX($A157:$T157,MATCH(Lists!$F$4,$A$1:$T$1,0))),DATE(VALUE(LEFT(INDEX($A157:$T157,MATCH(Lists!$F$4,$A$1:$T$1,0)),4)),VALUE(MID(INDEX($A157:$T157,MATCH(Lists!$F$4,$A$1:$T$1,0)),6,2)),VALUE(MID(INDEX($A157:$T157,MATCH(Lists!$F$4,$A$1:$T$1,0)),9,2))))),""),IFERROR(IF(TRIM(INDEX($A157:$T157,MATCH(Lists!$F$5,$A$1:$T$1,0))&amp;"")="","",IF(ISNUMBER(INDEX($A157:$T157,MATCH(Lists!$F$5,$A$1:$T$1,0))),INT(INDEX($A157:$T157,MATCH(Lists!$F$5,$A$1:$T$1,0))),DATE(VALUE(LEFT(INDEX($A157:$T157,MATCH(Lists!$F$5,$A$1:$T$1,0)),4)),VALUE(MID(INDEX($A157:$T157,MATCH(Lists!$F$5,$A$1:$T$1,0)),6,2)),VALUE(MID(INDEX($A157:$T157,MATCH(Lists!$F$5,$A$1:$T$1,0)),9,2))))),"")))</f>
        <v/>
      </c>
      <c r="AB157" s="21">
        <f>IF(Y157="","",IF(LEFT(IFERROR(TRIM(INDEX($A157:$T157,MATCH(Lists!$F$6,$A$1:$T$1,0))&amp;""),""),2)="No","General comment",IF(IFERROR(TRIM(INDEX($A157:$T157,MATCH(Lists!$F$7,$A$1:$T$1,0))&amp;""),"")&lt;&gt;"",IFERROR(TRIM(INDEX($A157:$T157,MATCH(Lists!$F$7,$A$1:$T$1,0))&amp;""),""),IF(IFERROR(TRIM(INDEX($A157:$T157,MATCH(Lists!$F$8,$A$1:$T$1,0))&amp;""),"")&lt;&gt;"",IFERROR(TRIM(INDEX($A157:$T157,MATCH(Lists!$F$8,$A$1:$T$1,0))&amp;""),""),"(no item given)"))))</f>
        <v/>
      </c>
      <c r="AC157" s="21">
        <f>IF(Y157="","",IF(ISNUMBER(SEARCH("support",IFERROR(TRIM(INDEX($A157:$T157,MATCH(Lists!$F$9,$A$1:$T$1,0))&amp;""),""))),"Support",IF(ISNUMBER(SEARCH("oppose",IFERROR(TRIM(INDEX($A157:$T157,MATCH(Lists!$F$9,$A$1:$T$1,0))&amp;""),""))),"Oppose",IF(IFERROR(TRIM(INDEX($A157:$T157,MATCH(Lists!$F$9,$A$1:$T$1,0))&amp;""),"")="","No position","Neither"))))</f>
        <v/>
      </c>
      <c r="AD157" s="21">
        <f>IF(Y157="","",IF(ISNUMBER(SEARCH("in person",IFERROR(TRIM(INDEX($A157:$T157,MATCH(Lists!$F$13,$A$1:$T$1,0))&amp;""),""))),"In person",IF(ISNUMBER(SEARCH("online",IFERROR(TRIM(INDEX($A157:$T157,MATCH(Lists!$F$13,$A$1:$T$1,0))&amp;""),""))),"Online","Written only")))</f>
        <v/>
      </c>
      <c r="AE157" s="21">
        <f>IF(Y157="","",IFERROR(TRIM(INDEX($A157:$T157,MATCH(Lists!$F$11,$A$1:$T$1,0))&amp;""),""))</f>
        <v/>
      </c>
      <c r="AF157" s="21">
        <f>IF(Y157="","",IFERROR(TRIM(INDEX($A157:$T157,MATCH(Lists!$F$12,$A$1:$T$1,0))&amp;""),""))</f>
        <v/>
      </c>
      <c r="AG157" s="21">
        <f>IF(Y157="","",IFERROR(TRIM(INDEX($A157:$T157,MATCH(Lists!$F$14,$A$1:$T$1,0))&amp;""),""))</f>
        <v/>
      </c>
      <c r="AH157" s="21">
        <f>IF(Y157="","",LEFT(IFERROR(TRIM(INDEX($A157:$T157,MATCH(Lists!$F$10,$A$1:$T$1,0))&amp;""),""),80))</f>
        <v/>
      </c>
      <c r="AI157" s="21">
        <f>IF(Y157="",0,IF(OR(Tally!$B$5="",AA157=Tally!$B$5),1,0))</f>
        <v/>
      </c>
      <c r="AJ157" s="21">
        <f>IF(AI157=1,IF(COUNTIFS($AB$2:AB157,AB157,$AI$2:AI157,1)=1,1,0),0)</f>
        <v/>
      </c>
      <c r="AK157" s="21">
        <f>IF(AJ157=1,SUM($AJ$2:AJ157),"")</f>
        <v/>
      </c>
      <c r="AL157" s="21">
        <f>IF(AND(AI157=1,OR(AD157="In person",AD157="Online"),OR(Speakers!$B$5="",AB157=Speakers!$B$5)),N(Z157)+ROW()/1000000000,"")</f>
        <v/>
      </c>
    </row>
    <row r="158">
      <c r="U158" s="19" t="n"/>
      <c r="V158" s="24" t="n"/>
      <c r="W158" s="24" t="n"/>
      <c r="X158" s="19" t="n"/>
      <c r="Y158" s="21">
        <f>IFERROR(TRIM(INDEX($A158:$T158,MATCH(Lists!$F$2,$A$1:$T$1,0))&amp;""),"")</f>
        <v/>
      </c>
      <c r="Z158" s="22">
        <f>IF(Y158="","",IFERROR(IF(ISNUMBER(INDEX($A158:$T158,MATCH(Lists!$F$3,$A$1:$T$1,0))),INDEX($A158:$T158,MATCH(Lists!$F$3,$A$1:$T$1,0)),DATE(VALUE(LEFT(IFERROR(TRIM(INDEX($A158:$T158,MATCH(Lists!$F$3,$A$1:$T$1,0))&amp;""),""),4)),VALUE(MID(IFERROR(TRIM(INDEX($A158:$T158,MATCH(Lists!$F$3,$A$1:$T$1,0))&amp;""),""),6,2)),VALUE(MID(IFERROR(TRIM(INDEX($A158:$T158,MATCH(Lists!$F$3,$A$1:$T$1,0))&amp;""),""),9,2)))+TIME(VALUE(MID(IFERROR(TRIM(INDEX($A158:$T158,MATCH(Lists!$F$3,$A$1:$T$1,0))&amp;""),""),12,2)),VALUE(MID(IFERROR(TRIM(INDEX($A158:$T158,MATCH(Lists!$F$3,$A$1:$T$1,0))&amp;""),""),15,2)),VALUE(MID(IFERROR(TRIM(INDEX($A158:$T158,MATCH(Lists!$F$3,$A$1:$T$1,0))&amp;""),""),18,2)))),""))</f>
        <v/>
      </c>
      <c r="AA158" s="23">
        <f>IF(Y158="","",IF(ISNUMBER(IFERROR(IF(TRIM(INDEX($A158:$T158,MATCH(Lists!$F$4,$A$1:$T$1,0))&amp;"")="","",IF(ISNUMBER(INDEX($A158:$T158,MATCH(Lists!$F$4,$A$1:$T$1,0))),INT(INDEX($A158:$T158,MATCH(Lists!$F$4,$A$1:$T$1,0))),DATE(VALUE(LEFT(INDEX($A158:$T158,MATCH(Lists!$F$4,$A$1:$T$1,0)),4)),VALUE(MID(INDEX($A158:$T158,MATCH(Lists!$F$4,$A$1:$T$1,0)),6,2)),VALUE(MID(INDEX($A158:$T158,MATCH(Lists!$F$4,$A$1:$T$1,0)),9,2))))),"")),IFERROR(IF(TRIM(INDEX($A158:$T158,MATCH(Lists!$F$4,$A$1:$T$1,0))&amp;"")="","",IF(ISNUMBER(INDEX($A158:$T158,MATCH(Lists!$F$4,$A$1:$T$1,0))),INT(INDEX($A158:$T158,MATCH(Lists!$F$4,$A$1:$T$1,0))),DATE(VALUE(LEFT(INDEX($A158:$T158,MATCH(Lists!$F$4,$A$1:$T$1,0)),4)),VALUE(MID(INDEX($A158:$T158,MATCH(Lists!$F$4,$A$1:$T$1,0)),6,2)),VALUE(MID(INDEX($A158:$T158,MATCH(Lists!$F$4,$A$1:$T$1,0)),9,2))))),""),IFERROR(IF(TRIM(INDEX($A158:$T158,MATCH(Lists!$F$5,$A$1:$T$1,0))&amp;"")="","",IF(ISNUMBER(INDEX($A158:$T158,MATCH(Lists!$F$5,$A$1:$T$1,0))),INT(INDEX($A158:$T158,MATCH(Lists!$F$5,$A$1:$T$1,0))),DATE(VALUE(LEFT(INDEX($A158:$T158,MATCH(Lists!$F$5,$A$1:$T$1,0)),4)),VALUE(MID(INDEX($A158:$T158,MATCH(Lists!$F$5,$A$1:$T$1,0)),6,2)),VALUE(MID(INDEX($A158:$T158,MATCH(Lists!$F$5,$A$1:$T$1,0)),9,2))))),"")))</f>
        <v/>
      </c>
      <c r="AB158" s="21">
        <f>IF(Y158="","",IF(LEFT(IFERROR(TRIM(INDEX($A158:$T158,MATCH(Lists!$F$6,$A$1:$T$1,0))&amp;""),""),2)="No","General comment",IF(IFERROR(TRIM(INDEX($A158:$T158,MATCH(Lists!$F$7,$A$1:$T$1,0))&amp;""),"")&lt;&gt;"",IFERROR(TRIM(INDEX($A158:$T158,MATCH(Lists!$F$7,$A$1:$T$1,0))&amp;""),""),IF(IFERROR(TRIM(INDEX($A158:$T158,MATCH(Lists!$F$8,$A$1:$T$1,0))&amp;""),"")&lt;&gt;"",IFERROR(TRIM(INDEX($A158:$T158,MATCH(Lists!$F$8,$A$1:$T$1,0))&amp;""),""),"(no item given)"))))</f>
        <v/>
      </c>
      <c r="AC158" s="21">
        <f>IF(Y158="","",IF(ISNUMBER(SEARCH("support",IFERROR(TRIM(INDEX($A158:$T158,MATCH(Lists!$F$9,$A$1:$T$1,0))&amp;""),""))),"Support",IF(ISNUMBER(SEARCH("oppose",IFERROR(TRIM(INDEX($A158:$T158,MATCH(Lists!$F$9,$A$1:$T$1,0))&amp;""),""))),"Oppose",IF(IFERROR(TRIM(INDEX($A158:$T158,MATCH(Lists!$F$9,$A$1:$T$1,0))&amp;""),"")="","No position","Neither"))))</f>
        <v/>
      </c>
      <c r="AD158" s="21">
        <f>IF(Y158="","",IF(ISNUMBER(SEARCH("in person",IFERROR(TRIM(INDEX($A158:$T158,MATCH(Lists!$F$13,$A$1:$T$1,0))&amp;""),""))),"In person",IF(ISNUMBER(SEARCH("online",IFERROR(TRIM(INDEX($A158:$T158,MATCH(Lists!$F$13,$A$1:$T$1,0))&amp;""),""))),"Online","Written only")))</f>
        <v/>
      </c>
      <c r="AE158" s="21">
        <f>IF(Y158="","",IFERROR(TRIM(INDEX($A158:$T158,MATCH(Lists!$F$11,$A$1:$T$1,0))&amp;""),""))</f>
        <v/>
      </c>
      <c r="AF158" s="21">
        <f>IF(Y158="","",IFERROR(TRIM(INDEX($A158:$T158,MATCH(Lists!$F$12,$A$1:$T$1,0))&amp;""),""))</f>
        <v/>
      </c>
      <c r="AG158" s="21">
        <f>IF(Y158="","",IFERROR(TRIM(INDEX($A158:$T158,MATCH(Lists!$F$14,$A$1:$T$1,0))&amp;""),""))</f>
        <v/>
      </c>
      <c r="AH158" s="21">
        <f>IF(Y158="","",LEFT(IFERROR(TRIM(INDEX($A158:$T158,MATCH(Lists!$F$10,$A$1:$T$1,0))&amp;""),""),80))</f>
        <v/>
      </c>
      <c r="AI158" s="21">
        <f>IF(Y158="",0,IF(OR(Tally!$B$5="",AA158=Tally!$B$5),1,0))</f>
        <v/>
      </c>
      <c r="AJ158" s="21">
        <f>IF(AI158=1,IF(COUNTIFS($AB$2:AB158,AB158,$AI$2:AI158,1)=1,1,0),0)</f>
        <v/>
      </c>
      <c r="AK158" s="21">
        <f>IF(AJ158=1,SUM($AJ$2:AJ158),"")</f>
        <v/>
      </c>
      <c r="AL158" s="21">
        <f>IF(AND(AI158=1,OR(AD158="In person",AD158="Online"),OR(Speakers!$B$5="",AB158=Speakers!$B$5)),N(Z158)+ROW()/1000000000,"")</f>
        <v/>
      </c>
    </row>
    <row r="159">
      <c r="U159" s="19" t="n"/>
      <c r="V159" s="24" t="n"/>
      <c r="W159" s="24" t="n"/>
      <c r="X159" s="19" t="n"/>
      <c r="Y159" s="21">
        <f>IFERROR(TRIM(INDEX($A159:$T159,MATCH(Lists!$F$2,$A$1:$T$1,0))&amp;""),"")</f>
        <v/>
      </c>
      <c r="Z159" s="22">
        <f>IF(Y159="","",IFERROR(IF(ISNUMBER(INDEX($A159:$T159,MATCH(Lists!$F$3,$A$1:$T$1,0))),INDEX($A159:$T159,MATCH(Lists!$F$3,$A$1:$T$1,0)),DATE(VALUE(LEFT(IFERROR(TRIM(INDEX($A159:$T159,MATCH(Lists!$F$3,$A$1:$T$1,0))&amp;""),""),4)),VALUE(MID(IFERROR(TRIM(INDEX($A159:$T159,MATCH(Lists!$F$3,$A$1:$T$1,0))&amp;""),""),6,2)),VALUE(MID(IFERROR(TRIM(INDEX($A159:$T159,MATCH(Lists!$F$3,$A$1:$T$1,0))&amp;""),""),9,2)))+TIME(VALUE(MID(IFERROR(TRIM(INDEX($A159:$T159,MATCH(Lists!$F$3,$A$1:$T$1,0))&amp;""),""),12,2)),VALUE(MID(IFERROR(TRIM(INDEX($A159:$T159,MATCH(Lists!$F$3,$A$1:$T$1,0))&amp;""),""),15,2)),VALUE(MID(IFERROR(TRIM(INDEX($A159:$T159,MATCH(Lists!$F$3,$A$1:$T$1,0))&amp;""),""),18,2)))),""))</f>
        <v/>
      </c>
      <c r="AA159" s="23">
        <f>IF(Y159="","",IF(ISNUMBER(IFERROR(IF(TRIM(INDEX($A159:$T159,MATCH(Lists!$F$4,$A$1:$T$1,0))&amp;"")="","",IF(ISNUMBER(INDEX($A159:$T159,MATCH(Lists!$F$4,$A$1:$T$1,0))),INT(INDEX($A159:$T159,MATCH(Lists!$F$4,$A$1:$T$1,0))),DATE(VALUE(LEFT(INDEX($A159:$T159,MATCH(Lists!$F$4,$A$1:$T$1,0)),4)),VALUE(MID(INDEX($A159:$T159,MATCH(Lists!$F$4,$A$1:$T$1,0)),6,2)),VALUE(MID(INDEX($A159:$T159,MATCH(Lists!$F$4,$A$1:$T$1,0)),9,2))))),"")),IFERROR(IF(TRIM(INDEX($A159:$T159,MATCH(Lists!$F$4,$A$1:$T$1,0))&amp;"")="","",IF(ISNUMBER(INDEX($A159:$T159,MATCH(Lists!$F$4,$A$1:$T$1,0))),INT(INDEX($A159:$T159,MATCH(Lists!$F$4,$A$1:$T$1,0))),DATE(VALUE(LEFT(INDEX($A159:$T159,MATCH(Lists!$F$4,$A$1:$T$1,0)),4)),VALUE(MID(INDEX($A159:$T159,MATCH(Lists!$F$4,$A$1:$T$1,0)),6,2)),VALUE(MID(INDEX($A159:$T159,MATCH(Lists!$F$4,$A$1:$T$1,0)),9,2))))),""),IFERROR(IF(TRIM(INDEX($A159:$T159,MATCH(Lists!$F$5,$A$1:$T$1,0))&amp;"")="","",IF(ISNUMBER(INDEX($A159:$T159,MATCH(Lists!$F$5,$A$1:$T$1,0))),INT(INDEX($A159:$T159,MATCH(Lists!$F$5,$A$1:$T$1,0))),DATE(VALUE(LEFT(INDEX($A159:$T159,MATCH(Lists!$F$5,$A$1:$T$1,0)),4)),VALUE(MID(INDEX($A159:$T159,MATCH(Lists!$F$5,$A$1:$T$1,0)),6,2)),VALUE(MID(INDEX($A159:$T159,MATCH(Lists!$F$5,$A$1:$T$1,0)),9,2))))),"")))</f>
        <v/>
      </c>
      <c r="AB159" s="21">
        <f>IF(Y159="","",IF(LEFT(IFERROR(TRIM(INDEX($A159:$T159,MATCH(Lists!$F$6,$A$1:$T$1,0))&amp;""),""),2)="No","General comment",IF(IFERROR(TRIM(INDEX($A159:$T159,MATCH(Lists!$F$7,$A$1:$T$1,0))&amp;""),"")&lt;&gt;"",IFERROR(TRIM(INDEX($A159:$T159,MATCH(Lists!$F$7,$A$1:$T$1,0))&amp;""),""),IF(IFERROR(TRIM(INDEX($A159:$T159,MATCH(Lists!$F$8,$A$1:$T$1,0))&amp;""),"")&lt;&gt;"",IFERROR(TRIM(INDEX($A159:$T159,MATCH(Lists!$F$8,$A$1:$T$1,0))&amp;""),""),"(no item given)"))))</f>
        <v/>
      </c>
      <c r="AC159" s="21">
        <f>IF(Y159="","",IF(ISNUMBER(SEARCH("support",IFERROR(TRIM(INDEX($A159:$T159,MATCH(Lists!$F$9,$A$1:$T$1,0))&amp;""),""))),"Support",IF(ISNUMBER(SEARCH("oppose",IFERROR(TRIM(INDEX($A159:$T159,MATCH(Lists!$F$9,$A$1:$T$1,0))&amp;""),""))),"Oppose",IF(IFERROR(TRIM(INDEX($A159:$T159,MATCH(Lists!$F$9,$A$1:$T$1,0))&amp;""),"")="","No position","Neither"))))</f>
        <v/>
      </c>
      <c r="AD159" s="21">
        <f>IF(Y159="","",IF(ISNUMBER(SEARCH("in person",IFERROR(TRIM(INDEX($A159:$T159,MATCH(Lists!$F$13,$A$1:$T$1,0))&amp;""),""))),"In person",IF(ISNUMBER(SEARCH("online",IFERROR(TRIM(INDEX($A159:$T159,MATCH(Lists!$F$13,$A$1:$T$1,0))&amp;""),""))),"Online","Written only")))</f>
        <v/>
      </c>
      <c r="AE159" s="21">
        <f>IF(Y159="","",IFERROR(TRIM(INDEX($A159:$T159,MATCH(Lists!$F$11,$A$1:$T$1,0))&amp;""),""))</f>
        <v/>
      </c>
      <c r="AF159" s="21">
        <f>IF(Y159="","",IFERROR(TRIM(INDEX($A159:$T159,MATCH(Lists!$F$12,$A$1:$T$1,0))&amp;""),""))</f>
        <v/>
      </c>
      <c r="AG159" s="21">
        <f>IF(Y159="","",IFERROR(TRIM(INDEX($A159:$T159,MATCH(Lists!$F$14,$A$1:$T$1,0))&amp;""),""))</f>
        <v/>
      </c>
      <c r="AH159" s="21">
        <f>IF(Y159="","",LEFT(IFERROR(TRIM(INDEX($A159:$T159,MATCH(Lists!$F$10,$A$1:$T$1,0))&amp;""),""),80))</f>
        <v/>
      </c>
      <c r="AI159" s="21">
        <f>IF(Y159="",0,IF(OR(Tally!$B$5="",AA159=Tally!$B$5),1,0))</f>
        <v/>
      </c>
      <c r="AJ159" s="21">
        <f>IF(AI159=1,IF(COUNTIFS($AB$2:AB159,AB159,$AI$2:AI159,1)=1,1,0),0)</f>
        <v/>
      </c>
      <c r="AK159" s="21">
        <f>IF(AJ159=1,SUM($AJ$2:AJ159),"")</f>
        <v/>
      </c>
      <c r="AL159" s="21">
        <f>IF(AND(AI159=1,OR(AD159="In person",AD159="Online"),OR(Speakers!$B$5="",AB159=Speakers!$B$5)),N(Z159)+ROW()/1000000000,"")</f>
        <v/>
      </c>
    </row>
    <row r="160">
      <c r="U160" s="19" t="n"/>
      <c r="V160" s="24" t="n"/>
      <c r="W160" s="24" t="n"/>
      <c r="X160" s="19" t="n"/>
      <c r="Y160" s="21">
        <f>IFERROR(TRIM(INDEX($A160:$T160,MATCH(Lists!$F$2,$A$1:$T$1,0))&amp;""),"")</f>
        <v/>
      </c>
      <c r="Z160" s="22">
        <f>IF(Y160="","",IFERROR(IF(ISNUMBER(INDEX($A160:$T160,MATCH(Lists!$F$3,$A$1:$T$1,0))),INDEX($A160:$T160,MATCH(Lists!$F$3,$A$1:$T$1,0)),DATE(VALUE(LEFT(IFERROR(TRIM(INDEX($A160:$T160,MATCH(Lists!$F$3,$A$1:$T$1,0))&amp;""),""),4)),VALUE(MID(IFERROR(TRIM(INDEX($A160:$T160,MATCH(Lists!$F$3,$A$1:$T$1,0))&amp;""),""),6,2)),VALUE(MID(IFERROR(TRIM(INDEX($A160:$T160,MATCH(Lists!$F$3,$A$1:$T$1,0))&amp;""),""),9,2)))+TIME(VALUE(MID(IFERROR(TRIM(INDEX($A160:$T160,MATCH(Lists!$F$3,$A$1:$T$1,0))&amp;""),""),12,2)),VALUE(MID(IFERROR(TRIM(INDEX($A160:$T160,MATCH(Lists!$F$3,$A$1:$T$1,0))&amp;""),""),15,2)),VALUE(MID(IFERROR(TRIM(INDEX($A160:$T160,MATCH(Lists!$F$3,$A$1:$T$1,0))&amp;""),""),18,2)))),""))</f>
        <v/>
      </c>
      <c r="AA160" s="23">
        <f>IF(Y160="","",IF(ISNUMBER(IFERROR(IF(TRIM(INDEX($A160:$T160,MATCH(Lists!$F$4,$A$1:$T$1,0))&amp;"")="","",IF(ISNUMBER(INDEX($A160:$T160,MATCH(Lists!$F$4,$A$1:$T$1,0))),INT(INDEX($A160:$T160,MATCH(Lists!$F$4,$A$1:$T$1,0))),DATE(VALUE(LEFT(INDEX($A160:$T160,MATCH(Lists!$F$4,$A$1:$T$1,0)),4)),VALUE(MID(INDEX($A160:$T160,MATCH(Lists!$F$4,$A$1:$T$1,0)),6,2)),VALUE(MID(INDEX($A160:$T160,MATCH(Lists!$F$4,$A$1:$T$1,0)),9,2))))),"")),IFERROR(IF(TRIM(INDEX($A160:$T160,MATCH(Lists!$F$4,$A$1:$T$1,0))&amp;"")="","",IF(ISNUMBER(INDEX($A160:$T160,MATCH(Lists!$F$4,$A$1:$T$1,0))),INT(INDEX($A160:$T160,MATCH(Lists!$F$4,$A$1:$T$1,0))),DATE(VALUE(LEFT(INDEX($A160:$T160,MATCH(Lists!$F$4,$A$1:$T$1,0)),4)),VALUE(MID(INDEX($A160:$T160,MATCH(Lists!$F$4,$A$1:$T$1,0)),6,2)),VALUE(MID(INDEX($A160:$T160,MATCH(Lists!$F$4,$A$1:$T$1,0)),9,2))))),""),IFERROR(IF(TRIM(INDEX($A160:$T160,MATCH(Lists!$F$5,$A$1:$T$1,0))&amp;"")="","",IF(ISNUMBER(INDEX($A160:$T160,MATCH(Lists!$F$5,$A$1:$T$1,0))),INT(INDEX($A160:$T160,MATCH(Lists!$F$5,$A$1:$T$1,0))),DATE(VALUE(LEFT(INDEX($A160:$T160,MATCH(Lists!$F$5,$A$1:$T$1,0)),4)),VALUE(MID(INDEX($A160:$T160,MATCH(Lists!$F$5,$A$1:$T$1,0)),6,2)),VALUE(MID(INDEX($A160:$T160,MATCH(Lists!$F$5,$A$1:$T$1,0)),9,2))))),"")))</f>
        <v/>
      </c>
      <c r="AB160" s="21">
        <f>IF(Y160="","",IF(LEFT(IFERROR(TRIM(INDEX($A160:$T160,MATCH(Lists!$F$6,$A$1:$T$1,0))&amp;""),""),2)="No","General comment",IF(IFERROR(TRIM(INDEX($A160:$T160,MATCH(Lists!$F$7,$A$1:$T$1,0))&amp;""),"")&lt;&gt;"",IFERROR(TRIM(INDEX($A160:$T160,MATCH(Lists!$F$7,$A$1:$T$1,0))&amp;""),""),IF(IFERROR(TRIM(INDEX($A160:$T160,MATCH(Lists!$F$8,$A$1:$T$1,0))&amp;""),"")&lt;&gt;"",IFERROR(TRIM(INDEX($A160:$T160,MATCH(Lists!$F$8,$A$1:$T$1,0))&amp;""),""),"(no item given)"))))</f>
        <v/>
      </c>
      <c r="AC160" s="21">
        <f>IF(Y160="","",IF(ISNUMBER(SEARCH("support",IFERROR(TRIM(INDEX($A160:$T160,MATCH(Lists!$F$9,$A$1:$T$1,0))&amp;""),""))),"Support",IF(ISNUMBER(SEARCH("oppose",IFERROR(TRIM(INDEX($A160:$T160,MATCH(Lists!$F$9,$A$1:$T$1,0))&amp;""),""))),"Oppose",IF(IFERROR(TRIM(INDEX($A160:$T160,MATCH(Lists!$F$9,$A$1:$T$1,0))&amp;""),"")="","No position","Neither"))))</f>
        <v/>
      </c>
      <c r="AD160" s="21">
        <f>IF(Y160="","",IF(ISNUMBER(SEARCH("in person",IFERROR(TRIM(INDEX($A160:$T160,MATCH(Lists!$F$13,$A$1:$T$1,0))&amp;""),""))),"In person",IF(ISNUMBER(SEARCH("online",IFERROR(TRIM(INDEX($A160:$T160,MATCH(Lists!$F$13,$A$1:$T$1,0))&amp;""),""))),"Online","Written only")))</f>
        <v/>
      </c>
      <c r="AE160" s="21">
        <f>IF(Y160="","",IFERROR(TRIM(INDEX($A160:$T160,MATCH(Lists!$F$11,$A$1:$T$1,0))&amp;""),""))</f>
        <v/>
      </c>
      <c r="AF160" s="21">
        <f>IF(Y160="","",IFERROR(TRIM(INDEX($A160:$T160,MATCH(Lists!$F$12,$A$1:$T$1,0))&amp;""),""))</f>
        <v/>
      </c>
      <c r="AG160" s="21">
        <f>IF(Y160="","",IFERROR(TRIM(INDEX($A160:$T160,MATCH(Lists!$F$14,$A$1:$T$1,0))&amp;""),""))</f>
        <v/>
      </c>
      <c r="AH160" s="21">
        <f>IF(Y160="","",LEFT(IFERROR(TRIM(INDEX($A160:$T160,MATCH(Lists!$F$10,$A$1:$T$1,0))&amp;""),""),80))</f>
        <v/>
      </c>
      <c r="AI160" s="21">
        <f>IF(Y160="",0,IF(OR(Tally!$B$5="",AA160=Tally!$B$5),1,0))</f>
        <v/>
      </c>
      <c r="AJ160" s="21">
        <f>IF(AI160=1,IF(COUNTIFS($AB$2:AB160,AB160,$AI$2:AI160,1)=1,1,0),0)</f>
        <v/>
      </c>
      <c r="AK160" s="21">
        <f>IF(AJ160=1,SUM($AJ$2:AJ160),"")</f>
        <v/>
      </c>
      <c r="AL160" s="21">
        <f>IF(AND(AI160=1,OR(AD160="In person",AD160="Online"),OR(Speakers!$B$5="",AB160=Speakers!$B$5)),N(Z160)+ROW()/1000000000,"")</f>
        <v/>
      </c>
    </row>
    <row r="161">
      <c r="U161" s="19" t="n"/>
      <c r="V161" s="24" t="n"/>
      <c r="W161" s="24" t="n"/>
      <c r="X161" s="19" t="n"/>
      <c r="Y161" s="21">
        <f>IFERROR(TRIM(INDEX($A161:$T161,MATCH(Lists!$F$2,$A$1:$T$1,0))&amp;""),"")</f>
        <v/>
      </c>
      <c r="Z161" s="22">
        <f>IF(Y161="","",IFERROR(IF(ISNUMBER(INDEX($A161:$T161,MATCH(Lists!$F$3,$A$1:$T$1,0))),INDEX($A161:$T161,MATCH(Lists!$F$3,$A$1:$T$1,0)),DATE(VALUE(LEFT(IFERROR(TRIM(INDEX($A161:$T161,MATCH(Lists!$F$3,$A$1:$T$1,0))&amp;""),""),4)),VALUE(MID(IFERROR(TRIM(INDEX($A161:$T161,MATCH(Lists!$F$3,$A$1:$T$1,0))&amp;""),""),6,2)),VALUE(MID(IFERROR(TRIM(INDEX($A161:$T161,MATCH(Lists!$F$3,$A$1:$T$1,0))&amp;""),""),9,2)))+TIME(VALUE(MID(IFERROR(TRIM(INDEX($A161:$T161,MATCH(Lists!$F$3,$A$1:$T$1,0))&amp;""),""),12,2)),VALUE(MID(IFERROR(TRIM(INDEX($A161:$T161,MATCH(Lists!$F$3,$A$1:$T$1,0))&amp;""),""),15,2)),VALUE(MID(IFERROR(TRIM(INDEX($A161:$T161,MATCH(Lists!$F$3,$A$1:$T$1,0))&amp;""),""),18,2)))),""))</f>
        <v/>
      </c>
      <c r="AA161" s="23">
        <f>IF(Y161="","",IF(ISNUMBER(IFERROR(IF(TRIM(INDEX($A161:$T161,MATCH(Lists!$F$4,$A$1:$T$1,0))&amp;"")="","",IF(ISNUMBER(INDEX($A161:$T161,MATCH(Lists!$F$4,$A$1:$T$1,0))),INT(INDEX($A161:$T161,MATCH(Lists!$F$4,$A$1:$T$1,0))),DATE(VALUE(LEFT(INDEX($A161:$T161,MATCH(Lists!$F$4,$A$1:$T$1,0)),4)),VALUE(MID(INDEX($A161:$T161,MATCH(Lists!$F$4,$A$1:$T$1,0)),6,2)),VALUE(MID(INDEX($A161:$T161,MATCH(Lists!$F$4,$A$1:$T$1,0)),9,2))))),"")),IFERROR(IF(TRIM(INDEX($A161:$T161,MATCH(Lists!$F$4,$A$1:$T$1,0))&amp;"")="","",IF(ISNUMBER(INDEX($A161:$T161,MATCH(Lists!$F$4,$A$1:$T$1,0))),INT(INDEX($A161:$T161,MATCH(Lists!$F$4,$A$1:$T$1,0))),DATE(VALUE(LEFT(INDEX($A161:$T161,MATCH(Lists!$F$4,$A$1:$T$1,0)),4)),VALUE(MID(INDEX($A161:$T161,MATCH(Lists!$F$4,$A$1:$T$1,0)),6,2)),VALUE(MID(INDEX($A161:$T161,MATCH(Lists!$F$4,$A$1:$T$1,0)),9,2))))),""),IFERROR(IF(TRIM(INDEX($A161:$T161,MATCH(Lists!$F$5,$A$1:$T$1,0))&amp;"")="","",IF(ISNUMBER(INDEX($A161:$T161,MATCH(Lists!$F$5,$A$1:$T$1,0))),INT(INDEX($A161:$T161,MATCH(Lists!$F$5,$A$1:$T$1,0))),DATE(VALUE(LEFT(INDEX($A161:$T161,MATCH(Lists!$F$5,$A$1:$T$1,0)),4)),VALUE(MID(INDEX($A161:$T161,MATCH(Lists!$F$5,$A$1:$T$1,0)),6,2)),VALUE(MID(INDEX($A161:$T161,MATCH(Lists!$F$5,$A$1:$T$1,0)),9,2))))),"")))</f>
        <v/>
      </c>
      <c r="AB161" s="21">
        <f>IF(Y161="","",IF(LEFT(IFERROR(TRIM(INDEX($A161:$T161,MATCH(Lists!$F$6,$A$1:$T$1,0))&amp;""),""),2)="No","General comment",IF(IFERROR(TRIM(INDEX($A161:$T161,MATCH(Lists!$F$7,$A$1:$T$1,0))&amp;""),"")&lt;&gt;"",IFERROR(TRIM(INDEX($A161:$T161,MATCH(Lists!$F$7,$A$1:$T$1,0))&amp;""),""),IF(IFERROR(TRIM(INDEX($A161:$T161,MATCH(Lists!$F$8,$A$1:$T$1,0))&amp;""),"")&lt;&gt;"",IFERROR(TRIM(INDEX($A161:$T161,MATCH(Lists!$F$8,$A$1:$T$1,0))&amp;""),""),"(no item given)"))))</f>
        <v/>
      </c>
      <c r="AC161" s="21">
        <f>IF(Y161="","",IF(ISNUMBER(SEARCH("support",IFERROR(TRIM(INDEX($A161:$T161,MATCH(Lists!$F$9,$A$1:$T$1,0))&amp;""),""))),"Support",IF(ISNUMBER(SEARCH("oppose",IFERROR(TRIM(INDEX($A161:$T161,MATCH(Lists!$F$9,$A$1:$T$1,0))&amp;""),""))),"Oppose",IF(IFERROR(TRIM(INDEX($A161:$T161,MATCH(Lists!$F$9,$A$1:$T$1,0))&amp;""),"")="","No position","Neither"))))</f>
        <v/>
      </c>
      <c r="AD161" s="21">
        <f>IF(Y161="","",IF(ISNUMBER(SEARCH("in person",IFERROR(TRIM(INDEX($A161:$T161,MATCH(Lists!$F$13,$A$1:$T$1,0))&amp;""),""))),"In person",IF(ISNUMBER(SEARCH("online",IFERROR(TRIM(INDEX($A161:$T161,MATCH(Lists!$F$13,$A$1:$T$1,0))&amp;""),""))),"Online","Written only")))</f>
        <v/>
      </c>
      <c r="AE161" s="21">
        <f>IF(Y161="","",IFERROR(TRIM(INDEX($A161:$T161,MATCH(Lists!$F$11,$A$1:$T$1,0))&amp;""),""))</f>
        <v/>
      </c>
      <c r="AF161" s="21">
        <f>IF(Y161="","",IFERROR(TRIM(INDEX($A161:$T161,MATCH(Lists!$F$12,$A$1:$T$1,0))&amp;""),""))</f>
        <v/>
      </c>
      <c r="AG161" s="21">
        <f>IF(Y161="","",IFERROR(TRIM(INDEX($A161:$T161,MATCH(Lists!$F$14,$A$1:$T$1,0))&amp;""),""))</f>
        <v/>
      </c>
      <c r="AH161" s="21">
        <f>IF(Y161="","",LEFT(IFERROR(TRIM(INDEX($A161:$T161,MATCH(Lists!$F$10,$A$1:$T$1,0))&amp;""),""),80))</f>
        <v/>
      </c>
      <c r="AI161" s="21">
        <f>IF(Y161="",0,IF(OR(Tally!$B$5="",AA161=Tally!$B$5),1,0))</f>
        <v/>
      </c>
      <c r="AJ161" s="21">
        <f>IF(AI161=1,IF(COUNTIFS($AB$2:AB161,AB161,$AI$2:AI161,1)=1,1,0),0)</f>
        <v/>
      </c>
      <c r="AK161" s="21">
        <f>IF(AJ161=1,SUM($AJ$2:AJ161),"")</f>
        <v/>
      </c>
      <c r="AL161" s="21">
        <f>IF(AND(AI161=1,OR(AD161="In person",AD161="Online"),OR(Speakers!$B$5="",AB161=Speakers!$B$5)),N(Z161)+ROW()/1000000000,"")</f>
        <v/>
      </c>
    </row>
    <row r="162">
      <c r="U162" s="19" t="n"/>
      <c r="V162" s="24" t="n"/>
      <c r="W162" s="24" t="n"/>
      <c r="X162" s="19" t="n"/>
      <c r="Y162" s="21">
        <f>IFERROR(TRIM(INDEX($A162:$T162,MATCH(Lists!$F$2,$A$1:$T$1,0))&amp;""),"")</f>
        <v/>
      </c>
      <c r="Z162" s="22">
        <f>IF(Y162="","",IFERROR(IF(ISNUMBER(INDEX($A162:$T162,MATCH(Lists!$F$3,$A$1:$T$1,0))),INDEX($A162:$T162,MATCH(Lists!$F$3,$A$1:$T$1,0)),DATE(VALUE(LEFT(IFERROR(TRIM(INDEX($A162:$T162,MATCH(Lists!$F$3,$A$1:$T$1,0))&amp;""),""),4)),VALUE(MID(IFERROR(TRIM(INDEX($A162:$T162,MATCH(Lists!$F$3,$A$1:$T$1,0))&amp;""),""),6,2)),VALUE(MID(IFERROR(TRIM(INDEX($A162:$T162,MATCH(Lists!$F$3,$A$1:$T$1,0))&amp;""),""),9,2)))+TIME(VALUE(MID(IFERROR(TRIM(INDEX($A162:$T162,MATCH(Lists!$F$3,$A$1:$T$1,0))&amp;""),""),12,2)),VALUE(MID(IFERROR(TRIM(INDEX($A162:$T162,MATCH(Lists!$F$3,$A$1:$T$1,0))&amp;""),""),15,2)),VALUE(MID(IFERROR(TRIM(INDEX($A162:$T162,MATCH(Lists!$F$3,$A$1:$T$1,0))&amp;""),""),18,2)))),""))</f>
        <v/>
      </c>
      <c r="AA162" s="23">
        <f>IF(Y162="","",IF(ISNUMBER(IFERROR(IF(TRIM(INDEX($A162:$T162,MATCH(Lists!$F$4,$A$1:$T$1,0))&amp;"")="","",IF(ISNUMBER(INDEX($A162:$T162,MATCH(Lists!$F$4,$A$1:$T$1,0))),INT(INDEX($A162:$T162,MATCH(Lists!$F$4,$A$1:$T$1,0))),DATE(VALUE(LEFT(INDEX($A162:$T162,MATCH(Lists!$F$4,$A$1:$T$1,0)),4)),VALUE(MID(INDEX($A162:$T162,MATCH(Lists!$F$4,$A$1:$T$1,0)),6,2)),VALUE(MID(INDEX($A162:$T162,MATCH(Lists!$F$4,$A$1:$T$1,0)),9,2))))),"")),IFERROR(IF(TRIM(INDEX($A162:$T162,MATCH(Lists!$F$4,$A$1:$T$1,0))&amp;"")="","",IF(ISNUMBER(INDEX($A162:$T162,MATCH(Lists!$F$4,$A$1:$T$1,0))),INT(INDEX($A162:$T162,MATCH(Lists!$F$4,$A$1:$T$1,0))),DATE(VALUE(LEFT(INDEX($A162:$T162,MATCH(Lists!$F$4,$A$1:$T$1,0)),4)),VALUE(MID(INDEX($A162:$T162,MATCH(Lists!$F$4,$A$1:$T$1,0)),6,2)),VALUE(MID(INDEX($A162:$T162,MATCH(Lists!$F$4,$A$1:$T$1,0)),9,2))))),""),IFERROR(IF(TRIM(INDEX($A162:$T162,MATCH(Lists!$F$5,$A$1:$T$1,0))&amp;"")="","",IF(ISNUMBER(INDEX($A162:$T162,MATCH(Lists!$F$5,$A$1:$T$1,0))),INT(INDEX($A162:$T162,MATCH(Lists!$F$5,$A$1:$T$1,0))),DATE(VALUE(LEFT(INDEX($A162:$T162,MATCH(Lists!$F$5,$A$1:$T$1,0)),4)),VALUE(MID(INDEX($A162:$T162,MATCH(Lists!$F$5,$A$1:$T$1,0)),6,2)),VALUE(MID(INDEX($A162:$T162,MATCH(Lists!$F$5,$A$1:$T$1,0)),9,2))))),"")))</f>
        <v/>
      </c>
      <c r="AB162" s="21">
        <f>IF(Y162="","",IF(LEFT(IFERROR(TRIM(INDEX($A162:$T162,MATCH(Lists!$F$6,$A$1:$T$1,0))&amp;""),""),2)="No","General comment",IF(IFERROR(TRIM(INDEX($A162:$T162,MATCH(Lists!$F$7,$A$1:$T$1,0))&amp;""),"")&lt;&gt;"",IFERROR(TRIM(INDEX($A162:$T162,MATCH(Lists!$F$7,$A$1:$T$1,0))&amp;""),""),IF(IFERROR(TRIM(INDEX($A162:$T162,MATCH(Lists!$F$8,$A$1:$T$1,0))&amp;""),"")&lt;&gt;"",IFERROR(TRIM(INDEX($A162:$T162,MATCH(Lists!$F$8,$A$1:$T$1,0))&amp;""),""),"(no item given)"))))</f>
        <v/>
      </c>
      <c r="AC162" s="21">
        <f>IF(Y162="","",IF(ISNUMBER(SEARCH("support",IFERROR(TRIM(INDEX($A162:$T162,MATCH(Lists!$F$9,$A$1:$T$1,0))&amp;""),""))),"Support",IF(ISNUMBER(SEARCH("oppose",IFERROR(TRIM(INDEX($A162:$T162,MATCH(Lists!$F$9,$A$1:$T$1,0))&amp;""),""))),"Oppose",IF(IFERROR(TRIM(INDEX($A162:$T162,MATCH(Lists!$F$9,$A$1:$T$1,0))&amp;""),"")="","No position","Neither"))))</f>
        <v/>
      </c>
      <c r="AD162" s="21">
        <f>IF(Y162="","",IF(ISNUMBER(SEARCH("in person",IFERROR(TRIM(INDEX($A162:$T162,MATCH(Lists!$F$13,$A$1:$T$1,0))&amp;""),""))),"In person",IF(ISNUMBER(SEARCH("online",IFERROR(TRIM(INDEX($A162:$T162,MATCH(Lists!$F$13,$A$1:$T$1,0))&amp;""),""))),"Online","Written only")))</f>
        <v/>
      </c>
      <c r="AE162" s="21">
        <f>IF(Y162="","",IFERROR(TRIM(INDEX($A162:$T162,MATCH(Lists!$F$11,$A$1:$T$1,0))&amp;""),""))</f>
        <v/>
      </c>
      <c r="AF162" s="21">
        <f>IF(Y162="","",IFERROR(TRIM(INDEX($A162:$T162,MATCH(Lists!$F$12,$A$1:$T$1,0))&amp;""),""))</f>
        <v/>
      </c>
      <c r="AG162" s="21">
        <f>IF(Y162="","",IFERROR(TRIM(INDEX($A162:$T162,MATCH(Lists!$F$14,$A$1:$T$1,0))&amp;""),""))</f>
        <v/>
      </c>
      <c r="AH162" s="21">
        <f>IF(Y162="","",LEFT(IFERROR(TRIM(INDEX($A162:$T162,MATCH(Lists!$F$10,$A$1:$T$1,0))&amp;""),""),80))</f>
        <v/>
      </c>
      <c r="AI162" s="21">
        <f>IF(Y162="",0,IF(OR(Tally!$B$5="",AA162=Tally!$B$5),1,0))</f>
        <v/>
      </c>
      <c r="AJ162" s="21">
        <f>IF(AI162=1,IF(COUNTIFS($AB$2:AB162,AB162,$AI$2:AI162,1)=1,1,0),0)</f>
        <v/>
      </c>
      <c r="AK162" s="21">
        <f>IF(AJ162=1,SUM($AJ$2:AJ162),"")</f>
        <v/>
      </c>
      <c r="AL162" s="21">
        <f>IF(AND(AI162=1,OR(AD162="In person",AD162="Online"),OR(Speakers!$B$5="",AB162=Speakers!$B$5)),N(Z162)+ROW()/1000000000,"")</f>
        <v/>
      </c>
    </row>
    <row r="163">
      <c r="U163" s="19" t="n"/>
      <c r="V163" s="24" t="n"/>
      <c r="W163" s="24" t="n"/>
      <c r="X163" s="19" t="n"/>
      <c r="Y163" s="21">
        <f>IFERROR(TRIM(INDEX($A163:$T163,MATCH(Lists!$F$2,$A$1:$T$1,0))&amp;""),"")</f>
        <v/>
      </c>
      <c r="Z163" s="22">
        <f>IF(Y163="","",IFERROR(IF(ISNUMBER(INDEX($A163:$T163,MATCH(Lists!$F$3,$A$1:$T$1,0))),INDEX($A163:$T163,MATCH(Lists!$F$3,$A$1:$T$1,0)),DATE(VALUE(LEFT(IFERROR(TRIM(INDEX($A163:$T163,MATCH(Lists!$F$3,$A$1:$T$1,0))&amp;""),""),4)),VALUE(MID(IFERROR(TRIM(INDEX($A163:$T163,MATCH(Lists!$F$3,$A$1:$T$1,0))&amp;""),""),6,2)),VALUE(MID(IFERROR(TRIM(INDEX($A163:$T163,MATCH(Lists!$F$3,$A$1:$T$1,0))&amp;""),""),9,2)))+TIME(VALUE(MID(IFERROR(TRIM(INDEX($A163:$T163,MATCH(Lists!$F$3,$A$1:$T$1,0))&amp;""),""),12,2)),VALUE(MID(IFERROR(TRIM(INDEX($A163:$T163,MATCH(Lists!$F$3,$A$1:$T$1,0))&amp;""),""),15,2)),VALUE(MID(IFERROR(TRIM(INDEX($A163:$T163,MATCH(Lists!$F$3,$A$1:$T$1,0))&amp;""),""),18,2)))),""))</f>
        <v/>
      </c>
      <c r="AA163" s="23">
        <f>IF(Y163="","",IF(ISNUMBER(IFERROR(IF(TRIM(INDEX($A163:$T163,MATCH(Lists!$F$4,$A$1:$T$1,0))&amp;"")="","",IF(ISNUMBER(INDEX($A163:$T163,MATCH(Lists!$F$4,$A$1:$T$1,0))),INT(INDEX($A163:$T163,MATCH(Lists!$F$4,$A$1:$T$1,0))),DATE(VALUE(LEFT(INDEX($A163:$T163,MATCH(Lists!$F$4,$A$1:$T$1,0)),4)),VALUE(MID(INDEX($A163:$T163,MATCH(Lists!$F$4,$A$1:$T$1,0)),6,2)),VALUE(MID(INDEX($A163:$T163,MATCH(Lists!$F$4,$A$1:$T$1,0)),9,2))))),"")),IFERROR(IF(TRIM(INDEX($A163:$T163,MATCH(Lists!$F$4,$A$1:$T$1,0))&amp;"")="","",IF(ISNUMBER(INDEX($A163:$T163,MATCH(Lists!$F$4,$A$1:$T$1,0))),INT(INDEX($A163:$T163,MATCH(Lists!$F$4,$A$1:$T$1,0))),DATE(VALUE(LEFT(INDEX($A163:$T163,MATCH(Lists!$F$4,$A$1:$T$1,0)),4)),VALUE(MID(INDEX($A163:$T163,MATCH(Lists!$F$4,$A$1:$T$1,0)),6,2)),VALUE(MID(INDEX($A163:$T163,MATCH(Lists!$F$4,$A$1:$T$1,0)),9,2))))),""),IFERROR(IF(TRIM(INDEX($A163:$T163,MATCH(Lists!$F$5,$A$1:$T$1,0))&amp;"")="","",IF(ISNUMBER(INDEX($A163:$T163,MATCH(Lists!$F$5,$A$1:$T$1,0))),INT(INDEX($A163:$T163,MATCH(Lists!$F$5,$A$1:$T$1,0))),DATE(VALUE(LEFT(INDEX($A163:$T163,MATCH(Lists!$F$5,$A$1:$T$1,0)),4)),VALUE(MID(INDEX($A163:$T163,MATCH(Lists!$F$5,$A$1:$T$1,0)),6,2)),VALUE(MID(INDEX($A163:$T163,MATCH(Lists!$F$5,$A$1:$T$1,0)),9,2))))),"")))</f>
        <v/>
      </c>
      <c r="AB163" s="21">
        <f>IF(Y163="","",IF(LEFT(IFERROR(TRIM(INDEX($A163:$T163,MATCH(Lists!$F$6,$A$1:$T$1,0))&amp;""),""),2)="No","General comment",IF(IFERROR(TRIM(INDEX($A163:$T163,MATCH(Lists!$F$7,$A$1:$T$1,0))&amp;""),"")&lt;&gt;"",IFERROR(TRIM(INDEX($A163:$T163,MATCH(Lists!$F$7,$A$1:$T$1,0))&amp;""),""),IF(IFERROR(TRIM(INDEX($A163:$T163,MATCH(Lists!$F$8,$A$1:$T$1,0))&amp;""),"")&lt;&gt;"",IFERROR(TRIM(INDEX($A163:$T163,MATCH(Lists!$F$8,$A$1:$T$1,0))&amp;""),""),"(no item given)"))))</f>
        <v/>
      </c>
      <c r="AC163" s="21">
        <f>IF(Y163="","",IF(ISNUMBER(SEARCH("support",IFERROR(TRIM(INDEX($A163:$T163,MATCH(Lists!$F$9,$A$1:$T$1,0))&amp;""),""))),"Support",IF(ISNUMBER(SEARCH("oppose",IFERROR(TRIM(INDEX($A163:$T163,MATCH(Lists!$F$9,$A$1:$T$1,0))&amp;""),""))),"Oppose",IF(IFERROR(TRIM(INDEX($A163:$T163,MATCH(Lists!$F$9,$A$1:$T$1,0))&amp;""),"")="","No position","Neither"))))</f>
        <v/>
      </c>
      <c r="AD163" s="21">
        <f>IF(Y163="","",IF(ISNUMBER(SEARCH("in person",IFERROR(TRIM(INDEX($A163:$T163,MATCH(Lists!$F$13,$A$1:$T$1,0))&amp;""),""))),"In person",IF(ISNUMBER(SEARCH("online",IFERROR(TRIM(INDEX($A163:$T163,MATCH(Lists!$F$13,$A$1:$T$1,0))&amp;""),""))),"Online","Written only")))</f>
        <v/>
      </c>
      <c r="AE163" s="21">
        <f>IF(Y163="","",IFERROR(TRIM(INDEX($A163:$T163,MATCH(Lists!$F$11,$A$1:$T$1,0))&amp;""),""))</f>
        <v/>
      </c>
      <c r="AF163" s="21">
        <f>IF(Y163="","",IFERROR(TRIM(INDEX($A163:$T163,MATCH(Lists!$F$12,$A$1:$T$1,0))&amp;""),""))</f>
        <v/>
      </c>
      <c r="AG163" s="21">
        <f>IF(Y163="","",IFERROR(TRIM(INDEX($A163:$T163,MATCH(Lists!$F$14,$A$1:$T$1,0))&amp;""),""))</f>
        <v/>
      </c>
      <c r="AH163" s="21">
        <f>IF(Y163="","",LEFT(IFERROR(TRIM(INDEX($A163:$T163,MATCH(Lists!$F$10,$A$1:$T$1,0))&amp;""),""),80))</f>
        <v/>
      </c>
      <c r="AI163" s="21">
        <f>IF(Y163="",0,IF(OR(Tally!$B$5="",AA163=Tally!$B$5),1,0))</f>
        <v/>
      </c>
      <c r="AJ163" s="21">
        <f>IF(AI163=1,IF(COUNTIFS($AB$2:AB163,AB163,$AI$2:AI163,1)=1,1,0),0)</f>
        <v/>
      </c>
      <c r="AK163" s="21">
        <f>IF(AJ163=1,SUM($AJ$2:AJ163),"")</f>
        <v/>
      </c>
      <c r="AL163" s="21">
        <f>IF(AND(AI163=1,OR(AD163="In person",AD163="Online"),OR(Speakers!$B$5="",AB163=Speakers!$B$5)),N(Z163)+ROW()/1000000000,"")</f>
        <v/>
      </c>
    </row>
    <row r="164">
      <c r="U164" s="19" t="n"/>
      <c r="V164" s="24" t="n"/>
      <c r="W164" s="24" t="n"/>
      <c r="X164" s="19" t="n"/>
      <c r="Y164" s="21">
        <f>IFERROR(TRIM(INDEX($A164:$T164,MATCH(Lists!$F$2,$A$1:$T$1,0))&amp;""),"")</f>
        <v/>
      </c>
      <c r="Z164" s="22">
        <f>IF(Y164="","",IFERROR(IF(ISNUMBER(INDEX($A164:$T164,MATCH(Lists!$F$3,$A$1:$T$1,0))),INDEX($A164:$T164,MATCH(Lists!$F$3,$A$1:$T$1,0)),DATE(VALUE(LEFT(IFERROR(TRIM(INDEX($A164:$T164,MATCH(Lists!$F$3,$A$1:$T$1,0))&amp;""),""),4)),VALUE(MID(IFERROR(TRIM(INDEX($A164:$T164,MATCH(Lists!$F$3,$A$1:$T$1,0))&amp;""),""),6,2)),VALUE(MID(IFERROR(TRIM(INDEX($A164:$T164,MATCH(Lists!$F$3,$A$1:$T$1,0))&amp;""),""),9,2)))+TIME(VALUE(MID(IFERROR(TRIM(INDEX($A164:$T164,MATCH(Lists!$F$3,$A$1:$T$1,0))&amp;""),""),12,2)),VALUE(MID(IFERROR(TRIM(INDEX($A164:$T164,MATCH(Lists!$F$3,$A$1:$T$1,0))&amp;""),""),15,2)),VALUE(MID(IFERROR(TRIM(INDEX($A164:$T164,MATCH(Lists!$F$3,$A$1:$T$1,0))&amp;""),""),18,2)))),""))</f>
        <v/>
      </c>
      <c r="AA164" s="23">
        <f>IF(Y164="","",IF(ISNUMBER(IFERROR(IF(TRIM(INDEX($A164:$T164,MATCH(Lists!$F$4,$A$1:$T$1,0))&amp;"")="","",IF(ISNUMBER(INDEX($A164:$T164,MATCH(Lists!$F$4,$A$1:$T$1,0))),INT(INDEX($A164:$T164,MATCH(Lists!$F$4,$A$1:$T$1,0))),DATE(VALUE(LEFT(INDEX($A164:$T164,MATCH(Lists!$F$4,$A$1:$T$1,0)),4)),VALUE(MID(INDEX($A164:$T164,MATCH(Lists!$F$4,$A$1:$T$1,0)),6,2)),VALUE(MID(INDEX($A164:$T164,MATCH(Lists!$F$4,$A$1:$T$1,0)),9,2))))),"")),IFERROR(IF(TRIM(INDEX($A164:$T164,MATCH(Lists!$F$4,$A$1:$T$1,0))&amp;"")="","",IF(ISNUMBER(INDEX($A164:$T164,MATCH(Lists!$F$4,$A$1:$T$1,0))),INT(INDEX($A164:$T164,MATCH(Lists!$F$4,$A$1:$T$1,0))),DATE(VALUE(LEFT(INDEX($A164:$T164,MATCH(Lists!$F$4,$A$1:$T$1,0)),4)),VALUE(MID(INDEX($A164:$T164,MATCH(Lists!$F$4,$A$1:$T$1,0)),6,2)),VALUE(MID(INDEX($A164:$T164,MATCH(Lists!$F$4,$A$1:$T$1,0)),9,2))))),""),IFERROR(IF(TRIM(INDEX($A164:$T164,MATCH(Lists!$F$5,$A$1:$T$1,0))&amp;"")="","",IF(ISNUMBER(INDEX($A164:$T164,MATCH(Lists!$F$5,$A$1:$T$1,0))),INT(INDEX($A164:$T164,MATCH(Lists!$F$5,$A$1:$T$1,0))),DATE(VALUE(LEFT(INDEX($A164:$T164,MATCH(Lists!$F$5,$A$1:$T$1,0)),4)),VALUE(MID(INDEX($A164:$T164,MATCH(Lists!$F$5,$A$1:$T$1,0)),6,2)),VALUE(MID(INDEX($A164:$T164,MATCH(Lists!$F$5,$A$1:$T$1,0)),9,2))))),"")))</f>
        <v/>
      </c>
      <c r="AB164" s="21">
        <f>IF(Y164="","",IF(LEFT(IFERROR(TRIM(INDEX($A164:$T164,MATCH(Lists!$F$6,$A$1:$T$1,0))&amp;""),""),2)="No","General comment",IF(IFERROR(TRIM(INDEX($A164:$T164,MATCH(Lists!$F$7,$A$1:$T$1,0))&amp;""),"")&lt;&gt;"",IFERROR(TRIM(INDEX($A164:$T164,MATCH(Lists!$F$7,$A$1:$T$1,0))&amp;""),""),IF(IFERROR(TRIM(INDEX($A164:$T164,MATCH(Lists!$F$8,$A$1:$T$1,0))&amp;""),"")&lt;&gt;"",IFERROR(TRIM(INDEX($A164:$T164,MATCH(Lists!$F$8,$A$1:$T$1,0))&amp;""),""),"(no item given)"))))</f>
        <v/>
      </c>
      <c r="AC164" s="21">
        <f>IF(Y164="","",IF(ISNUMBER(SEARCH("support",IFERROR(TRIM(INDEX($A164:$T164,MATCH(Lists!$F$9,$A$1:$T$1,0))&amp;""),""))),"Support",IF(ISNUMBER(SEARCH("oppose",IFERROR(TRIM(INDEX($A164:$T164,MATCH(Lists!$F$9,$A$1:$T$1,0))&amp;""),""))),"Oppose",IF(IFERROR(TRIM(INDEX($A164:$T164,MATCH(Lists!$F$9,$A$1:$T$1,0))&amp;""),"")="","No position","Neither"))))</f>
        <v/>
      </c>
      <c r="AD164" s="21">
        <f>IF(Y164="","",IF(ISNUMBER(SEARCH("in person",IFERROR(TRIM(INDEX($A164:$T164,MATCH(Lists!$F$13,$A$1:$T$1,0))&amp;""),""))),"In person",IF(ISNUMBER(SEARCH("online",IFERROR(TRIM(INDEX($A164:$T164,MATCH(Lists!$F$13,$A$1:$T$1,0))&amp;""),""))),"Online","Written only")))</f>
        <v/>
      </c>
      <c r="AE164" s="21">
        <f>IF(Y164="","",IFERROR(TRIM(INDEX($A164:$T164,MATCH(Lists!$F$11,$A$1:$T$1,0))&amp;""),""))</f>
        <v/>
      </c>
      <c r="AF164" s="21">
        <f>IF(Y164="","",IFERROR(TRIM(INDEX($A164:$T164,MATCH(Lists!$F$12,$A$1:$T$1,0))&amp;""),""))</f>
        <v/>
      </c>
      <c r="AG164" s="21">
        <f>IF(Y164="","",IFERROR(TRIM(INDEX($A164:$T164,MATCH(Lists!$F$14,$A$1:$T$1,0))&amp;""),""))</f>
        <v/>
      </c>
      <c r="AH164" s="21">
        <f>IF(Y164="","",LEFT(IFERROR(TRIM(INDEX($A164:$T164,MATCH(Lists!$F$10,$A$1:$T$1,0))&amp;""),""),80))</f>
        <v/>
      </c>
      <c r="AI164" s="21">
        <f>IF(Y164="",0,IF(OR(Tally!$B$5="",AA164=Tally!$B$5),1,0))</f>
        <v/>
      </c>
      <c r="AJ164" s="21">
        <f>IF(AI164=1,IF(COUNTIFS($AB$2:AB164,AB164,$AI$2:AI164,1)=1,1,0),0)</f>
        <v/>
      </c>
      <c r="AK164" s="21">
        <f>IF(AJ164=1,SUM($AJ$2:AJ164),"")</f>
        <v/>
      </c>
      <c r="AL164" s="21">
        <f>IF(AND(AI164=1,OR(AD164="In person",AD164="Online"),OR(Speakers!$B$5="",AB164=Speakers!$B$5)),N(Z164)+ROW()/1000000000,"")</f>
        <v/>
      </c>
    </row>
    <row r="165">
      <c r="U165" s="19" t="n"/>
      <c r="V165" s="24" t="n"/>
      <c r="W165" s="24" t="n"/>
      <c r="X165" s="19" t="n"/>
      <c r="Y165" s="21">
        <f>IFERROR(TRIM(INDEX($A165:$T165,MATCH(Lists!$F$2,$A$1:$T$1,0))&amp;""),"")</f>
        <v/>
      </c>
      <c r="Z165" s="22">
        <f>IF(Y165="","",IFERROR(IF(ISNUMBER(INDEX($A165:$T165,MATCH(Lists!$F$3,$A$1:$T$1,0))),INDEX($A165:$T165,MATCH(Lists!$F$3,$A$1:$T$1,0)),DATE(VALUE(LEFT(IFERROR(TRIM(INDEX($A165:$T165,MATCH(Lists!$F$3,$A$1:$T$1,0))&amp;""),""),4)),VALUE(MID(IFERROR(TRIM(INDEX($A165:$T165,MATCH(Lists!$F$3,$A$1:$T$1,0))&amp;""),""),6,2)),VALUE(MID(IFERROR(TRIM(INDEX($A165:$T165,MATCH(Lists!$F$3,$A$1:$T$1,0))&amp;""),""),9,2)))+TIME(VALUE(MID(IFERROR(TRIM(INDEX($A165:$T165,MATCH(Lists!$F$3,$A$1:$T$1,0))&amp;""),""),12,2)),VALUE(MID(IFERROR(TRIM(INDEX($A165:$T165,MATCH(Lists!$F$3,$A$1:$T$1,0))&amp;""),""),15,2)),VALUE(MID(IFERROR(TRIM(INDEX($A165:$T165,MATCH(Lists!$F$3,$A$1:$T$1,0))&amp;""),""),18,2)))),""))</f>
        <v/>
      </c>
      <c r="AA165" s="23">
        <f>IF(Y165="","",IF(ISNUMBER(IFERROR(IF(TRIM(INDEX($A165:$T165,MATCH(Lists!$F$4,$A$1:$T$1,0))&amp;"")="","",IF(ISNUMBER(INDEX($A165:$T165,MATCH(Lists!$F$4,$A$1:$T$1,0))),INT(INDEX($A165:$T165,MATCH(Lists!$F$4,$A$1:$T$1,0))),DATE(VALUE(LEFT(INDEX($A165:$T165,MATCH(Lists!$F$4,$A$1:$T$1,0)),4)),VALUE(MID(INDEX($A165:$T165,MATCH(Lists!$F$4,$A$1:$T$1,0)),6,2)),VALUE(MID(INDEX($A165:$T165,MATCH(Lists!$F$4,$A$1:$T$1,0)),9,2))))),"")),IFERROR(IF(TRIM(INDEX($A165:$T165,MATCH(Lists!$F$4,$A$1:$T$1,0))&amp;"")="","",IF(ISNUMBER(INDEX($A165:$T165,MATCH(Lists!$F$4,$A$1:$T$1,0))),INT(INDEX($A165:$T165,MATCH(Lists!$F$4,$A$1:$T$1,0))),DATE(VALUE(LEFT(INDEX($A165:$T165,MATCH(Lists!$F$4,$A$1:$T$1,0)),4)),VALUE(MID(INDEX($A165:$T165,MATCH(Lists!$F$4,$A$1:$T$1,0)),6,2)),VALUE(MID(INDEX($A165:$T165,MATCH(Lists!$F$4,$A$1:$T$1,0)),9,2))))),""),IFERROR(IF(TRIM(INDEX($A165:$T165,MATCH(Lists!$F$5,$A$1:$T$1,0))&amp;"")="","",IF(ISNUMBER(INDEX($A165:$T165,MATCH(Lists!$F$5,$A$1:$T$1,0))),INT(INDEX($A165:$T165,MATCH(Lists!$F$5,$A$1:$T$1,0))),DATE(VALUE(LEFT(INDEX($A165:$T165,MATCH(Lists!$F$5,$A$1:$T$1,0)),4)),VALUE(MID(INDEX($A165:$T165,MATCH(Lists!$F$5,$A$1:$T$1,0)),6,2)),VALUE(MID(INDEX($A165:$T165,MATCH(Lists!$F$5,$A$1:$T$1,0)),9,2))))),"")))</f>
        <v/>
      </c>
      <c r="AB165" s="21">
        <f>IF(Y165="","",IF(LEFT(IFERROR(TRIM(INDEX($A165:$T165,MATCH(Lists!$F$6,$A$1:$T$1,0))&amp;""),""),2)="No","General comment",IF(IFERROR(TRIM(INDEX($A165:$T165,MATCH(Lists!$F$7,$A$1:$T$1,0))&amp;""),"")&lt;&gt;"",IFERROR(TRIM(INDEX($A165:$T165,MATCH(Lists!$F$7,$A$1:$T$1,0))&amp;""),""),IF(IFERROR(TRIM(INDEX($A165:$T165,MATCH(Lists!$F$8,$A$1:$T$1,0))&amp;""),"")&lt;&gt;"",IFERROR(TRIM(INDEX($A165:$T165,MATCH(Lists!$F$8,$A$1:$T$1,0))&amp;""),""),"(no item given)"))))</f>
        <v/>
      </c>
      <c r="AC165" s="21">
        <f>IF(Y165="","",IF(ISNUMBER(SEARCH("support",IFERROR(TRIM(INDEX($A165:$T165,MATCH(Lists!$F$9,$A$1:$T$1,0))&amp;""),""))),"Support",IF(ISNUMBER(SEARCH("oppose",IFERROR(TRIM(INDEX($A165:$T165,MATCH(Lists!$F$9,$A$1:$T$1,0))&amp;""),""))),"Oppose",IF(IFERROR(TRIM(INDEX($A165:$T165,MATCH(Lists!$F$9,$A$1:$T$1,0))&amp;""),"")="","No position","Neither"))))</f>
        <v/>
      </c>
      <c r="AD165" s="21">
        <f>IF(Y165="","",IF(ISNUMBER(SEARCH("in person",IFERROR(TRIM(INDEX($A165:$T165,MATCH(Lists!$F$13,$A$1:$T$1,0))&amp;""),""))),"In person",IF(ISNUMBER(SEARCH("online",IFERROR(TRIM(INDEX($A165:$T165,MATCH(Lists!$F$13,$A$1:$T$1,0))&amp;""),""))),"Online","Written only")))</f>
        <v/>
      </c>
      <c r="AE165" s="21">
        <f>IF(Y165="","",IFERROR(TRIM(INDEX($A165:$T165,MATCH(Lists!$F$11,$A$1:$T$1,0))&amp;""),""))</f>
        <v/>
      </c>
      <c r="AF165" s="21">
        <f>IF(Y165="","",IFERROR(TRIM(INDEX($A165:$T165,MATCH(Lists!$F$12,$A$1:$T$1,0))&amp;""),""))</f>
        <v/>
      </c>
      <c r="AG165" s="21">
        <f>IF(Y165="","",IFERROR(TRIM(INDEX($A165:$T165,MATCH(Lists!$F$14,$A$1:$T$1,0))&amp;""),""))</f>
        <v/>
      </c>
      <c r="AH165" s="21">
        <f>IF(Y165="","",LEFT(IFERROR(TRIM(INDEX($A165:$T165,MATCH(Lists!$F$10,$A$1:$T$1,0))&amp;""),""),80))</f>
        <v/>
      </c>
      <c r="AI165" s="21">
        <f>IF(Y165="",0,IF(OR(Tally!$B$5="",AA165=Tally!$B$5),1,0))</f>
        <v/>
      </c>
      <c r="AJ165" s="21">
        <f>IF(AI165=1,IF(COUNTIFS($AB$2:AB165,AB165,$AI$2:AI165,1)=1,1,0),0)</f>
        <v/>
      </c>
      <c r="AK165" s="21">
        <f>IF(AJ165=1,SUM($AJ$2:AJ165),"")</f>
        <v/>
      </c>
      <c r="AL165" s="21">
        <f>IF(AND(AI165=1,OR(AD165="In person",AD165="Online"),OR(Speakers!$B$5="",AB165=Speakers!$B$5)),N(Z165)+ROW()/1000000000,"")</f>
        <v/>
      </c>
    </row>
    <row r="166">
      <c r="U166" s="19" t="n"/>
      <c r="V166" s="24" t="n"/>
      <c r="W166" s="24" t="n"/>
      <c r="X166" s="19" t="n"/>
      <c r="Y166" s="21">
        <f>IFERROR(TRIM(INDEX($A166:$T166,MATCH(Lists!$F$2,$A$1:$T$1,0))&amp;""),"")</f>
        <v/>
      </c>
      <c r="Z166" s="22">
        <f>IF(Y166="","",IFERROR(IF(ISNUMBER(INDEX($A166:$T166,MATCH(Lists!$F$3,$A$1:$T$1,0))),INDEX($A166:$T166,MATCH(Lists!$F$3,$A$1:$T$1,0)),DATE(VALUE(LEFT(IFERROR(TRIM(INDEX($A166:$T166,MATCH(Lists!$F$3,$A$1:$T$1,0))&amp;""),""),4)),VALUE(MID(IFERROR(TRIM(INDEX($A166:$T166,MATCH(Lists!$F$3,$A$1:$T$1,0))&amp;""),""),6,2)),VALUE(MID(IFERROR(TRIM(INDEX($A166:$T166,MATCH(Lists!$F$3,$A$1:$T$1,0))&amp;""),""),9,2)))+TIME(VALUE(MID(IFERROR(TRIM(INDEX($A166:$T166,MATCH(Lists!$F$3,$A$1:$T$1,0))&amp;""),""),12,2)),VALUE(MID(IFERROR(TRIM(INDEX($A166:$T166,MATCH(Lists!$F$3,$A$1:$T$1,0))&amp;""),""),15,2)),VALUE(MID(IFERROR(TRIM(INDEX($A166:$T166,MATCH(Lists!$F$3,$A$1:$T$1,0))&amp;""),""),18,2)))),""))</f>
        <v/>
      </c>
      <c r="AA166" s="23">
        <f>IF(Y166="","",IF(ISNUMBER(IFERROR(IF(TRIM(INDEX($A166:$T166,MATCH(Lists!$F$4,$A$1:$T$1,0))&amp;"")="","",IF(ISNUMBER(INDEX($A166:$T166,MATCH(Lists!$F$4,$A$1:$T$1,0))),INT(INDEX($A166:$T166,MATCH(Lists!$F$4,$A$1:$T$1,0))),DATE(VALUE(LEFT(INDEX($A166:$T166,MATCH(Lists!$F$4,$A$1:$T$1,0)),4)),VALUE(MID(INDEX($A166:$T166,MATCH(Lists!$F$4,$A$1:$T$1,0)),6,2)),VALUE(MID(INDEX($A166:$T166,MATCH(Lists!$F$4,$A$1:$T$1,0)),9,2))))),"")),IFERROR(IF(TRIM(INDEX($A166:$T166,MATCH(Lists!$F$4,$A$1:$T$1,0))&amp;"")="","",IF(ISNUMBER(INDEX($A166:$T166,MATCH(Lists!$F$4,$A$1:$T$1,0))),INT(INDEX($A166:$T166,MATCH(Lists!$F$4,$A$1:$T$1,0))),DATE(VALUE(LEFT(INDEX($A166:$T166,MATCH(Lists!$F$4,$A$1:$T$1,0)),4)),VALUE(MID(INDEX($A166:$T166,MATCH(Lists!$F$4,$A$1:$T$1,0)),6,2)),VALUE(MID(INDEX($A166:$T166,MATCH(Lists!$F$4,$A$1:$T$1,0)),9,2))))),""),IFERROR(IF(TRIM(INDEX($A166:$T166,MATCH(Lists!$F$5,$A$1:$T$1,0))&amp;"")="","",IF(ISNUMBER(INDEX($A166:$T166,MATCH(Lists!$F$5,$A$1:$T$1,0))),INT(INDEX($A166:$T166,MATCH(Lists!$F$5,$A$1:$T$1,0))),DATE(VALUE(LEFT(INDEX($A166:$T166,MATCH(Lists!$F$5,$A$1:$T$1,0)),4)),VALUE(MID(INDEX($A166:$T166,MATCH(Lists!$F$5,$A$1:$T$1,0)),6,2)),VALUE(MID(INDEX($A166:$T166,MATCH(Lists!$F$5,$A$1:$T$1,0)),9,2))))),"")))</f>
        <v/>
      </c>
      <c r="AB166" s="21">
        <f>IF(Y166="","",IF(LEFT(IFERROR(TRIM(INDEX($A166:$T166,MATCH(Lists!$F$6,$A$1:$T$1,0))&amp;""),""),2)="No","General comment",IF(IFERROR(TRIM(INDEX($A166:$T166,MATCH(Lists!$F$7,$A$1:$T$1,0))&amp;""),"")&lt;&gt;"",IFERROR(TRIM(INDEX($A166:$T166,MATCH(Lists!$F$7,$A$1:$T$1,0))&amp;""),""),IF(IFERROR(TRIM(INDEX($A166:$T166,MATCH(Lists!$F$8,$A$1:$T$1,0))&amp;""),"")&lt;&gt;"",IFERROR(TRIM(INDEX($A166:$T166,MATCH(Lists!$F$8,$A$1:$T$1,0))&amp;""),""),"(no item given)"))))</f>
        <v/>
      </c>
      <c r="AC166" s="21">
        <f>IF(Y166="","",IF(ISNUMBER(SEARCH("support",IFERROR(TRIM(INDEX($A166:$T166,MATCH(Lists!$F$9,$A$1:$T$1,0))&amp;""),""))),"Support",IF(ISNUMBER(SEARCH("oppose",IFERROR(TRIM(INDEX($A166:$T166,MATCH(Lists!$F$9,$A$1:$T$1,0))&amp;""),""))),"Oppose",IF(IFERROR(TRIM(INDEX($A166:$T166,MATCH(Lists!$F$9,$A$1:$T$1,0))&amp;""),"")="","No position","Neither"))))</f>
        <v/>
      </c>
      <c r="AD166" s="21">
        <f>IF(Y166="","",IF(ISNUMBER(SEARCH("in person",IFERROR(TRIM(INDEX($A166:$T166,MATCH(Lists!$F$13,$A$1:$T$1,0))&amp;""),""))),"In person",IF(ISNUMBER(SEARCH("online",IFERROR(TRIM(INDEX($A166:$T166,MATCH(Lists!$F$13,$A$1:$T$1,0))&amp;""),""))),"Online","Written only")))</f>
        <v/>
      </c>
      <c r="AE166" s="21">
        <f>IF(Y166="","",IFERROR(TRIM(INDEX($A166:$T166,MATCH(Lists!$F$11,$A$1:$T$1,0))&amp;""),""))</f>
        <v/>
      </c>
      <c r="AF166" s="21">
        <f>IF(Y166="","",IFERROR(TRIM(INDEX($A166:$T166,MATCH(Lists!$F$12,$A$1:$T$1,0))&amp;""),""))</f>
        <v/>
      </c>
      <c r="AG166" s="21">
        <f>IF(Y166="","",IFERROR(TRIM(INDEX($A166:$T166,MATCH(Lists!$F$14,$A$1:$T$1,0))&amp;""),""))</f>
        <v/>
      </c>
      <c r="AH166" s="21">
        <f>IF(Y166="","",LEFT(IFERROR(TRIM(INDEX($A166:$T166,MATCH(Lists!$F$10,$A$1:$T$1,0))&amp;""),""),80))</f>
        <v/>
      </c>
      <c r="AI166" s="21">
        <f>IF(Y166="",0,IF(OR(Tally!$B$5="",AA166=Tally!$B$5),1,0))</f>
        <v/>
      </c>
      <c r="AJ166" s="21">
        <f>IF(AI166=1,IF(COUNTIFS($AB$2:AB166,AB166,$AI$2:AI166,1)=1,1,0),0)</f>
        <v/>
      </c>
      <c r="AK166" s="21">
        <f>IF(AJ166=1,SUM($AJ$2:AJ166),"")</f>
        <v/>
      </c>
      <c r="AL166" s="21">
        <f>IF(AND(AI166=1,OR(AD166="In person",AD166="Online"),OR(Speakers!$B$5="",AB166=Speakers!$B$5)),N(Z166)+ROW()/1000000000,"")</f>
        <v/>
      </c>
    </row>
    <row r="167">
      <c r="U167" s="19" t="n"/>
      <c r="V167" s="24" t="n"/>
      <c r="W167" s="24" t="n"/>
      <c r="X167" s="19" t="n"/>
      <c r="Y167" s="21">
        <f>IFERROR(TRIM(INDEX($A167:$T167,MATCH(Lists!$F$2,$A$1:$T$1,0))&amp;""),"")</f>
        <v/>
      </c>
      <c r="Z167" s="22">
        <f>IF(Y167="","",IFERROR(IF(ISNUMBER(INDEX($A167:$T167,MATCH(Lists!$F$3,$A$1:$T$1,0))),INDEX($A167:$T167,MATCH(Lists!$F$3,$A$1:$T$1,0)),DATE(VALUE(LEFT(IFERROR(TRIM(INDEX($A167:$T167,MATCH(Lists!$F$3,$A$1:$T$1,0))&amp;""),""),4)),VALUE(MID(IFERROR(TRIM(INDEX($A167:$T167,MATCH(Lists!$F$3,$A$1:$T$1,0))&amp;""),""),6,2)),VALUE(MID(IFERROR(TRIM(INDEX($A167:$T167,MATCH(Lists!$F$3,$A$1:$T$1,0))&amp;""),""),9,2)))+TIME(VALUE(MID(IFERROR(TRIM(INDEX($A167:$T167,MATCH(Lists!$F$3,$A$1:$T$1,0))&amp;""),""),12,2)),VALUE(MID(IFERROR(TRIM(INDEX($A167:$T167,MATCH(Lists!$F$3,$A$1:$T$1,0))&amp;""),""),15,2)),VALUE(MID(IFERROR(TRIM(INDEX($A167:$T167,MATCH(Lists!$F$3,$A$1:$T$1,0))&amp;""),""),18,2)))),""))</f>
        <v/>
      </c>
      <c r="AA167" s="23">
        <f>IF(Y167="","",IF(ISNUMBER(IFERROR(IF(TRIM(INDEX($A167:$T167,MATCH(Lists!$F$4,$A$1:$T$1,0))&amp;"")="","",IF(ISNUMBER(INDEX($A167:$T167,MATCH(Lists!$F$4,$A$1:$T$1,0))),INT(INDEX($A167:$T167,MATCH(Lists!$F$4,$A$1:$T$1,0))),DATE(VALUE(LEFT(INDEX($A167:$T167,MATCH(Lists!$F$4,$A$1:$T$1,0)),4)),VALUE(MID(INDEX($A167:$T167,MATCH(Lists!$F$4,$A$1:$T$1,0)),6,2)),VALUE(MID(INDEX($A167:$T167,MATCH(Lists!$F$4,$A$1:$T$1,0)),9,2))))),"")),IFERROR(IF(TRIM(INDEX($A167:$T167,MATCH(Lists!$F$4,$A$1:$T$1,0))&amp;"")="","",IF(ISNUMBER(INDEX($A167:$T167,MATCH(Lists!$F$4,$A$1:$T$1,0))),INT(INDEX($A167:$T167,MATCH(Lists!$F$4,$A$1:$T$1,0))),DATE(VALUE(LEFT(INDEX($A167:$T167,MATCH(Lists!$F$4,$A$1:$T$1,0)),4)),VALUE(MID(INDEX($A167:$T167,MATCH(Lists!$F$4,$A$1:$T$1,0)),6,2)),VALUE(MID(INDEX($A167:$T167,MATCH(Lists!$F$4,$A$1:$T$1,0)),9,2))))),""),IFERROR(IF(TRIM(INDEX($A167:$T167,MATCH(Lists!$F$5,$A$1:$T$1,0))&amp;"")="","",IF(ISNUMBER(INDEX($A167:$T167,MATCH(Lists!$F$5,$A$1:$T$1,0))),INT(INDEX($A167:$T167,MATCH(Lists!$F$5,$A$1:$T$1,0))),DATE(VALUE(LEFT(INDEX($A167:$T167,MATCH(Lists!$F$5,$A$1:$T$1,0)),4)),VALUE(MID(INDEX($A167:$T167,MATCH(Lists!$F$5,$A$1:$T$1,0)),6,2)),VALUE(MID(INDEX($A167:$T167,MATCH(Lists!$F$5,$A$1:$T$1,0)),9,2))))),"")))</f>
        <v/>
      </c>
      <c r="AB167" s="21">
        <f>IF(Y167="","",IF(LEFT(IFERROR(TRIM(INDEX($A167:$T167,MATCH(Lists!$F$6,$A$1:$T$1,0))&amp;""),""),2)="No","General comment",IF(IFERROR(TRIM(INDEX($A167:$T167,MATCH(Lists!$F$7,$A$1:$T$1,0))&amp;""),"")&lt;&gt;"",IFERROR(TRIM(INDEX($A167:$T167,MATCH(Lists!$F$7,$A$1:$T$1,0))&amp;""),""),IF(IFERROR(TRIM(INDEX($A167:$T167,MATCH(Lists!$F$8,$A$1:$T$1,0))&amp;""),"")&lt;&gt;"",IFERROR(TRIM(INDEX($A167:$T167,MATCH(Lists!$F$8,$A$1:$T$1,0))&amp;""),""),"(no item given)"))))</f>
        <v/>
      </c>
      <c r="AC167" s="21">
        <f>IF(Y167="","",IF(ISNUMBER(SEARCH("support",IFERROR(TRIM(INDEX($A167:$T167,MATCH(Lists!$F$9,$A$1:$T$1,0))&amp;""),""))),"Support",IF(ISNUMBER(SEARCH("oppose",IFERROR(TRIM(INDEX($A167:$T167,MATCH(Lists!$F$9,$A$1:$T$1,0))&amp;""),""))),"Oppose",IF(IFERROR(TRIM(INDEX($A167:$T167,MATCH(Lists!$F$9,$A$1:$T$1,0))&amp;""),"")="","No position","Neither"))))</f>
        <v/>
      </c>
      <c r="AD167" s="21">
        <f>IF(Y167="","",IF(ISNUMBER(SEARCH("in person",IFERROR(TRIM(INDEX($A167:$T167,MATCH(Lists!$F$13,$A$1:$T$1,0))&amp;""),""))),"In person",IF(ISNUMBER(SEARCH("online",IFERROR(TRIM(INDEX($A167:$T167,MATCH(Lists!$F$13,$A$1:$T$1,0))&amp;""),""))),"Online","Written only")))</f>
        <v/>
      </c>
      <c r="AE167" s="21">
        <f>IF(Y167="","",IFERROR(TRIM(INDEX($A167:$T167,MATCH(Lists!$F$11,$A$1:$T$1,0))&amp;""),""))</f>
        <v/>
      </c>
      <c r="AF167" s="21">
        <f>IF(Y167="","",IFERROR(TRIM(INDEX($A167:$T167,MATCH(Lists!$F$12,$A$1:$T$1,0))&amp;""),""))</f>
        <v/>
      </c>
      <c r="AG167" s="21">
        <f>IF(Y167="","",IFERROR(TRIM(INDEX($A167:$T167,MATCH(Lists!$F$14,$A$1:$T$1,0))&amp;""),""))</f>
        <v/>
      </c>
      <c r="AH167" s="21">
        <f>IF(Y167="","",LEFT(IFERROR(TRIM(INDEX($A167:$T167,MATCH(Lists!$F$10,$A$1:$T$1,0))&amp;""),""),80))</f>
        <v/>
      </c>
      <c r="AI167" s="21">
        <f>IF(Y167="",0,IF(OR(Tally!$B$5="",AA167=Tally!$B$5),1,0))</f>
        <v/>
      </c>
      <c r="AJ167" s="21">
        <f>IF(AI167=1,IF(COUNTIFS($AB$2:AB167,AB167,$AI$2:AI167,1)=1,1,0),0)</f>
        <v/>
      </c>
      <c r="AK167" s="21">
        <f>IF(AJ167=1,SUM($AJ$2:AJ167),"")</f>
        <v/>
      </c>
      <c r="AL167" s="21">
        <f>IF(AND(AI167=1,OR(AD167="In person",AD167="Online"),OR(Speakers!$B$5="",AB167=Speakers!$B$5)),N(Z167)+ROW()/1000000000,"")</f>
        <v/>
      </c>
    </row>
    <row r="168">
      <c r="U168" s="19" t="n"/>
      <c r="V168" s="24" t="n"/>
      <c r="W168" s="24" t="n"/>
      <c r="X168" s="19" t="n"/>
      <c r="Y168" s="21">
        <f>IFERROR(TRIM(INDEX($A168:$T168,MATCH(Lists!$F$2,$A$1:$T$1,0))&amp;""),"")</f>
        <v/>
      </c>
      <c r="Z168" s="22">
        <f>IF(Y168="","",IFERROR(IF(ISNUMBER(INDEX($A168:$T168,MATCH(Lists!$F$3,$A$1:$T$1,0))),INDEX($A168:$T168,MATCH(Lists!$F$3,$A$1:$T$1,0)),DATE(VALUE(LEFT(IFERROR(TRIM(INDEX($A168:$T168,MATCH(Lists!$F$3,$A$1:$T$1,0))&amp;""),""),4)),VALUE(MID(IFERROR(TRIM(INDEX($A168:$T168,MATCH(Lists!$F$3,$A$1:$T$1,0))&amp;""),""),6,2)),VALUE(MID(IFERROR(TRIM(INDEX($A168:$T168,MATCH(Lists!$F$3,$A$1:$T$1,0))&amp;""),""),9,2)))+TIME(VALUE(MID(IFERROR(TRIM(INDEX($A168:$T168,MATCH(Lists!$F$3,$A$1:$T$1,0))&amp;""),""),12,2)),VALUE(MID(IFERROR(TRIM(INDEX($A168:$T168,MATCH(Lists!$F$3,$A$1:$T$1,0))&amp;""),""),15,2)),VALUE(MID(IFERROR(TRIM(INDEX($A168:$T168,MATCH(Lists!$F$3,$A$1:$T$1,0))&amp;""),""),18,2)))),""))</f>
        <v/>
      </c>
      <c r="AA168" s="23">
        <f>IF(Y168="","",IF(ISNUMBER(IFERROR(IF(TRIM(INDEX($A168:$T168,MATCH(Lists!$F$4,$A$1:$T$1,0))&amp;"")="","",IF(ISNUMBER(INDEX($A168:$T168,MATCH(Lists!$F$4,$A$1:$T$1,0))),INT(INDEX($A168:$T168,MATCH(Lists!$F$4,$A$1:$T$1,0))),DATE(VALUE(LEFT(INDEX($A168:$T168,MATCH(Lists!$F$4,$A$1:$T$1,0)),4)),VALUE(MID(INDEX($A168:$T168,MATCH(Lists!$F$4,$A$1:$T$1,0)),6,2)),VALUE(MID(INDEX($A168:$T168,MATCH(Lists!$F$4,$A$1:$T$1,0)),9,2))))),"")),IFERROR(IF(TRIM(INDEX($A168:$T168,MATCH(Lists!$F$4,$A$1:$T$1,0))&amp;"")="","",IF(ISNUMBER(INDEX($A168:$T168,MATCH(Lists!$F$4,$A$1:$T$1,0))),INT(INDEX($A168:$T168,MATCH(Lists!$F$4,$A$1:$T$1,0))),DATE(VALUE(LEFT(INDEX($A168:$T168,MATCH(Lists!$F$4,$A$1:$T$1,0)),4)),VALUE(MID(INDEX($A168:$T168,MATCH(Lists!$F$4,$A$1:$T$1,0)),6,2)),VALUE(MID(INDEX($A168:$T168,MATCH(Lists!$F$4,$A$1:$T$1,0)),9,2))))),""),IFERROR(IF(TRIM(INDEX($A168:$T168,MATCH(Lists!$F$5,$A$1:$T$1,0))&amp;"")="","",IF(ISNUMBER(INDEX($A168:$T168,MATCH(Lists!$F$5,$A$1:$T$1,0))),INT(INDEX($A168:$T168,MATCH(Lists!$F$5,$A$1:$T$1,0))),DATE(VALUE(LEFT(INDEX($A168:$T168,MATCH(Lists!$F$5,$A$1:$T$1,0)),4)),VALUE(MID(INDEX($A168:$T168,MATCH(Lists!$F$5,$A$1:$T$1,0)),6,2)),VALUE(MID(INDEX($A168:$T168,MATCH(Lists!$F$5,$A$1:$T$1,0)),9,2))))),"")))</f>
        <v/>
      </c>
      <c r="AB168" s="21">
        <f>IF(Y168="","",IF(LEFT(IFERROR(TRIM(INDEX($A168:$T168,MATCH(Lists!$F$6,$A$1:$T$1,0))&amp;""),""),2)="No","General comment",IF(IFERROR(TRIM(INDEX($A168:$T168,MATCH(Lists!$F$7,$A$1:$T$1,0))&amp;""),"")&lt;&gt;"",IFERROR(TRIM(INDEX($A168:$T168,MATCH(Lists!$F$7,$A$1:$T$1,0))&amp;""),""),IF(IFERROR(TRIM(INDEX($A168:$T168,MATCH(Lists!$F$8,$A$1:$T$1,0))&amp;""),"")&lt;&gt;"",IFERROR(TRIM(INDEX($A168:$T168,MATCH(Lists!$F$8,$A$1:$T$1,0))&amp;""),""),"(no item given)"))))</f>
        <v/>
      </c>
      <c r="AC168" s="21">
        <f>IF(Y168="","",IF(ISNUMBER(SEARCH("support",IFERROR(TRIM(INDEX($A168:$T168,MATCH(Lists!$F$9,$A$1:$T$1,0))&amp;""),""))),"Support",IF(ISNUMBER(SEARCH("oppose",IFERROR(TRIM(INDEX($A168:$T168,MATCH(Lists!$F$9,$A$1:$T$1,0))&amp;""),""))),"Oppose",IF(IFERROR(TRIM(INDEX($A168:$T168,MATCH(Lists!$F$9,$A$1:$T$1,0))&amp;""),"")="","No position","Neither"))))</f>
        <v/>
      </c>
      <c r="AD168" s="21">
        <f>IF(Y168="","",IF(ISNUMBER(SEARCH("in person",IFERROR(TRIM(INDEX($A168:$T168,MATCH(Lists!$F$13,$A$1:$T$1,0))&amp;""),""))),"In person",IF(ISNUMBER(SEARCH("online",IFERROR(TRIM(INDEX($A168:$T168,MATCH(Lists!$F$13,$A$1:$T$1,0))&amp;""),""))),"Online","Written only")))</f>
        <v/>
      </c>
      <c r="AE168" s="21">
        <f>IF(Y168="","",IFERROR(TRIM(INDEX($A168:$T168,MATCH(Lists!$F$11,$A$1:$T$1,0))&amp;""),""))</f>
        <v/>
      </c>
      <c r="AF168" s="21">
        <f>IF(Y168="","",IFERROR(TRIM(INDEX($A168:$T168,MATCH(Lists!$F$12,$A$1:$T$1,0))&amp;""),""))</f>
        <v/>
      </c>
      <c r="AG168" s="21">
        <f>IF(Y168="","",IFERROR(TRIM(INDEX($A168:$T168,MATCH(Lists!$F$14,$A$1:$T$1,0))&amp;""),""))</f>
        <v/>
      </c>
      <c r="AH168" s="21">
        <f>IF(Y168="","",LEFT(IFERROR(TRIM(INDEX($A168:$T168,MATCH(Lists!$F$10,$A$1:$T$1,0))&amp;""),""),80))</f>
        <v/>
      </c>
      <c r="AI168" s="21">
        <f>IF(Y168="",0,IF(OR(Tally!$B$5="",AA168=Tally!$B$5),1,0))</f>
        <v/>
      </c>
      <c r="AJ168" s="21">
        <f>IF(AI168=1,IF(COUNTIFS($AB$2:AB168,AB168,$AI$2:AI168,1)=1,1,0),0)</f>
        <v/>
      </c>
      <c r="AK168" s="21">
        <f>IF(AJ168=1,SUM($AJ$2:AJ168),"")</f>
        <v/>
      </c>
      <c r="AL168" s="21">
        <f>IF(AND(AI168=1,OR(AD168="In person",AD168="Online"),OR(Speakers!$B$5="",AB168=Speakers!$B$5)),N(Z168)+ROW()/1000000000,"")</f>
        <v/>
      </c>
    </row>
    <row r="169">
      <c r="U169" s="19" t="n"/>
      <c r="V169" s="24" t="n"/>
      <c r="W169" s="24" t="n"/>
      <c r="X169" s="19" t="n"/>
      <c r="Y169" s="21">
        <f>IFERROR(TRIM(INDEX($A169:$T169,MATCH(Lists!$F$2,$A$1:$T$1,0))&amp;""),"")</f>
        <v/>
      </c>
      <c r="Z169" s="22">
        <f>IF(Y169="","",IFERROR(IF(ISNUMBER(INDEX($A169:$T169,MATCH(Lists!$F$3,$A$1:$T$1,0))),INDEX($A169:$T169,MATCH(Lists!$F$3,$A$1:$T$1,0)),DATE(VALUE(LEFT(IFERROR(TRIM(INDEX($A169:$T169,MATCH(Lists!$F$3,$A$1:$T$1,0))&amp;""),""),4)),VALUE(MID(IFERROR(TRIM(INDEX($A169:$T169,MATCH(Lists!$F$3,$A$1:$T$1,0))&amp;""),""),6,2)),VALUE(MID(IFERROR(TRIM(INDEX($A169:$T169,MATCH(Lists!$F$3,$A$1:$T$1,0))&amp;""),""),9,2)))+TIME(VALUE(MID(IFERROR(TRIM(INDEX($A169:$T169,MATCH(Lists!$F$3,$A$1:$T$1,0))&amp;""),""),12,2)),VALUE(MID(IFERROR(TRIM(INDEX($A169:$T169,MATCH(Lists!$F$3,$A$1:$T$1,0))&amp;""),""),15,2)),VALUE(MID(IFERROR(TRIM(INDEX($A169:$T169,MATCH(Lists!$F$3,$A$1:$T$1,0))&amp;""),""),18,2)))),""))</f>
        <v/>
      </c>
      <c r="AA169" s="23">
        <f>IF(Y169="","",IF(ISNUMBER(IFERROR(IF(TRIM(INDEX($A169:$T169,MATCH(Lists!$F$4,$A$1:$T$1,0))&amp;"")="","",IF(ISNUMBER(INDEX($A169:$T169,MATCH(Lists!$F$4,$A$1:$T$1,0))),INT(INDEX($A169:$T169,MATCH(Lists!$F$4,$A$1:$T$1,0))),DATE(VALUE(LEFT(INDEX($A169:$T169,MATCH(Lists!$F$4,$A$1:$T$1,0)),4)),VALUE(MID(INDEX($A169:$T169,MATCH(Lists!$F$4,$A$1:$T$1,0)),6,2)),VALUE(MID(INDEX($A169:$T169,MATCH(Lists!$F$4,$A$1:$T$1,0)),9,2))))),"")),IFERROR(IF(TRIM(INDEX($A169:$T169,MATCH(Lists!$F$4,$A$1:$T$1,0))&amp;"")="","",IF(ISNUMBER(INDEX($A169:$T169,MATCH(Lists!$F$4,$A$1:$T$1,0))),INT(INDEX($A169:$T169,MATCH(Lists!$F$4,$A$1:$T$1,0))),DATE(VALUE(LEFT(INDEX($A169:$T169,MATCH(Lists!$F$4,$A$1:$T$1,0)),4)),VALUE(MID(INDEX($A169:$T169,MATCH(Lists!$F$4,$A$1:$T$1,0)),6,2)),VALUE(MID(INDEX($A169:$T169,MATCH(Lists!$F$4,$A$1:$T$1,0)),9,2))))),""),IFERROR(IF(TRIM(INDEX($A169:$T169,MATCH(Lists!$F$5,$A$1:$T$1,0))&amp;"")="","",IF(ISNUMBER(INDEX($A169:$T169,MATCH(Lists!$F$5,$A$1:$T$1,0))),INT(INDEX($A169:$T169,MATCH(Lists!$F$5,$A$1:$T$1,0))),DATE(VALUE(LEFT(INDEX($A169:$T169,MATCH(Lists!$F$5,$A$1:$T$1,0)),4)),VALUE(MID(INDEX($A169:$T169,MATCH(Lists!$F$5,$A$1:$T$1,0)),6,2)),VALUE(MID(INDEX($A169:$T169,MATCH(Lists!$F$5,$A$1:$T$1,0)),9,2))))),"")))</f>
        <v/>
      </c>
      <c r="AB169" s="21">
        <f>IF(Y169="","",IF(LEFT(IFERROR(TRIM(INDEX($A169:$T169,MATCH(Lists!$F$6,$A$1:$T$1,0))&amp;""),""),2)="No","General comment",IF(IFERROR(TRIM(INDEX($A169:$T169,MATCH(Lists!$F$7,$A$1:$T$1,0))&amp;""),"")&lt;&gt;"",IFERROR(TRIM(INDEX($A169:$T169,MATCH(Lists!$F$7,$A$1:$T$1,0))&amp;""),""),IF(IFERROR(TRIM(INDEX($A169:$T169,MATCH(Lists!$F$8,$A$1:$T$1,0))&amp;""),"")&lt;&gt;"",IFERROR(TRIM(INDEX($A169:$T169,MATCH(Lists!$F$8,$A$1:$T$1,0))&amp;""),""),"(no item given)"))))</f>
        <v/>
      </c>
      <c r="AC169" s="21">
        <f>IF(Y169="","",IF(ISNUMBER(SEARCH("support",IFERROR(TRIM(INDEX($A169:$T169,MATCH(Lists!$F$9,$A$1:$T$1,0))&amp;""),""))),"Support",IF(ISNUMBER(SEARCH("oppose",IFERROR(TRIM(INDEX($A169:$T169,MATCH(Lists!$F$9,$A$1:$T$1,0))&amp;""),""))),"Oppose",IF(IFERROR(TRIM(INDEX($A169:$T169,MATCH(Lists!$F$9,$A$1:$T$1,0))&amp;""),"")="","No position","Neither"))))</f>
        <v/>
      </c>
      <c r="AD169" s="21">
        <f>IF(Y169="","",IF(ISNUMBER(SEARCH("in person",IFERROR(TRIM(INDEX($A169:$T169,MATCH(Lists!$F$13,$A$1:$T$1,0))&amp;""),""))),"In person",IF(ISNUMBER(SEARCH("online",IFERROR(TRIM(INDEX($A169:$T169,MATCH(Lists!$F$13,$A$1:$T$1,0))&amp;""),""))),"Online","Written only")))</f>
        <v/>
      </c>
      <c r="AE169" s="21">
        <f>IF(Y169="","",IFERROR(TRIM(INDEX($A169:$T169,MATCH(Lists!$F$11,$A$1:$T$1,0))&amp;""),""))</f>
        <v/>
      </c>
      <c r="AF169" s="21">
        <f>IF(Y169="","",IFERROR(TRIM(INDEX($A169:$T169,MATCH(Lists!$F$12,$A$1:$T$1,0))&amp;""),""))</f>
        <v/>
      </c>
      <c r="AG169" s="21">
        <f>IF(Y169="","",IFERROR(TRIM(INDEX($A169:$T169,MATCH(Lists!$F$14,$A$1:$T$1,0))&amp;""),""))</f>
        <v/>
      </c>
      <c r="AH169" s="21">
        <f>IF(Y169="","",LEFT(IFERROR(TRIM(INDEX($A169:$T169,MATCH(Lists!$F$10,$A$1:$T$1,0))&amp;""),""),80))</f>
        <v/>
      </c>
      <c r="AI169" s="21">
        <f>IF(Y169="",0,IF(OR(Tally!$B$5="",AA169=Tally!$B$5),1,0))</f>
        <v/>
      </c>
      <c r="AJ169" s="21">
        <f>IF(AI169=1,IF(COUNTIFS($AB$2:AB169,AB169,$AI$2:AI169,1)=1,1,0),0)</f>
        <v/>
      </c>
      <c r="AK169" s="21">
        <f>IF(AJ169=1,SUM($AJ$2:AJ169),"")</f>
        <v/>
      </c>
      <c r="AL169" s="21">
        <f>IF(AND(AI169=1,OR(AD169="In person",AD169="Online"),OR(Speakers!$B$5="",AB169=Speakers!$B$5)),N(Z169)+ROW()/1000000000,"")</f>
        <v/>
      </c>
    </row>
    <row r="170">
      <c r="U170" s="19" t="n"/>
      <c r="V170" s="24" t="n"/>
      <c r="W170" s="24" t="n"/>
      <c r="X170" s="19" t="n"/>
      <c r="Y170" s="21">
        <f>IFERROR(TRIM(INDEX($A170:$T170,MATCH(Lists!$F$2,$A$1:$T$1,0))&amp;""),"")</f>
        <v/>
      </c>
      <c r="Z170" s="22">
        <f>IF(Y170="","",IFERROR(IF(ISNUMBER(INDEX($A170:$T170,MATCH(Lists!$F$3,$A$1:$T$1,0))),INDEX($A170:$T170,MATCH(Lists!$F$3,$A$1:$T$1,0)),DATE(VALUE(LEFT(IFERROR(TRIM(INDEX($A170:$T170,MATCH(Lists!$F$3,$A$1:$T$1,0))&amp;""),""),4)),VALUE(MID(IFERROR(TRIM(INDEX($A170:$T170,MATCH(Lists!$F$3,$A$1:$T$1,0))&amp;""),""),6,2)),VALUE(MID(IFERROR(TRIM(INDEX($A170:$T170,MATCH(Lists!$F$3,$A$1:$T$1,0))&amp;""),""),9,2)))+TIME(VALUE(MID(IFERROR(TRIM(INDEX($A170:$T170,MATCH(Lists!$F$3,$A$1:$T$1,0))&amp;""),""),12,2)),VALUE(MID(IFERROR(TRIM(INDEX($A170:$T170,MATCH(Lists!$F$3,$A$1:$T$1,0))&amp;""),""),15,2)),VALUE(MID(IFERROR(TRIM(INDEX($A170:$T170,MATCH(Lists!$F$3,$A$1:$T$1,0))&amp;""),""),18,2)))),""))</f>
        <v/>
      </c>
      <c r="AA170" s="23">
        <f>IF(Y170="","",IF(ISNUMBER(IFERROR(IF(TRIM(INDEX($A170:$T170,MATCH(Lists!$F$4,$A$1:$T$1,0))&amp;"")="","",IF(ISNUMBER(INDEX($A170:$T170,MATCH(Lists!$F$4,$A$1:$T$1,0))),INT(INDEX($A170:$T170,MATCH(Lists!$F$4,$A$1:$T$1,0))),DATE(VALUE(LEFT(INDEX($A170:$T170,MATCH(Lists!$F$4,$A$1:$T$1,0)),4)),VALUE(MID(INDEX($A170:$T170,MATCH(Lists!$F$4,$A$1:$T$1,0)),6,2)),VALUE(MID(INDEX($A170:$T170,MATCH(Lists!$F$4,$A$1:$T$1,0)),9,2))))),"")),IFERROR(IF(TRIM(INDEX($A170:$T170,MATCH(Lists!$F$4,$A$1:$T$1,0))&amp;"")="","",IF(ISNUMBER(INDEX($A170:$T170,MATCH(Lists!$F$4,$A$1:$T$1,0))),INT(INDEX($A170:$T170,MATCH(Lists!$F$4,$A$1:$T$1,0))),DATE(VALUE(LEFT(INDEX($A170:$T170,MATCH(Lists!$F$4,$A$1:$T$1,0)),4)),VALUE(MID(INDEX($A170:$T170,MATCH(Lists!$F$4,$A$1:$T$1,0)),6,2)),VALUE(MID(INDEX($A170:$T170,MATCH(Lists!$F$4,$A$1:$T$1,0)),9,2))))),""),IFERROR(IF(TRIM(INDEX($A170:$T170,MATCH(Lists!$F$5,$A$1:$T$1,0))&amp;"")="","",IF(ISNUMBER(INDEX($A170:$T170,MATCH(Lists!$F$5,$A$1:$T$1,0))),INT(INDEX($A170:$T170,MATCH(Lists!$F$5,$A$1:$T$1,0))),DATE(VALUE(LEFT(INDEX($A170:$T170,MATCH(Lists!$F$5,$A$1:$T$1,0)),4)),VALUE(MID(INDEX($A170:$T170,MATCH(Lists!$F$5,$A$1:$T$1,0)),6,2)),VALUE(MID(INDEX($A170:$T170,MATCH(Lists!$F$5,$A$1:$T$1,0)),9,2))))),"")))</f>
        <v/>
      </c>
      <c r="AB170" s="21">
        <f>IF(Y170="","",IF(LEFT(IFERROR(TRIM(INDEX($A170:$T170,MATCH(Lists!$F$6,$A$1:$T$1,0))&amp;""),""),2)="No","General comment",IF(IFERROR(TRIM(INDEX($A170:$T170,MATCH(Lists!$F$7,$A$1:$T$1,0))&amp;""),"")&lt;&gt;"",IFERROR(TRIM(INDEX($A170:$T170,MATCH(Lists!$F$7,$A$1:$T$1,0))&amp;""),""),IF(IFERROR(TRIM(INDEX($A170:$T170,MATCH(Lists!$F$8,$A$1:$T$1,0))&amp;""),"")&lt;&gt;"",IFERROR(TRIM(INDEX($A170:$T170,MATCH(Lists!$F$8,$A$1:$T$1,0))&amp;""),""),"(no item given)"))))</f>
        <v/>
      </c>
      <c r="AC170" s="21">
        <f>IF(Y170="","",IF(ISNUMBER(SEARCH("support",IFERROR(TRIM(INDEX($A170:$T170,MATCH(Lists!$F$9,$A$1:$T$1,0))&amp;""),""))),"Support",IF(ISNUMBER(SEARCH("oppose",IFERROR(TRIM(INDEX($A170:$T170,MATCH(Lists!$F$9,$A$1:$T$1,0))&amp;""),""))),"Oppose",IF(IFERROR(TRIM(INDEX($A170:$T170,MATCH(Lists!$F$9,$A$1:$T$1,0))&amp;""),"")="","No position","Neither"))))</f>
        <v/>
      </c>
      <c r="AD170" s="21">
        <f>IF(Y170="","",IF(ISNUMBER(SEARCH("in person",IFERROR(TRIM(INDEX($A170:$T170,MATCH(Lists!$F$13,$A$1:$T$1,0))&amp;""),""))),"In person",IF(ISNUMBER(SEARCH("online",IFERROR(TRIM(INDEX($A170:$T170,MATCH(Lists!$F$13,$A$1:$T$1,0))&amp;""),""))),"Online","Written only")))</f>
        <v/>
      </c>
      <c r="AE170" s="21">
        <f>IF(Y170="","",IFERROR(TRIM(INDEX($A170:$T170,MATCH(Lists!$F$11,$A$1:$T$1,0))&amp;""),""))</f>
        <v/>
      </c>
      <c r="AF170" s="21">
        <f>IF(Y170="","",IFERROR(TRIM(INDEX($A170:$T170,MATCH(Lists!$F$12,$A$1:$T$1,0))&amp;""),""))</f>
        <v/>
      </c>
      <c r="AG170" s="21">
        <f>IF(Y170="","",IFERROR(TRIM(INDEX($A170:$T170,MATCH(Lists!$F$14,$A$1:$T$1,0))&amp;""),""))</f>
        <v/>
      </c>
      <c r="AH170" s="21">
        <f>IF(Y170="","",LEFT(IFERROR(TRIM(INDEX($A170:$T170,MATCH(Lists!$F$10,$A$1:$T$1,0))&amp;""),""),80))</f>
        <v/>
      </c>
      <c r="AI170" s="21">
        <f>IF(Y170="",0,IF(OR(Tally!$B$5="",AA170=Tally!$B$5),1,0))</f>
        <v/>
      </c>
      <c r="AJ170" s="21">
        <f>IF(AI170=1,IF(COUNTIFS($AB$2:AB170,AB170,$AI$2:AI170,1)=1,1,0),0)</f>
        <v/>
      </c>
      <c r="AK170" s="21">
        <f>IF(AJ170=1,SUM($AJ$2:AJ170),"")</f>
        <v/>
      </c>
      <c r="AL170" s="21">
        <f>IF(AND(AI170=1,OR(AD170="In person",AD170="Online"),OR(Speakers!$B$5="",AB170=Speakers!$B$5)),N(Z170)+ROW()/1000000000,"")</f>
        <v/>
      </c>
    </row>
    <row r="171">
      <c r="U171" s="19" t="n"/>
      <c r="V171" s="24" t="n"/>
      <c r="W171" s="24" t="n"/>
      <c r="X171" s="19" t="n"/>
      <c r="Y171" s="21">
        <f>IFERROR(TRIM(INDEX($A171:$T171,MATCH(Lists!$F$2,$A$1:$T$1,0))&amp;""),"")</f>
        <v/>
      </c>
      <c r="Z171" s="22">
        <f>IF(Y171="","",IFERROR(IF(ISNUMBER(INDEX($A171:$T171,MATCH(Lists!$F$3,$A$1:$T$1,0))),INDEX($A171:$T171,MATCH(Lists!$F$3,$A$1:$T$1,0)),DATE(VALUE(LEFT(IFERROR(TRIM(INDEX($A171:$T171,MATCH(Lists!$F$3,$A$1:$T$1,0))&amp;""),""),4)),VALUE(MID(IFERROR(TRIM(INDEX($A171:$T171,MATCH(Lists!$F$3,$A$1:$T$1,0))&amp;""),""),6,2)),VALUE(MID(IFERROR(TRIM(INDEX($A171:$T171,MATCH(Lists!$F$3,$A$1:$T$1,0))&amp;""),""),9,2)))+TIME(VALUE(MID(IFERROR(TRIM(INDEX($A171:$T171,MATCH(Lists!$F$3,$A$1:$T$1,0))&amp;""),""),12,2)),VALUE(MID(IFERROR(TRIM(INDEX($A171:$T171,MATCH(Lists!$F$3,$A$1:$T$1,0))&amp;""),""),15,2)),VALUE(MID(IFERROR(TRIM(INDEX($A171:$T171,MATCH(Lists!$F$3,$A$1:$T$1,0))&amp;""),""),18,2)))),""))</f>
        <v/>
      </c>
      <c r="AA171" s="23">
        <f>IF(Y171="","",IF(ISNUMBER(IFERROR(IF(TRIM(INDEX($A171:$T171,MATCH(Lists!$F$4,$A$1:$T$1,0))&amp;"")="","",IF(ISNUMBER(INDEX($A171:$T171,MATCH(Lists!$F$4,$A$1:$T$1,0))),INT(INDEX($A171:$T171,MATCH(Lists!$F$4,$A$1:$T$1,0))),DATE(VALUE(LEFT(INDEX($A171:$T171,MATCH(Lists!$F$4,$A$1:$T$1,0)),4)),VALUE(MID(INDEX($A171:$T171,MATCH(Lists!$F$4,$A$1:$T$1,0)),6,2)),VALUE(MID(INDEX($A171:$T171,MATCH(Lists!$F$4,$A$1:$T$1,0)),9,2))))),"")),IFERROR(IF(TRIM(INDEX($A171:$T171,MATCH(Lists!$F$4,$A$1:$T$1,0))&amp;"")="","",IF(ISNUMBER(INDEX($A171:$T171,MATCH(Lists!$F$4,$A$1:$T$1,0))),INT(INDEX($A171:$T171,MATCH(Lists!$F$4,$A$1:$T$1,0))),DATE(VALUE(LEFT(INDEX($A171:$T171,MATCH(Lists!$F$4,$A$1:$T$1,0)),4)),VALUE(MID(INDEX($A171:$T171,MATCH(Lists!$F$4,$A$1:$T$1,0)),6,2)),VALUE(MID(INDEX($A171:$T171,MATCH(Lists!$F$4,$A$1:$T$1,0)),9,2))))),""),IFERROR(IF(TRIM(INDEX($A171:$T171,MATCH(Lists!$F$5,$A$1:$T$1,0))&amp;"")="","",IF(ISNUMBER(INDEX($A171:$T171,MATCH(Lists!$F$5,$A$1:$T$1,0))),INT(INDEX($A171:$T171,MATCH(Lists!$F$5,$A$1:$T$1,0))),DATE(VALUE(LEFT(INDEX($A171:$T171,MATCH(Lists!$F$5,$A$1:$T$1,0)),4)),VALUE(MID(INDEX($A171:$T171,MATCH(Lists!$F$5,$A$1:$T$1,0)),6,2)),VALUE(MID(INDEX($A171:$T171,MATCH(Lists!$F$5,$A$1:$T$1,0)),9,2))))),"")))</f>
        <v/>
      </c>
      <c r="AB171" s="21">
        <f>IF(Y171="","",IF(LEFT(IFERROR(TRIM(INDEX($A171:$T171,MATCH(Lists!$F$6,$A$1:$T$1,0))&amp;""),""),2)="No","General comment",IF(IFERROR(TRIM(INDEX($A171:$T171,MATCH(Lists!$F$7,$A$1:$T$1,0))&amp;""),"")&lt;&gt;"",IFERROR(TRIM(INDEX($A171:$T171,MATCH(Lists!$F$7,$A$1:$T$1,0))&amp;""),""),IF(IFERROR(TRIM(INDEX($A171:$T171,MATCH(Lists!$F$8,$A$1:$T$1,0))&amp;""),"")&lt;&gt;"",IFERROR(TRIM(INDEX($A171:$T171,MATCH(Lists!$F$8,$A$1:$T$1,0))&amp;""),""),"(no item given)"))))</f>
        <v/>
      </c>
      <c r="AC171" s="21">
        <f>IF(Y171="","",IF(ISNUMBER(SEARCH("support",IFERROR(TRIM(INDEX($A171:$T171,MATCH(Lists!$F$9,$A$1:$T$1,0))&amp;""),""))),"Support",IF(ISNUMBER(SEARCH("oppose",IFERROR(TRIM(INDEX($A171:$T171,MATCH(Lists!$F$9,$A$1:$T$1,0))&amp;""),""))),"Oppose",IF(IFERROR(TRIM(INDEX($A171:$T171,MATCH(Lists!$F$9,$A$1:$T$1,0))&amp;""),"")="","No position","Neither"))))</f>
        <v/>
      </c>
      <c r="AD171" s="21">
        <f>IF(Y171="","",IF(ISNUMBER(SEARCH("in person",IFERROR(TRIM(INDEX($A171:$T171,MATCH(Lists!$F$13,$A$1:$T$1,0))&amp;""),""))),"In person",IF(ISNUMBER(SEARCH("online",IFERROR(TRIM(INDEX($A171:$T171,MATCH(Lists!$F$13,$A$1:$T$1,0))&amp;""),""))),"Online","Written only")))</f>
        <v/>
      </c>
      <c r="AE171" s="21">
        <f>IF(Y171="","",IFERROR(TRIM(INDEX($A171:$T171,MATCH(Lists!$F$11,$A$1:$T$1,0))&amp;""),""))</f>
        <v/>
      </c>
      <c r="AF171" s="21">
        <f>IF(Y171="","",IFERROR(TRIM(INDEX($A171:$T171,MATCH(Lists!$F$12,$A$1:$T$1,0))&amp;""),""))</f>
        <v/>
      </c>
      <c r="AG171" s="21">
        <f>IF(Y171="","",IFERROR(TRIM(INDEX($A171:$T171,MATCH(Lists!$F$14,$A$1:$T$1,0))&amp;""),""))</f>
        <v/>
      </c>
      <c r="AH171" s="21">
        <f>IF(Y171="","",LEFT(IFERROR(TRIM(INDEX($A171:$T171,MATCH(Lists!$F$10,$A$1:$T$1,0))&amp;""),""),80))</f>
        <v/>
      </c>
      <c r="AI171" s="21">
        <f>IF(Y171="",0,IF(OR(Tally!$B$5="",AA171=Tally!$B$5),1,0))</f>
        <v/>
      </c>
      <c r="AJ171" s="21">
        <f>IF(AI171=1,IF(COUNTIFS($AB$2:AB171,AB171,$AI$2:AI171,1)=1,1,0),0)</f>
        <v/>
      </c>
      <c r="AK171" s="21">
        <f>IF(AJ171=1,SUM($AJ$2:AJ171),"")</f>
        <v/>
      </c>
      <c r="AL171" s="21">
        <f>IF(AND(AI171=1,OR(AD171="In person",AD171="Online"),OR(Speakers!$B$5="",AB171=Speakers!$B$5)),N(Z171)+ROW()/1000000000,"")</f>
        <v/>
      </c>
    </row>
    <row r="172">
      <c r="U172" s="19" t="n"/>
      <c r="V172" s="24" t="n"/>
      <c r="W172" s="24" t="n"/>
      <c r="X172" s="19" t="n"/>
      <c r="Y172" s="21">
        <f>IFERROR(TRIM(INDEX($A172:$T172,MATCH(Lists!$F$2,$A$1:$T$1,0))&amp;""),"")</f>
        <v/>
      </c>
      <c r="Z172" s="22">
        <f>IF(Y172="","",IFERROR(IF(ISNUMBER(INDEX($A172:$T172,MATCH(Lists!$F$3,$A$1:$T$1,0))),INDEX($A172:$T172,MATCH(Lists!$F$3,$A$1:$T$1,0)),DATE(VALUE(LEFT(IFERROR(TRIM(INDEX($A172:$T172,MATCH(Lists!$F$3,$A$1:$T$1,0))&amp;""),""),4)),VALUE(MID(IFERROR(TRIM(INDEX($A172:$T172,MATCH(Lists!$F$3,$A$1:$T$1,0))&amp;""),""),6,2)),VALUE(MID(IFERROR(TRIM(INDEX($A172:$T172,MATCH(Lists!$F$3,$A$1:$T$1,0))&amp;""),""),9,2)))+TIME(VALUE(MID(IFERROR(TRIM(INDEX($A172:$T172,MATCH(Lists!$F$3,$A$1:$T$1,0))&amp;""),""),12,2)),VALUE(MID(IFERROR(TRIM(INDEX($A172:$T172,MATCH(Lists!$F$3,$A$1:$T$1,0))&amp;""),""),15,2)),VALUE(MID(IFERROR(TRIM(INDEX($A172:$T172,MATCH(Lists!$F$3,$A$1:$T$1,0))&amp;""),""),18,2)))),""))</f>
        <v/>
      </c>
      <c r="AA172" s="23">
        <f>IF(Y172="","",IF(ISNUMBER(IFERROR(IF(TRIM(INDEX($A172:$T172,MATCH(Lists!$F$4,$A$1:$T$1,0))&amp;"")="","",IF(ISNUMBER(INDEX($A172:$T172,MATCH(Lists!$F$4,$A$1:$T$1,0))),INT(INDEX($A172:$T172,MATCH(Lists!$F$4,$A$1:$T$1,0))),DATE(VALUE(LEFT(INDEX($A172:$T172,MATCH(Lists!$F$4,$A$1:$T$1,0)),4)),VALUE(MID(INDEX($A172:$T172,MATCH(Lists!$F$4,$A$1:$T$1,0)),6,2)),VALUE(MID(INDEX($A172:$T172,MATCH(Lists!$F$4,$A$1:$T$1,0)),9,2))))),"")),IFERROR(IF(TRIM(INDEX($A172:$T172,MATCH(Lists!$F$4,$A$1:$T$1,0))&amp;"")="","",IF(ISNUMBER(INDEX($A172:$T172,MATCH(Lists!$F$4,$A$1:$T$1,0))),INT(INDEX($A172:$T172,MATCH(Lists!$F$4,$A$1:$T$1,0))),DATE(VALUE(LEFT(INDEX($A172:$T172,MATCH(Lists!$F$4,$A$1:$T$1,0)),4)),VALUE(MID(INDEX($A172:$T172,MATCH(Lists!$F$4,$A$1:$T$1,0)),6,2)),VALUE(MID(INDEX($A172:$T172,MATCH(Lists!$F$4,$A$1:$T$1,0)),9,2))))),""),IFERROR(IF(TRIM(INDEX($A172:$T172,MATCH(Lists!$F$5,$A$1:$T$1,0))&amp;"")="","",IF(ISNUMBER(INDEX($A172:$T172,MATCH(Lists!$F$5,$A$1:$T$1,0))),INT(INDEX($A172:$T172,MATCH(Lists!$F$5,$A$1:$T$1,0))),DATE(VALUE(LEFT(INDEX($A172:$T172,MATCH(Lists!$F$5,$A$1:$T$1,0)),4)),VALUE(MID(INDEX($A172:$T172,MATCH(Lists!$F$5,$A$1:$T$1,0)),6,2)),VALUE(MID(INDEX($A172:$T172,MATCH(Lists!$F$5,$A$1:$T$1,0)),9,2))))),"")))</f>
        <v/>
      </c>
      <c r="AB172" s="21">
        <f>IF(Y172="","",IF(LEFT(IFERROR(TRIM(INDEX($A172:$T172,MATCH(Lists!$F$6,$A$1:$T$1,0))&amp;""),""),2)="No","General comment",IF(IFERROR(TRIM(INDEX($A172:$T172,MATCH(Lists!$F$7,$A$1:$T$1,0))&amp;""),"")&lt;&gt;"",IFERROR(TRIM(INDEX($A172:$T172,MATCH(Lists!$F$7,$A$1:$T$1,0))&amp;""),""),IF(IFERROR(TRIM(INDEX($A172:$T172,MATCH(Lists!$F$8,$A$1:$T$1,0))&amp;""),"")&lt;&gt;"",IFERROR(TRIM(INDEX($A172:$T172,MATCH(Lists!$F$8,$A$1:$T$1,0))&amp;""),""),"(no item given)"))))</f>
        <v/>
      </c>
      <c r="AC172" s="21">
        <f>IF(Y172="","",IF(ISNUMBER(SEARCH("support",IFERROR(TRIM(INDEX($A172:$T172,MATCH(Lists!$F$9,$A$1:$T$1,0))&amp;""),""))),"Support",IF(ISNUMBER(SEARCH("oppose",IFERROR(TRIM(INDEX($A172:$T172,MATCH(Lists!$F$9,$A$1:$T$1,0))&amp;""),""))),"Oppose",IF(IFERROR(TRIM(INDEX($A172:$T172,MATCH(Lists!$F$9,$A$1:$T$1,0))&amp;""),"")="","No position","Neither"))))</f>
        <v/>
      </c>
      <c r="AD172" s="21">
        <f>IF(Y172="","",IF(ISNUMBER(SEARCH("in person",IFERROR(TRIM(INDEX($A172:$T172,MATCH(Lists!$F$13,$A$1:$T$1,0))&amp;""),""))),"In person",IF(ISNUMBER(SEARCH("online",IFERROR(TRIM(INDEX($A172:$T172,MATCH(Lists!$F$13,$A$1:$T$1,0))&amp;""),""))),"Online","Written only")))</f>
        <v/>
      </c>
      <c r="AE172" s="21">
        <f>IF(Y172="","",IFERROR(TRIM(INDEX($A172:$T172,MATCH(Lists!$F$11,$A$1:$T$1,0))&amp;""),""))</f>
        <v/>
      </c>
      <c r="AF172" s="21">
        <f>IF(Y172="","",IFERROR(TRIM(INDEX($A172:$T172,MATCH(Lists!$F$12,$A$1:$T$1,0))&amp;""),""))</f>
        <v/>
      </c>
      <c r="AG172" s="21">
        <f>IF(Y172="","",IFERROR(TRIM(INDEX($A172:$T172,MATCH(Lists!$F$14,$A$1:$T$1,0))&amp;""),""))</f>
        <v/>
      </c>
      <c r="AH172" s="21">
        <f>IF(Y172="","",LEFT(IFERROR(TRIM(INDEX($A172:$T172,MATCH(Lists!$F$10,$A$1:$T$1,0))&amp;""),""),80))</f>
        <v/>
      </c>
      <c r="AI172" s="21">
        <f>IF(Y172="",0,IF(OR(Tally!$B$5="",AA172=Tally!$B$5),1,0))</f>
        <v/>
      </c>
      <c r="AJ172" s="21">
        <f>IF(AI172=1,IF(COUNTIFS($AB$2:AB172,AB172,$AI$2:AI172,1)=1,1,0),0)</f>
        <v/>
      </c>
      <c r="AK172" s="21">
        <f>IF(AJ172=1,SUM($AJ$2:AJ172),"")</f>
        <v/>
      </c>
      <c r="AL172" s="21">
        <f>IF(AND(AI172=1,OR(AD172="In person",AD172="Online"),OR(Speakers!$B$5="",AB172=Speakers!$B$5)),N(Z172)+ROW()/1000000000,"")</f>
        <v/>
      </c>
    </row>
    <row r="173">
      <c r="U173" s="19" t="n"/>
      <c r="V173" s="24" t="n"/>
      <c r="W173" s="24" t="n"/>
      <c r="X173" s="19" t="n"/>
      <c r="Y173" s="21">
        <f>IFERROR(TRIM(INDEX($A173:$T173,MATCH(Lists!$F$2,$A$1:$T$1,0))&amp;""),"")</f>
        <v/>
      </c>
      <c r="Z173" s="22">
        <f>IF(Y173="","",IFERROR(IF(ISNUMBER(INDEX($A173:$T173,MATCH(Lists!$F$3,$A$1:$T$1,0))),INDEX($A173:$T173,MATCH(Lists!$F$3,$A$1:$T$1,0)),DATE(VALUE(LEFT(IFERROR(TRIM(INDEX($A173:$T173,MATCH(Lists!$F$3,$A$1:$T$1,0))&amp;""),""),4)),VALUE(MID(IFERROR(TRIM(INDEX($A173:$T173,MATCH(Lists!$F$3,$A$1:$T$1,0))&amp;""),""),6,2)),VALUE(MID(IFERROR(TRIM(INDEX($A173:$T173,MATCH(Lists!$F$3,$A$1:$T$1,0))&amp;""),""),9,2)))+TIME(VALUE(MID(IFERROR(TRIM(INDEX($A173:$T173,MATCH(Lists!$F$3,$A$1:$T$1,0))&amp;""),""),12,2)),VALUE(MID(IFERROR(TRIM(INDEX($A173:$T173,MATCH(Lists!$F$3,$A$1:$T$1,0))&amp;""),""),15,2)),VALUE(MID(IFERROR(TRIM(INDEX($A173:$T173,MATCH(Lists!$F$3,$A$1:$T$1,0))&amp;""),""),18,2)))),""))</f>
        <v/>
      </c>
      <c r="AA173" s="23">
        <f>IF(Y173="","",IF(ISNUMBER(IFERROR(IF(TRIM(INDEX($A173:$T173,MATCH(Lists!$F$4,$A$1:$T$1,0))&amp;"")="","",IF(ISNUMBER(INDEX($A173:$T173,MATCH(Lists!$F$4,$A$1:$T$1,0))),INT(INDEX($A173:$T173,MATCH(Lists!$F$4,$A$1:$T$1,0))),DATE(VALUE(LEFT(INDEX($A173:$T173,MATCH(Lists!$F$4,$A$1:$T$1,0)),4)),VALUE(MID(INDEX($A173:$T173,MATCH(Lists!$F$4,$A$1:$T$1,0)),6,2)),VALUE(MID(INDEX($A173:$T173,MATCH(Lists!$F$4,$A$1:$T$1,0)),9,2))))),"")),IFERROR(IF(TRIM(INDEX($A173:$T173,MATCH(Lists!$F$4,$A$1:$T$1,0))&amp;"")="","",IF(ISNUMBER(INDEX($A173:$T173,MATCH(Lists!$F$4,$A$1:$T$1,0))),INT(INDEX($A173:$T173,MATCH(Lists!$F$4,$A$1:$T$1,0))),DATE(VALUE(LEFT(INDEX($A173:$T173,MATCH(Lists!$F$4,$A$1:$T$1,0)),4)),VALUE(MID(INDEX($A173:$T173,MATCH(Lists!$F$4,$A$1:$T$1,0)),6,2)),VALUE(MID(INDEX($A173:$T173,MATCH(Lists!$F$4,$A$1:$T$1,0)),9,2))))),""),IFERROR(IF(TRIM(INDEX($A173:$T173,MATCH(Lists!$F$5,$A$1:$T$1,0))&amp;"")="","",IF(ISNUMBER(INDEX($A173:$T173,MATCH(Lists!$F$5,$A$1:$T$1,0))),INT(INDEX($A173:$T173,MATCH(Lists!$F$5,$A$1:$T$1,0))),DATE(VALUE(LEFT(INDEX($A173:$T173,MATCH(Lists!$F$5,$A$1:$T$1,0)),4)),VALUE(MID(INDEX($A173:$T173,MATCH(Lists!$F$5,$A$1:$T$1,0)),6,2)),VALUE(MID(INDEX($A173:$T173,MATCH(Lists!$F$5,$A$1:$T$1,0)),9,2))))),"")))</f>
        <v/>
      </c>
      <c r="AB173" s="21">
        <f>IF(Y173="","",IF(LEFT(IFERROR(TRIM(INDEX($A173:$T173,MATCH(Lists!$F$6,$A$1:$T$1,0))&amp;""),""),2)="No","General comment",IF(IFERROR(TRIM(INDEX($A173:$T173,MATCH(Lists!$F$7,$A$1:$T$1,0))&amp;""),"")&lt;&gt;"",IFERROR(TRIM(INDEX($A173:$T173,MATCH(Lists!$F$7,$A$1:$T$1,0))&amp;""),""),IF(IFERROR(TRIM(INDEX($A173:$T173,MATCH(Lists!$F$8,$A$1:$T$1,0))&amp;""),"")&lt;&gt;"",IFERROR(TRIM(INDEX($A173:$T173,MATCH(Lists!$F$8,$A$1:$T$1,0))&amp;""),""),"(no item given)"))))</f>
        <v/>
      </c>
      <c r="AC173" s="21">
        <f>IF(Y173="","",IF(ISNUMBER(SEARCH("support",IFERROR(TRIM(INDEX($A173:$T173,MATCH(Lists!$F$9,$A$1:$T$1,0))&amp;""),""))),"Support",IF(ISNUMBER(SEARCH("oppose",IFERROR(TRIM(INDEX($A173:$T173,MATCH(Lists!$F$9,$A$1:$T$1,0))&amp;""),""))),"Oppose",IF(IFERROR(TRIM(INDEX($A173:$T173,MATCH(Lists!$F$9,$A$1:$T$1,0))&amp;""),"")="","No position","Neither"))))</f>
        <v/>
      </c>
      <c r="AD173" s="21">
        <f>IF(Y173="","",IF(ISNUMBER(SEARCH("in person",IFERROR(TRIM(INDEX($A173:$T173,MATCH(Lists!$F$13,$A$1:$T$1,0))&amp;""),""))),"In person",IF(ISNUMBER(SEARCH("online",IFERROR(TRIM(INDEX($A173:$T173,MATCH(Lists!$F$13,$A$1:$T$1,0))&amp;""),""))),"Online","Written only")))</f>
        <v/>
      </c>
      <c r="AE173" s="21">
        <f>IF(Y173="","",IFERROR(TRIM(INDEX($A173:$T173,MATCH(Lists!$F$11,$A$1:$T$1,0))&amp;""),""))</f>
        <v/>
      </c>
      <c r="AF173" s="21">
        <f>IF(Y173="","",IFERROR(TRIM(INDEX($A173:$T173,MATCH(Lists!$F$12,$A$1:$T$1,0))&amp;""),""))</f>
        <v/>
      </c>
      <c r="AG173" s="21">
        <f>IF(Y173="","",IFERROR(TRIM(INDEX($A173:$T173,MATCH(Lists!$F$14,$A$1:$T$1,0))&amp;""),""))</f>
        <v/>
      </c>
      <c r="AH173" s="21">
        <f>IF(Y173="","",LEFT(IFERROR(TRIM(INDEX($A173:$T173,MATCH(Lists!$F$10,$A$1:$T$1,0))&amp;""),""),80))</f>
        <v/>
      </c>
      <c r="AI173" s="21">
        <f>IF(Y173="",0,IF(OR(Tally!$B$5="",AA173=Tally!$B$5),1,0))</f>
        <v/>
      </c>
      <c r="AJ173" s="21">
        <f>IF(AI173=1,IF(COUNTIFS($AB$2:AB173,AB173,$AI$2:AI173,1)=1,1,0),0)</f>
        <v/>
      </c>
      <c r="AK173" s="21">
        <f>IF(AJ173=1,SUM($AJ$2:AJ173),"")</f>
        <v/>
      </c>
      <c r="AL173" s="21">
        <f>IF(AND(AI173=1,OR(AD173="In person",AD173="Online"),OR(Speakers!$B$5="",AB173=Speakers!$B$5)),N(Z173)+ROW()/1000000000,"")</f>
        <v/>
      </c>
    </row>
    <row r="174">
      <c r="U174" s="19" t="n"/>
      <c r="V174" s="24" t="n"/>
      <c r="W174" s="24" t="n"/>
      <c r="X174" s="19" t="n"/>
      <c r="Y174" s="21">
        <f>IFERROR(TRIM(INDEX($A174:$T174,MATCH(Lists!$F$2,$A$1:$T$1,0))&amp;""),"")</f>
        <v/>
      </c>
      <c r="Z174" s="22">
        <f>IF(Y174="","",IFERROR(IF(ISNUMBER(INDEX($A174:$T174,MATCH(Lists!$F$3,$A$1:$T$1,0))),INDEX($A174:$T174,MATCH(Lists!$F$3,$A$1:$T$1,0)),DATE(VALUE(LEFT(IFERROR(TRIM(INDEX($A174:$T174,MATCH(Lists!$F$3,$A$1:$T$1,0))&amp;""),""),4)),VALUE(MID(IFERROR(TRIM(INDEX($A174:$T174,MATCH(Lists!$F$3,$A$1:$T$1,0))&amp;""),""),6,2)),VALUE(MID(IFERROR(TRIM(INDEX($A174:$T174,MATCH(Lists!$F$3,$A$1:$T$1,0))&amp;""),""),9,2)))+TIME(VALUE(MID(IFERROR(TRIM(INDEX($A174:$T174,MATCH(Lists!$F$3,$A$1:$T$1,0))&amp;""),""),12,2)),VALUE(MID(IFERROR(TRIM(INDEX($A174:$T174,MATCH(Lists!$F$3,$A$1:$T$1,0))&amp;""),""),15,2)),VALUE(MID(IFERROR(TRIM(INDEX($A174:$T174,MATCH(Lists!$F$3,$A$1:$T$1,0))&amp;""),""),18,2)))),""))</f>
        <v/>
      </c>
      <c r="AA174" s="23">
        <f>IF(Y174="","",IF(ISNUMBER(IFERROR(IF(TRIM(INDEX($A174:$T174,MATCH(Lists!$F$4,$A$1:$T$1,0))&amp;"")="","",IF(ISNUMBER(INDEX($A174:$T174,MATCH(Lists!$F$4,$A$1:$T$1,0))),INT(INDEX($A174:$T174,MATCH(Lists!$F$4,$A$1:$T$1,0))),DATE(VALUE(LEFT(INDEX($A174:$T174,MATCH(Lists!$F$4,$A$1:$T$1,0)),4)),VALUE(MID(INDEX($A174:$T174,MATCH(Lists!$F$4,$A$1:$T$1,0)),6,2)),VALUE(MID(INDEX($A174:$T174,MATCH(Lists!$F$4,$A$1:$T$1,0)),9,2))))),"")),IFERROR(IF(TRIM(INDEX($A174:$T174,MATCH(Lists!$F$4,$A$1:$T$1,0))&amp;"")="","",IF(ISNUMBER(INDEX($A174:$T174,MATCH(Lists!$F$4,$A$1:$T$1,0))),INT(INDEX($A174:$T174,MATCH(Lists!$F$4,$A$1:$T$1,0))),DATE(VALUE(LEFT(INDEX($A174:$T174,MATCH(Lists!$F$4,$A$1:$T$1,0)),4)),VALUE(MID(INDEX($A174:$T174,MATCH(Lists!$F$4,$A$1:$T$1,0)),6,2)),VALUE(MID(INDEX($A174:$T174,MATCH(Lists!$F$4,$A$1:$T$1,0)),9,2))))),""),IFERROR(IF(TRIM(INDEX($A174:$T174,MATCH(Lists!$F$5,$A$1:$T$1,0))&amp;"")="","",IF(ISNUMBER(INDEX($A174:$T174,MATCH(Lists!$F$5,$A$1:$T$1,0))),INT(INDEX($A174:$T174,MATCH(Lists!$F$5,$A$1:$T$1,0))),DATE(VALUE(LEFT(INDEX($A174:$T174,MATCH(Lists!$F$5,$A$1:$T$1,0)),4)),VALUE(MID(INDEX($A174:$T174,MATCH(Lists!$F$5,$A$1:$T$1,0)),6,2)),VALUE(MID(INDEX($A174:$T174,MATCH(Lists!$F$5,$A$1:$T$1,0)),9,2))))),"")))</f>
        <v/>
      </c>
      <c r="AB174" s="21">
        <f>IF(Y174="","",IF(LEFT(IFERROR(TRIM(INDEX($A174:$T174,MATCH(Lists!$F$6,$A$1:$T$1,0))&amp;""),""),2)="No","General comment",IF(IFERROR(TRIM(INDEX($A174:$T174,MATCH(Lists!$F$7,$A$1:$T$1,0))&amp;""),"")&lt;&gt;"",IFERROR(TRIM(INDEX($A174:$T174,MATCH(Lists!$F$7,$A$1:$T$1,0))&amp;""),""),IF(IFERROR(TRIM(INDEX($A174:$T174,MATCH(Lists!$F$8,$A$1:$T$1,0))&amp;""),"")&lt;&gt;"",IFERROR(TRIM(INDEX($A174:$T174,MATCH(Lists!$F$8,$A$1:$T$1,0))&amp;""),""),"(no item given)"))))</f>
        <v/>
      </c>
      <c r="AC174" s="21">
        <f>IF(Y174="","",IF(ISNUMBER(SEARCH("support",IFERROR(TRIM(INDEX($A174:$T174,MATCH(Lists!$F$9,$A$1:$T$1,0))&amp;""),""))),"Support",IF(ISNUMBER(SEARCH("oppose",IFERROR(TRIM(INDEX($A174:$T174,MATCH(Lists!$F$9,$A$1:$T$1,0))&amp;""),""))),"Oppose",IF(IFERROR(TRIM(INDEX($A174:$T174,MATCH(Lists!$F$9,$A$1:$T$1,0))&amp;""),"")="","No position","Neither"))))</f>
        <v/>
      </c>
      <c r="AD174" s="21">
        <f>IF(Y174="","",IF(ISNUMBER(SEARCH("in person",IFERROR(TRIM(INDEX($A174:$T174,MATCH(Lists!$F$13,$A$1:$T$1,0))&amp;""),""))),"In person",IF(ISNUMBER(SEARCH("online",IFERROR(TRIM(INDEX($A174:$T174,MATCH(Lists!$F$13,$A$1:$T$1,0))&amp;""),""))),"Online","Written only")))</f>
        <v/>
      </c>
      <c r="AE174" s="21">
        <f>IF(Y174="","",IFERROR(TRIM(INDEX($A174:$T174,MATCH(Lists!$F$11,$A$1:$T$1,0))&amp;""),""))</f>
        <v/>
      </c>
      <c r="AF174" s="21">
        <f>IF(Y174="","",IFERROR(TRIM(INDEX($A174:$T174,MATCH(Lists!$F$12,$A$1:$T$1,0))&amp;""),""))</f>
        <v/>
      </c>
      <c r="AG174" s="21">
        <f>IF(Y174="","",IFERROR(TRIM(INDEX($A174:$T174,MATCH(Lists!$F$14,$A$1:$T$1,0))&amp;""),""))</f>
        <v/>
      </c>
      <c r="AH174" s="21">
        <f>IF(Y174="","",LEFT(IFERROR(TRIM(INDEX($A174:$T174,MATCH(Lists!$F$10,$A$1:$T$1,0))&amp;""),""),80))</f>
        <v/>
      </c>
      <c r="AI174" s="21">
        <f>IF(Y174="",0,IF(OR(Tally!$B$5="",AA174=Tally!$B$5),1,0))</f>
        <v/>
      </c>
      <c r="AJ174" s="21">
        <f>IF(AI174=1,IF(COUNTIFS($AB$2:AB174,AB174,$AI$2:AI174,1)=1,1,0),0)</f>
        <v/>
      </c>
      <c r="AK174" s="21">
        <f>IF(AJ174=1,SUM($AJ$2:AJ174),"")</f>
        <v/>
      </c>
      <c r="AL174" s="21">
        <f>IF(AND(AI174=1,OR(AD174="In person",AD174="Online"),OR(Speakers!$B$5="",AB174=Speakers!$B$5)),N(Z174)+ROW()/1000000000,"")</f>
        <v/>
      </c>
    </row>
    <row r="175">
      <c r="U175" s="19" t="n"/>
      <c r="V175" s="24" t="n"/>
      <c r="W175" s="24" t="n"/>
      <c r="X175" s="19" t="n"/>
      <c r="Y175" s="21">
        <f>IFERROR(TRIM(INDEX($A175:$T175,MATCH(Lists!$F$2,$A$1:$T$1,0))&amp;""),"")</f>
        <v/>
      </c>
      <c r="Z175" s="22">
        <f>IF(Y175="","",IFERROR(IF(ISNUMBER(INDEX($A175:$T175,MATCH(Lists!$F$3,$A$1:$T$1,0))),INDEX($A175:$T175,MATCH(Lists!$F$3,$A$1:$T$1,0)),DATE(VALUE(LEFT(IFERROR(TRIM(INDEX($A175:$T175,MATCH(Lists!$F$3,$A$1:$T$1,0))&amp;""),""),4)),VALUE(MID(IFERROR(TRIM(INDEX($A175:$T175,MATCH(Lists!$F$3,$A$1:$T$1,0))&amp;""),""),6,2)),VALUE(MID(IFERROR(TRIM(INDEX($A175:$T175,MATCH(Lists!$F$3,$A$1:$T$1,0))&amp;""),""),9,2)))+TIME(VALUE(MID(IFERROR(TRIM(INDEX($A175:$T175,MATCH(Lists!$F$3,$A$1:$T$1,0))&amp;""),""),12,2)),VALUE(MID(IFERROR(TRIM(INDEX($A175:$T175,MATCH(Lists!$F$3,$A$1:$T$1,0))&amp;""),""),15,2)),VALUE(MID(IFERROR(TRIM(INDEX($A175:$T175,MATCH(Lists!$F$3,$A$1:$T$1,0))&amp;""),""),18,2)))),""))</f>
        <v/>
      </c>
      <c r="AA175" s="23">
        <f>IF(Y175="","",IF(ISNUMBER(IFERROR(IF(TRIM(INDEX($A175:$T175,MATCH(Lists!$F$4,$A$1:$T$1,0))&amp;"")="","",IF(ISNUMBER(INDEX($A175:$T175,MATCH(Lists!$F$4,$A$1:$T$1,0))),INT(INDEX($A175:$T175,MATCH(Lists!$F$4,$A$1:$T$1,0))),DATE(VALUE(LEFT(INDEX($A175:$T175,MATCH(Lists!$F$4,$A$1:$T$1,0)),4)),VALUE(MID(INDEX($A175:$T175,MATCH(Lists!$F$4,$A$1:$T$1,0)),6,2)),VALUE(MID(INDEX($A175:$T175,MATCH(Lists!$F$4,$A$1:$T$1,0)),9,2))))),"")),IFERROR(IF(TRIM(INDEX($A175:$T175,MATCH(Lists!$F$4,$A$1:$T$1,0))&amp;"")="","",IF(ISNUMBER(INDEX($A175:$T175,MATCH(Lists!$F$4,$A$1:$T$1,0))),INT(INDEX($A175:$T175,MATCH(Lists!$F$4,$A$1:$T$1,0))),DATE(VALUE(LEFT(INDEX($A175:$T175,MATCH(Lists!$F$4,$A$1:$T$1,0)),4)),VALUE(MID(INDEX($A175:$T175,MATCH(Lists!$F$4,$A$1:$T$1,0)),6,2)),VALUE(MID(INDEX($A175:$T175,MATCH(Lists!$F$4,$A$1:$T$1,0)),9,2))))),""),IFERROR(IF(TRIM(INDEX($A175:$T175,MATCH(Lists!$F$5,$A$1:$T$1,0))&amp;"")="","",IF(ISNUMBER(INDEX($A175:$T175,MATCH(Lists!$F$5,$A$1:$T$1,0))),INT(INDEX($A175:$T175,MATCH(Lists!$F$5,$A$1:$T$1,0))),DATE(VALUE(LEFT(INDEX($A175:$T175,MATCH(Lists!$F$5,$A$1:$T$1,0)),4)),VALUE(MID(INDEX($A175:$T175,MATCH(Lists!$F$5,$A$1:$T$1,0)),6,2)),VALUE(MID(INDEX($A175:$T175,MATCH(Lists!$F$5,$A$1:$T$1,0)),9,2))))),"")))</f>
        <v/>
      </c>
      <c r="AB175" s="21">
        <f>IF(Y175="","",IF(LEFT(IFERROR(TRIM(INDEX($A175:$T175,MATCH(Lists!$F$6,$A$1:$T$1,0))&amp;""),""),2)="No","General comment",IF(IFERROR(TRIM(INDEX($A175:$T175,MATCH(Lists!$F$7,$A$1:$T$1,0))&amp;""),"")&lt;&gt;"",IFERROR(TRIM(INDEX($A175:$T175,MATCH(Lists!$F$7,$A$1:$T$1,0))&amp;""),""),IF(IFERROR(TRIM(INDEX($A175:$T175,MATCH(Lists!$F$8,$A$1:$T$1,0))&amp;""),"")&lt;&gt;"",IFERROR(TRIM(INDEX($A175:$T175,MATCH(Lists!$F$8,$A$1:$T$1,0))&amp;""),""),"(no item given)"))))</f>
        <v/>
      </c>
      <c r="AC175" s="21">
        <f>IF(Y175="","",IF(ISNUMBER(SEARCH("support",IFERROR(TRIM(INDEX($A175:$T175,MATCH(Lists!$F$9,$A$1:$T$1,0))&amp;""),""))),"Support",IF(ISNUMBER(SEARCH("oppose",IFERROR(TRIM(INDEX($A175:$T175,MATCH(Lists!$F$9,$A$1:$T$1,0))&amp;""),""))),"Oppose",IF(IFERROR(TRIM(INDEX($A175:$T175,MATCH(Lists!$F$9,$A$1:$T$1,0))&amp;""),"")="","No position","Neither"))))</f>
        <v/>
      </c>
      <c r="AD175" s="21">
        <f>IF(Y175="","",IF(ISNUMBER(SEARCH("in person",IFERROR(TRIM(INDEX($A175:$T175,MATCH(Lists!$F$13,$A$1:$T$1,0))&amp;""),""))),"In person",IF(ISNUMBER(SEARCH("online",IFERROR(TRIM(INDEX($A175:$T175,MATCH(Lists!$F$13,$A$1:$T$1,0))&amp;""),""))),"Online","Written only")))</f>
        <v/>
      </c>
      <c r="AE175" s="21">
        <f>IF(Y175="","",IFERROR(TRIM(INDEX($A175:$T175,MATCH(Lists!$F$11,$A$1:$T$1,0))&amp;""),""))</f>
        <v/>
      </c>
      <c r="AF175" s="21">
        <f>IF(Y175="","",IFERROR(TRIM(INDEX($A175:$T175,MATCH(Lists!$F$12,$A$1:$T$1,0))&amp;""),""))</f>
        <v/>
      </c>
      <c r="AG175" s="21">
        <f>IF(Y175="","",IFERROR(TRIM(INDEX($A175:$T175,MATCH(Lists!$F$14,$A$1:$T$1,0))&amp;""),""))</f>
        <v/>
      </c>
      <c r="AH175" s="21">
        <f>IF(Y175="","",LEFT(IFERROR(TRIM(INDEX($A175:$T175,MATCH(Lists!$F$10,$A$1:$T$1,0))&amp;""),""),80))</f>
        <v/>
      </c>
      <c r="AI175" s="21">
        <f>IF(Y175="",0,IF(OR(Tally!$B$5="",AA175=Tally!$B$5),1,0))</f>
        <v/>
      </c>
      <c r="AJ175" s="21">
        <f>IF(AI175=1,IF(COUNTIFS($AB$2:AB175,AB175,$AI$2:AI175,1)=1,1,0),0)</f>
        <v/>
      </c>
      <c r="AK175" s="21">
        <f>IF(AJ175=1,SUM($AJ$2:AJ175),"")</f>
        <v/>
      </c>
      <c r="AL175" s="21">
        <f>IF(AND(AI175=1,OR(AD175="In person",AD175="Online"),OR(Speakers!$B$5="",AB175=Speakers!$B$5)),N(Z175)+ROW()/1000000000,"")</f>
        <v/>
      </c>
    </row>
    <row r="176">
      <c r="U176" s="19" t="n"/>
      <c r="V176" s="24" t="n"/>
      <c r="W176" s="24" t="n"/>
      <c r="X176" s="19" t="n"/>
      <c r="Y176" s="21">
        <f>IFERROR(TRIM(INDEX($A176:$T176,MATCH(Lists!$F$2,$A$1:$T$1,0))&amp;""),"")</f>
        <v/>
      </c>
      <c r="Z176" s="22">
        <f>IF(Y176="","",IFERROR(IF(ISNUMBER(INDEX($A176:$T176,MATCH(Lists!$F$3,$A$1:$T$1,0))),INDEX($A176:$T176,MATCH(Lists!$F$3,$A$1:$T$1,0)),DATE(VALUE(LEFT(IFERROR(TRIM(INDEX($A176:$T176,MATCH(Lists!$F$3,$A$1:$T$1,0))&amp;""),""),4)),VALUE(MID(IFERROR(TRIM(INDEX($A176:$T176,MATCH(Lists!$F$3,$A$1:$T$1,0))&amp;""),""),6,2)),VALUE(MID(IFERROR(TRIM(INDEX($A176:$T176,MATCH(Lists!$F$3,$A$1:$T$1,0))&amp;""),""),9,2)))+TIME(VALUE(MID(IFERROR(TRIM(INDEX($A176:$T176,MATCH(Lists!$F$3,$A$1:$T$1,0))&amp;""),""),12,2)),VALUE(MID(IFERROR(TRIM(INDEX($A176:$T176,MATCH(Lists!$F$3,$A$1:$T$1,0))&amp;""),""),15,2)),VALUE(MID(IFERROR(TRIM(INDEX($A176:$T176,MATCH(Lists!$F$3,$A$1:$T$1,0))&amp;""),""),18,2)))),""))</f>
        <v/>
      </c>
      <c r="AA176" s="23">
        <f>IF(Y176="","",IF(ISNUMBER(IFERROR(IF(TRIM(INDEX($A176:$T176,MATCH(Lists!$F$4,$A$1:$T$1,0))&amp;"")="","",IF(ISNUMBER(INDEX($A176:$T176,MATCH(Lists!$F$4,$A$1:$T$1,0))),INT(INDEX($A176:$T176,MATCH(Lists!$F$4,$A$1:$T$1,0))),DATE(VALUE(LEFT(INDEX($A176:$T176,MATCH(Lists!$F$4,$A$1:$T$1,0)),4)),VALUE(MID(INDEX($A176:$T176,MATCH(Lists!$F$4,$A$1:$T$1,0)),6,2)),VALUE(MID(INDEX($A176:$T176,MATCH(Lists!$F$4,$A$1:$T$1,0)),9,2))))),"")),IFERROR(IF(TRIM(INDEX($A176:$T176,MATCH(Lists!$F$4,$A$1:$T$1,0))&amp;"")="","",IF(ISNUMBER(INDEX($A176:$T176,MATCH(Lists!$F$4,$A$1:$T$1,0))),INT(INDEX($A176:$T176,MATCH(Lists!$F$4,$A$1:$T$1,0))),DATE(VALUE(LEFT(INDEX($A176:$T176,MATCH(Lists!$F$4,$A$1:$T$1,0)),4)),VALUE(MID(INDEX($A176:$T176,MATCH(Lists!$F$4,$A$1:$T$1,0)),6,2)),VALUE(MID(INDEX($A176:$T176,MATCH(Lists!$F$4,$A$1:$T$1,0)),9,2))))),""),IFERROR(IF(TRIM(INDEX($A176:$T176,MATCH(Lists!$F$5,$A$1:$T$1,0))&amp;"")="","",IF(ISNUMBER(INDEX($A176:$T176,MATCH(Lists!$F$5,$A$1:$T$1,0))),INT(INDEX($A176:$T176,MATCH(Lists!$F$5,$A$1:$T$1,0))),DATE(VALUE(LEFT(INDEX($A176:$T176,MATCH(Lists!$F$5,$A$1:$T$1,0)),4)),VALUE(MID(INDEX($A176:$T176,MATCH(Lists!$F$5,$A$1:$T$1,0)),6,2)),VALUE(MID(INDEX($A176:$T176,MATCH(Lists!$F$5,$A$1:$T$1,0)),9,2))))),"")))</f>
        <v/>
      </c>
      <c r="AB176" s="21">
        <f>IF(Y176="","",IF(LEFT(IFERROR(TRIM(INDEX($A176:$T176,MATCH(Lists!$F$6,$A$1:$T$1,0))&amp;""),""),2)="No","General comment",IF(IFERROR(TRIM(INDEX($A176:$T176,MATCH(Lists!$F$7,$A$1:$T$1,0))&amp;""),"")&lt;&gt;"",IFERROR(TRIM(INDEX($A176:$T176,MATCH(Lists!$F$7,$A$1:$T$1,0))&amp;""),""),IF(IFERROR(TRIM(INDEX($A176:$T176,MATCH(Lists!$F$8,$A$1:$T$1,0))&amp;""),"")&lt;&gt;"",IFERROR(TRIM(INDEX($A176:$T176,MATCH(Lists!$F$8,$A$1:$T$1,0))&amp;""),""),"(no item given)"))))</f>
        <v/>
      </c>
      <c r="AC176" s="21">
        <f>IF(Y176="","",IF(ISNUMBER(SEARCH("support",IFERROR(TRIM(INDEX($A176:$T176,MATCH(Lists!$F$9,$A$1:$T$1,0))&amp;""),""))),"Support",IF(ISNUMBER(SEARCH("oppose",IFERROR(TRIM(INDEX($A176:$T176,MATCH(Lists!$F$9,$A$1:$T$1,0))&amp;""),""))),"Oppose",IF(IFERROR(TRIM(INDEX($A176:$T176,MATCH(Lists!$F$9,$A$1:$T$1,0))&amp;""),"")="","No position","Neither"))))</f>
        <v/>
      </c>
      <c r="AD176" s="21">
        <f>IF(Y176="","",IF(ISNUMBER(SEARCH("in person",IFERROR(TRIM(INDEX($A176:$T176,MATCH(Lists!$F$13,$A$1:$T$1,0))&amp;""),""))),"In person",IF(ISNUMBER(SEARCH("online",IFERROR(TRIM(INDEX($A176:$T176,MATCH(Lists!$F$13,$A$1:$T$1,0))&amp;""),""))),"Online","Written only")))</f>
        <v/>
      </c>
      <c r="AE176" s="21">
        <f>IF(Y176="","",IFERROR(TRIM(INDEX($A176:$T176,MATCH(Lists!$F$11,$A$1:$T$1,0))&amp;""),""))</f>
        <v/>
      </c>
      <c r="AF176" s="21">
        <f>IF(Y176="","",IFERROR(TRIM(INDEX($A176:$T176,MATCH(Lists!$F$12,$A$1:$T$1,0))&amp;""),""))</f>
        <v/>
      </c>
      <c r="AG176" s="21">
        <f>IF(Y176="","",IFERROR(TRIM(INDEX($A176:$T176,MATCH(Lists!$F$14,$A$1:$T$1,0))&amp;""),""))</f>
        <v/>
      </c>
      <c r="AH176" s="21">
        <f>IF(Y176="","",LEFT(IFERROR(TRIM(INDEX($A176:$T176,MATCH(Lists!$F$10,$A$1:$T$1,0))&amp;""),""),80))</f>
        <v/>
      </c>
      <c r="AI176" s="21">
        <f>IF(Y176="",0,IF(OR(Tally!$B$5="",AA176=Tally!$B$5),1,0))</f>
        <v/>
      </c>
      <c r="AJ176" s="21">
        <f>IF(AI176=1,IF(COUNTIFS($AB$2:AB176,AB176,$AI$2:AI176,1)=1,1,0),0)</f>
        <v/>
      </c>
      <c r="AK176" s="21">
        <f>IF(AJ176=1,SUM($AJ$2:AJ176),"")</f>
        <v/>
      </c>
      <c r="AL176" s="21">
        <f>IF(AND(AI176=1,OR(AD176="In person",AD176="Online"),OR(Speakers!$B$5="",AB176=Speakers!$B$5)),N(Z176)+ROW()/1000000000,"")</f>
        <v/>
      </c>
    </row>
    <row r="177">
      <c r="U177" s="19" t="n"/>
      <c r="V177" s="24" t="n"/>
      <c r="W177" s="24" t="n"/>
      <c r="X177" s="19" t="n"/>
      <c r="Y177" s="21">
        <f>IFERROR(TRIM(INDEX($A177:$T177,MATCH(Lists!$F$2,$A$1:$T$1,0))&amp;""),"")</f>
        <v/>
      </c>
      <c r="Z177" s="22">
        <f>IF(Y177="","",IFERROR(IF(ISNUMBER(INDEX($A177:$T177,MATCH(Lists!$F$3,$A$1:$T$1,0))),INDEX($A177:$T177,MATCH(Lists!$F$3,$A$1:$T$1,0)),DATE(VALUE(LEFT(IFERROR(TRIM(INDEX($A177:$T177,MATCH(Lists!$F$3,$A$1:$T$1,0))&amp;""),""),4)),VALUE(MID(IFERROR(TRIM(INDEX($A177:$T177,MATCH(Lists!$F$3,$A$1:$T$1,0))&amp;""),""),6,2)),VALUE(MID(IFERROR(TRIM(INDEX($A177:$T177,MATCH(Lists!$F$3,$A$1:$T$1,0))&amp;""),""),9,2)))+TIME(VALUE(MID(IFERROR(TRIM(INDEX($A177:$T177,MATCH(Lists!$F$3,$A$1:$T$1,0))&amp;""),""),12,2)),VALUE(MID(IFERROR(TRIM(INDEX($A177:$T177,MATCH(Lists!$F$3,$A$1:$T$1,0))&amp;""),""),15,2)),VALUE(MID(IFERROR(TRIM(INDEX($A177:$T177,MATCH(Lists!$F$3,$A$1:$T$1,0))&amp;""),""),18,2)))),""))</f>
        <v/>
      </c>
      <c r="AA177" s="23">
        <f>IF(Y177="","",IF(ISNUMBER(IFERROR(IF(TRIM(INDEX($A177:$T177,MATCH(Lists!$F$4,$A$1:$T$1,0))&amp;"")="","",IF(ISNUMBER(INDEX($A177:$T177,MATCH(Lists!$F$4,$A$1:$T$1,0))),INT(INDEX($A177:$T177,MATCH(Lists!$F$4,$A$1:$T$1,0))),DATE(VALUE(LEFT(INDEX($A177:$T177,MATCH(Lists!$F$4,$A$1:$T$1,0)),4)),VALUE(MID(INDEX($A177:$T177,MATCH(Lists!$F$4,$A$1:$T$1,0)),6,2)),VALUE(MID(INDEX($A177:$T177,MATCH(Lists!$F$4,$A$1:$T$1,0)),9,2))))),"")),IFERROR(IF(TRIM(INDEX($A177:$T177,MATCH(Lists!$F$4,$A$1:$T$1,0))&amp;"")="","",IF(ISNUMBER(INDEX($A177:$T177,MATCH(Lists!$F$4,$A$1:$T$1,0))),INT(INDEX($A177:$T177,MATCH(Lists!$F$4,$A$1:$T$1,0))),DATE(VALUE(LEFT(INDEX($A177:$T177,MATCH(Lists!$F$4,$A$1:$T$1,0)),4)),VALUE(MID(INDEX($A177:$T177,MATCH(Lists!$F$4,$A$1:$T$1,0)),6,2)),VALUE(MID(INDEX($A177:$T177,MATCH(Lists!$F$4,$A$1:$T$1,0)),9,2))))),""),IFERROR(IF(TRIM(INDEX($A177:$T177,MATCH(Lists!$F$5,$A$1:$T$1,0))&amp;"")="","",IF(ISNUMBER(INDEX($A177:$T177,MATCH(Lists!$F$5,$A$1:$T$1,0))),INT(INDEX($A177:$T177,MATCH(Lists!$F$5,$A$1:$T$1,0))),DATE(VALUE(LEFT(INDEX($A177:$T177,MATCH(Lists!$F$5,$A$1:$T$1,0)),4)),VALUE(MID(INDEX($A177:$T177,MATCH(Lists!$F$5,$A$1:$T$1,0)),6,2)),VALUE(MID(INDEX($A177:$T177,MATCH(Lists!$F$5,$A$1:$T$1,0)),9,2))))),"")))</f>
        <v/>
      </c>
      <c r="AB177" s="21">
        <f>IF(Y177="","",IF(LEFT(IFERROR(TRIM(INDEX($A177:$T177,MATCH(Lists!$F$6,$A$1:$T$1,0))&amp;""),""),2)="No","General comment",IF(IFERROR(TRIM(INDEX($A177:$T177,MATCH(Lists!$F$7,$A$1:$T$1,0))&amp;""),"")&lt;&gt;"",IFERROR(TRIM(INDEX($A177:$T177,MATCH(Lists!$F$7,$A$1:$T$1,0))&amp;""),""),IF(IFERROR(TRIM(INDEX($A177:$T177,MATCH(Lists!$F$8,$A$1:$T$1,0))&amp;""),"")&lt;&gt;"",IFERROR(TRIM(INDEX($A177:$T177,MATCH(Lists!$F$8,$A$1:$T$1,0))&amp;""),""),"(no item given)"))))</f>
        <v/>
      </c>
      <c r="AC177" s="21">
        <f>IF(Y177="","",IF(ISNUMBER(SEARCH("support",IFERROR(TRIM(INDEX($A177:$T177,MATCH(Lists!$F$9,$A$1:$T$1,0))&amp;""),""))),"Support",IF(ISNUMBER(SEARCH("oppose",IFERROR(TRIM(INDEX($A177:$T177,MATCH(Lists!$F$9,$A$1:$T$1,0))&amp;""),""))),"Oppose",IF(IFERROR(TRIM(INDEX($A177:$T177,MATCH(Lists!$F$9,$A$1:$T$1,0))&amp;""),"")="","No position","Neither"))))</f>
        <v/>
      </c>
      <c r="AD177" s="21">
        <f>IF(Y177="","",IF(ISNUMBER(SEARCH("in person",IFERROR(TRIM(INDEX($A177:$T177,MATCH(Lists!$F$13,$A$1:$T$1,0))&amp;""),""))),"In person",IF(ISNUMBER(SEARCH("online",IFERROR(TRIM(INDEX($A177:$T177,MATCH(Lists!$F$13,$A$1:$T$1,0))&amp;""),""))),"Online","Written only")))</f>
        <v/>
      </c>
      <c r="AE177" s="21">
        <f>IF(Y177="","",IFERROR(TRIM(INDEX($A177:$T177,MATCH(Lists!$F$11,$A$1:$T$1,0))&amp;""),""))</f>
        <v/>
      </c>
      <c r="AF177" s="21">
        <f>IF(Y177="","",IFERROR(TRIM(INDEX($A177:$T177,MATCH(Lists!$F$12,$A$1:$T$1,0))&amp;""),""))</f>
        <v/>
      </c>
      <c r="AG177" s="21">
        <f>IF(Y177="","",IFERROR(TRIM(INDEX($A177:$T177,MATCH(Lists!$F$14,$A$1:$T$1,0))&amp;""),""))</f>
        <v/>
      </c>
      <c r="AH177" s="21">
        <f>IF(Y177="","",LEFT(IFERROR(TRIM(INDEX($A177:$T177,MATCH(Lists!$F$10,$A$1:$T$1,0))&amp;""),""),80))</f>
        <v/>
      </c>
      <c r="AI177" s="21">
        <f>IF(Y177="",0,IF(OR(Tally!$B$5="",AA177=Tally!$B$5),1,0))</f>
        <v/>
      </c>
      <c r="AJ177" s="21">
        <f>IF(AI177=1,IF(COUNTIFS($AB$2:AB177,AB177,$AI$2:AI177,1)=1,1,0),0)</f>
        <v/>
      </c>
      <c r="AK177" s="21">
        <f>IF(AJ177=1,SUM($AJ$2:AJ177),"")</f>
        <v/>
      </c>
      <c r="AL177" s="21">
        <f>IF(AND(AI177=1,OR(AD177="In person",AD177="Online"),OR(Speakers!$B$5="",AB177=Speakers!$B$5)),N(Z177)+ROW()/1000000000,"")</f>
        <v/>
      </c>
    </row>
    <row r="178">
      <c r="U178" s="19" t="n"/>
      <c r="V178" s="24" t="n"/>
      <c r="W178" s="24" t="n"/>
      <c r="X178" s="19" t="n"/>
      <c r="Y178" s="21">
        <f>IFERROR(TRIM(INDEX($A178:$T178,MATCH(Lists!$F$2,$A$1:$T$1,0))&amp;""),"")</f>
        <v/>
      </c>
      <c r="Z178" s="22">
        <f>IF(Y178="","",IFERROR(IF(ISNUMBER(INDEX($A178:$T178,MATCH(Lists!$F$3,$A$1:$T$1,0))),INDEX($A178:$T178,MATCH(Lists!$F$3,$A$1:$T$1,0)),DATE(VALUE(LEFT(IFERROR(TRIM(INDEX($A178:$T178,MATCH(Lists!$F$3,$A$1:$T$1,0))&amp;""),""),4)),VALUE(MID(IFERROR(TRIM(INDEX($A178:$T178,MATCH(Lists!$F$3,$A$1:$T$1,0))&amp;""),""),6,2)),VALUE(MID(IFERROR(TRIM(INDEX($A178:$T178,MATCH(Lists!$F$3,$A$1:$T$1,0))&amp;""),""),9,2)))+TIME(VALUE(MID(IFERROR(TRIM(INDEX($A178:$T178,MATCH(Lists!$F$3,$A$1:$T$1,0))&amp;""),""),12,2)),VALUE(MID(IFERROR(TRIM(INDEX($A178:$T178,MATCH(Lists!$F$3,$A$1:$T$1,0))&amp;""),""),15,2)),VALUE(MID(IFERROR(TRIM(INDEX($A178:$T178,MATCH(Lists!$F$3,$A$1:$T$1,0))&amp;""),""),18,2)))),""))</f>
        <v/>
      </c>
      <c r="AA178" s="23">
        <f>IF(Y178="","",IF(ISNUMBER(IFERROR(IF(TRIM(INDEX($A178:$T178,MATCH(Lists!$F$4,$A$1:$T$1,0))&amp;"")="","",IF(ISNUMBER(INDEX($A178:$T178,MATCH(Lists!$F$4,$A$1:$T$1,0))),INT(INDEX($A178:$T178,MATCH(Lists!$F$4,$A$1:$T$1,0))),DATE(VALUE(LEFT(INDEX($A178:$T178,MATCH(Lists!$F$4,$A$1:$T$1,0)),4)),VALUE(MID(INDEX($A178:$T178,MATCH(Lists!$F$4,$A$1:$T$1,0)),6,2)),VALUE(MID(INDEX($A178:$T178,MATCH(Lists!$F$4,$A$1:$T$1,0)),9,2))))),"")),IFERROR(IF(TRIM(INDEX($A178:$T178,MATCH(Lists!$F$4,$A$1:$T$1,0))&amp;"")="","",IF(ISNUMBER(INDEX($A178:$T178,MATCH(Lists!$F$4,$A$1:$T$1,0))),INT(INDEX($A178:$T178,MATCH(Lists!$F$4,$A$1:$T$1,0))),DATE(VALUE(LEFT(INDEX($A178:$T178,MATCH(Lists!$F$4,$A$1:$T$1,0)),4)),VALUE(MID(INDEX($A178:$T178,MATCH(Lists!$F$4,$A$1:$T$1,0)),6,2)),VALUE(MID(INDEX($A178:$T178,MATCH(Lists!$F$4,$A$1:$T$1,0)),9,2))))),""),IFERROR(IF(TRIM(INDEX($A178:$T178,MATCH(Lists!$F$5,$A$1:$T$1,0))&amp;"")="","",IF(ISNUMBER(INDEX($A178:$T178,MATCH(Lists!$F$5,$A$1:$T$1,0))),INT(INDEX($A178:$T178,MATCH(Lists!$F$5,$A$1:$T$1,0))),DATE(VALUE(LEFT(INDEX($A178:$T178,MATCH(Lists!$F$5,$A$1:$T$1,0)),4)),VALUE(MID(INDEX($A178:$T178,MATCH(Lists!$F$5,$A$1:$T$1,0)),6,2)),VALUE(MID(INDEX($A178:$T178,MATCH(Lists!$F$5,$A$1:$T$1,0)),9,2))))),"")))</f>
        <v/>
      </c>
      <c r="AB178" s="21">
        <f>IF(Y178="","",IF(LEFT(IFERROR(TRIM(INDEX($A178:$T178,MATCH(Lists!$F$6,$A$1:$T$1,0))&amp;""),""),2)="No","General comment",IF(IFERROR(TRIM(INDEX($A178:$T178,MATCH(Lists!$F$7,$A$1:$T$1,0))&amp;""),"")&lt;&gt;"",IFERROR(TRIM(INDEX($A178:$T178,MATCH(Lists!$F$7,$A$1:$T$1,0))&amp;""),""),IF(IFERROR(TRIM(INDEX($A178:$T178,MATCH(Lists!$F$8,$A$1:$T$1,0))&amp;""),"")&lt;&gt;"",IFERROR(TRIM(INDEX($A178:$T178,MATCH(Lists!$F$8,$A$1:$T$1,0))&amp;""),""),"(no item given)"))))</f>
        <v/>
      </c>
      <c r="AC178" s="21">
        <f>IF(Y178="","",IF(ISNUMBER(SEARCH("support",IFERROR(TRIM(INDEX($A178:$T178,MATCH(Lists!$F$9,$A$1:$T$1,0))&amp;""),""))),"Support",IF(ISNUMBER(SEARCH("oppose",IFERROR(TRIM(INDEX($A178:$T178,MATCH(Lists!$F$9,$A$1:$T$1,0))&amp;""),""))),"Oppose",IF(IFERROR(TRIM(INDEX($A178:$T178,MATCH(Lists!$F$9,$A$1:$T$1,0))&amp;""),"")="","No position","Neither"))))</f>
        <v/>
      </c>
      <c r="AD178" s="21">
        <f>IF(Y178="","",IF(ISNUMBER(SEARCH("in person",IFERROR(TRIM(INDEX($A178:$T178,MATCH(Lists!$F$13,$A$1:$T$1,0))&amp;""),""))),"In person",IF(ISNUMBER(SEARCH("online",IFERROR(TRIM(INDEX($A178:$T178,MATCH(Lists!$F$13,$A$1:$T$1,0))&amp;""),""))),"Online","Written only")))</f>
        <v/>
      </c>
      <c r="AE178" s="21">
        <f>IF(Y178="","",IFERROR(TRIM(INDEX($A178:$T178,MATCH(Lists!$F$11,$A$1:$T$1,0))&amp;""),""))</f>
        <v/>
      </c>
      <c r="AF178" s="21">
        <f>IF(Y178="","",IFERROR(TRIM(INDEX($A178:$T178,MATCH(Lists!$F$12,$A$1:$T$1,0))&amp;""),""))</f>
        <v/>
      </c>
      <c r="AG178" s="21">
        <f>IF(Y178="","",IFERROR(TRIM(INDEX($A178:$T178,MATCH(Lists!$F$14,$A$1:$T$1,0))&amp;""),""))</f>
        <v/>
      </c>
      <c r="AH178" s="21">
        <f>IF(Y178="","",LEFT(IFERROR(TRIM(INDEX($A178:$T178,MATCH(Lists!$F$10,$A$1:$T$1,0))&amp;""),""),80))</f>
        <v/>
      </c>
      <c r="AI178" s="21">
        <f>IF(Y178="",0,IF(OR(Tally!$B$5="",AA178=Tally!$B$5),1,0))</f>
        <v/>
      </c>
      <c r="AJ178" s="21">
        <f>IF(AI178=1,IF(COUNTIFS($AB$2:AB178,AB178,$AI$2:AI178,1)=1,1,0),0)</f>
        <v/>
      </c>
      <c r="AK178" s="21">
        <f>IF(AJ178=1,SUM($AJ$2:AJ178),"")</f>
        <v/>
      </c>
      <c r="AL178" s="21">
        <f>IF(AND(AI178=1,OR(AD178="In person",AD178="Online"),OR(Speakers!$B$5="",AB178=Speakers!$B$5)),N(Z178)+ROW()/1000000000,"")</f>
        <v/>
      </c>
    </row>
    <row r="179">
      <c r="U179" s="19" t="n"/>
      <c r="V179" s="24" t="n"/>
      <c r="W179" s="24" t="n"/>
      <c r="X179" s="19" t="n"/>
      <c r="Y179" s="21">
        <f>IFERROR(TRIM(INDEX($A179:$T179,MATCH(Lists!$F$2,$A$1:$T$1,0))&amp;""),"")</f>
        <v/>
      </c>
      <c r="Z179" s="22">
        <f>IF(Y179="","",IFERROR(IF(ISNUMBER(INDEX($A179:$T179,MATCH(Lists!$F$3,$A$1:$T$1,0))),INDEX($A179:$T179,MATCH(Lists!$F$3,$A$1:$T$1,0)),DATE(VALUE(LEFT(IFERROR(TRIM(INDEX($A179:$T179,MATCH(Lists!$F$3,$A$1:$T$1,0))&amp;""),""),4)),VALUE(MID(IFERROR(TRIM(INDEX($A179:$T179,MATCH(Lists!$F$3,$A$1:$T$1,0))&amp;""),""),6,2)),VALUE(MID(IFERROR(TRIM(INDEX($A179:$T179,MATCH(Lists!$F$3,$A$1:$T$1,0))&amp;""),""),9,2)))+TIME(VALUE(MID(IFERROR(TRIM(INDEX($A179:$T179,MATCH(Lists!$F$3,$A$1:$T$1,0))&amp;""),""),12,2)),VALUE(MID(IFERROR(TRIM(INDEX($A179:$T179,MATCH(Lists!$F$3,$A$1:$T$1,0))&amp;""),""),15,2)),VALUE(MID(IFERROR(TRIM(INDEX($A179:$T179,MATCH(Lists!$F$3,$A$1:$T$1,0))&amp;""),""),18,2)))),""))</f>
        <v/>
      </c>
      <c r="AA179" s="23">
        <f>IF(Y179="","",IF(ISNUMBER(IFERROR(IF(TRIM(INDEX($A179:$T179,MATCH(Lists!$F$4,$A$1:$T$1,0))&amp;"")="","",IF(ISNUMBER(INDEX($A179:$T179,MATCH(Lists!$F$4,$A$1:$T$1,0))),INT(INDEX($A179:$T179,MATCH(Lists!$F$4,$A$1:$T$1,0))),DATE(VALUE(LEFT(INDEX($A179:$T179,MATCH(Lists!$F$4,$A$1:$T$1,0)),4)),VALUE(MID(INDEX($A179:$T179,MATCH(Lists!$F$4,$A$1:$T$1,0)),6,2)),VALUE(MID(INDEX($A179:$T179,MATCH(Lists!$F$4,$A$1:$T$1,0)),9,2))))),"")),IFERROR(IF(TRIM(INDEX($A179:$T179,MATCH(Lists!$F$4,$A$1:$T$1,0))&amp;"")="","",IF(ISNUMBER(INDEX($A179:$T179,MATCH(Lists!$F$4,$A$1:$T$1,0))),INT(INDEX($A179:$T179,MATCH(Lists!$F$4,$A$1:$T$1,0))),DATE(VALUE(LEFT(INDEX($A179:$T179,MATCH(Lists!$F$4,$A$1:$T$1,0)),4)),VALUE(MID(INDEX($A179:$T179,MATCH(Lists!$F$4,$A$1:$T$1,0)),6,2)),VALUE(MID(INDEX($A179:$T179,MATCH(Lists!$F$4,$A$1:$T$1,0)),9,2))))),""),IFERROR(IF(TRIM(INDEX($A179:$T179,MATCH(Lists!$F$5,$A$1:$T$1,0))&amp;"")="","",IF(ISNUMBER(INDEX($A179:$T179,MATCH(Lists!$F$5,$A$1:$T$1,0))),INT(INDEX($A179:$T179,MATCH(Lists!$F$5,$A$1:$T$1,0))),DATE(VALUE(LEFT(INDEX($A179:$T179,MATCH(Lists!$F$5,$A$1:$T$1,0)),4)),VALUE(MID(INDEX($A179:$T179,MATCH(Lists!$F$5,$A$1:$T$1,0)),6,2)),VALUE(MID(INDEX($A179:$T179,MATCH(Lists!$F$5,$A$1:$T$1,0)),9,2))))),"")))</f>
        <v/>
      </c>
      <c r="AB179" s="21">
        <f>IF(Y179="","",IF(LEFT(IFERROR(TRIM(INDEX($A179:$T179,MATCH(Lists!$F$6,$A$1:$T$1,0))&amp;""),""),2)="No","General comment",IF(IFERROR(TRIM(INDEX($A179:$T179,MATCH(Lists!$F$7,$A$1:$T$1,0))&amp;""),"")&lt;&gt;"",IFERROR(TRIM(INDEX($A179:$T179,MATCH(Lists!$F$7,$A$1:$T$1,0))&amp;""),""),IF(IFERROR(TRIM(INDEX($A179:$T179,MATCH(Lists!$F$8,$A$1:$T$1,0))&amp;""),"")&lt;&gt;"",IFERROR(TRIM(INDEX($A179:$T179,MATCH(Lists!$F$8,$A$1:$T$1,0))&amp;""),""),"(no item given)"))))</f>
        <v/>
      </c>
      <c r="AC179" s="21">
        <f>IF(Y179="","",IF(ISNUMBER(SEARCH("support",IFERROR(TRIM(INDEX($A179:$T179,MATCH(Lists!$F$9,$A$1:$T$1,0))&amp;""),""))),"Support",IF(ISNUMBER(SEARCH("oppose",IFERROR(TRIM(INDEX($A179:$T179,MATCH(Lists!$F$9,$A$1:$T$1,0))&amp;""),""))),"Oppose",IF(IFERROR(TRIM(INDEX($A179:$T179,MATCH(Lists!$F$9,$A$1:$T$1,0))&amp;""),"")="","No position","Neither"))))</f>
        <v/>
      </c>
      <c r="AD179" s="21">
        <f>IF(Y179="","",IF(ISNUMBER(SEARCH("in person",IFERROR(TRIM(INDEX($A179:$T179,MATCH(Lists!$F$13,$A$1:$T$1,0))&amp;""),""))),"In person",IF(ISNUMBER(SEARCH("online",IFERROR(TRIM(INDEX($A179:$T179,MATCH(Lists!$F$13,$A$1:$T$1,0))&amp;""),""))),"Online","Written only")))</f>
        <v/>
      </c>
      <c r="AE179" s="21">
        <f>IF(Y179="","",IFERROR(TRIM(INDEX($A179:$T179,MATCH(Lists!$F$11,$A$1:$T$1,0))&amp;""),""))</f>
        <v/>
      </c>
      <c r="AF179" s="21">
        <f>IF(Y179="","",IFERROR(TRIM(INDEX($A179:$T179,MATCH(Lists!$F$12,$A$1:$T$1,0))&amp;""),""))</f>
        <v/>
      </c>
      <c r="AG179" s="21">
        <f>IF(Y179="","",IFERROR(TRIM(INDEX($A179:$T179,MATCH(Lists!$F$14,$A$1:$T$1,0))&amp;""),""))</f>
        <v/>
      </c>
      <c r="AH179" s="21">
        <f>IF(Y179="","",LEFT(IFERROR(TRIM(INDEX($A179:$T179,MATCH(Lists!$F$10,$A$1:$T$1,0))&amp;""),""),80))</f>
        <v/>
      </c>
      <c r="AI179" s="21">
        <f>IF(Y179="",0,IF(OR(Tally!$B$5="",AA179=Tally!$B$5),1,0))</f>
        <v/>
      </c>
      <c r="AJ179" s="21">
        <f>IF(AI179=1,IF(COUNTIFS($AB$2:AB179,AB179,$AI$2:AI179,1)=1,1,0),0)</f>
        <v/>
      </c>
      <c r="AK179" s="21">
        <f>IF(AJ179=1,SUM($AJ$2:AJ179),"")</f>
        <v/>
      </c>
      <c r="AL179" s="21">
        <f>IF(AND(AI179=1,OR(AD179="In person",AD179="Online"),OR(Speakers!$B$5="",AB179=Speakers!$B$5)),N(Z179)+ROW()/1000000000,"")</f>
        <v/>
      </c>
    </row>
    <row r="180">
      <c r="U180" s="19" t="n"/>
      <c r="V180" s="24" t="n"/>
      <c r="W180" s="24" t="n"/>
      <c r="X180" s="19" t="n"/>
      <c r="Y180" s="21">
        <f>IFERROR(TRIM(INDEX($A180:$T180,MATCH(Lists!$F$2,$A$1:$T$1,0))&amp;""),"")</f>
        <v/>
      </c>
      <c r="Z180" s="22">
        <f>IF(Y180="","",IFERROR(IF(ISNUMBER(INDEX($A180:$T180,MATCH(Lists!$F$3,$A$1:$T$1,0))),INDEX($A180:$T180,MATCH(Lists!$F$3,$A$1:$T$1,0)),DATE(VALUE(LEFT(IFERROR(TRIM(INDEX($A180:$T180,MATCH(Lists!$F$3,$A$1:$T$1,0))&amp;""),""),4)),VALUE(MID(IFERROR(TRIM(INDEX($A180:$T180,MATCH(Lists!$F$3,$A$1:$T$1,0))&amp;""),""),6,2)),VALUE(MID(IFERROR(TRIM(INDEX($A180:$T180,MATCH(Lists!$F$3,$A$1:$T$1,0))&amp;""),""),9,2)))+TIME(VALUE(MID(IFERROR(TRIM(INDEX($A180:$T180,MATCH(Lists!$F$3,$A$1:$T$1,0))&amp;""),""),12,2)),VALUE(MID(IFERROR(TRIM(INDEX($A180:$T180,MATCH(Lists!$F$3,$A$1:$T$1,0))&amp;""),""),15,2)),VALUE(MID(IFERROR(TRIM(INDEX($A180:$T180,MATCH(Lists!$F$3,$A$1:$T$1,0))&amp;""),""),18,2)))),""))</f>
        <v/>
      </c>
      <c r="AA180" s="23">
        <f>IF(Y180="","",IF(ISNUMBER(IFERROR(IF(TRIM(INDEX($A180:$T180,MATCH(Lists!$F$4,$A$1:$T$1,0))&amp;"")="","",IF(ISNUMBER(INDEX($A180:$T180,MATCH(Lists!$F$4,$A$1:$T$1,0))),INT(INDEX($A180:$T180,MATCH(Lists!$F$4,$A$1:$T$1,0))),DATE(VALUE(LEFT(INDEX($A180:$T180,MATCH(Lists!$F$4,$A$1:$T$1,0)),4)),VALUE(MID(INDEX($A180:$T180,MATCH(Lists!$F$4,$A$1:$T$1,0)),6,2)),VALUE(MID(INDEX($A180:$T180,MATCH(Lists!$F$4,$A$1:$T$1,0)),9,2))))),"")),IFERROR(IF(TRIM(INDEX($A180:$T180,MATCH(Lists!$F$4,$A$1:$T$1,0))&amp;"")="","",IF(ISNUMBER(INDEX($A180:$T180,MATCH(Lists!$F$4,$A$1:$T$1,0))),INT(INDEX($A180:$T180,MATCH(Lists!$F$4,$A$1:$T$1,0))),DATE(VALUE(LEFT(INDEX($A180:$T180,MATCH(Lists!$F$4,$A$1:$T$1,0)),4)),VALUE(MID(INDEX($A180:$T180,MATCH(Lists!$F$4,$A$1:$T$1,0)),6,2)),VALUE(MID(INDEX($A180:$T180,MATCH(Lists!$F$4,$A$1:$T$1,0)),9,2))))),""),IFERROR(IF(TRIM(INDEX($A180:$T180,MATCH(Lists!$F$5,$A$1:$T$1,0))&amp;"")="","",IF(ISNUMBER(INDEX($A180:$T180,MATCH(Lists!$F$5,$A$1:$T$1,0))),INT(INDEX($A180:$T180,MATCH(Lists!$F$5,$A$1:$T$1,0))),DATE(VALUE(LEFT(INDEX($A180:$T180,MATCH(Lists!$F$5,$A$1:$T$1,0)),4)),VALUE(MID(INDEX($A180:$T180,MATCH(Lists!$F$5,$A$1:$T$1,0)),6,2)),VALUE(MID(INDEX($A180:$T180,MATCH(Lists!$F$5,$A$1:$T$1,0)),9,2))))),"")))</f>
        <v/>
      </c>
      <c r="AB180" s="21">
        <f>IF(Y180="","",IF(LEFT(IFERROR(TRIM(INDEX($A180:$T180,MATCH(Lists!$F$6,$A$1:$T$1,0))&amp;""),""),2)="No","General comment",IF(IFERROR(TRIM(INDEX($A180:$T180,MATCH(Lists!$F$7,$A$1:$T$1,0))&amp;""),"")&lt;&gt;"",IFERROR(TRIM(INDEX($A180:$T180,MATCH(Lists!$F$7,$A$1:$T$1,0))&amp;""),""),IF(IFERROR(TRIM(INDEX($A180:$T180,MATCH(Lists!$F$8,$A$1:$T$1,0))&amp;""),"")&lt;&gt;"",IFERROR(TRIM(INDEX($A180:$T180,MATCH(Lists!$F$8,$A$1:$T$1,0))&amp;""),""),"(no item given)"))))</f>
        <v/>
      </c>
      <c r="AC180" s="21">
        <f>IF(Y180="","",IF(ISNUMBER(SEARCH("support",IFERROR(TRIM(INDEX($A180:$T180,MATCH(Lists!$F$9,$A$1:$T$1,0))&amp;""),""))),"Support",IF(ISNUMBER(SEARCH("oppose",IFERROR(TRIM(INDEX($A180:$T180,MATCH(Lists!$F$9,$A$1:$T$1,0))&amp;""),""))),"Oppose",IF(IFERROR(TRIM(INDEX($A180:$T180,MATCH(Lists!$F$9,$A$1:$T$1,0))&amp;""),"")="","No position","Neither"))))</f>
        <v/>
      </c>
      <c r="AD180" s="21">
        <f>IF(Y180="","",IF(ISNUMBER(SEARCH("in person",IFERROR(TRIM(INDEX($A180:$T180,MATCH(Lists!$F$13,$A$1:$T$1,0))&amp;""),""))),"In person",IF(ISNUMBER(SEARCH("online",IFERROR(TRIM(INDEX($A180:$T180,MATCH(Lists!$F$13,$A$1:$T$1,0))&amp;""),""))),"Online","Written only")))</f>
        <v/>
      </c>
      <c r="AE180" s="21">
        <f>IF(Y180="","",IFERROR(TRIM(INDEX($A180:$T180,MATCH(Lists!$F$11,$A$1:$T$1,0))&amp;""),""))</f>
        <v/>
      </c>
      <c r="AF180" s="21">
        <f>IF(Y180="","",IFERROR(TRIM(INDEX($A180:$T180,MATCH(Lists!$F$12,$A$1:$T$1,0))&amp;""),""))</f>
        <v/>
      </c>
      <c r="AG180" s="21">
        <f>IF(Y180="","",IFERROR(TRIM(INDEX($A180:$T180,MATCH(Lists!$F$14,$A$1:$T$1,0))&amp;""),""))</f>
        <v/>
      </c>
      <c r="AH180" s="21">
        <f>IF(Y180="","",LEFT(IFERROR(TRIM(INDEX($A180:$T180,MATCH(Lists!$F$10,$A$1:$T$1,0))&amp;""),""),80))</f>
        <v/>
      </c>
      <c r="AI180" s="21">
        <f>IF(Y180="",0,IF(OR(Tally!$B$5="",AA180=Tally!$B$5),1,0))</f>
        <v/>
      </c>
      <c r="AJ180" s="21">
        <f>IF(AI180=1,IF(COUNTIFS($AB$2:AB180,AB180,$AI$2:AI180,1)=1,1,0),0)</f>
        <v/>
      </c>
      <c r="AK180" s="21">
        <f>IF(AJ180=1,SUM($AJ$2:AJ180),"")</f>
        <v/>
      </c>
      <c r="AL180" s="21">
        <f>IF(AND(AI180=1,OR(AD180="In person",AD180="Online"),OR(Speakers!$B$5="",AB180=Speakers!$B$5)),N(Z180)+ROW()/1000000000,"")</f>
        <v/>
      </c>
    </row>
    <row r="181">
      <c r="U181" s="19" t="n"/>
      <c r="V181" s="24" t="n"/>
      <c r="W181" s="24" t="n"/>
      <c r="X181" s="19" t="n"/>
      <c r="Y181" s="21">
        <f>IFERROR(TRIM(INDEX($A181:$T181,MATCH(Lists!$F$2,$A$1:$T$1,0))&amp;""),"")</f>
        <v/>
      </c>
      <c r="Z181" s="22">
        <f>IF(Y181="","",IFERROR(IF(ISNUMBER(INDEX($A181:$T181,MATCH(Lists!$F$3,$A$1:$T$1,0))),INDEX($A181:$T181,MATCH(Lists!$F$3,$A$1:$T$1,0)),DATE(VALUE(LEFT(IFERROR(TRIM(INDEX($A181:$T181,MATCH(Lists!$F$3,$A$1:$T$1,0))&amp;""),""),4)),VALUE(MID(IFERROR(TRIM(INDEX($A181:$T181,MATCH(Lists!$F$3,$A$1:$T$1,0))&amp;""),""),6,2)),VALUE(MID(IFERROR(TRIM(INDEX($A181:$T181,MATCH(Lists!$F$3,$A$1:$T$1,0))&amp;""),""),9,2)))+TIME(VALUE(MID(IFERROR(TRIM(INDEX($A181:$T181,MATCH(Lists!$F$3,$A$1:$T$1,0))&amp;""),""),12,2)),VALUE(MID(IFERROR(TRIM(INDEX($A181:$T181,MATCH(Lists!$F$3,$A$1:$T$1,0))&amp;""),""),15,2)),VALUE(MID(IFERROR(TRIM(INDEX($A181:$T181,MATCH(Lists!$F$3,$A$1:$T$1,0))&amp;""),""),18,2)))),""))</f>
        <v/>
      </c>
      <c r="AA181" s="23">
        <f>IF(Y181="","",IF(ISNUMBER(IFERROR(IF(TRIM(INDEX($A181:$T181,MATCH(Lists!$F$4,$A$1:$T$1,0))&amp;"")="","",IF(ISNUMBER(INDEX($A181:$T181,MATCH(Lists!$F$4,$A$1:$T$1,0))),INT(INDEX($A181:$T181,MATCH(Lists!$F$4,$A$1:$T$1,0))),DATE(VALUE(LEFT(INDEX($A181:$T181,MATCH(Lists!$F$4,$A$1:$T$1,0)),4)),VALUE(MID(INDEX($A181:$T181,MATCH(Lists!$F$4,$A$1:$T$1,0)),6,2)),VALUE(MID(INDEX($A181:$T181,MATCH(Lists!$F$4,$A$1:$T$1,0)),9,2))))),"")),IFERROR(IF(TRIM(INDEX($A181:$T181,MATCH(Lists!$F$4,$A$1:$T$1,0))&amp;"")="","",IF(ISNUMBER(INDEX($A181:$T181,MATCH(Lists!$F$4,$A$1:$T$1,0))),INT(INDEX($A181:$T181,MATCH(Lists!$F$4,$A$1:$T$1,0))),DATE(VALUE(LEFT(INDEX($A181:$T181,MATCH(Lists!$F$4,$A$1:$T$1,0)),4)),VALUE(MID(INDEX($A181:$T181,MATCH(Lists!$F$4,$A$1:$T$1,0)),6,2)),VALUE(MID(INDEX($A181:$T181,MATCH(Lists!$F$4,$A$1:$T$1,0)),9,2))))),""),IFERROR(IF(TRIM(INDEX($A181:$T181,MATCH(Lists!$F$5,$A$1:$T$1,0))&amp;"")="","",IF(ISNUMBER(INDEX($A181:$T181,MATCH(Lists!$F$5,$A$1:$T$1,0))),INT(INDEX($A181:$T181,MATCH(Lists!$F$5,$A$1:$T$1,0))),DATE(VALUE(LEFT(INDEX($A181:$T181,MATCH(Lists!$F$5,$A$1:$T$1,0)),4)),VALUE(MID(INDEX($A181:$T181,MATCH(Lists!$F$5,$A$1:$T$1,0)),6,2)),VALUE(MID(INDEX($A181:$T181,MATCH(Lists!$F$5,$A$1:$T$1,0)),9,2))))),"")))</f>
        <v/>
      </c>
      <c r="AB181" s="21">
        <f>IF(Y181="","",IF(LEFT(IFERROR(TRIM(INDEX($A181:$T181,MATCH(Lists!$F$6,$A$1:$T$1,0))&amp;""),""),2)="No","General comment",IF(IFERROR(TRIM(INDEX($A181:$T181,MATCH(Lists!$F$7,$A$1:$T$1,0))&amp;""),"")&lt;&gt;"",IFERROR(TRIM(INDEX($A181:$T181,MATCH(Lists!$F$7,$A$1:$T$1,0))&amp;""),""),IF(IFERROR(TRIM(INDEX($A181:$T181,MATCH(Lists!$F$8,$A$1:$T$1,0))&amp;""),"")&lt;&gt;"",IFERROR(TRIM(INDEX($A181:$T181,MATCH(Lists!$F$8,$A$1:$T$1,0))&amp;""),""),"(no item given)"))))</f>
        <v/>
      </c>
      <c r="AC181" s="21">
        <f>IF(Y181="","",IF(ISNUMBER(SEARCH("support",IFERROR(TRIM(INDEX($A181:$T181,MATCH(Lists!$F$9,$A$1:$T$1,0))&amp;""),""))),"Support",IF(ISNUMBER(SEARCH("oppose",IFERROR(TRIM(INDEX($A181:$T181,MATCH(Lists!$F$9,$A$1:$T$1,0))&amp;""),""))),"Oppose",IF(IFERROR(TRIM(INDEX($A181:$T181,MATCH(Lists!$F$9,$A$1:$T$1,0))&amp;""),"")="","No position","Neither"))))</f>
        <v/>
      </c>
      <c r="AD181" s="21">
        <f>IF(Y181="","",IF(ISNUMBER(SEARCH("in person",IFERROR(TRIM(INDEX($A181:$T181,MATCH(Lists!$F$13,$A$1:$T$1,0))&amp;""),""))),"In person",IF(ISNUMBER(SEARCH("online",IFERROR(TRIM(INDEX($A181:$T181,MATCH(Lists!$F$13,$A$1:$T$1,0))&amp;""),""))),"Online","Written only")))</f>
        <v/>
      </c>
      <c r="AE181" s="21">
        <f>IF(Y181="","",IFERROR(TRIM(INDEX($A181:$T181,MATCH(Lists!$F$11,$A$1:$T$1,0))&amp;""),""))</f>
        <v/>
      </c>
      <c r="AF181" s="21">
        <f>IF(Y181="","",IFERROR(TRIM(INDEX($A181:$T181,MATCH(Lists!$F$12,$A$1:$T$1,0))&amp;""),""))</f>
        <v/>
      </c>
      <c r="AG181" s="21">
        <f>IF(Y181="","",IFERROR(TRIM(INDEX($A181:$T181,MATCH(Lists!$F$14,$A$1:$T$1,0))&amp;""),""))</f>
        <v/>
      </c>
      <c r="AH181" s="21">
        <f>IF(Y181="","",LEFT(IFERROR(TRIM(INDEX($A181:$T181,MATCH(Lists!$F$10,$A$1:$T$1,0))&amp;""),""),80))</f>
        <v/>
      </c>
      <c r="AI181" s="21">
        <f>IF(Y181="",0,IF(OR(Tally!$B$5="",AA181=Tally!$B$5),1,0))</f>
        <v/>
      </c>
      <c r="AJ181" s="21">
        <f>IF(AI181=1,IF(COUNTIFS($AB$2:AB181,AB181,$AI$2:AI181,1)=1,1,0),0)</f>
        <v/>
      </c>
      <c r="AK181" s="21">
        <f>IF(AJ181=1,SUM($AJ$2:AJ181),"")</f>
        <v/>
      </c>
      <c r="AL181" s="21">
        <f>IF(AND(AI181=1,OR(AD181="In person",AD181="Online"),OR(Speakers!$B$5="",AB181=Speakers!$B$5)),N(Z181)+ROW()/1000000000,"")</f>
        <v/>
      </c>
    </row>
    <row r="182">
      <c r="U182" s="19" t="n"/>
      <c r="V182" s="24" t="n"/>
      <c r="W182" s="24" t="n"/>
      <c r="X182" s="19" t="n"/>
      <c r="Y182" s="21">
        <f>IFERROR(TRIM(INDEX($A182:$T182,MATCH(Lists!$F$2,$A$1:$T$1,0))&amp;""),"")</f>
        <v/>
      </c>
      <c r="Z182" s="22">
        <f>IF(Y182="","",IFERROR(IF(ISNUMBER(INDEX($A182:$T182,MATCH(Lists!$F$3,$A$1:$T$1,0))),INDEX($A182:$T182,MATCH(Lists!$F$3,$A$1:$T$1,0)),DATE(VALUE(LEFT(IFERROR(TRIM(INDEX($A182:$T182,MATCH(Lists!$F$3,$A$1:$T$1,0))&amp;""),""),4)),VALUE(MID(IFERROR(TRIM(INDEX($A182:$T182,MATCH(Lists!$F$3,$A$1:$T$1,0))&amp;""),""),6,2)),VALUE(MID(IFERROR(TRIM(INDEX($A182:$T182,MATCH(Lists!$F$3,$A$1:$T$1,0))&amp;""),""),9,2)))+TIME(VALUE(MID(IFERROR(TRIM(INDEX($A182:$T182,MATCH(Lists!$F$3,$A$1:$T$1,0))&amp;""),""),12,2)),VALUE(MID(IFERROR(TRIM(INDEX($A182:$T182,MATCH(Lists!$F$3,$A$1:$T$1,0))&amp;""),""),15,2)),VALUE(MID(IFERROR(TRIM(INDEX($A182:$T182,MATCH(Lists!$F$3,$A$1:$T$1,0))&amp;""),""),18,2)))),""))</f>
        <v/>
      </c>
      <c r="AA182" s="23">
        <f>IF(Y182="","",IF(ISNUMBER(IFERROR(IF(TRIM(INDEX($A182:$T182,MATCH(Lists!$F$4,$A$1:$T$1,0))&amp;"")="","",IF(ISNUMBER(INDEX($A182:$T182,MATCH(Lists!$F$4,$A$1:$T$1,0))),INT(INDEX($A182:$T182,MATCH(Lists!$F$4,$A$1:$T$1,0))),DATE(VALUE(LEFT(INDEX($A182:$T182,MATCH(Lists!$F$4,$A$1:$T$1,0)),4)),VALUE(MID(INDEX($A182:$T182,MATCH(Lists!$F$4,$A$1:$T$1,0)),6,2)),VALUE(MID(INDEX($A182:$T182,MATCH(Lists!$F$4,$A$1:$T$1,0)),9,2))))),"")),IFERROR(IF(TRIM(INDEX($A182:$T182,MATCH(Lists!$F$4,$A$1:$T$1,0))&amp;"")="","",IF(ISNUMBER(INDEX($A182:$T182,MATCH(Lists!$F$4,$A$1:$T$1,0))),INT(INDEX($A182:$T182,MATCH(Lists!$F$4,$A$1:$T$1,0))),DATE(VALUE(LEFT(INDEX($A182:$T182,MATCH(Lists!$F$4,$A$1:$T$1,0)),4)),VALUE(MID(INDEX($A182:$T182,MATCH(Lists!$F$4,$A$1:$T$1,0)),6,2)),VALUE(MID(INDEX($A182:$T182,MATCH(Lists!$F$4,$A$1:$T$1,0)),9,2))))),""),IFERROR(IF(TRIM(INDEX($A182:$T182,MATCH(Lists!$F$5,$A$1:$T$1,0))&amp;"")="","",IF(ISNUMBER(INDEX($A182:$T182,MATCH(Lists!$F$5,$A$1:$T$1,0))),INT(INDEX($A182:$T182,MATCH(Lists!$F$5,$A$1:$T$1,0))),DATE(VALUE(LEFT(INDEX($A182:$T182,MATCH(Lists!$F$5,$A$1:$T$1,0)),4)),VALUE(MID(INDEX($A182:$T182,MATCH(Lists!$F$5,$A$1:$T$1,0)),6,2)),VALUE(MID(INDEX($A182:$T182,MATCH(Lists!$F$5,$A$1:$T$1,0)),9,2))))),"")))</f>
        <v/>
      </c>
      <c r="AB182" s="21">
        <f>IF(Y182="","",IF(LEFT(IFERROR(TRIM(INDEX($A182:$T182,MATCH(Lists!$F$6,$A$1:$T$1,0))&amp;""),""),2)="No","General comment",IF(IFERROR(TRIM(INDEX($A182:$T182,MATCH(Lists!$F$7,$A$1:$T$1,0))&amp;""),"")&lt;&gt;"",IFERROR(TRIM(INDEX($A182:$T182,MATCH(Lists!$F$7,$A$1:$T$1,0))&amp;""),""),IF(IFERROR(TRIM(INDEX($A182:$T182,MATCH(Lists!$F$8,$A$1:$T$1,0))&amp;""),"")&lt;&gt;"",IFERROR(TRIM(INDEX($A182:$T182,MATCH(Lists!$F$8,$A$1:$T$1,0))&amp;""),""),"(no item given)"))))</f>
        <v/>
      </c>
      <c r="AC182" s="21">
        <f>IF(Y182="","",IF(ISNUMBER(SEARCH("support",IFERROR(TRIM(INDEX($A182:$T182,MATCH(Lists!$F$9,$A$1:$T$1,0))&amp;""),""))),"Support",IF(ISNUMBER(SEARCH("oppose",IFERROR(TRIM(INDEX($A182:$T182,MATCH(Lists!$F$9,$A$1:$T$1,0))&amp;""),""))),"Oppose",IF(IFERROR(TRIM(INDEX($A182:$T182,MATCH(Lists!$F$9,$A$1:$T$1,0))&amp;""),"")="","No position","Neither"))))</f>
        <v/>
      </c>
      <c r="AD182" s="21">
        <f>IF(Y182="","",IF(ISNUMBER(SEARCH("in person",IFERROR(TRIM(INDEX($A182:$T182,MATCH(Lists!$F$13,$A$1:$T$1,0))&amp;""),""))),"In person",IF(ISNUMBER(SEARCH("online",IFERROR(TRIM(INDEX($A182:$T182,MATCH(Lists!$F$13,$A$1:$T$1,0))&amp;""),""))),"Online","Written only")))</f>
        <v/>
      </c>
      <c r="AE182" s="21">
        <f>IF(Y182="","",IFERROR(TRIM(INDEX($A182:$T182,MATCH(Lists!$F$11,$A$1:$T$1,0))&amp;""),""))</f>
        <v/>
      </c>
      <c r="AF182" s="21">
        <f>IF(Y182="","",IFERROR(TRIM(INDEX($A182:$T182,MATCH(Lists!$F$12,$A$1:$T$1,0))&amp;""),""))</f>
        <v/>
      </c>
      <c r="AG182" s="21">
        <f>IF(Y182="","",IFERROR(TRIM(INDEX($A182:$T182,MATCH(Lists!$F$14,$A$1:$T$1,0))&amp;""),""))</f>
        <v/>
      </c>
      <c r="AH182" s="21">
        <f>IF(Y182="","",LEFT(IFERROR(TRIM(INDEX($A182:$T182,MATCH(Lists!$F$10,$A$1:$T$1,0))&amp;""),""),80))</f>
        <v/>
      </c>
      <c r="AI182" s="21">
        <f>IF(Y182="",0,IF(OR(Tally!$B$5="",AA182=Tally!$B$5),1,0))</f>
        <v/>
      </c>
      <c r="AJ182" s="21">
        <f>IF(AI182=1,IF(COUNTIFS($AB$2:AB182,AB182,$AI$2:AI182,1)=1,1,0),0)</f>
        <v/>
      </c>
      <c r="AK182" s="21">
        <f>IF(AJ182=1,SUM($AJ$2:AJ182),"")</f>
        <v/>
      </c>
      <c r="AL182" s="21">
        <f>IF(AND(AI182=1,OR(AD182="In person",AD182="Online"),OR(Speakers!$B$5="",AB182=Speakers!$B$5)),N(Z182)+ROW()/1000000000,"")</f>
        <v/>
      </c>
    </row>
    <row r="183">
      <c r="U183" s="19" t="n"/>
      <c r="V183" s="24" t="n"/>
      <c r="W183" s="24" t="n"/>
      <c r="X183" s="19" t="n"/>
      <c r="Y183" s="21">
        <f>IFERROR(TRIM(INDEX($A183:$T183,MATCH(Lists!$F$2,$A$1:$T$1,0))&amp;""),"")</f>
        <v/>
      </c>
      <c r="Z183" s="22">
        <f>IF(Y183="","",IFERROR(IF(ISNUMBER(INDEX($A183:$T183,MATCH(Lists!$F$3,$A$1:$T$1,0))),INDEX($A183:$T183,MATCH(Lists!$F$3,$A$1:$T$1,0)),DATE(VALUE(LEFT(IFERROR(TRIM(INDEX($A183:$T183,MATCH(Lists!$F$3,$A$1:$T$1,0))&amp;""),""),4)),VALUE(MID(IFERROR(TRIM(INDEX($A183:$T183,MATCH(Lists!$F$3,$A$1:$T$1,0))&amp;""),""),6,2)),VALUE(MID(IFERROR(TRIM(INDEX($A183:$T183,MATCH(Lists!$F$3,$A$1:$T$1,0))&amp;""),""),9,2)))+TIME(VALUE(MID(IFERROR(TRIM(INDEX($A183:$T183,MATCH(Lists!$F$3,$A$1:$T$1,0))&amp;""),""),12,2)),VALUE(MID(IFERROR(TRIM(INDEX($A183:$T183,MATCH(Lists!$F$3,$A$1:$T$1,0))&amp;""),""),15,2)),VALUE(MID(IFERROR(TRIM(INDEX($A183:$T183,MATCH(Lists!$F$3,$A$1:$T$1,0))&amp;""),""),18,2)))),""))</f>
        <v/>
      </c>
      <c r="AA183" s="23">
        <f>IF(Y183="","",IF(ISNUMBER(IFERROR(IF(TRIM(INDEX($A183:$T183,MATCH(Lists!$F$4,$A$1:$T$1,0))&amp;"")="","",IF(ISNUMBER(INDEX($A183:$T183,MATCH(Lists!$F$4,$A$1:$T$1,0))),INT(INDEX($A183:$T183,MATCH(Lists!$F$4,$A$1:$T$1,0))),DATE(VALUE(LEFT(INDEX($A183:$T183,MATCH(Lists!$F$4,$A$1:$T$1,0)),4)),VALUE(MID(INDEX($A183:$T183,MATCH(Lists!$F$4,$A$1:$T$1,0)),6,2)),VALUE(MID(INDEX($A183:$T183,MATCH(Lists!$F$4,$A$1:$T$1,0)),9,2))))),"")),IFERROR(IF(TRIM(INDEX($A183:$T183,MATCH(Lists!$F$4,$A$1:$T$1,0))&amp;"")="","",IF(ISNUMBER(INDEX($A183:$T183,MATCH(Lists!$F$4,$A$1:$T$1,0))),INT(INDEX($A183:$T183,MATCH(Lists!$F$4,$A$1:$T$1,0))),DATE(VALUE(LEFT(INDEX($A183:$T183,MATCH(Lists!$F$4,$A$1:$T$1,0)),4)),VALUE(MID(INDEX($A183:$T183,MATCH(Lists!$F$4,$A$1:$T$1,0)),6,2)),VALUE(MID(INDEX($A183:$T183,MATCH(Lists!$F$4,$A$1:$T$1,0)),9,2))))),""),IFERROR(IF(TRIM(INDEX($A183:$T183,MATCH(Lists!$F$5,$A$1:$T$1,0))&amp;"")="","",IF(ISNUMBER(INDEX($A183:$T183,MATCH(Lists!$F$5,$A$1:$T$1,0))),INT(INDEX($A183:$T183,MATCH(Lists!$F$5,$A$1:$T$1,0))),DATE(VALUE(LEFT(INDEX($A183:$T183,MATCH(Lists!$F$5,$A$1:$T$1,0)),4)),VALUE(MID(INDEX($A183:$T183,MATCH(Lists!$F$5,$A$1:$T$1,0)),6,2)),VALUE(MID(INDEX($A183:$T183,MATCH(Lists!$F$5,$A$1:$T$1,0)),9,2))))),"")))</f>
        <v/>
      </c>
      <c r="AB183" s="21">
        <f>IF(Y183="","",IF(LEFT(IFERROR(TRIM(INDEX($A183:$T183,MATCH(Lists!$F$6,$A$1:$T$1,0))&amp;""),""),2)="No","General comment",IF(IFERROR(TRIM(INDEX($A183:$T183,MATCH(Lists!$F$7,$A$1:$T$1,0))&amp;""),"")&lt;&gt;"",IFERROR(TRIM(INDEX($A183:$T183,MATCH(Lists!$F$7,$A$1:$T$1,0))&amp;""),""),IF(IFERROR(TRIM(INDEX($A183:$T183,MATCH(Lists!$F$8,$A$1:$T$1,0))&amp;""),"")&lt;&gt;"",IFERROR(TRIM(INDEX($A183:$T183,MATCH(Lists!$F$8,$A$1:$T$1,0))&amp;""),""),"(no item given)"))))</f>
        <v/>
      </c>
      <c r="AC183" s="21">
        <f>IF(Y183="","",IF(ISNUMBER(SEARCH("support",IFERROR(TRIM(INDEX($A183:$T183,MATCH(Lists!$F$9,$A$1:$T$1,0))&amp;""),""))),"Support",IF(ISNUMBER(SEARCH("oppose",IFERROR(TRIM(INDEX($A183:$T183,MATCH(Lists!$F$9,$A$1:$T$1,0))&amp;""),""))),"Oppose",IF(IFERROR(TRIM(INDEX($A183:$T183,MATCH(Lists!$F$9,$A$1:$T$1,0))&amp;""),"")="","No position","Neither"))))</f>
        <v/>
      </c>
      <c r="AD183" s="21">
        <f>IF(Y183="","",IF(ISNUMBER(SEARCH("in person",IFERROR(TRIM(INDEX($A183:$T183,MATCH(Lists!$F$13,$A$1:$T$1,0))&amp;""),""))),"In person",IF(ISNUMBER(SEARCH("online",IFERROR(TRIM(INDEX($A183:$T183,MATCH(Lists!$F$13,$A$1:$T$1,0))&amp;""),""))),"Online","Written only")))</f>
        <v/>
      </c>
      <c r="AE183" s="21">
        <f>IF(Y183="","",IFERROR(TRIM(INDEX($A183:$T183,MATCH(Lists!$F$11,$A$1:$T$1,0))&amp;""),""))</f>
        <v/>
      </c>
      <c r="AF183" s="21">
        <f>IF(Y183="","",IFERROR(TRIM(INDEX($A183:$T183,MATCH(Lists!$F$12,$A$1:$T$1,0))&amp;""),""))</f>
        <v/>
      </c>
      <c r="AG183" s="21">
        <f>IF(Y183="","",IFERROR(TRIM(INDEX($A183:$T183,MATCH(Lists!$F$14,$A$1:$T$1,0))&amp;""),""))</f>
        <v/>
      </c>
      <c r="AH183" s="21">
        <f>IF(Y183="","",LEFT(IFERROR(TRIM(INDEX($A183:$T183,MATCH(Lists!$F$10,$A$1:$T$1,0))&amp;""),""),80))</f>
        <v/>
      </c>
      <c r="AI183" s="21">
        <f>IF(Y183="",0,IF(OR(Tally!$B$5="",AA183=Tally!$B$5),1,0))</f>
        <v/>
      </c>
      <c r="AJ183" s="21">
        <f>IF(AI183=1,IF(COUNTIFS($AB$2:AB183,AB183,$AI$2:AI183,1)=1,1,0),0)</f>
        <v/>
      </c>
      <c r="AK183" s="21">
        <f>IF(AJ183=1,SUM($AJ$2:AJ183),"")</f>
        <v/>
      </c>
      <c r="AL183" s="21">
        <f>IF(AND(AI183=1,OR(AD183="In person",AD183="Online"),OR(Speakers!$B$5="",AB183=Speakers!$B$5)),N(Z183)+ROW()/1000000000,"")</f>
        <v/>
      </c>
    </row>
    <row r="184">
      <c r="U184" s="19" t="n"/>
      <c r="V184" s="24" t="n"/>
      <c r="W184" s="24" t="n"/>
      <c r="X184" s="19" t="n"/>
      <c r="Y184" s="21">
        <f>IFERROR(TRIM(INDEX($A184:$T184,MATCH(Lists!$F$2,$A$1:$T$1,0))&amp;""),"")</f>
        <v/>
      </c>
      <c r="Z184" s="22">
        <f>IF(Y184="","",IFERROR(IF(ISNUMBER(INDEX($A184:$T184,MATCH(Lists!$F$3,$A$1:$T$1,0))),INDEX($A184:$T184,MATCH(Lists!$F$3,$A$1:$T$1,0)),DATE(VALUE(LEFT(IFERROR(TRIM(INDEX($A184:$T184,MATCH(Lists!$F$3,$A$1:$T$1,0))&amp;""),""),4)),VALUE(MID(IFERROR(TRIM(INDEX($A184:$T184,MATCH(Lists!$F$3,$A$1:$T$1,0))&amp;""),""),6,2)),VALUE(MID(IFERROR(TRIM(INDEX($A184:$T184,MATCH(Lists!$F$3,$A$1:$T$1,0))&amp;""),""),9,2)))+TIME(VALUE(MID(IFERROR(TRIM(INDEX($A184:$T184,MATCH(Lists!$F$3,$A$1:$T$1,0))&amp;""),""),12,2)),VALUE(MID(IFERROR(TRIM(INDEX($A184:$T184,MATCH(Lists!$F$3,$A$1:$T$1,0))&amp;""),""),15,2)),VALUE(MID(IFERROR(TRIM(INDEX($A184:$T184,MATCH(Lists!$F$3,$A$1:$T$1,0))&amp;""),""),18,2)))),""))</f>
        <v/>
      </c>
      <c r="AA184" s="23">
        <f>IF(Y184="","",IF(ISNUMBER(IFERROR(IF(TRIM(INDEX($A184:$T184,MATCH(Lists!$F$4,$A$1:$T$1,0))&amp;"")="","",IF(ISNUMBER(INDEX($A184:$T184,MATCH(Lists!$F$4,$A$1:$T$1,0))),INT(INDEX($A184:$T184,MATCH(Lists!$F$4,$A$1:$T$1,0))),DATE(VALUE(LEFT(INDEX($A184:$T184,MATCH(Lists!$F$4,$A$1:$T$1,0)),4)),VALUE(MID(INDEX($A184:$T184,MATCH(Lists!$F$4,$A$1:$T$1,0)),6,2)),VALUE(MID(INDEX($A184:$T184,MATCH(Lists!$F$4,$A$1:$T$1,0)),9,2))))),"")),IFERROR(IF(TRIM(INDEX($A184:$T184,MATCH(Lists!$F$4,$A$1:$T$1,0))&amp;"")="","",IF(ISNUMBER(INDEX($A184:$T184,MATCH(Lists!$F$4,$A$1:$T$1,0))),INT(INDEX($A184:$T184,MATCH(Lists!$F$4,$A$1:$T$1,0))),DATE(VALUE(LEFT(INDEX($A184:$T184,MATCH(Lists!$F$4,$A$1:$T$1,0)),4)),VALUE(MID(INDEX($A184:$T184,MATCH(Lists!$F$4,$A$1:$T$1,0)),6,2)),VALUE(MID(INDEX($A184:$T184,MATCH(Lists!$F$4,$A$1:$T$1,0)),9,2))))),""),IFERROR(IF(TRIM(INDEX($A184:$T184,MATCH(Lists!$F$5,$A$1:$T$1,0))&amp;"")="","",IF(ISNUMBER(INDEX($A184:$T184,MATCH(Lists!$F$5,$A$1:$T$1,0))),INT(INDEX($A184:$T184,MATCH(Lists!$F$5,$A$1:$T$1,0))),DATE(VALUE(LEFT(INDEX($A184:$T184,MATCH(Lists!$F$5,$A$1:$T$1,0)),4)),VALUE(MID(INDEX($A184:$T184,MATCH(Lists!$F$5,$A$1:$T$1,0)),6,2)),VALUE(MID(INDEX($A184:$T184,MATCH(Lists!$F$5,$A$1:$T$1,0)),9,2))))),"")))</f>
        <v/>
      </c>
      <c r="AB184" s="21">
        <f>IF(Y184="","",IF(LEFT(IFERROR(TRIM(INDEX($A184:$T184,MATCH(Lists!$F$6,$A$1:$T$1,0))&amp;""),""),2)="No","General comment",IF(IFERROR(TRIM(INDEX($A184:$T184,MATCH(Lists!$F$7,$A$1:$T$1,0))&amp;""),"")&lt;&gt;"",IFERROR(TRIM(INDEX($A184:$T184,MATCH(Lists!$F$7,$A$1:$T$1,0))&amp;""),""),IF(IFERROR(TRIM(INDEX($A184:$T184,MATCH(Lists!$F$8,$A$1:$T$1,0))&amp;""),"")&lt;&gt;"",IFERROR(TRIM(INDEX($A184:$T184,MATCH(Lists!$F$8,$A$1:$T$1,0))&amp;""),""),"(no item given)"))))</f>
        <v/>
      </c>
      <c r="AC184" s="21">
        <f>IF(Y184="","",IF(ISNUMBER(SEARCH("support",IFERROR(TRIM(INDEX($A184:$T184,MATCH(Lists!$F$9,$A$1:$T$1,0))&amp;""),""))),"Support",IF(ISNUMBER(SEARCH("oppose",IFERROR(TRIM(INDEX($A184:$T184,MATCH(Lists!$F$9,$A$1:$T$1,0))&amp;""),""))),"Oppose",IF(IFERROR(TRIM(INDEX($A184:$T184,MATCH(Lists!$F$9,$A$1:$T$1,0))&amp;""),"")="","No position","Neither"))))</f>
        <v/>
      </c>
      <c r="AD184" s="21">
        <f>IF(Y184="","",IF(ISNUMBER(SEARCH("in person",IFERROR(TRIM(INDEX($A184:$T184,MATCH(Lists!$F$13,$A$1:$T$1,0))&amp;""),""))),"In person",IF(ISNUMBER(SEARCH("online",IFERROR(TRIM(INDEX($A184:$T184,MATCH(Lists!$F$13,$A$1:$T$1,0))&amp;""),""))),"Online","Written only")))</f>
        <v/>
      </c>
      <c r="AE184" s="21">
        <f>IF(Y184="","",IFERROR(TRIM(INDEX($A184:$T184,MATCH(Lists!$F$11,$A$1:$T$1,0))&amp;""),""))</f>
        <v/>
      </c>
      <c r="AF184" s="21">
        <f>IF(Y184="","",IFERROR(TRIM(INDEX($A184:$T184,MATCH(Lists!$F$12,$A$1:$T$1,0))&amp;""),""))</f>
        <v/>
      </c>
      <c r="AG184" s="21">
        <f>IF(Y184="","",IFERROR(TRIM(INDEX($A184:$T184,MATCH(Lists!$F$14,$A$1:$T$1,0))&amp;""),""))</f>
        <v/>
      </c>
      <c r="AH184" s="21">
        <f>IF(Y184="","",LEFT(IFERROR(TRIM(INDEX($A184:$T184,MATCH(Lists!$F$10,$A$1:$T$1,0))&amp;""),""),80))</f>
        <v/>
      </c>
      <c r="AI184" s="21">
        <f>IF(Y184="",0,IF(OR(Tally!$B$5="",AA184=Tally!$B$5),1,0))</f>
        <v/>
      </c>
      <c r="AJ184" s="21">
        <f>IF(AI184=1,IF(COUNTIFS($AB$2:AB184,AB184,$AI$2:AI184,1)=1,1,0),0)</f>
        <v/>
      </c>
      <c r="AK184" s="21">
        <f>IF(AJ184=1,SUM($AJ$2:AJ184),"")</f>
        <v/>
      </c>
      <c r="AL184" s="21">
        <f>IF(AND(AI184=1,OR(AD184="In person",AD184="Online"),OR(Speakers!$B$5="",AB184=Speakers!$B$5)),N(Z184)+ROW()/1000000000,"")</f>
        <v/>
      </c>
    </row>
    <row r="185">
      <c r="U185" s="19" t="n"/>
      <c r="V185" s="24" t="n"/>
      <c r="W185" s="24" t="n"/>
      <c r="X185" s="19" t="n"/>
      <c r="Y185" s="21">
        <f>IFERROR(TRIM(INDEX($A185:$T185,MATCH(Lists!$F$2,$A$1:$T$1,0))&amp;""),"")</f>
        <v/>
      </c>
      <c r="Z185" s="22">
        <f>IF(Y185="","",IFERROR(IF(ISNUMBER(INDEX($A185:$T185,MATCH(Lists!$F$3,$A$1:$T$1,0))),INDEX($A185:$T185,MATCH(Lists!$F$3,$A$1:$T$1,0)),DATE(VALUE(LEFT(IFERROR(TRIM(INDEX($A185:$T185,MATCH(Lists!$F$3,$A$1:$T$1,0))&amp;""),""),4)),VALUE(MID(IFERROR(TRIM(INDEX($A185:$T185,MATCH(Lists!$F$3,$A$1:$T$1,0))&amp;""),""),6,2)),VALUE(MID(IFERROR(TRIM(INDEX($A185:$T185,MATCH(Lists!$F$3,$A$1:$T$1,0))&amp;""),""),9,2)))+TIME(VALUE(MID(IFERROR(TRIM(INDEX($A185:$T185,MATCH(Lists!$F$3,$A$1:$T$1,0))&amp;""),""),12,2)),VALUE(MID(IFERROR(TRIM(INDEX($A185:$T185,MATCH(Lists!$F$3,$A$1:$T$1,0))&amp;""),""),15,2)),VALUE(MID(IFERROR(TRIM(INDEX($A185:$T185,MATCH(Lists!$F$3,$A$1:$T$1,0))&amp;""),""),18,2)))),""))</f>
        <v/>
      </c>
      <c r="AA185" s="23">
        <f>IF(Y185="","",IF(ISNUMBER(IFERROR(IF(TRIM(INDEX($A185:$T185,MATCH(Lists!$F$4,$A$1:$T$1,0))&amp;"")="","",IF(ISNUMBER(INDEX($A185:$T185,MATCH(Lists!$F$4,$A$1:$T$1,0))),INT(INDEX($A185:$T185,MATCH(Lists!$F$4,$A$1:$T$1,0))),DATE(VALUE(LEFT(INDEX($A185:$T185,MATCH(Lists!$F$4,$A$1:$T$1,0)),4)),VALUE(MID(INDEX($A185:$T185,MATCH(Lists!$F$4,$A$1:$T$1,0)),6,2)),VALUE(MID(INDEX($A185:$T185,MATCH(Lists!$F$4,$A$1:$T$1,0)),9,2))))),"")),IFERROR(IF(TRIM(INDEX($A185:$T185,MATCH(Lists!$F$4,$A$1:$T$1,0))&amp;"")="","",IF(ISNUMBER(INDEX($A185:$T185,MATCH(Lists!$F$4,$A$1:$T$1,0))),INT(INDEX($A185:$T185,MATCH(Lists!$F$4,$A$1:$T$1,0))),DATE(VALUE(LEFT(INDEX($A185:$T185,MATCH(Lists!$F$4,$A$1:$T$1,0)),4)),VALUE(MID(INDEX($A185:$T185,MATCH(Lists!$F$4,$A$1:$T$1,0)),6,2)),VALUE(MID(INDEX($A185:$T185,MATCH(Lists!$F$4,$A$1:$T$1,0)),9,2))))),""),IFERROR(IF(TRIM(INDEX($A185:$T185,MATCH(Lists!$F$5,$A$1:$T$1,0))&amp;"")="","",IF(ISNUMBER(INDEX($A185:$T185,MATCH(Lists!$F$5,$A$1:$T$1,0))),INT(INDEX($A185:$T185,MATCH(Lists!$F$5,$A$1:$T$1,0))),DATE(VALUE(LEFT(INDEX($A185:$T185,MATCH(Lists!$F$5,$A$1:$T$1,0)),4)),VALUE(MID(INDEX($A185:$T185,MATCH(Lists!$F$5,$A$1:$T$1,0)),6,2)),VALUE(MID(INDEX($A185:$T185,MATCH(Lists!$F$5,$A$1:$T$1,0)),9,2))))),"")))</f>
        <v/>
      </c>
      <c r="AB185" s="21">
        <f>IF(Y185="","",IF(LEFT(IFERROR(TRIM(INDEX($A185:$T185,MATCH(Lists!$F$6,$A$1:$T$1,0))&amp;""),""),2)="No","General comment",IF(IFERROR(TRIM(INDEX($A185:$T185,MATCH(Lists!$F$7,$A$1:$T$1,0))&amp;""),"")&lt;&gt;"",IFERROR(TRIM(INDEX($A185:$T185,MATCH(Lists!$F$7,$A$1:$T$1,0))&amp;""),""),IF(IFERROR(TRIM(INDEX($A185:$T185,MATCH(Lists!$F$8,$A$1:$T$1,0))&amp;""),"")&lt;&gt;"",IFERROR(TRIM(INDEX($A185:$T185,MATCH(Lists!$F$8,$A$1:$T$1,0))&amp;""),""),"(no item given)"))))</f>
        <v/>
      </c>
      <c r="AC185" s="21">
        <f>IF(Y185="","",IF(ISNUMBER(SEARCH("support",IFERROR(TRIM(INDEX($A185:$T185,MATCH(Lists!$F$9,$A$1:$T$1,0))&amp;""),""))),"Support",IF(ISNUMBER(SEARCH("oppose",IFERROR(TRIM(INDEX($A185:$T185,MATCH(Lists!$F$9,$A$1:$T$1,0))&amp;""),""))),"Oppose",IF(IFERROR(TRIM(INDEX($A185:$T185,MATCH(Lists!$F$9,$A$1:$T$1,0))&amp;""),"")="","No position","Neither"))))</f>
        <v/>
      </c>
      <c r="AD185" s="21">
        <f>IF(Y185="","",IF(ISNUMBER(SEARCH("in person",IFERROR(TRIM(INDEX($A185:$T185,MATCH(Lists!$F$13,$A$1:$T$1,0))&amp;""),""))),"In person",IF(ISNUMBER(SEARCH("online",IFERROR(TRIM(INDEX($A185:$T185,MATCH(Lists!$F$13,$A$1:$T$1,0))&amp;""),""))),"Online","Written only")))</f>
        <v/>
      </c>
      <c r="AE185" s="21">
        <f>IF(Y185="","",IFERROR(TRIM(INDEX($A185:$T185,MATCH(Lists!$F$11,$A$1:$T$1,0))&amp;""),""))</f>
        <v/>
      </c>
      <c r="AF185" s="21">
        <f>IF(Y185="","",IFERROR(TRIM(INDEX($A185:$T185,MATCH(Lists!$F$12,$A$1:$T$1,0))&amp;""),""))</f>
        <v/>
      </c>
      <c r="AG185" s="21">
        <f>IF(Y185="","",IFERROR(TRIM(INDEX($A185:$T185,MATCH(Lists!$F$14,$A$1:$T$1,0))&amp;""),""))</f>
        <v/>
      </c>
      <c r="AH185" s="21">
        <f>IF(Y185="","",LEFT(IFERROR(TRIM(INDEX($A185:$T185,MATCH(Lists!$F$10,$A$1:$T$1,0))&amp;""),""),80))</f>
        <v/>
      </c>
      <c r="AI185" s="21">
        <f>IF(Y185="",0,IF(OR(Tally!$B$5="",AA185=Tally!$B$5),1,0))</f>
        <v/>
      </c>
      <c r="AJ185" s="21">
        <f>IF(AI185=1,IF(COUNTIFS($AB$2:AB185,AB185,$AI$2:AI185,1)=1,1,0),0)</f>
        <v/>
      </c>
      <c r="AK185" s="21">
        <f>IF(AJ185=1,SUM($AJ$2:AJ185),"")</f>
        <v/>
      </c>
      <c r="AL185" s="21">
        <f>IF(AND(AI185=1,OR(AD185="In person",AD185="Online"),OR(Speakers!$B$5="",AB185=Speakers!$B$5)),N(Z185)+ROW()/1000000000,"")</f>
        <v/>
      </c>
    </row>
    <row r="186">
      <c r="U186" s="19" t="n"/>
      <c r="V186" s="24" t="n"/>
      <c r="W186" s="24" t="n"/>
      <c r="X186" s="19" t="n"/>
      <c r="Y186" s="21">
        <f>IFERROR(TRIM(INDEX($A186:$T186,MATCH(Lists!$F$2,$A$1:$T$1,0))&amp;""),"")</f>
        <v/>
      </c>
      <c r="Z186" s="22">
        <f>IF(Y186="","",IFERROR(IF(ISNUMBER(INDEX($A186:$T186,MATCH(Lists!$F$3,$A$1:$T$1,0))),INDEX($A186:$T186,MATCH(Lists!$F$3,$A$1:$T$1,0)),DATE(VALUE(LEFT(IFERROR(TRIM(INDEX($A186:$T186,MATCH(Lists!$F$3,$A$1:$T$1,0))&amp;""),""),4)),VALUE(MID(IFERROR(TRIM(INDEX($A186:$T186,MATCH(Lists!$F$3,$A$1:$T$1,0))&amp;""),""),6,2)),VALUE(MID(IFERROR(TRIM(INDEX($A186:$T186,MATCH(Lists!$F$3,$A$1:$T$1,0))&amp;""),""),9,2)))+TIME(VALUE(MID(IFERROR(TRIM(INDEX($A186:$T186,MATCH(Lists!$F$3,$A$1:$T$1,0))&amp;""),""),12,2)),VALUE(MID(IFERROR(TRIM(INDEX($A186:$T186,MATCH(Lists!$F$3,$A$1:$T$1,0))&amp;""),""),15,2)),VALUE(MID(IFERROR(TRIM(INDEX($A186:$T186,MATCH(Lists!$F$3,$A$1:$T$1,0))&amp;""),""),18,2)))),""))</f>
        <v/>
      </c>
      <c r="AA186" s="23">
        <f>IF(Y186="","",IF(ISNUMBER(IFERROR(IF(TRIM(INDEX($A186:$T186,MATCH(Lists!$F$4,$A$1:$T$1,0))&amp;"")="","",IF(ISNUMBER(INDEX($A186:$T186,MATCH(Lists!$F$4,$A$1:$T$1,0))),INT(INDEX($A186:$T186,MATCH(Lists!$F$4,$A$1:$T$1,0))),DATE(VALUE(LEFT(INDEX($A186:$T186,MATCH(Lists!$F$4,$A$1:$T$1,0)),4)),VALUE(MID(INDEX($A186:$T186,MATCH(Lists!$F$4,$A$1:$T$1,0)),6,2)),VALUE(MID(INDEX($A186:$T186,MATCH(Lists!$F$4,$A$1:$T$1,0)),9,2))))),"")),IFERROR(IF(TRIM(INDEX($A186:$T186,MATCH(Lists!$F$4,$A$1:$T$1,0))&amp;"")="","",IF(ISNUMBER(INDEX($A186:$T186,MATCH(Lists!$F$4,$A$1:$T$1,0))),INT(INDEX($A186:$T186,MATCH(Lists!$F$4,$A$1:$T$1,0))),DATE(VALUE(LEFT(INDEX($A186:$T186,MATCH(Lists!$F$4,$A$1:$T$1,0)),4)),VALUE(MID(INDEX($A186:$T186,MATCH(Lists!$F$4,$A$1:$T$1,0)),6,2)),VALUE(MID(INDEX($A186:$T186,MATCH(Lists!$F$4,$A$1:$T$1,0)),9,2))))),""),IFERROR(IF(TRIM(INDEX($A186:$T186,MATCH(Lists!$F$5,$A$1:$T$1,0))&amp;"")="","",IF(ISNUMBER(INDEX($A186:$T186,MATCH(Lists!$F$5,$A$1:$T$1,0))),INT(INDEX($A186:$T186,MATCH(Lists!$F$5,$A$1:$T$1,0))),DATE(VALUE(LEFT(INDEX($A186:$T186,MATCH(Lists!$F$5,$A$1:$T$1,0)),4)),VALUE(MID(INDEX($A186:$T186,MATCH(Lists!$F$5,$A$1:$T$1,0)),6,2)),VALUE(MID(INDEX($A186:$T186,MATCH(Lists!$F$5,$A$1:$T$1,0)),9,2))))),"")))</f>
        <v/>
      </c>
      <c r="AB186" s="21">
        <f>IF(Y186="","",IF(LEFT(IFERROR(TRIM(INDEX($A186:$T186,MATCH(Lists!$F$6,$A$1:$T$1,0))&amp;""),""),2)="No","General comment",IF(IFERROR(TRIM(INDEX($A186:$T186,MATCH(Lists!$F$7,$A$1:$T$1,0))&amp;""),"")&lt;&gt;"",IFERROR(TRIM(INDEX($A186:$T186,MATCH(Lists!$F$7,$A$1:$T$1,0))&amp;""),""),IF(IFERROR(TRIM(INDEX($A186:$T186,MATCH(Lists!$F$8,$A$1:$T$1,0))&amp;""),"")&lt;&gt;"",IFERROR(TRIM(INDEX($A186:$T186,MATCH(Lists!$F$8,$A$1:$T$1,0))&amp;""),""),"(no item given)"))))</f>
        <v/>
      </c>
      <c r="AC186" s="21">
        <f>IF(Y186="","",IF(ISNUMBER(SEARCH("support",IFERROR(TRIM(INDEX($A186:$T186,MATCH(Lists!$F$9,$A$1:$T$1,0))&amp;""),""))),"Support",IF(ISNUMBER(SEARCH("oppose",IFERROR(TRIM(INDEX($A186:$T186,MATCH(Lists!$F$9,$A$1:$T$1,0))&amp;""),""))),"Oppose",IF(IFERROR(TRIM(INDEX($A186:$T186,MATCH(Lists!$F$9,$A$1:$T$1,0))&amp;""),"")="","No position","Neither"))))</f>
        <v/>
      </c>
      <c r="AD186" s="21">
        <f>IF(Y186="","",IF(ISNUMBER(SEARCH("in person",IFERROR(TRIM(INDEX($A186:$T186,MATCH(Lists!$F$13,$A$1:$T$1,0))&amp;""),""))),"In person",IF(ISNUMBER(SEARCH("online",IFERROR(TRIM(INDEX($A186:$T186,MATCH(Lists!$F$13,$A$1:$T$1,0))&amp;""),""))),"Online","Written only")))</f>
        <v/>
      </c>
      <c r="AE186" s="21">
        <f>IF(Y186="","",IFERROR(TRIM(INDEX($A186:$T186,MATCH(Lists!$F$11,$A$1:$T$1,0))&amp;""),""))</f>
        <v/>
      </c>
      <c r="AF186" s="21">
        <f>IF(Y186="","",IFERROR(TRIM(INDEX($A186:$T186,MATCH(Lists!$F$12,$A$1:$T$1,0))&amp;""),""))</f>
        <v/>
      </c>
      <c r="AG186" s="21">
        <f>IF(Y186="","",IFERROR(TRIM(INDEX($A186:$T186,MATCH(Lists!$F$14,$A$1:$T$1,0))&amp;""),""))</f>
        <v/>
      </c>
      <c r="AH186" s="21">
        <f>IF(Y186="","",LEFT(IFERROR(TRIM(INDEX($A186:$T186,MATCH(Lists!$F$10,$A$1:$T$1,0))&amp;""),""),80))</f>
        <v/>
      </c>
      <c r="AI186" s="21">
        <f>IF(Y186="",0,IF(OR(Tally!$B$5="",AA186=Tally!$B$5),1,0))</f>
        <v/>
      </c>
      <c r="AJ186" s="21">
        <f>IF(AI186=1,IF(COUNTIFS($AB$2:AB186,AB186,$AI$2:AI186,1)=1,1,0),0)</f>
        <v/>
      </c>
      <c r="AK186" s="21">
        <f>IF(AJ186=1,SUM($AJ$2:AJ186),"")</f>
        <v/>
      </c>
      <c r="AL186" s="21">
        <f>IF(AND(AI186=1,OR(AD186="In person",AD186="Online"),OR(Speakers!$B$5="",AB186=Speakers!$B$5)),N(Z186)+ROW()/1000000000,"")</f>
        <v/>
      </c>
    </row>
    <row r="187">
      <c r="U187" s="19" t="n"/>
      <c r="V187" s="24" t="n"/>
      <c r="W187" s="24" t="n"/>
      <c r="X187" s="19" t="n"/>
      <c r="Y187" s="21">
        <f>IFERROR(TRIM(INDEX($A187:$T187,MATCH(Lists!$F$2,$A$1:$T$1,0))&amp;""),"")</f>
        <v/>
      </c>
      <c r="Z187" s="22">
        <f>IF(Y187="","",IFERROR(IF(ISNUMBER(INDEX($A187:$T187,MATCH(Lists!$F$3,$A$1:$T$1,0))),INDEX($A187:$T187,MATCH(Lists!$F$3,$A$1:$T$1,0)),DATE(VALUE(LEFT(IFERROR(TRIM(INDEX($A187:$T187,MATCH(Lists!$F$3,$A$1:$T$1,0))&amp;""),""),4)),VALUE(MID(IFERROR(TRIM(INDEX($A187:$T187,MATCH(Lists!$F$3,$A$1:$T$1,0))&amp;""),""),6,2)),VALUE(MID(IFERROR(TRIM(INDEX($A187:$T187,MATCH(Lists!$F$3,$A$1:$T$1,0))&amp;""),""),9,2)))+TIME(VALUE(MID(IFERROR(TRIM(INDEX($A187:$T187,MATCH(Lists!$F$3,$A$1:$T$1,0))&amp;""),""),12,2)),VALUE(MID(IFERROR(TRIM(INDEX($A187:$T187,MATCH(Lists!$F$3,$A$1:$T$1,0))&amp;""),""),15,2)),VALUE(MID(IFERROR(TRIM(INDEX($A187:$T187,MATCH(Lists!$F$3,$A$1:$T$1,0))&amp;""),""),18,2)))),""))</f>
        <v/>
      </c>
      <c r="AA187" s="23">
        <f>IF(Y187="","",IF(ISNUMBER(IFERROR(IF(TRIM(INDEX($A187:$T187,MATCH(Lists!$F$4,$A$1:$T$1,0))&amp;"")="","",IF(ISNUMBER(INDEX($A187:$T187,MATCH(Lists!$F$4,$A$1:$T$1,0))),INT(INDEX($A187:$T187,MATCH(Lists!$F$4,$A$1:$T$1,0))),DATE(VALUE(LEFT(INDEX($A187:$T187,MATCH(Lists!$F$4,$A$1:$T$1,0)),4)),VALUE(MID(INDEX($A187:$T187,MATCH(Lists!$F$4,$A$1:$T$1,0)),6,2)),VALUE(MID(INDEX($A187:$T187,MATCH(Lists!$F$4,$A$1:$T$1,0)),9,2))))),"")),IFERROR(IF(TRIM(INDEX($A187:$T187,MATCH(Lists!$F$4,$A$1:$T$1,0))&amp;"")="","",IF(ISNUMBER(INDEX($A187:$T187,MATCH(Lists!$F$4,$A$1:$T$1,0))),INT(INDEX($A187:$T187,MATCH(Lists!$F$4,$A$1:$T$1,0))),DATE(VALUE(LEFT(INDEX($A187:$T187,MATCH(Lists!$F$4,$A$1:$T$1,0)),4)),VALUE(MID(INDEX($A187:$T187,MATCH(Lists!$F$4,$A$1:$T$1,0)),6,2)),VALUE(MID(INDEX($A187:$T187,MATCH(Lists!$F$4,$A$1:$T$1,0)),9,2))))),""),IFERROR(IF(TRIM(INDEX($A187:$T187,MATCH(Lists!$F$5,$A$1:$T$1,0))&amp;"")="","",IF(ISNUMBER(INDEX($A187:$T187,MATCH(Lists!$F$5,$A$1:$T$1,0))),INT(INDEX($A187:$T187,MATCH(Lists!$F$5,$A$1:$T$1,0))),DATE(VALUE(LEFT(INDEX($A187:$T187,MATCH(Lists!$F$5,$A$1:$T$1,0)),4)),VALUE(MID(INDEX($A187:$T187,MATCH(Lists!$F$5,$A$1:$T$1,0)),6,2)),VALUE(MID(INDEX($A187:$T187,MATCH(Lists!$F$5,$A$1:$T$1,0)),9,2))))),"")))</f>
        <v/>
      </c>
      <c r="AB187" s="21">
        <f>IF(Y187="","",IF(LEFT(IFERROR(TRIM(INDEX($A187:$T187,MATCH(Lists!$F$6,$A$1:$T$1,0))&amp;""),""),2)="No","General comment",IF(IFERROR(TRIM(INDEX($A187:$T187,MATCH(Lists!$F$7,$A$1:$T$1,0))&amp;""),"")&lt;&gt;"",IFERROR(TRIM(INDEX($A187:$T187,MATCH(Lists!$F$7,$A$1:$T$1,0))&amp;""),""),IF(IFERROR(TRIM(INDEX($A187:$T187,MATCH(Lists!$F$8,$A$1:$T$1,0))&amp;""),"")&lt;&gt;"",IFERROR(TRIM(INDEX($A187:$T187,MATCH(Lists!$F$8,$A$1:$T$1,0))&amp;""),""),"(no item given)"))))</f>
        <v/>
      </c>
      <c r="AC187" s="21">
        <f>IF(Y187="","",IF(ISNUMBER(SEARCH("support",IFERROR(TRIM(INDEX($A187:$T187,MATCH(Lists!$F$9,$A$1:$T$1,0))&amp;""),""))),"Support",IF(ISNUMBER(SEARCH("oppose",IFERROR(TRIM(INDEX($A187:$T187,MATCH(Lists!$F$9,$A$1:$T$1,0))&amp;""),""))),"Oppose",IF(IFERROR(TRIM(INDEX($A187:$T187,MATCH(Lists!$F$9,$A$1:$T$1,0))&amp;""),"")="","No position","Neither"))))</f>
        <v/>
      </c>
      <c r="AD187" s="21">
        <f>IF(Y187="","",IF(ISNUMBER(SEARCH("in person",IFERROR(TRIM(INDEX($A187:$T187,MATCH(Lists!$F$13,$A$1:$T$1,0))&amp;""),""))),"In person",IF(ISNUMBER(SEARCH("online",IFERROR(TRIM(INDEX($A187:$T187,MATCH(Lists!$F$13,$A$1:$T$1,0))&amp;""),""))),"Online","Written only")))</f>
        <v/>
      </c>
      <c r="AE187" s="21">
        <f>IF(Y187="","",IFERROR(TRIM(INDEX($A187:$T187,MATCH(Lists!$F$11,$A$1:$T$1,0))&amp;""),""))</f>
        <v/>
      </c>
      <c r="AF187" s="21">
        <f>IF(Y187="","",IFERROR(TRIM(INDEX($A187:$T187,MATCH(Lists!$F$12,$A$1:$T$1,0))&amp;""),""))</f>
        <v/>
      </c>
      <c r="AG187" s="21">
        <f>IF(Y187="","",IFERROR(TRIM(INDEX($A187:$T187,MATCH(Lists!$F$14,$A$1:$T$1,0))&amp;""),""))</f>
        <v/>
      </c>
      <c r="AH187" s="21">
        <f>IF(Y187="","",LEFT(IFERROR(TRIM(INDEX($A187:$T187,MATCH(Lists!$F$10,$A$1:$T$1,0))&amp;""),""),80))</f>
        <v/>
      </c>
      <c r="AI187" s="21">
        <f>IF(Y187="",0,IF(OR(Tally!$B$5="",AA187=Tally!$B$5),1,0))</f>
        <v/>
      </c>
      <c r="AJ187" s="21">
        <f>IF(AI187=1,IF(COUNTIFS($AB$2:AB187,AB187,$AI$2:AI187,1)=1,1,0),0)</f>
        <v/>
      </c>
      <c r="AK187" s="21">
        <f>IF(AJ187=1,SUM($AJ$2:AJ187),"")</f>
        <v/>
      </c>
      <c r="AL187" s="21">
        <f>IF(AND(AI187=1,OR(AD187="In person",AD187="Online"),OR(Speakers!$B$5="",AB187=Speakers!$B$5)),N(Z187)+ROW()/1000000000,"")</f>
        <v/>
      </c>
    </row>
    <row r="188">
      <c r="U188" s="19" t="n"/>
      <c r="V188" s="24" t="n"/>
      <c r="W188" s="24" t="n"/>
      <c r="X188" s="19" t="n"/>
      <c r="Y188" s="21">
        <f>IFERROR(TRIM(INDEX($A188:$T188,MATCH(Lists!$F$2,$A$1:$T$1,0))&amp;""),"")</f>
        <v/>
      </c>
      <c r="Z188" s="22">
        <f>IF(Y188="","",IFERROR(IF(ISNUMBER(INDEX($A188:$T188,MATCH(Lists!$F$3,$A$1:$T$1,0))),INDEX($A188:$T188,MATCH(Lists!$F$3,$A$1:$T$1,0)),DATE(VALUE(LEFT(IFERROR(TRIM(INDEX($A188:$T188,MATCH(Lists!$F$3,$A$1:$T$1,0))&amp;""),""),4)),VALUE(MID(IFERROR(TRIM(INDEX($A188:$T188,MATCH(Lists!$F$3,$A$1:$T$1,0))&amp;""),""),6,2)),VALUE(MID(IFERROR(TRIM(INDEX($A188:$T188,MATCH(Lists!$F$3,$A$1:$T$1,0))&amp;""),""),9,2)))+TIME(VALUE(MID(IFERROR(TRIM(INDEX($A188:$T188,MATCH(Lists!$F$3,$A$1:$T$1,0))&amp;""),""),12,2)),VALUE(MID(IFERROR(TRIM(INDEX($A188:$T188,MATCH(Lists!$F$3,$A$1:$T$1,0))&amp;""),""),15,2)),VALUE(MID(IFERROR(TRIM(INDEX($A188:$T188,MATCH(Lists!$F$3,$A$1:$T$1,0))&amp;""),""),18,2)))),""))</f>
        <v/>
      </c>
      <c r="AA188" s="23">
        <f>IF(Y188="","",IF(ISNUMBER(IFERROR(IF(TRIM(INDEX($A188:$T188,MATCH(Lists!$F$4,$A$1:$T$1,0))&amp;"")="","",IF(ISNUMBER(INDEX($A188:$T188,MATCH(Lists!$F$4,$A$1:$T$1,0))),INT(INDEX($A188:$T188,MATCH(Lists!$F$4,$A$1:$T$1,0))),DATE(VALUE(LEFT(INDEX($A188:$T188,MATCH(Lists!$F$4,$A$1:$T$1,0)),4)),VALUE(MID(INDEX($A188:$T188,MATCH(Lists!$F$4,$A$1:$T$1,0)),6,2)),VALUE(MID(INDEX($A188:$T188,MATCH(Lists!$F$4,$A$1:$T$1,0)),9,2))))),"")),IFERROR(IF(TRIM(INDEX($A188:$T188,MATCH(Lists!$F$4,$A$1:$T$1,0))&amp;"")="","",IF(ISNUMBER(INDEX($A188:$T188,MATCH(Lists!$F$4,$A$1:$T$1,0))),INT(INDEX($A188:$T188,MATCH(Lists!$F$4,$A$1:$T$1,0))),DATE(VALUE(LEFT(INDEX($A188:$T188,MATCH(Lists!$F$4,$A$1:$T$1,0)),4)),VALUE(MID(INDEX($A188:$T188,MATCH(Lists!$F$4,$A$1:$T$1,0)),6,2)),VALUE(MID(INDEX($A188:$T188,MATCH(Lists!$F$4,$A$1:$T$1,0)),9,2))))),""),IFERROR(IF(TRIM(INDEX($A188:$T188,MATCH(Lists!$F$5,$A$1:$T$1,0))&amp;"")="","",IF(ISNUMBER(INDEX($A188:$T188,MATCH(Lists!$F$5,$A$1:$T$1,0))),INT(INDEX($A188:$T188,MATCH(Lists!$F$5,$A$1:$T$1,0))),DATE(VALUE(LEFT(INDEX($A188:$T188,MATCH(Lists!$F$5,$A$1:$T$1,0)),4)),VALUE(MID(INDEX($A188:$T188,MATCH(Lists!$F$5,$A$1:$T$1,0)),6,2)),VALUE(MID(INDEX($A188:$T188,MATCH(Lists!$F$5,$A$1:$T$1,0)),9,2))))),"")))</f>
        <v/>
      </c>
      <c r="AB188" s="21">
        <f>IF(Y188="","",IF(LEFT(IFERROR(TRIM(INDEX($A188:$T188,MATCH(Lists!$F$6,$A$1:$T$1,0))&amp;""),""),2)="No","General comment",IF(IFERROR(TRIM(INDEX($A188:$T188,MATCH(Lists!$F$7,$A$1:$T$1,0))&amp;""),"")&lt;&gt;"",IFERROR(TRIM(INDEX($A188:$T188,MATCH(Lists!$F$7,$A$1:$T$1,0))&amp;""),""),IF(IFERROR(TRIM(INDEX($A188:$T188,MATCH(Lists!$F$8,$A$1:$T$1,0))&amp;""),"")&lt;&gt;"",IFERROR(TRIM(INDEX($A188:$T188,MATCH(Lists!$F$8,$A$1:$T$1,0))&amp;""),""),"(no item given)"))))</f>
        <v/>
      </c>
      <c r="AC188" s="21">
        <f>IF(Y188="","",IF(ISNUMBER(SEARCH("support",IFERROR(TRIM(INDEX($A188:$T188,MATCH(Lists!$F$9,$A$1:$T$1,0))&amp;""),""))),"Support",IF(ISNUMBER(SEARCH("oppose",IFERROR(TRIM(INDEX($A188:$T188,MATCH(Lists!$F$9,$A$1:$T$1,0))&amp;""),""))),"Oppose",IF(IFERROR(TRIM(INDEX($A188:$T188,MATCH(Lists!$F$9,$A$1:$T$1,0))&amp;""),"")="","No position","Neither"))))</f>
        <v/>
      </c>
      <c r="AD188" s="21">
        <f>IF(Y188="","",IF(ISNUMBER(SEARCH("in person",IFERROR(TRIM(INDEX($A188:$T188,MATCH(Lists!$F$13,$A$1:$T$1,0))&amp;""),""))),"In person",IF(ISNUMBER(SEARCH("online",IFERROR(TRIM(INDEX($A188:$T188,MATCH(Lists!$F$13,$A$1:$T$1,0))&amp;""),""))),"Online","Written only")))</f>
        <v/>
      </c>
      <c r="AE188" s="21">
        <f>IF(Y188="","",IFERROR(TRIM(INDEX($A188:$T188,MATCH(Lists!$F$11,$A$1:$T$1,0))&amp;""),""))</f>
        <v/>
      </c>
      <c r="AF188" s="21">
        <f>IF(Y188="","",IFERROR(TRIM(INDEX($A188:$T188,MATCH(Lists!$F$12,$A$1:$T$1,0))&amp;""),""))</f>
        <v/>
      </c>
      <c r="AG188" s="21">
        <f>IF(Y188="","",IFERROR(TRIM(INDEX($A188:$T188,MATCH(Lists!$F$14,$A$1:$T$1,0))&amp;""),""))</f>
        <v/>
      </c>
      <c r="AH188" s="21">
        <f>IF(Y188="","",LEFT(IFERROR(TRIM(INDEX($A188:$T188,MATCH(Lists!$F$10,$A$1:$T$1,0))&amp;""),""),80))</f>
        <v/>
      </c>
      <c r="AI188" s="21">
        <f>IF(Y188="",0,IF(OR(Tally!$B$5="",AA188=Tally!$B$5),1,0))</f>
        <v/>
      </c>
      <c r="AJ188" s="21">
        <f>IF(AI188=1,IF(COUNTIFS($AB$2:AB188,AB188,$AI$2:AI188,1)=1,1,0),0)</f>
        <v/>
      </c>
      <c r="AK188" s="21">
        <f>IF(AJ188=1,SUM($AJ$2:AJ188),"")</f>
        <v/>
      </c>
      <c r="AL188" s="21">
        <f>IF(AND(AI188=1,OR(AD188="In person",AD188="Online"),OR(Speakers!$B$5="",AB188=Speakers!$B$5)),N(Z188)+ROW()/1000000000,"")</f>
        <v/>
      </c>
    </row>
    <row r="189">
      <c r="U189" s="19" t="n"/>
      <c r="V189" s="24" t="n"/>
      <c r="W189" s="24" t="n"/>
      <c r="X189" s="19" t="n"/>
      <c r="Y189" s="21">
        <f>IFERROR(TRIM(INDEX($A189:$T189,MATCH(Lists!$F$2,$A$1:$T$1,0))&amp;""),"")</f>
        <v/>
      </c>
      <c r="Z189" s="22">
        <f>IF(Y189="","",IFERROR(IF(ISNUMBER(INDEX($A189:$T189,MATCH(Lists!$F$3,$A$1:$T$1,0))),INDEX($A189:$T189,MATCH(Lists!$F$3,$A$1:$T$1,0)),DATE(VALUE(LEFT(IFERROR(TRIM(INDEX($A189:$T189,MATCH(Lists!$F$3,$A$1:$T$1,0))&amp;""),""),4)),VALUE(MID(IFERROR(TRIM(INDEX($A189:$T189,MATCH(Lists!$F$3,$A$1:$T$1,0))&amp;""),""),6,2)),VALUE(MID(IFERROR(TRIM(INDEX($A189:$T189,MATCH(Lists!$F$3,$A$1:$T$1,0))&amp;""),""),9,2)))+TIME(VALUE(MID(IFERROR(TRIM(INDEX($A189:$T189,MATCH(Lists!$F$3,$A$1:$T$1,0))&amp;""),""),12,2)),VALUE(MID(IFERROR(TRIM(INDEX($A189:$T189,MATCH(Lists!$F$3,$A$1:$T$1,0))&amp;""),""),15,2)),VALUE(MID(IFERROR(TRIM(INDEX($A189:$T189,MATCH(Lists!$F$3,$A$1:$T$1,0))&amp;""),""),18,2)))),""))</f>
        <v/>
      </c>
      <c r="AA189" s="23">
        <f>IF(Y189="","",IF(ISNUMBER(IFERROR(IF(TRIM(INDEX($A189:$T189,MATCH(Lists!$F$4,$A$1:$T$1,0))&amp;"")="","",IF(ISNUMBER(INDEX($A189:$T189,MATCH(Lists!$F$4,$A$1:$T$1,0))),INT(INDEX($A189:$T189,MATCH(Lists!$F$4,$A$1:$T$1,0))),DATE(VALUE(LEFT(INDEX($A189:$T189,MATCH(Lists!$F$4,$A$1:$T$1,0)),4)),VALUE(MID(INDEX($A189:$T189,MATCH(Lists!$F$4,$A$1:$T$1,0)),6,2)),VALUE(MID(INDEX($A189:$T189,MATCH(Lists!$F$4,$A$1:$T$1,0)),9,2))))),"")),IFERROR(IF(TRIM(INDEX($A189:$T189,MATCH(Lists!$F$4,$A$1:$T$1,0))&amp;"")="","",IF(ISNUMBER(INDEX($A189:$T189,MATCH(Lists!$F$4,$A$1:$T$1,0))),INT(INDEX($A189:$T189,MATCH(Lists!$F$4,$A$1:$T$1,0))),DATE(VALUE(LEFT(INDEX($A189:$T189,MATCH(Lists!$F$4,$A$1:$T$1,0)),4)),VALUE(MID(INDEX($A189:$T189,MATCH(Lists!$F$4,$A$1:$T$1,0)),6,2)),VALUE(MID(INDEX($A189:$T189,MATCH(Lists!$F$4,$A$1:$T$1,0)),9,2))))),""),IFERROR(IF(TRIM(INDEX($A189:$T189,MATCH(Lists!$F$5,$A$1:$T$1,0))&amp;"")="","",IF(ISNUMBER(INDEX($A189:$T189,MATCH(Lists!$F$5,$A$1:$T$1,0))),INT(INDEX($A189:$T189,MATCH(Lists!$F$5,$A$1:$T$1,0))),DATE(VALUE(LEFT(INDEX($A189:$T189,MATCH(Lists!$F$5,$A$1:$T$1,0)),4)),VALUE(MID(INDEX($A189:$T189,MATCH(Lists!$F$5,$A$1:$T$1,0)),6,2)),VALUE(MID(INDEX($A189:$T189,MATCH(Lists!$F$5,$A$1:$T$1,0)),9,2))))),"")))</f>
        <v/>
      </c>
      <c r="AB189" s="21">
        <f>IF(Y189="","",IF(LEFT(IFERROR(TRIM(INDEX($A189:$T189,MATCH(Lists!$F$6,$A$1:$T$1,0))&amp;""),""),2)="No","General comment",IF(IFERROR(TRIM(INDEX($A189:$T189,MATCH(Lists!$F$7,$A$1:$T$1,0))&amp;""),"")&lt;&gt;"",IFERROR(TRIM(INDEX($A189:$T189,MATCH(Lists!$F$7,$A$1:$T$1,0))&amp;""),""),IF(IFERROR(TRIM(INDEX($A189:$T189,MATCH(Lists!$F$8,$A$1:$T$1,0))&amp;""),"")&lt;&gt;"",IFERROR(TRIM(INDEX($A189:$T189,MATCH(Lists!$F$8,$A$1:$T$1,0))&amp;""),""),"(no item given)"))))</f>
        <v/>
      </c>
      <c r="AC189" s="21">
        <f>IF(Y189="","",IF(ISNUMBER(SEARCH("support",IFERROR(TRIM(INDEX($A189:$T189,MATCH(Lists!$F$9,$A$1:$T$1,0))&amp;""),""))),"Support",IF(ISNUMBER(SEARCH("oppose",IFERROR(TRIM(INDEX($A189:$T189,MATCH(Lists!$F$9,$A$1:$T$1,0))&amp;""),""))),"Oppose",IF(IFERROR(TRIM(INDEX($A189:$T189,MATCH(Lists!$F$9,$A$1:$T$1,0))&amp;""),"")="","No position","Neither"))))</f>
        <v/>
      </c>
      <c r="AD189" s="21">
        <f>IF(Y189="","",IF(ISNUMBER(SEARCH("in person",IFERROR(TRIM(INDEX($A189:$T189,MATCH(Lists!$F$13,$A$1:$T$1,0))&amp;""),""))),"In person",IF(ISNUMBER(SEARCH("online",IFERROR(TRIM(INDEX($A189:$T189,MATCH(Lists!$F$13,$A$1:$T$1,0))&amp;""),""))),"Online","Written only")))</f>
        <v/>
      </c>
      <c r="AE189" s="21">
        <f>IF(Y189="","",IFERROR(TRIM(INDEX($A189:$T189,MATCH(Lists!$F$11,$A$1:$T$1,0))&amp;""),""))</f>
        <v/>
      </c>
      <c r="AF189" s="21">
        <f>IF(Y189="","",IFERROR(TRIM(INDEX($A189:$T189,MATCH(Lists!$F$12,$A$1:$T$1,0))&amp;""),""))</f>
        <v/>
      </c>
      <c r="AG189" s="21">
        <f>IF(Y189="","",IFERROR(TRIM(INDEX($A189:$T189,MATCH(Lists!$F$14,$A$1:$T$1,0))&amp;""),""))</f>
        <v/>
      </c>
      <c r="AH189" s="21">
        <f>IF(Y189="","",LEFT(IFERROR(TRIM(INDEX($A189:$T189,MATCH(Lists!$F$10,$A$1:$T$1,0))&amp;""),""),80))</f>
        <v/>
      </c>
      <c r="AI189" s="21">
        <f>IF(Y189="",0,IF(OR(Tally!$B$5="",AA189=Tally!$B$5),1,0))</f>
        <v/>
      </c>
      <c r="AJ189" s="21">
        <f>IF(AI189=1,IF(COUNTIFS($AB$2:AB189,AB189,$AI$2:AI189,1)=1,1,0),0)</f>
        <v/>
      </c>
      <c r="AK189" s="21">
        <f>IF(AJ189=1,SUM($AJ$2:AJ189),"")</f>
        <v/>
      </c>
      <c r="AL189" s="21">
        <f>IF(AND(AI189=1,OR(AD189="In person",AD189="Online"),OR(Speakers!$B$5="",AB189=Speakers!$B$5)),N(Z189)+ROW()/1000000000,"")</f>
        <v/>
      </c>
    </row>
    <row r="190">
      <c r="U190" s="19" t="n"/>
      <c r="V190" s="24" t="n"/>
      <c r="W190" s="24" t="n"/>
      <c r="X190" s="19" t="n"/>
      <c r="Y190" s="21">
        <f>IFERROR(TRIM(INDEX($A190:$T190,MATCH(Lists!$F$2,$A$1:$T$1,0))&amp;""),"")</f>
        <v/>
      </c>
      <c r="Z190" s="22">
        <f>IF(Y190="","",IFERROR(IF(ISNUMBER(INDEX($A190:$T190,MATCH(Lists!$F$3,$A$1:$T$1,0))),INDEX($A190:$T190,MATCH(Lists!$F$3,$A$1:$T$1,0)),DATE(VALUE(LEFT(IFERROR(TRIM(INDEX($A190:$T190,MATCH(Lists!$F$3,$A$1:$T$1,0))&amp;""),""),4)),VALUE(MID(IFERROR(TRIM(INDEX($A190:$T190,MATCH(Lists!$F$3,$A$1:$T$1,0))&amp;""),""),6,2)),VALUE(MID(IFERROR(TRIM(INDEX($A190:$T190,MATCH(Lists!$F$3,$A$1:$T$1,0))&amp;""),""),9,2)))+TIME(VALUE(MID(IFERROR(TRIM(INDEX($A190:$T190,MATCH(Lists!$F$3,$A$1:$T$1,0))&amp;""),""),12,2)),VALUE(MID(IFERROR(TRIM(INDEX($A190:$T190,MATCH(Lists!$F$3,$A$1:$T$1,0))&amp;""),""),15,2)),VALUE(MID(IFERROR(TRIM(INDEX($A190:$T190,MATCH(Lists!$F$3,$A$1:$T$1,0))&amp;""),""),18,2)))),""))</f>
        <v/>
      </c>
      <c r="AA190" s="23">
        <f>IF(Y190="","",IF(ISNUMBER(IFERROR(IF(TRIM(INDEX($A190:$T190,MATCH(Lists!$F$4,$A$1:$T$1,0))&amp;"")="","",IF(ISNUMBER(INDEX($A190:$T190,MATCH(Lists!$F$4,$A$1:$T$1,0))),INT(INDEX($A190:$T190,MATCH(Lists!$F$4,$A$1:$T$1,0))),DATE(VALUE(LEFT(INDEX($A190:$T190,MATCH(Lists!$F$4,$A$1:$T$1,0)),4)),VALUE(MID(INDEX($A190:$T190,MATCH(Lists!$F$4,$A$1:$T$1,0)),6,2)),VALUE(MID(INDEX($A190:$T190,MATCH(Lists!$F$4,$A$1:$T$1,0)),9,2))))),"")),IFERROR(IF(TRIM(INDEX($A190:$T190,MATCH(Lists!$F$4,$A$1:$T$1,0))&amp;"")="","",IF(ISNUMBER(INDEX($A190:$T190,MATCH(Lists!$F$4,$A$1:$T$1,0))),INT(INDEX($A190:$T190,MATCH(Lists!$F$4,$A$1:$T$1,0))),DATE(VALUE(LEFT(INDEX($A190:$T190,MATCH(Lists!$F$4,$A$1:$T$1,0)),4)),VALUE(MID(INDEX($A190:$T190,MATCH(Lists!$F$4,$A$1:$T$1,0)),6,2)),VALUE(MID(INDEX($A190:$T190,MATCH(Lists!$F$4,$A$1:$T$1,0)),9,2))))),""),IFERROR(IF(TRIM(INDEX($A190:$T190,MATCH(Lists!$F$5,$A$1:$T$1,0))&amp;"")="","",IF(ISNUMBER(INDEX($A190:$T190,MATCH(Lists!$F$5,$A$1:$T$1,0))),INT(INDEX($A190:$T190,MATCH(Lists!$F$5,$A$1:$T$1,0))),DATE(VALUE(LEFT(INDEX($A190:$T190,MATCH(Lists!$F$5,$A$1:$T$1,0)),4)),VALUE(MID(INDEX($A190:$T190,MATCH(Lists!$F$5,$A$1:$T$1,0)),6,2)),VALUE(MID(INDEX($A190:$T190,MATCH(Lists!$F$5,$A$1:$T$1,0)),9,2))))),"")))</f>
        <v/>
      </c>
      <c r="AB190" s="21">
        <f>IF(Y190="","",IF(LEFT(IFERROR(TRIM(INDEX($A190:$T190,MATCH(Lists!$F$6,$A$1:$T$1,0))&amp;""),""),2)="No","General comment",IF(IFERROR(TRIM(INDEX($A190:$T190,MATCH(Lists!$F$7,$A$1:$T$1,0))&amp;""),"")&lt;&gt;"",IFERROR(TRIM(INDEX($A190:$T190,MATCH(Lists!$F$7,$A$1:$T$1,0))&amp;""),""),IF(IFERROR(TRIM(INDEX($A190:$T190,MATCH(Lists!$F$8,$A$1:$T$1,0))&amp;""),"")&lt;&gt;"",IFERROR(TRIM(INDEX($A190:$T190,MATCH(Lists!$F$8,$A$1:$T$1,0))&amp;""),""),"(no item given)"))))</f>
        <v/>
      </c>
      <c r="AC190" s="21">
        <f>IF(Y190="","",IF(ISNUMBER(SEARCH("support",IFERROR(TRIM(INDEX($A190:$T190,MATCH(Lists!$F$9,$A$1:$T$1,0))&amp;""),""))),"Support",IF(ISNUMBER(SEARCH("oppose",IFERROR(TRIM(INDEX($A190:$T190,MATCH(Lists!$F$9,$A$1:$T$1,0))&amp;""),""))),"Oppose",IF(IFERROR(TRIM(INDEX($A190:$T190,MATCH(Lists!$F$9,$A$1:$T$1,0))&amp;""),"")="","No position","Neither"))))</f>
        <v/>
      </c>
      <c r="AD190" s="21">
        <f>IF(Y190="","",IF(ISNUMBER(SEARCH("in person",IFERROR(TRIM(INDEX($A190:$T190,MATCH(Lists!$F$13,$A$1:$T$1,0))&amp;""),""))),"In person",IF(ISNUMBER(SEARCH("online",IFERROR(TRIM(INDEX($A190:$T190,MATCH(Lists!$F$13,$A$1:$T$1,0))&amp;""),""))),"Online","Written only")))</f>
        <v/>
      </c>
      <c r="AE190" s="21">
        <f>IF(Y190="","",IFERROR(TRIM(INDEX($A190:$T190,MATCH(Lists!$F$11,$A$1:$T$1,0))&amp;""),""))</f>
        <v/>
      </c>
      <c r="AF190" s="21">
        <f>IF(Y190="","",IFERROR(TRIM(INDEX($A190:$T190,MATCH(Lists!$F$12,$A$1:$T$1,0))&amp;""),""))</f>
        <v/>
      </c>
      <c r="AG190" s="21">
        <f>IF(Y190="","",IFERROR(TRIM(INDEX($A190:$T190,MATCH(Lists!$F$14,$A$1:$T$1,0))&amp;""),""))</f>
        <v/>
      </c>
      <c r="AH190" s="21">
        <f>IF(Y190="","",LEFT(IFERROR(TRIM(INDEX($A190:$T190,MATCH(Lists!$F$10,$A$1:$T$1,0))&amp;""),""),80))</f>
        <v/>
      </c>
      <c r="AI190" s="21">
        <f>IF(Y190="",0,IF(OR(Tally!$B$5="",AA190=Tally!$B$5),1,0))</f>
        <v/>
      </c>
      <c r="AJ190" s="21">
        <f>IF(AI190=1,IF(COUNTIFS($AB$2:AB190,AB190,$AI$2:AI190,1)=1,1,0),0)</f>
        <v/>
      </c>
      <c r="AK190" s="21">
        <f>IF(AJ190=1,SUM($AJ$2:AJ190),"")</f>
        <v/>
      </c>
      <c r="AL190" s="21">
        <f>IF(AND(AI190=1,OR(AD190="In person",AD190="Online"),OR(Speakers!$B$5="",AB190=Speakers!$B$5)),N(Z190)+ROW()/1000000000,"")</f>
        <v/>
      </c>
    </row>
    <row r="191">
      <c r="U191" s="19" t="n"/>
      <c r="V191" s="24" t="n"/>
      <c r="W191" s="24" t="n"/>
      <c r="X191" s="19" t="n"/>
      <c r="Y191" s="21">
        <f>IFERROR(TRIM(INDEX($A191:$T191,MATCH(Lists!$F$2,$A$1:$T$1,0))&amp;""),"")</f>
        <v/>
      </c>
      <c r="Z191" s="22">
        <f>IF(Y191="","",IFERROR(IF(ISNUMBER(INDEX($A191:$T191,MATCH(Lists!$F$3,$A$1:$T$1,0))),INDEX($A191:$T191,MATCH(Lists!$F$3,$A$1:$T$1,0)),DATE(VALUE(LEFT(IFERROR(TRIM(INDEX($A191:$T191,MATCH(Lists!$F$3,$A$1:$T$1,0))&amp;""),""),4)),VALUE(MID(IFERROR(TRIM(INDEX($A191:$T191,MATCH(Lists!$F$3,$A$1:$T$1,0))&amp;""),""),6,2)),VALUE(MID(IFERROR(TRIM(INDEX($A191:$T191,MATCH(Lists!$F$3,$A$1:$T$1,0))&amp;""),""),9,2)))+TIME(VALUE(MID(IFERROR(TRIM(INDEX($A191:$T191,MATCH(Lists!$F$3,$A$1:$T$1,0))&amp;""),""),12,2)),VALUE(MID(IFERROR(TRIM(INDEX($A191:$T191,MATCH(Lists!$F$3,$A$1:$T$1,0))&amp;""),""),15,2)),VALUE(MID(IFERROR(TRIM(INDEX($A191:$T191,MATCH(Lists!$F$3,$A$1:$T$1,0))&amp;""),""),18,2)))),""))</f>
        <v/>
      </c>
      <c r="AA191" s="23">
        <f>IF(Y191="","",IF(ISNUMBER(IFERROR(IF(TRIM(INDEX($A191:$T191,MATCH(Lists!$F$4,$A$1:$T$1,0))&amp;"")="","",IF(ISNUMBER(INDEX($A191:$T191,MATCH(Lists!$F$4,$A$1:$T$1,0))),INT(INDEX($A191:$T191,MATCH(Lists!$F$4,$A$1:$T$1,0))),DATE(VALUE(LEFT(INDEX($A191:$T191,MATCH(Lists!$F$4,$A$1:$T$1,0)),4)),VALUE(MID(INDEX($A191:$T191,MATCH(Lists!$F$4,$A$1:$T$1,0)),6,2)),VALUE(MID(INDEX($A191:$T191,MATCH(Lists!$F$4,$A$1:$T$1,0)),9,2))))),"")),IFERROR(IF(TRIM(INDEX($A191:$T191,MATCH(Lists!$F$4,$A$1:$T$1,0))&amp;"")="","",IF(ISNUMBER(INDEX($A191:$T191,MATCH(Lists!$F$4,$A$1:$T$1,0))),INT(INDEX($A191:$T191,MATCH(Lists!$F$4,$A$1:$T$1,0))),DATE(VALUE(LEFT(INDEX($A191:$T191,MATCH(Lists!$F$4,$A$1:$T$1,0)),4)),VALUE(MID(INDEX($A191:$T191,MATCH(Lists!$F$4,$A$1:$T$1,0)),6,2)),VALUE(MID(INDEX($A191:$T191,MATCH(Lists!$F$4,$A$1:$T$1,0)),9,2))))),""),IFERROR(IF(TRIM(INDEX($A191:$T191,MATCH(Lists!$F$5,$A$1:$T$1,0))&amp;"")="","",IF(ISNUMBER(INDEX($A191:$T191,MATCH(Lists!$F$5,$A$1:$T$1,0))),INT(INDEX($A191:$T191,MATCH(Lists!$F$5,$A$1:$T$1,0))),DATE(VALUE(LEFT(INDEX($A191:$T191,MATCH(Lists!$F$5,$A$1:$T$1,0)),4)),VALUE(MID(INDEX($A191:$T191,MATCH(Lists!$F$5,$A$1:$T$1,0)),6,2)),VALUE(MID(INDEX($A191:$T191,MATCH(Lists!$F$5,$A$1:$T$1,0)),9,2))))),"")))</f>
        <v/>
      </c>
      <c r="AB191" s="21">
        <f>IF(Y191="","",IF(LEFT(IFERROR(TRIM(INDEX($A191:$T191,MATCH(Lists!$F$6,$A$1:$T$1,0))&amp;""),""),2)="No","General comment",IF(IFERROR(TRIM(INDEX($A191:$T191,MATCH(Lists!$F$7,$A$1:$T$1,0))&amp;""),"")&lt;&gt;"",IFERROR(TRIM(INDEX($A191:$T191,MATCH(Lists!$F$7,$A$1:$T$1,0))&amp;""),""),IF(IFERROR(TRIM(INDEX($A191:$T191,MATCH(Lists!$F$8,$A$1:$T$1,0))&amp;""),"")&lt;&gt;"",IFERROR(TRIM(INDEX($A191:$T191,MATCH(Lists!$F$8,$A$1:$T$1,0))&amp;""),""),"(no item given)"))))</f>
        <v/>
      </c>
      <c r="AC191" s="21">
        <f>IF(Y191="","",IF(ISNUMBER(SEARCH("support",IFERROR(TRIM(INDEX($A191:$T191,MATCH(Lists!$F$9,$A$1:$T$1,0))&amp;""),""))),"Support",IF(ISNUMBER(SEARCH("oppose",IFERROR(TRIM(INDEX($A191:$T191,MATCH(Lists!$F$9,$A$1:$T$1,0))&amp;""),""))),"Oppose",IF(IFERROR(TRIM(INDEX($A191:$T191,MATCH(Lists!$F$9,$A$1:$T$1,0))&amp;""),"")="","No position","Neither"))))</f>
        <v/>
      </c>
      <c r="AD191" s="21">
        <f>IF(Y191="","",IF(ISNUMBER(SEARCH("in person",IFERROR(TRIM(INDEX($A191:$T191,MATCH(Lists!$F$13,$A$1:$T$1,0))&amp;""),""))),"In person",IF(ISNUMBER(SEARCH("online",IFERROR(TRIM(INDEX($A191:$T191,MATCH(Lists!$F$13,$A$1:$T$1,0))&amp;""),""))),"Online","Written only")))</f>
        <v/>
      </c>
      <c r="AE191" s="21">
        <f>IF(Y191="","",IFERROR(TRIM(INDEX($A191:$T191,MATCH(Lists!$F$11,$A$1:$T$1,0))&amp;""),""))</f>
        <v/>
      </c>
      <c r="AF191" s="21">
        <f>IF(Y191="","",IFERROR(TRIM(INDEX($A191:$T191,MATCH(Lists!$F$12,$A$1:$T$1,0))&amp;""),""))</f>
        <v/>
      </c>
      <c r="AG191" s="21">
        <f>IF(Y191="","",IFERROR(TRIM(INDEX($A191:$T191,MATCH(Lists!$F$14,$A$1:$T$1,0))&amp;""),""))</f>
        <v/>
      </c>
      <c r="AH191" s="21">
        <f>IF(Y191="","",LEFT(IFERROR(TRIM(INDEX($A191:$T191,MATCH(Lists!$F$10,$A$1:$T$1,0))&amp;""),""),80))</f>
        <v/>
      </c>
      <c r="AI191" s="21">
        <f>IF(Y191="",0,IF(OR(Tally!$B$5="",AA191=Tally!$B$5),1,0))</f>
        <v/>
      </c>
      <c r="AJ191" s="21">
        <f>IF(AI191=1,IF(COUNTIFS($AB$2:AB191,AB191,$AI$2:AI191,1)=1,1,0),0)</f>
        <v/>
      </c>
      <c r="AK191" s="21">
        <f>IF(AJ191=1,SUM($AJ$2:AJ191),"")</f>
        <v/>
      </c>
      <c r="AL191" s="21">
        <f>IF(AND(AI191=1,OR(AD191="In person",AD191="Online"),OR(Speakers!$B$5="",AB191=Speakers!$B$5)),N(Z191)+ROW()/1000000000,"")</f>
        <v/>
      </c>
    </row>
    <row r="192">
      <c r="U192" s="19" t="n"/>
      <c r="V192" s="24" t="n"/>
      <c r="W192" s="24" t="n"/>
      <c r="X192" s="19" t="n"/>
      <c r="Y192" s="21">
        <f>IFERROR(TRIM(INDEX($A192:$T192,MATCH(Lists!$F$2,$A$1:$T$1,0))&amp;""),"")</f>
        <v/>
      </c>
      <c r="Z192" s="22">
        <f>IF(Y192="","",IFERROR(IF(ISNUMBER(INDEX($A192:$T192,MATCH(Lists!$F$3,$A$1:$T$1,0))),INDEX($A192:$T192,MATCH(Lists!$F$3,$A$1:$T$1,0)),DATE(VALUE(LEFT(IFERROR(TRIM(INDEX($A192:$T192,MATCH(Lists!$F$3,$A$1:$T$1,0))&amp;""),""),4)),VALUE(MID(IFERROR(TRIM(INDEX($A192:$T192,MATCH(Lists!$F$3,$A$1:$T$1,0))&amp;""),""),6,2)),VALUE(MID(IFERROR(TRIM(INDEX($A192:$T192,MATCH(Lists!$F$3,$A$1:$T$1,0))&amp;""),""),9,2)))+TIME(VALUE(MID(IFERROR(TRIM(INDEX($A192:$T192,MATCH(Lists!$F$3,$A$1:$T$1,0))&amp;""),""),12,2)),VALUE(MID(IFERROR(TRIM(INDEX($A192:$T192,MATCH(Lists!$F$3,$A$1:$T$1,0))&amp;""),""),15,2)),VALUE(MID(IFERROR(TRIM(INDEX($A192:$T192,MATCH(Lists!$F$3,$A$1:$T$1,0))&amp;""),""),18,2)))),""))</f>
        <v/>
      </c>
      <c r="AA192" s="23">
        <f>IF(Y192="","",IF(ISNUMBER(IFERROR(IF(TRIM(INDEX($A192:$T192,MATCH(Lists!$F$4,$A$1:$T$1,0))&amp;"")="","",IF(ISNUMBER(INDEX($A192:$T192,MATCH(Lists!$F$4,$A$1:$T$1,0))),INT(INDEX($A192:$T192,MATCH(Lists!$F$4,$A$1:$T$1,0))),DATE(VALUE(LEFT(INDEX($A192:$T192,MATCH(Lists!$F$4,$A$1:$T$1,0)),4)),VALUE(MID(INDEX($A192:$T192,MATCH(Lists!$F$4,$A$1:$T$1,0)),6,2)),VALUE(MID(INDEX($A192:$T192,MATCH(Lists!$F$4,$A$1:$T$1,0)),9,2))))),"")),IFERROR(IF(TRIM(INDEX($A192:$T192,MATCH(Lists!$F$4,$A$1:$T$1,0))&amp;"")="","",IF(ISNUMBER(INDEX($A192:$T192,MATCH(Lists!$F$4,$A$1:$T$1,0))),INT(INDEX($A192:$T192,MATCH(Lists!$F$4,$A$1:$T$1,0))),DATE(VALUE(LEFT(INDEX($A192:$T192,MATCH(Lists!$F$4,$A$1:$T$1,0)),4)),VALUE(MID(INDEX($A192:$T192,MATCH(Lists!$F$4,$A$1:$T$1,0)),6,2)),VALUE(MID(INDEX($A192:$T192,MATCH(Lists!$F$4,$A$1:$T$1,0)),9,2))))),""),IFERROR(IF(TRIM(INDEX($A192:$T192,MATCH(Lists!$F$5,$A$1:$T$1,0))&amp;"")="","",IF(ISNUMBER(INDEX($A192:$T192,MATCH(Lists!$F$5,$A$1:$T$1,0))),INT(INDEX($A192:$T192,MATCH(Lists!$F$5,$A$1:$T$1,0))),DATE(VALUE(LEFT(INDEX($A192:$T192,MATCH(Lists!$F$5,$A$1:$T$1,0)),4)),VALUE(MID(INDEX($A192:$T192,MATCH(Lists!$F$5,$A$1:$T$1,0)),6,2)),VALUE(MID(INDEX($A192:$T192,MATCH(Lists!$F$5,$A$1:$T$1,0)),9,2))))),"")))</f>
        <v/>
      </c>
      <c r="AB192" s="21">
        <f>IF(Y192="","",IF(LEFT(IFERROR(TRIM(INDEX($A192:$T192,MATCH(Lists!$F$6,$A$1:$T$1,0))&amp;""),""),2)="No","General comment",IF(IFERROR(TRIM(INDEX($A192:$T192,MATCH(Lists!$F$7,$A$1:$T$1,0))&amp;""),"")&lt;&gt;"",IFERROR(TRIM(INDEX($A192:$T192,MATCH(Lists!$F$7,$A$1:$T$1,0))&amp;""),""),IF(IFERROR(TRIM(INDEX($A192:$T192,MATCH(Lists!$F$8,$A$1:$T$1,0))&amp;""),"")&lt;&gt;"",IFERROR(TRIM(INDEX($A192:$T192,MATCH(Lists!$F$8,$A$1:$T$1,0))&amp;""),""),"(no item given)"))))</f>
        <v/>
      </c>
      <c r="AC192" s="21">
        <f>IF(Y192="","",IF(ISNUMBER(SEARCH("support",IFERROR(TRIM(INDEX($A192:$T192,MATCH(Lists!$F$9,$A$1:$T$1,0))&amp;""),""))),"Support",IF(ISNUMBER(SEARCH("oppose",IFERROR(TRIM(INDEX($A192:$T192,MATCH(Lists!$F$9,$A$1:$T$1,0))&amp;""),""))),"Oppose",IF(IFERROR(TRIM(INDEX($A192:$T192,MATCH(Lists!$F$9,$A$1:$T$1,0))&amp;""),"")="","No position","Neither"))))</f>
        <v/>
      </c>
      <c r="AD192" s="21">
        <f>IF(Y192="","",IF(ISNUMBER(SEARCH("in person",IFERROR(TRIM(INDEX($A192:$T192,MATCH(Lists!$F$13,$A$1:$T$1,0))&amp;""),""))),"In person",IF(ISNUMBER(SEARCH("online",IFERROR(TRIM(INDEX($A192:$T192,MATCH(Lists!$F$13,$A$1:$T$1,0))&amp;""),""))),"Online","Written only")))</f>
        <v/>
      </c>
      <c r="AE192" s="21">
        <f>IF(Y192="","",IFERROR(TRIM(INDEX($A192:$T192,MATCH(Lists!$F$11,$A$1:$T$1,0))&amp;""),""))</f>
        <v/>
      </c>
      <c r="AF192" s="21">
        <f>IF(Y192="","",IFERROR(TRIM(INDEX($A192:$T192,MATCH(Lists!$F$12,$A$1:$T$1,0))&amp;""),""))</f>
        <v/>
      </c>
      <c r="AG192" s="21">
        <f>IF(Y192="","",IFERROR(TRIM(INDEX($A192:$T192,MATCH(Lists!$F$14,$A$1:$T$1,0))&amp;""),""))</f>
        <v/>
      </c>
      <c r="AH192" s="21">
        <f>IF(Y192="","",LEFT(IFERROR(TRIM(INDEX($A192:$T192,MATCH(Lists!$F$10,$A$1:$T$1,0))&amp;""),""),80))</f>
        <v/>
      </c>
      <c r="AI192" s="21">
        <f>IF(Y192="",0,IF(OR(Tally!$B$5="",AA192=Tally!$B$5),1,0))</f>
        <v/>
      </c>
      <c r="AJ192" s="21">
        <f>IF(AI192=1,IF(COUNTIFS($AB$2:AB192,AB192,$AI$2:AI192,1)=1,1,0),0)</f>
        <v/>
      </c>
      <c r="AK192" s="21">
        <f>IF(AJ192=1,SUM($AJ$2:AJ192),"")</f>
        <v/>
      </c>
      <c r="AL192" s="21">
        <f>IF(AND(AI192=1,OR(AD192="In person",AD192="Online"),OR(Speakers!$B$5="",AB192=Speakers!$B$5)),N(Z192)+ROW()/1000000000,"")</f>
        <v/>
      </c>
    </row>
    <row r="193">
      <c r="U193" s="19" t="n"/>
      <c r="V193" s="24" t="n"/>
      <c r="W193" s="24" t="n"/>
      <c r="X193" s="19" t="n"/>
      <c r="Y193" s="21">
        <f>IFERROR(TRIM(INDEX($A193:$T193,MATCH(Lists!$F$2,$A$1:$T$1,0))&amp;""),"")</f>
        <v/>
      </c>
      <c r="Z193" s="22">
        <f>IF(Y193="","",IFERROR(IF(ISNUMBER(INDEX($A193:$T193,MATCH(Lists!$F$3,$A$1:$T$1,0))),INDEX($A193:$T193,MATCH(Lists!$F$3,$A$1:$T$1,0)),DATE(VALUE(LEFT(IFERROR(TRIM(INDEX($A193:$T193,MATCH(Lists!$F$3,$A$1:$T$1,0))&amp;""),""),4)),VALUE(MID(IFERROR(TRIM(INDEX($A193:$T193,MATCH(Lists!$F$3,$A$1:$T$1,0))&amp;""),""),6,2)),VALUE(MID(IFERROR(TRIM(INDEX($A193:$T193,MATCH(Lists!$F$3,$A$1:$T$1,0))&amp;""),""),9,2)))+TIME(VALUE(MID(IFERROR(TRIM(INDEX($A193:$T193,MATCH(Lists!$F$3,$A$1:$T$1,0))&amp;""),""),12,2)),VALUE(MID(IFERROR(TRIM(INDEX($A193:$T193,MATCH(Lists!$F$3,$A$1:$T$1,0))&amp;""),""),15,2)),VALUE(MID(IFERROR(TRIM(INDEX($A193:$T193,MATCH(Lists!$F$3,$A$1:$T$1,0))&amp;""),""),18,2)))),""))</f>
        <v/>
      </c>
      <c r="AA193" s="23">
        <f>IF(Y193="","",IF(ISNUMBER(IFERROR(IF(TRIM(INDEX($A193:$T193,MATCH(Lists!$F$4,$A$1:$T$1,0))&amp;"")="","",IF(ISNUMBER(INDEX($A193:$T193,MATCH(Lists!$F$4,$A$1:$T$1,0))),INT(INDEX($A193:$T193,MATCH(Lists!$F$4,$A$1:$T$1,0))),DATE(VALUE(LEFT(INDEX($A193:$T193,MATCH(Lists!$F$4,$A$1:$T$1,0)),4)),VALUE(MID(INDEX($A193:$T193,MATCH(Lists!$F$4,$A$1:$T$1,0)),6,2)),VALUE(MID(INDEX($A193:$T193,MATCH(Lists!$F$4,$A$1:$T$1,0)),9,2))))),"")),IFERROR(IF(TRIM(INDEX($A193:$T193,MATCH(Lists!$F$4,$A$1:$T$1,0))&amp;"")="","",IF(ISNUMBER(INDEX($A193:$T193,MATCH(Lists!$F$4,$A$1:$T$1,0))),INT(INDEX($A193:$T193,MATCH(Lists!$F$4,$A$1:$T$1,0))),DATE(VALUE(LEFT(INDEX($A193:$T193,MATCH(Lists!$F$4,$A$1:$T$1,0)),4)),VALUE(MID(INDEX($A193:$T193,MATCH(Lists!$F$4,$A$1:$T$1,0)),6,2)),VALUE(MID(INDEX($A193:$T193,MATCH(Lists!$F$4,$A$1:$T$1,0)),9,2))))),""),IFERROR(IF(TRIM(INDEX($A193:$T193,MATCH(Lists!$F$5,$A$1:$T$1,0))&amp;"")="","",IF(ISNUMBER(INDEX($A193:$T193,MATCH(Lists!$F$5,$A$1:$T$1,0))),INT(INDEX($A193:$T193,MATCH(Lists!$F$5,$A$1:$T$1,0))),DATE(VALUE(LEFT(INDEX($A193:$T193,MATCH(Lists!$F$5,$A$1:$T$1,0)),4)),VALUE(MID(INDEX($A193:$T193,MATCH(Lists!$F$5,$A$1:$T$1,0)),6,2)),VALUE(MID(INDEX($A193:$T193,MATCH(Lists!$F$5,$A$1:$T$1,0)),9,2))))),"")))</f>
        <v/>
      </c>
      <c r="AB193" s="21">
        <f>IF(Y193="","",IF(LEFT(IFERROR(TRIM(INDEX($A193:$T193,MATCH(Lists!$F$6,$A$1:$T$1,0))&amp;""),""),2)="No","General comment",IF(IFERROR(TRIM(INDEX($A193:$T193,MATCH(Lists!$F$7,$A$1:$T$1,0))&amp;""),"")&lt;&gt;"",IFERROR(TRIM(INDEX($A193:$T193,MATCH(Lists!$F$7,$A$1:$T$1,0))&amp;""),""),IF(IFERROR(TRIM(INDEX($A193:$T193,MATCH(Lists!$F$8,$A$1:$T$1,0))&amp;""),"")&lt;&gt;"",IFERROR(TRIM(INDEX($A193:$T193,MATCH(Lists!$F$8,$A$1:$T$1,0))&amp;""),""),"(no item given)"))))</f>
        <v/>
      </c>
      <c r="AC193" s="21">
        <f>IF(Y193="","",IF(ISNUMBER(SEARCH("support",IFERROR(TRIM(INDEX($A193:$T193,MATCH(Lists!$F$9,$A$1:$T$1,0))&amp;""),""))),"Support",IF(ISNUMBER(SEARCH("oppose",IFERROR(TRIM(INDEX($A193:$T193,MATCH(Lists!$F$9,$A$1:$T$1,0))&amp;""),""))),"Oppose",IF(IFERROR(TRIM(INDEX($A193:$T193,MATCH(Lists!$F$9,$A$1:$T$1,0))&amp;""),"")="","No position","Neither"))))</f>
        <v/>
      </c>
      <c r="AD193" s="21">
        <f>IF(Y193="","",IF(ISNUMBER(SEARCH("in person",IFERROR(TRIM(INDEX($A193:$T193,MATCH(Lists!$F$13,$A$1:$T$1,0))&amp;""),""))),"In person",IF(ISNUMBER(SEARCH("online",IFERROR(TRIM(INDEX($A193:$T193,MATCH(Lists!$F$13,$A$1:$T$1,0))&amp;""),""))),"Online","Written only")))</f>
        <v/>
      </c>
      <c r="AE193" s="21">
        <f>IF(Y193="","",IFERROR(TRIM(INDEX($A193:$T193,MATCH(Lists!$F$11,$A$1:$T$1,0))&amp;""),""))</f>
        <v/>
      </c>
      <c r="AF193" s="21">
        <f>IF(Y193="","",IFERROR(TRIM(INDEX($A193:$T193,MATCH(Lists!$F$12,$A$1:$T$1,0))&amp;""),""))</f>
        <v/>
      </c>
      <c r="AG193" s="21">
        <f>IF(Y193="","",IFERROR(TRIM(INDEX($A193:$T193,MATCH(Lists!$F$14,$A$1:$T$1,0))&amp;""),""))</f>
        <v/>
      </c>
      <c r="AH193" s="21">
        <f>IF(Y193="","",LEFT(IFERROR(TRIM(INDEX($A193:$T193,MATCH(Lists!$F$10,$A$1:$T$1,0))&amp;""),""),80))</f>
        <v/>
      </c>
      <c r="AI193" s="21">
        <f>IF(Y193="",0,IF(OR(Tally!$B$5="",AA193=Tally!$B$5),1,0))</f>
        <v/>
      </c>
      <c r="AJ193" s="21">
        <f>IF(AI193=1,IF(COUNTIFS($AB$2:AB193,AB193,$AI$2:AI193,1)=1,1,0),0)</f>
        <v/>
      </c>
      <c r="AK193" s="21">
        <f>IF(AJ193=1,SUM($AJ$2:AJ193),"")</f>
        <v/>
      </c>
      <c r="AL193" s="21">
        <f>IF(AND(AI193=1,OR(AD193="In person",AD193="Online"),OR(Speakers!$B$5="",AB193=Speakers!$B$5)),N(Z193)+ROW()/1000000000,"")</f>
        <v/>
      </c>
    </row>
    <row r="194">
      <c r="U194" s="19" t="n"/>
      <c r="V194" s="24" t="n"/>
      <c r="W194" s="24" t="n"/>
      <c r="X194" s="19" t="n"/>
      <c r="Y194" s="21">
        <f>IFERROR(TRIM(INDEX($A194:$T194,MATCH(Lists!$F$2,$A$1:$T$1,0))&amp;""),"")</f>
        <v/>
      </c>
      <c r="Z194" s="22">
        <f>IF(Y194="","",IFERROR(IF(ISNUMBER(INDEX($A194:$T194,MATCH(Lists!$F$3,$A$1:$T$1,0))),INDEX($A194:$T194,MATCH(Lists!$F$3,$A$1:$T$1,0)),DATE(VALUE(LEFT(IFERROR(TRIM(INDEX($A194:$T194,MATCH(Lists!$F$3,$A$1:$T$1,0))&amp;""),""),4)),VALUE(MID(IFERROR(TRIM(INDEX($A194:$T194,MATCH(Lists!$F$3,$A$1:$T$1,0))&amp;""),""),6,2)),VALUE(MID(IFERROR(TRIM(INDEX($A194:$T194,MATCH(Lists!$F$3,$A$1:$T$1,0))&amp;""),""),9,2)))+TIME(VALUE(MID(IFERROR(TRIM(INDEX($A194:$T194,MATCH(Lists!$F$3,$A$1:$T$1,0))&amp;""),""),12,2)),VALUE(MID(IFERROR(TRIM(INDEX($A194:$T194,MATCH(Lists!$F$3,$A$1:$T$1,0))&amp;""),""),15,2)),VALUE(MID(IFERROR(TRIM(INDEX($A194:$T194,MATCH(Lists!$F$3,$A$1:$T$1,0))&amp;""),""),18,2)))),""))</f>
        <v/>
      </c>
      <c r="AA194" s="23">
        <f>IF(Y194="","",IF(ISNUMBER(IFERROR(IF(TRIM(INDEX($A194:$T194,MATCH(Lists!$F$4,$A$1:$T$1,0))&amp;"")="","",IF(ISNUMBER(INDEX($A194:$T194,MATCH(Lists!$F$4,$A$1:$T$1,0))),INT(INDEX($A194:$T194,MATCH(Lists!$F$4,$A$1:$T$1,0))),DATE(VALUE(LEFT(INDEX($A194:$T194,MATCH(Lists!$F$4,$A$1:$T$1,0)),4)),VALUE(MID(INDEX($A194:$T194,MATCH(Lists!$F$4,$A$1:$T$1,0)),6,2)),VALUE(MID(INDEX($A194:$T194,MATCH(Lists!$F$4,$A$1:$T$1,0)),9,2))))),"")),IFERROR(IF(TRIM(INDEX($A194:$T194,MATCH(Lists!$F$4,$A$1:$T$1,0))&amp;"")="","",IF(ISNUMBER(INDEX($A194:$T194,MATCH(Lists!$F$4,$A$1:$T$1,0))),INT(INDEX($A194:$T194,MATCH(Lists!$F$4,$A$1:$T$1,0))),DATE(VALUE(LEFT(INDEX($A194:$T194,MATCH(Lists!$F$4,$A$1:$T$1,0)),4)),VALUE(MID(INDEX($A194:$T194,MATCH(Lists!$F$4,$A$1:$T$1,0)),6,2)),VALUE(MID(INDEX($A194:$T194,MATCH(Lists!$F$4,$A$1:$T$1,0)),9,2))))),""),IFERROR(IF(TRIM(INDEX($A194:$T194,MATCH(Lists!$F$5,$A$1:$T$1,0))&amp;"")="","",IF(ISNUMBER(INDEX($A194:$T194,MATCH(Lists!$F$5,$A$1:$T$1,0))),INT(INDEX($A194:$T194,MATCH(Lists!$F$5,$A$1:$T$1,0))),DATE(VALUE(LEFT(INDEX($A194:$T194,MATCH(Lists!$F$5,$A$1:$T$1,0)),4)),VALUE(MID(INDEX($A194:$T194,MATCH(Lists!$F$5,$A$1:$T$1,0)),6,2)),VALUE(MID(INDEX($A194:$T194,MATCH(Lists!$F$5,$A$1:$T$1,0)),9,2))))),"")))</f>
        <v/>
      </c>
      <c r="AB194" s="21">
        <f>IF(Y194="","",IF(LEFT(IFERROR(TRIM(INDEX($A194:$T194,MATCH(Lists!$F$6,$A$1:$T$1,0))&amp;""),""),2)="No","General comment",IF(IFERROR(TRIM(INDEX($A194:$T194,MATCH(Lists!$F$7,$A$1:$T$1,0))&amp;""),"")&lt;&gt;"",IFERROR(TRIM(INDEX($A194:$T194,MATCH(Lists!$F$7,$A$1:$T$1,0))&amp;""),""),IF(IFERROR(TRIM(INDEX($A194:$T194,MATCH(Lists!$F$8,$A$1:$T$1,0))&amp;""),"")&lt;&gt;"",IFERROR(TRIM(INDEX($A194:$T194,MATCH(Lists!$F$8,$A$1:$T$1,0))&amp;""),""),"(no item given)"))))</f>
        <v/>
      </c>
      <c r="AC194" s="21">
        <f>IF(Y194="","",IF(ISNUMBER(SEARCH("support",IFERROR(TRIM(INDEX($A194:$T194,MATCH(Lists!$F$9,$A$1:$T$1,0))&amp;""),""))),"Support",IF(ISNUMBER(SEARCH("oppose",IFERROR(TRIM(INDEX($A194:$T194,MATCH(Lists!$F$9,$A$1:$T$1,0))&amp;""),""))),"Oppose",IF(IFERROR(TRIM(INDEX($A194:$T194,MATCH(Lists!$F$9,$A$1:$T$1,0))&amp;""),"")="","No position","Neither"))))</f>
        <v/>
      </c>
      <c r="AD194" s="21">
        <f>IF(Y194="","",IF(ISNUMBER(SEARCH("in person",IFERROR(TRIM(INDEX($A194:$T194,MATCH(Lists!$F$13,$A$1:$T$1,0))&amp;""),""))),"In person",IF(ISNUMBER(SEARCH("online",IFERROR(TRIM(INDEX($A194:$T194,MATCH(Lists!$F$13,$A$1:$T$1,0))&amp;""),""))),"Online","Written only")))</f>
        <v/>
      </c>
      <c r="AE194" s="21">
        <f>IF(Y194="","",IFERROR(TRIM(INDEX($A194:$T194,MATCH(Lists!$F$11,$A$1:$T$1,0))&amp;""),""))</f>
        <v/>
      </c>
      <c r="AF194" s="21">
        <f>IF(Y194="","",IFERROR(TRIM(INDEX($A194:$T194,MATCH(Lists!$F$12,$A$1:$T$1,0))&amp;""),""))</f>
        <v/>
      </c>
      <c r="AG194" s="21">
        <f>IF(Y194="","",IFERROR(TRIM(INDEX($A194:$T194,MATCH(Lists!$F$14,$A$1:$T$1,0))&amp;""),""))</f>
        <v/>
      </c>
      <c r="AH194" s="21">
        <f>IF(Y194="","",LEFT(IFERROR(TRIM(INDEX($A194:$T194,MATCH(Lists!$F$10,$A$1:$T$1,0))&amp;""),""),80))</f>
        <v/>
      </c>
      <c r="AI194" s="21">
        <f>IF(Y194="",0,IF(OR(Tally!$B$5="",AA194=Tally!$B$5),1,0))</f>
        <v/>
      </c>
      <c r="AJ194" s="21">
        <f>IF(AI194=1,IF(COUNTIFS($AB$2:AB194,AB194,$AI$2:AI194,1)=1,1,0),0)</f>
        <v/>
      </c>
      <c r="AK194" s="21">
        <f>IF(AJ194=1,SUM($AJ$2:AJ194),"")</f>
        <v/>
      </c>
      <c r="AL194" s="21">
        <f>IF(AND(AI194=1,OR(AD194="In person",AD194="Online"),OR(Speakers!$B$5="",AB194=Speakers!$B$5)),N(Z194)+ROW()/1000000000,"")</f>
        <v/>
      </c>
    </row>
    <row r="195">
      <c r="U195" s="19" t="n"/>
      <c r="V195" s="24" t="n"/>
      <c r="W195" s="24" t="n"/>
      <c r="X195" s="19" t="n"/>
      <c r="Y195" s="21">
        <f>IFERROR(TRIM(INDEX($A195:$T195,MATCH(Lists!$F$2,$A$1:$T$1,0))&amp;""),"")</f>
        <v/>
      </c>
      <c r="Z195" s="22">
        <f>IF(Y195="","",IFERROR(IF(ISNUMBER(INDEX($A195:$T195,MATCH(Lists!$F$3,$A$1:$T$1,0))),INDEX($A195:$T195,MATCH(Lists!$F$3,$A$1:$T$1,0)),DATE(VALUE(LEFT(IFERROR(TRIM(INDEX($A195:$T195,MATCH(Lists!$F$3,$A$1:$T$1,0))&amp;""),""),4)),VALUE(MID(IFERROR(TRIM(INDEX($A195:$T195,MATCH(Lists!$F$3,$A$1:$T$1,0))&amp;""),""),6,2)),VALUE(MID(IFERROR(TRIM(INDEX($A195:$T195,MATCH(Lists!$F$3,$A$1:$T$1,0))&amp;""),""),9,2)))+TIME(VALUE(MID(IFERROR(TRIM(INDEX($A195:$T195,MATCH(Lists!$F$3,$A$1:$T$1,0))&amp;""),""),12,2)),VALUE(MID(IFERROR(TRIM(INDEX($A195:$T195,MATCH(Lists!$F$3,$A$1:$T$1,0))&amp;""),""),15,2)),VALUE(MID(IFERROR(TRIM(INDEX($A195:$T195,MATCH(Lists!$F$3,$A$1:$T$1,0))&amp;""),""),18,2)))),""))</f>
        <v/>
      </c>
      <c r="AA195" s="23">
        <f>IF(Y195="","",IF(ISNUMBER(IFERROR(IF(TRIM(INDEX($A195:$T195,MATCH(Lists!$F$4,$A$1:$T$1,0))&amp;"")="","",IF(ISNUMBER(INDEX($A195:$T195,MATCH(Lists!$F$4,$A$1:$T$1,0))),INT(INDEX($A195:$T195,MATCH(Lists!$F$4,$A$1:$T$1,0))),DATE(VALUE(LEFT(INDEX($A195:$T195,MATCH(Lists!$F$4,$A$1:$T$1,0)),4)),VALUE(MID(INDEX($A195:$T195,MATCH(Lists!$F$4,$A$1:$T$1,0)),6,2)),VALUE(MID(INDEX($A195:$T195,MATCH(Lists!$F$4,$A$1:$T$1,0)),9,2))))),"")),IFERROR(IF(TRIM(INDEX($A195:$T195,MATCH(Lists!$F$4,$A$1:$T$1,0))&amp;"")="","",IF(ISNUMBER(INDEX($A195:$T195,MATCH(Lists!$F$4,$A$1:$T$1,0))),INT(INDEX($A195:$T195,MATCH(Lists!$F$4,$A$1:$T$1,0))),DATE(VALUE(LEFT(INDEX($A195:$T195,MATCH(Lists!$F$4,$A$1:$T$1,0)),4)),VALUE(MID(INDEX($A195:$T195,MATCH(Lists!$F$4,$A$1:$T$1,0)),6,2)),VALUE(MID(INDEX($A195:$T195,MATCH(Lists!$F$4,$A$1:$T$1,0)),9,2))))),""),IFERROR(IF(TRIM(INDEX($A195:$T195,MATCH(Lists!$F$5,$A$1:$T$1,0))&amp;"")="","",IF(ISNUMBER(INDEX($A195:$T195,MATCH(Lists!$F$5,$A$1:$T$1,0))),INT(INDEX($A195:$T195,MATCH(Lists!$F$5,$A$1:$T$1,0))),DATE(VALUE(LEFT(INDEX($A195:$T195,MATCH(Lists!$F$5,$A$1:$T$1,0)),4)),VALUE(MID(INDEX($A195:$T195,MATCH(Lists!$F$5,$A$1:$T$1,0)),6,2)),VALUE(MID(INDEX($A195:$T195,MATCH(Lists!$F$5,$A$1:$T$1,0)),9,2))))),"")))</f>
        <v/>
      </c>
      <c r="AB195" s="21">
        <f>IF(Y195="","",IF(LEFT(IFERROR(TRIM(INDEX($A195:$T195,MATCH(Lists!$F$6,$A$1:$T$1,0))&amp;""),""),2)="No","General comment",IF(IFERROR(TRIM(INDEX($A195:$T195,MATCH(Lists!$F$7,$A$1:$T$1,0))&amp;""),"")&lt;&gt;"",IFERROR(TRIM(INDEX($A195:$T195,MATCH(Lists!$F$7,$A$1:$T$1,0))&amp;""),""),IF(IFERROR(TRIM(INDEX($A195:$T195,MATCH(Lists!$F$8,$A$1:$T$1,0))&amp;""),"")&lt;&gt;"",IFERROR(TRIM(INDEX($A195:$T195,MATCH(Lists!$F$8,$A$1:$T$1,0))&amp;""),""),"(no item given)"))))</f>
        <v/>
      </c>
      <c r="AC195" s="21">
        <f>IF(Y195="","",IF(ISNUMBER(SEARCH("support",IFERROR(TRIM(INDEX($A195:$T195,MATCH(Lists!$F$9,$A$1:$T$1,0))&amp;""),""))),"Support",IF(ISNUMBER(SEARCH("oppose",IFERROR(TRIM(INDEX($A195:$T195,MATCH(Lists!$F$9,$A$1:$T$1,0))&amp;""),""))),"Oppose",IF(IFERROR(TRIM(INDEX($A195:$T195,MATCH(Lists!$F$9,$A$1:$T$1,0))&amp;""),"")="","No position","Neither"))))</f>
        <v/>
      </c>
      <c r="AD195" s="21">
        <f>IF(Y195="","",IF(ISNUMBER(SEARCH("in person",IFERROR(TRIM(INDEX($A195:$T195,MATCH(Lists!$F$13,$A$1:$T$1,0))&amp;""),""))),"In person",IF(ISNUMBER(SEARCH("online",IFERROR(TRIM(INDEX($A195:$T195,MATCH(Lists!$F$13,$A$1:$T$1,0))&amp;""),""))),"Online","Written only")))</f>
        <v/>
      </c>
      <c r="AE195" s="21">
        <f>IF(Y195="","",IFERROR(TRIM(INDEX($A195:$T195,MATCH(Lists!$F$11,$A$1:$T$1,0))&amp;""),""))</f>
        <v/>
      </c>
      <c r="AF195" s="21">
        <f>IF(Y195="","",IFERROR(TRIM(INDEX($A195:$T195,MATCH(Lists!$F$12,$A$1:$T$1,0))&amp;""),""))</f>
        <v/>
      </c>
      <c r="AG195" s="21">
        <f>IF(Y195="","",IFERROR(TRIM(INDEX($A195:$T195,MATCH(Lists!$F$14,$A$1:$T$1,0))&amp;""),""))</f>
        <v/>
      </c>
      <c r="AH195" s="21">
        <f>IF(Y195="","",LEFT(IFERROR(TRIM(INDEX($A195:$T195,MATCH(Lists!$F$10,$A$1:$T$1,0))&amp;""),""),80))</f>
        <v/>
      </c>
      <c r="AI195" s="21">
        <f>IF(Y195="",0,IF(OR(Tally!$B$5="",AA195=Tally!$B$5),1,0))</f>
        <v/>
      </c>
      <c r="AJ195" s="21">
        <f>IF(AI195=1,IF(COUNTIFS($AB$2:AB195,AB195,$AI$2:AI195,1)=1,1,0),0)</f>
        <v/>
      </c>
      <c r="AK195" s="21">
        <f>IF(AJ195=1,SUM($AJ$2:AJ195),"")</f>
        <v/>
      </c>
      <c r="AL195" s="21">
        <f>IF(AND(AI195=1,OR(AD195="In person",AD195="Online"),OR(Speakers!$B$5="",AB195=Speakers!$B$5)),N(Z195)+ROW()/1000000000,"")</f>
        <v/>
      </c>
    </row>
    <row r="196">
      <c r="U196" s="19" t="n"/>
      <c r="V196" s="24" t="n"/>
      <c r="W196" s="24" t="n"/>
      <c r="X196" s="19" t="n"/>
      <c r="Y196" s="21">
        <f>IFERROR(TRIM(INDEX($A196:$T196,MATCH(Lists!$F$2,$A$1:$T$1,0))&amp;""),"")</f>
        <v/>
      </c>
      <c r="Z196" s="22">
        <f>IF(Y196="","",IFERROR(IF(ISNUMBER(INDEX($A196:$T196,MATCH(Lists!$F$3,$A$1:$T$1,0))),INDEX($A196:$T196,MATCH(Lists!$F$3,$A$1:$T$1,0)),DATE(VALUE(LEFT(IFERROR(TRIM(INDEX($A196:$T196,MATCH(Lists!$F$3,$A$1:$T$1,0))&amp;""),""),4)),VALUE(MID(IFERROR(TRIM(INDEX($A196:$T196,MATCH(Lists!$F$3,$A$1:$T$1,0))&amp;""),""),6,2)),VALUE(MID(IFERROR(TRIM(INDEX($A196:$T196,MATCH(Lists!$F$3,$A$1:$T$1,0))&amp;""),""),9,2)))+TIME(VALUE(MID(IFERROR(TRIM(INDEX($A196:$T196,MATCH(Lists!$F$3,$A$1:$T$1,0))&amp;""),""),12,2)),VALUE(MID(IFERROR(TRIM(INDEX($A196:$T196,MATCH(Lists!$F$3,$A$1:$T$1,0))&amp;""),""),15,2)),VALUE(MID(IFERROR(TRIM(INDEX($A196:$T196,MATCH(Lists!$F$3,$A$1:$T$1,0))&amp;""),""),18,2)))),""))</f>
        <v/>
      </c>
      <c r="AA196" s="23">
        <f>IF(Y196="","",IF(ISNUMBER(IFERROR(IF(TRIM(INDEX($A196:$T196,MATCH(Lists!$F$4,$A$1:$T$1,0))&amp;"")="","",IF(ISNUMBER(INDEX($A196:$T196,MATCH(Lists!$F$4,$A$1:$T$1,0))),INT(INDEX($A196:$T196,MATCH(Lists!$F$4,$A$1:$T$1,0))),DATE(VALUE(LEFT(INDEX($A196:$T196,MATCH(Lists!$F$4,$A$1:$T$1,0)),4)),VALUE(MID(INDEX($A196:$T196,MATCH(Lists!$F$4,$A$1:$T$1,0)),6,2)),VALUE(MID(INDEX($A196:$T196,MATCH(Lists!$F$4,$A$1:$T$1,0)),9,2))))),"")),IFERROR(IF(TRIM(INDEX($A196:$T196,MATCH(Lists!$F$4,$A$1:$T$1,0))&amp;"")="","",IF(ISNUMBER(INDEX($A196:$T196,MATCH(Lists!$F$4,$A$1:$T$1,0))),INT(INDEX($A196:$T196,MATCH(Lists!$F$4,$A$1:$T$1,0))),DATE(VALUE(LEFT(INDEX($A196:$T196,MATCH(Lists!$F$4,$A$1:$T$1,0)),4)),VALUE(MID(INDEX($A196:$T196,MATCH(Lists!$F$4,$A$1:$T$1,0)),6,2)),VALUE(MID(INDEX($A196:$T196,MATCH(Lists!$F$4,$A$1:$T$1,0)),9,2))))),""),IFERROR(IF(TRIM(INDEX($A196:$T196,MATCH(Lists!$F$5,$A$1:$T$1,0))&amp;"")="","",IF(ISNUMBER(INDEX($A196:$T196,MATCH(Lists!$F$5,$A$1:$T$1,0))),INT(INDEX($A196:$T196,MATCH(Lists!$F$5,$A$1:$T$1,0))),DATE(VALUE(LEFT(INDEX($A196:$T196,MATCH(Lists!$F$5,$A$1:$T$1,0)),4)),VALUE(MID(INDEX($A196:$T196,MATCH(Lists!$F$5,$A$1:$T$1,0)),6,2)),VALUE(MID(INDEX($A196:$T196,MATCH(Lists!$F$5,$A$1:$T$1,0)),9,2))))),"")))</f>
        <v/>
      </c>
      <c r="AB196" s="21">
        <f>IF(Y196="","",IF(LEFT(IFERROR(TRIM(INDEX($A196:$T196,MATCH(Lists!$F$6,$A$1:$T$1,0))&amp;""),""),2)="No","General comment",IF(IFERROR(TRIM(INDEX($A196:$T196,MATCH(Lists!$F$7,$A$1:$T$1,0))&amp;""),"")&lt;&gt;"",IFERROR(TRIM(INDEX($A196:$T196,MATCH(Lists!$F$7,$A$1:$T$1,0))&amp;""),""),IF(IFERROR(TRIM(INDEX($A196:$T196,MATCH(Lists!$F$8,$A$1:$T$1,0))&amp;""),"")&lt;&gt;"",IFERROR(TRIM(INDEX($A196:$T196,MATCH(Lists!$F$8,$A$1:$T$1,0))&amp;""),""),"(no item given)"))))</f>
        <v/>
      </c>
      <c r="AC196" s="21">
        <f>IF(Y196="","",IF(ISNUMBER(SEARCH("support",IFERROR(TRIM(INDEX($A196:$T196,MATCH(Lists!$F$9,$A$1:$T$1,0))&amp;""),""))),"Support",IF(ISNUMBER(SEARCH("oppose",IFERROR(TRIM(INDEX($A196:$T196,MATCH(Lists!$F$9,$A$1:$T$1,0))&amp;""),""))),"Oppose",IF(IFERROR(TRIM(INDEX($A196:$T196,MATCH(Lists!$F$9,$A$1:$T$1,0))&amp;""),"")="","No position","Neither"))))</f>
        <v/>
      </c>
      <c r="AD196" s="21">
        <f>IF(Y196="","",IF(ISNUMBER(SEARCH("in person",IFERROR(TRIM(INDEX($A196:$T196,MATCH(Lists!$F$13,$A$1:$T$1,0))&amp;""),""))),"In person",IF(ISNUMBER(SEARCH("online",IFERROR(TRIM(INDEX($A196:$T196,MATCH(Lists!$F$13,$A$1:$T$1,0))&amp;""),""))),"Online","Written only")))</f>
        <v/>
      </c>
      <c r="AE196" s="21">
        <f>IF(Y196="","",IFERROR(TRIM(INDEX($A196:$T196,MATCH(Lists!$F$11,$A$1:$T$1,0))&amp;""),""))</f>
        <v/>
      </c>
      <c r="AF196" s="21">
        <f>IF(Y196="","",IFERROR(TRIM(INDEX($A196:$T196,MATCH(Lists!$F$12,$A$1:$T$1,0))&amp;""),""))</f>
        <v/>
      </c>
      <c r="AG196" s="21">
        <f>IF(Y196="","",IFERROR(TRIM(INDEX($A196:$T196,MATCH(Lists!$F$14,$A$1:$T$1,0))&amp;""),""))</f>
        <v/>
      </c>
      <c r="AH196" s="21">
        <f>IF(Y196="","",LEFT(IFERROR(TRIM(INDEX($A196:$T196,MATCH(Lists!$F$10,$A$1:$T$1,0))&amp;""),""),80))</f>
        <v/>
      </c>
      <c r="AI196" s="21">
        <f>IF(Y196="",0,IF(OR(Tally!$B$5="",AA196=Tally!$B$5),1,0))</f>
        <v/>
      </c>
      <c r="AJ196" s="21">
        <f>IF(AI196=1,IF(COUNTIFS($AB$2:AB196,AB196,$AI$2:AI196,1)=1,1,0),0)</f>
        <v/>
      </c>
      <c r="AK196" s="21">
        <f>IF(AJ196=1,SUM($AJ$2:AJ196),"")</f>
        <v/>
      </c>
      <c r="AL196" s="21">
        <f>IF(AND(AI196=1,OR(AD196="In person",AD196="Online"),OR(Speakers!$B$5="",AB196=Speakers!$B$5)),N(Z196)+ROW()/1000000000,"")</f>
        <v/>
      </c>
    </row>
    <row r="197">
      <c r="U197" s="19" t="n"/>
      <c r="V197" s="24" t="n"/>
      <c r="W197" s="24" t="n"/>
      <c r="X197" s="19" t="n"/>
      <c r="Y197" s="21">
        <f>IFERROR(TRIM(INDEX($A197:$T197,MATCH(Lists!$F$2,$A$1:$T$1,0))&amp;""),"")</f>
        <v/>
      </c>
      <c r="Z197" s="22">
        <f>IF(Y197="","",IFERROR(IF(ISNUMBER(INDEX($A197:$T197,MATCH(Lists!$F$3,$A$1:$T$1,0))),INDEX($A197:$T197,MATCH(Lists!$F$3,$A$1:$T$1,0)),DATE(VALUE(LEFT(IFERROR(TRIM(INDEX($A197:$T197,MATCH(Lists!$F$3,$A$1:$T$1,0))&amp;""),""),4)),VALUE(MID(IFERROR(TRIM(INDEX($A197:$T197,MATCH(Lists!$F$3,$A$1:$T$1,0))&amp;""),""),6,2)),VALUE(MID(IFERROR(TRIM(INDEX($A197:$T197,MATCH(Lists!$F$3,$A$1:$T$1,0))&amp;""),""),9,2)))+TIME(VALUE(MID(IFERROR(TRIM(INDEX($A197:$T197,MATCH(Lists!$F$3,$A$1:$T$1,0))&amp;""),""),12,2)),VALUE(MID(IFERROR(TRIM(INDEX($A197:$T197,MATCH(Lists!$F$3,$A$1:$T$1,0))&amp;""),""),15,2)),VALUE(MID(IFERROR(TRIM(INDEX($A197:$T197,MATCH(Lists!$F$3,$A$1:$T$1,0))&amp;""),""),18,2)))),""))</f>
        <v/>
      </c>
      <c r="AA197" s="23">
        <f>IF(Y197="","",IF(ISNUMBER(IFERROR(IF(TRIM(INDEX($A197:$T197,MATCH(Lists!$F$4,$A$1:$T$1,0))&amp;"")="","",IF(ISNUMBER(INDEX($A197:$T197,MATCH(Lists!$F$4,$A$1:$T$1,0))),INT(INDEX($A197:$T197,MATCH(Lists!$F$4,$A$1:$T$1,0))),DATE(VALUE(LEFT(INDEX($A197:$T197,MATCH(Lists!$F$4,$A$1:$T$1,0)),4)),VALUE(MID(INDEX($A197:$T197,MATCH(Lists!$F$4,$A$1:$T$1,0)),6,2)),VALUE(MID(INDEX($A197:$T197,MATCH(Lists!$F$4,$A$1:$T$1,0)),9,2))))),"")),IFERROR(IF(TRIM(INDEX($A197:$T197,MATCH(Lists!$F$4,$A$1:$T$1,0))&amp;"")="","",IF(ISNUMBER(INDEX($A197:$T197,MATCH(Lists!$F$4,$A$1:$T$1,0))),INT(INDEX($A197:$T197,MATCH(Lists!$F$4,$A$1:$T$1,0))),DATE(VALUE(LEFT(INDEX($A197:$T197,MATCH(Lists!$F$4,$A$1:$T$1,0)),4)),VALUE(MID(INDEX($A197:$T197,MATCH(Lists!$F$4,$A$1:$T$1,0)),6,2)),VALUE(MID(INDEX($A197:$T197,MATCH(Lists!$F$4,$A$1:$T$1,0)),9,2))))),""),IFERROR(IF(TRIM(INDEX($A197:$T197,MATCH(Lists!$F$5,$A$1:$T$1,0))&amp;"")="","",IF(ISNUMBER(INDEX($A197:$T197,MATCH(Lists!$F$5,$A$1:$T$1,0))),INT(INDEX($A197:$T197,MATCH(Lists!$F$5,$A$1:$T$1,0))),DATE(VALUE(LEFT(INDEX($A197:$T197,MATCH(Lists!$F$5,$A$1:$T$1,0)),4)),VALUE(MID(INDEX($A197:$T197,MATCH(Lists!$F$5,$A$1:$T$1,0)),6,2)),VALUE(MID(INDEX($A197:$T197,MATCH(Lists!$F$5,$A$1:$T$1,0)),9,2))))),"")))</f>
        <v/>
      </c>
      <c r="AB197" s="21">
        <f>IF(Y197="","",IF(LEFT(IFERROR(TRIM(INDEX($A197:$T197,MATCH(Lists!$F$6,$A$1:$T$1,0))&amp;""),""),2)="No","General comment",IF(IFERROR(TRIM(INDEX($A197:$T197,MATCH(Lists!$F$7,$A$1:$T$1,0))&amp;""),"")&lt;&gt;"",IFERROR(TRIM(INDEX($A197:$T197,MATCH(Lists!$F$7,$A$1:$T$1,0))&amp;""),""),IF(IFERROR(TRIM(INDEX($A197:$T197,MATCH(Lists!$F$8,$A$1:$T$1,0))&amp;""),"")&lt;&gt;"",IFERROR(TRIM(INDEX($A197:$T197,MATCH(Lists!$F$8,$A$1:$T$1,0))&amp;""),""),"(no item given)"))))</f>
        <v/>
      </c>
      <c r="AC197" s="21">
        <f>IF(Y197="","",IF(ISNUMBER(SEARCH("support",IFERROR(TRIM(INDEX($A197:$T197,MATCH(Lists!$F$9,$A$1:$T$1,0))&amp;""),""))),"Support",IF(ISNUMBER(SEARCH("oppose",IFERROR(TRIM(INDEX($A197:$T197,MATCH(Lists!$F$9,$A$1:$T$1,0))&amp;""),""))),"Oppose",IF(IFERROR(TRIM(INDEX($A197:$T197,MATCH(Lists!$F$9,$A$1:$T$1,0))&amp;""),"")="","No position","Neither"))))</f>
        <v/>
      </c>
      <c r="AD197" s="21">
        <f>IF(Y197="","",IF(ISNUMBER(SEARCH("in person",IFERROR(TRIM(INDEX($A197:$T197,MATCH(Lists!$F$13,$A$1:$T$1,0))&amp;""),""))),"In person",IF(ISNUMBER(SEARCH("online",IFERROR(TRIM(INDEX($A197:$T197,MATCH(Lists!$F$13,$A$1:$T$1,0))&amp;""),""))),"Online","Written only")))</f>
        <v/>
      </c>
      <c r="AE197" s="21">
        <f>IF(Y197="","",IFERROR(TRIM(INDEX($A197:$T197,MATCH(Lists!$F$11,$A$1:$T$1,0))&amp;""),""))</f>
        <v/>
      </c>
      <c r="AF197" s="21">
        <f>IF(Y197="","",IFERROR(TRIM(INDEX($A197:$T197,MATCH(Lists!$F$12,$A$1:$T$1,0))&amp;""),""))</f>
        <v/>
      </c>
      <c r="AG197" s="21">
        <f>IF(Y197="","",IFERROR(TRIM(INDEX($A197:$T197,MATCH(Lists!$F$14,$A$1:$T$1,0))&amp;""),""))</f>
        <v/>
      </c>
      <c r="AH197" s="21">
        <f>IF(Y197="","",LEFT(IFERROR(TRIM(INDEX($A197:$T197,MATCH(Lists!$F$10,$A$1:$T$1,0))&amp;""),""),80))</f>
        <v/>
      </c>
      <c r="AI197" s="21">
        <f>IF(Y197="",0,IF(OR(Tally!$B$5="",AA197=Tally!$B$5),1,0))</f>
        <v/>
      </c>
      <c r="AJ197" s="21">
        <f>IF(AI197=1,IF(COUNTIFS($AB$2:AB197,AB197,$AI$2:AI197,1)=1,1,0),0)</f>
        <v/>
      </c>
      <c r="AK197" s="21">
        <f>IF(AJ197=1,SUM($AJ$2:AJ197),"")</f>
        <v/>
      </c>
      <c r="AL197" s="21">
        <f>IF(AND(AI197=1,OR(AD197="In person",AD197="Online"),OR(Speakers!$B$5="",AB197=Speakers!$B$5)),N(Z197)+ROW()/1000000000,"")</f>
        <v/>
      </c>
    </row>
    <row r="198">
      <c r="U198" s="19" t="n"/>
      <c r="V198" s="24" t="n"/>
      <c r="W198" s="24" t="n"/>
      <c r="X198" s="19" t="n"/>
      <c r="Y198" s="21">
        <f>IFERROR(TRIM(INDEX($A198:$T198,MATCH(Lists!$F$2,$A$1:$T$1,0))&amp;""),"")</f>
        <v/>
      </c>
      <c r="Z198" s="22">
        <f>IF(Y198="","",IFERROR(IF(ISNUMBER(INDEX($A198:$T198,MATCH(Lists!$F$3,$A$1:$T$1,0))),INDEX($A198:$T198,MATCH(Lists!$F$3,$A$1:$T$1,0)),DATE(VALUE(LEFT(IFERROR(TRIM(INDEX($A198:$T198,MATCH(Lists!$F$3,$A$1:$T$1,0))&amp;""),""),4)),VALUE(MID(IFERROR(TRIM(INDEX($A198:$T198,MATCH(Lists!$F$3,$A$1:$T$1,0))&amp;""),""),6,2)),VALUE(MID(IFERROR(TRIM(INDEX($A198:$T198,MATCH(Lists!$F$3,$A$1:$T$1,0))&amp;""),""),9,2)))+TIME(VALUE(MID(IFERROR(TRIM(INDEX($A198:$T198,MATCH(Lists!$F$3,$A$1:$T$1,0))&amp;""),""),12,2)),VALUE(MID(IFERROR(TRIM(INDEX($A198:$T198,MATCH(Lists!$F$3,$A$1:$T$1,0))&amp;""),""),15,2)),VALUE(MID(IFERROR(TRIM(INDEX($A198:$T198,MATCH(Lists!$F$3,$A$1:$T$1,0))&amp;""),""),18,2)))),""))</f>
        <v/>
      </c>
      <c r="AA198" s="23">
        <f>IF(Y198="","",IF(ISNUMBER(IFERROR(IF(TRIM(INDEX($A198:$T198,MATCH(Lists!$F$4,$A$1:$T$1,0))&amp;"")="","",IF(ISNUMBER(INDEX($A198:$T198,MATCH(Lists!$F$4,$A$1:$T$1,0))),INT(INDEX($A198:$T198,MATCH(Lists!$F$4,$A$1:$T$1,0))),DATE(VALUE(LEFT(INDEX($A198:$T198,MATCH(Lists!$F$4,$A$1:$T$1,0)),4)),VALUE(MID(INDEX($A198:$T198,MATCH(Lists!$F$4,$A$1:$T$1,0)),6,2)),VALUE(MID(INDEX($A198:$T198,MATCH(Lists!$F$4,$A$1:$T$1,0)),9,2))))),"")),IFERROR(IF(TRIM(INDEX($A198:$T198,MATCH(Lists!$F$4,$A$1:$T$1,0))&amp;"")="","",IF(ISNUMBER(INDEX($A198:$T198,MATCH(Lists!$F$4,$A$1:$T$1,0))),INT(INDEX($A198:$T198,MATCH(Lists!$F$4,$A$1:$T$1,0))),DATE(VALUE(LEFT(INDEX($A198:$T198,MATCH(Lists!$F$4,$A$1:$T$1,0)),4)),VALUE(MID(INDEX($A198:$T198,MATCH(Lists!$F$4,$A$1:$T$1,0)),6,2)),VALUE(MID(INDEX($A198:$T198,MATCH(Lists!$F$4,$A$1:$T$1,0)),9,2))))),""),IFERROR(IF(TRIM(INDEX($A198:$T198,MATCH(Lists!$F$5,$A$1:$T$1,0))&amp;"")="","",IF(ISNUMBER(INDEX($A198:$T198,MATCH(Lists!$F$5,$A$1:$T$1,0))),INT(INDEX($A198:$T198,MATCH(Lists!$F$5,$A$1:$T$1,0))),DATE(VALUE(LEFT(INDEX($A198:$T198,MATCH(Lists!$F$5,$A$1:$T$1,0)),4)),VALUE(MID(INDEX($A198:$T198,MATCH(Lists!$F$5,$A$1:$T$1,0)),6,2)),VALUE(MID(INDEX($A198:$T198,MATCH(Lists!$F$5,$A$1:$T$1,0)),9,2))))),"")))</f>
        <v/>
      </c>
      <c r="AB198" s="21">
        <f>IF(Y198="","",IF(LEFT(IFERROR(TRIM(INDEX($A198:$T198,MATCH(Lists!$F$6,$A$1:$T$1,0))&amp;""),""),2)="No","General comment",IF(IFERROR(TRIM(INDEX($A198:$T198,MATCH(Lists!$F$7,$A$1:$T$1,0))&amp;""),"")&lt;&gt;"",IFERROR(TRIM(INDEX($A198:$T198,MATCH(Lists!$F$7,$A$1:$T$1,0))&amp;""),""),IF(IFERROR(TRIM(INDEX($A198:$T198,MATCH(Lists!$F$8,$A$1:$T$1,0))&amp;""),"")&lt;&gt;"",IFERROR(TRIM(INDEX($A198:$T198,MATCH(Lists!$F$8,$A$1:$T$1,0))&amp;""),""),"(no item given)"))))</f>
        <v/>
      </c>
      <c r="AC198" s="21">
        <f>IF(Y198="","",IF(ISNUMBER(SEARCH("support",IFERROR(TRIM(INDEX($A198:$T198,MATCH(Lists!$F$9,$A$1:$T$1,0))&amp;""),""))),"Support",IF(ISNUMBER(SEARCH("oppose",IFERROR(TRIM(INDEX($A198:$T198,MATCH(Lists!$F$9,$A$1:$T$1,0))&amp;""),""))),"Oppose",IF(IFERROR(TRIM(INDEX($A198:$T198,MATCH(Lists!$F$9,$A$1:$T$1,0))&amp;""),"")="","No position","Neither"))))</f>
        <v/>
      </c>
      <c r="AD198" s="21">
        <f>IF(Y198="","",IF(ISNUMBER(SEARCH("in person",IFERROR(TRIM(INDEX($A198:$T198,MATCH(Lists!$F$13,$A$1:$T$1,0))&amp;""),""))),"In person",IF(ISNUMBER(SEARCH("online",IFERROR(TRIM(INDEX($A198:$T198,MATCH(Lists!$F$13,$A$1:$T$1,0))&amp;""),""))),"Online","Written only")))</f>
        <v/>
      </c>
      <c r="AE198" s="21">
        <f>IF(Y198="","",IFERROR(TRIM(INDEX($A198:$T198,MATCH(Lists!$F$11,$A$1:$T$1,0))&amp;""),""))</f>
        <v/>
      </c>
      <c r="AF198" s="21">
        <f>IF(Y198="","",IFERROR(TRIM(INDEX($A198:$T198,MATCH(Lists!$F$12,$A$1:$T$1,0))&amp;""),""))</f>
        <v/>
      </c>
      <c r="AG198" s="21">
        <f>IF(Y198="","",IFERROR(TRIM(INDEX($A198:$T198,MATCH(Lists!$F$14,$A$1:$T$1,0))&amp;""),""))</f>
        <v/>
      </c>
      <c r="AH198" s="21">
        <f>IF(Y198="","",LEFT(IFERROR(TRIM(INDEX($A198:$T198,MATCH(Lists!$F$10,$A$1:$T$1,0))&amp;""),""),80))</f>
        <v/>
      </c>
      <c r="AI198" s="21">
        <f>IF(Y198="",0,IF(OR(Tally!$B$5="",AA198=Tally!$B$5),1,0))</f>
        <v/>
      </c>
      <c r="AJ198" s="21">
        <f>IF(AI198=1,IF(COUNTIFS($AB$2:AB198,AB198,$AI$2:AI198,1)=1,1,0),0)</f>
        <v/>
      </c>
      <c r="AK198" s="21">
        <f>IF(AJ198=1,SUM($AJ$2:AJ198),"")</f>
        <v/>
      </c>
      <c r="AL198" s="21">
        <f>IF(AND(AI198=1,OR(AD198="In person",AD198="Online"),OR(Speakers!$B$5="",AB198=Speakers!$B$5)),N(Z198)+ROW()/1000000000,"")</f>
        <v/>
      </c>
    </row>
    <row r="199">
      <c r="U199" s="19" t="n"/>
      <c r="V199" s="24" t="n"/>
      <c r="W199" s="24" t="n"/>
      <c r="X199" s="19" t="n"/>
      <c r="Y199" s="21">
        <f>IFERROR(TRIM(INDEX($A199:$T199,MATCH(Lists!$F$2,$A$1:$T$1,0))&amp;""),"")</f>
        <v/>
      </c>
      <c r="Z199" s="22">
        <f>IF(Y199="","",IFERROR(IF(ISNUMBER(INDEX($A199:$T199,MATCH(Lists!$F$3,$A$1:$T$1,0))),INDEX($A199:$T199,MATCH(Lists!$F$3,$A$1:$T$1,0)),DATE(VALUE(LEFT(IFERROR(TRIM(INDEX($A199:$T199,MATCH(Lists!$F$3,$A$1:$T$1,0))&amp;""),""),4)),VALUE(MID(IFERROR(TRIM(INDEX($A199:$T199,MATCH(Lists!$F$3,$A$1:$T$1,0))&amp;""),""),6,2)),VALUE(MID(IFERROR(TRIM(INDEX($A199:$T199,MATCH(Lists!$F$3,$A$1:$T$1,0))&amp;""),""),9,2)))+TIME(VALUE(MID(IFERROR(TRIM(INDEX($A199:$T199,MATCH(Lists!$F$3,$A$1:$T$1,0))&amp;""),""),12,2)),VALUE(MID(IFERROR(TRIM(INDEX($A199:$T199,MATCH(Lists!$F$3,$A$1:$T$1,0))&amp;""),""),15,2)),VALUE(MID(IFERROR(TRIM(INDEX($A199:$T199,MATCH(Lists!$F$3,$A$1:$T$1,0))&amp;""),""),18,2)))),""))</f>
        <v/>
      </c>
      <c r="AA199" s="23">
        <f>IF(Y199="","",IF(ISNUMBER(IFERROR(IF(TRIM(INDEX($A199:$T199,MATCH(Lists!$F$4,$A$1:$T$1,0))&amp;"")="","",IF(ISNUMBER(INDEX($A199:$T199,MATCH(Lists!$F$4,$A$1:$T$1,0))),INT(INDEX($A199:$T199,MATCH(Lists!$F$4,$A$1:$T$1,0))),DATE(VALUE(LEFT(INDEX($A199:$T199,MATCH(Lists!$F$4,$A$1:$T$1,0)),4)),VALUE(MID(INDEX($A199:$T199,MATCH(Lists!$F$4,$A$1:$T$1,0)),6,2)),VALUE(MID(INDEX($A199:$T199,MATCH(Lists!$F$4,$A$1:$T$1,0)),9,2))))),"")),IFERROR(IF(TRIM(INDEX($A199:$T199,MATCH(Lists!$F$4,$A$1:$T$1,0))&amp;"")="","",IF(ISNUMBER(INDEX($A199:$T199,MATCH(Lists!$F$4,$A$1:$T$1,0))),INT(INDEX($A199:$T199,MATCH(Lists!$F$4,$A$1:$T$1,0))),DATE(VALUE(LEFT(INDEX($A199:$T199,MATCH(Lists!$F$4,$A$1:$T$1,0)),4)),VALUE(MID(INDEX($A199:$T199,MATCH(Lists!$F$4,$A$1:$T$1,0)),6,2)),VALUE(MID(INDEX($A199:$T199,MATCH(Lists!$F$4,$A$1:$T$1,0)),9,2))))),""),IFERROR(IF(TRIM(INDEX($A199:$T199,MATCH(Lists!$F$5,$A$1:$T$1,0))&amp;"")="","",IF(ISNUMBER(INDEX($A199:$T199,MATCH(Lists!$F$5,$A$1:$T$1,0))),INT(INDEX($A199:$T199,MATCH(Lists!$F$5,$A$1:$T$1,0))),DATE(VALUE(LEFT(INDEX($A199:$T199,MATCH(Lists!$F$5,$A$1:$T$1,0)),4)),VALUE(MID(INDEX($A199:$T199,MATCH(Lists!$F$5,$A$1:$T$1,0)),6,2)),VALUE(MID(INDEX($A199:$T199,MATCH(Lists!$F$5,$A$1:$T$1,0)),9,2))))),"")))</f>
        <v/>
      </c>
      <c r="AB199" s="21">
        <f>IF(Y199="","",IF(LEFT(IFERROR(TRIM(INDEX($A199:$T199,MATCH(Lists!$F$6,$A$1:$T$1,0))&amp;""),""),2)="No","General comment",IF(IFERROR(TRIM(INDEX($A199:$T199,MATCH(Lists!$F$7,$A$1:$T$1,0))&amp;""),"")&lt;&gt;"",IFERROR(TRIM(INDEX($A199:$T199,MATCH(Lists!$F$7,$A$1:$T$1,0))&amp;""),""),IF(IFERROR(TRIM(INDEX($A199:$T199,MATCH(Lists!$F$8,$A$1:$T$1,0))&amp;""),"")&lt;&gt;"",IFERROR(TRIM(INDEX($A199:$T199,MATCH(Lists!$F$8,$A$1:$T$1,0))&amp;""),""),"(no item given)"))))</f>
        <v/>
      </c>
      <c r="AC199" s="21">
        <f>IF(Y199="","",IF(ISNUMBER(SEARCH("support",IFERROR(TRIM(INDEX($A199:$T199,MATCH(Lists!$F$9,$A$1:$T$1,0))&amp;""),""))),"Support",IF(ISNUMBER(SEARCH("oppose",IFERROR(TRIM(INDEX($A199:$T199,MATCH(Lists!$F$9,$A$1:$T$1,0))&amp;""),""))),"Oppose",IF(IFERROR(TRIM(INDEX($A199:$T199,MATCH(Lists!$F$9,$A$1:$T$1,0))&amp;""),"")="","No position","Neither"))))</f>
        <v/>
      </c>
      <c r="AD199" s="21">
        <f>IF(Y199="","",IF(ISNUMBER(SEARCH("in person",IFERROR(TRIM(INDEX($A199:$T199,MATCH(Lists!$F$13,$A$1:$T$1,0))&amp;""),""))),"In person",IF(ISNUMBER(SEARCH("online",IFERROR(TRIM(INDEX($A199:$T199,MATCH(Lists!$F$13,$A$1:$T$1,0))&amp;""),""))),"Online","Written only")))</f>
        <v/>
      </c>
      <c r="AE199" s="21">
        <f>IF(Y199="","",IFERROR(TRIM(INDEX($A199:$T199,MATCH(Lists!$F$11,$A$1:$T$1,0))&amp;""),""))</f>
        <v/>
      </c>
      <c r="AF199" s="21">
        <f>IF(Y199="","",IFERROR(TRIM(INDEX($A199:$T199,MATCH(Lists!$F$12,$A$1:$T$1,0))&amp;""),""))</f>
        <v/>
      </c>
      <c r="AG199" s="21">
        <f>IF(Y199="","",IFERROR(TRIM(INDEX($A199:$T199,MATCH(Lists!$F$14,$A$1:$T$1,0))&amp;""),""))</f>
        <v/>
      </c>
      <c r="AH199" s="21">
        <f>IF(Y199="","",LEFT(IFERROR(TRIM(INDEX($A199:$T199,MATCH(Lists!$F$10,$A$1:$T$1,0))&amp;""),""),80))</f>
        <v/>
      </c>
      <c r="AI199" s="21">
        <f>IF(Y199="",0,IF(OR(Tally!$B$5="",AA199=Tally!$B$5),1,0))</f>
        <v/>
      </c>
      <c r="AJ199" s="21">
        <f>IF(AI199=1,IF(COUNTIFS($AB$2:AB199,AB199,$AI$2:AI199,1)=1,1,0),0)</f>
        <v/>
      </c>
      <c r="AK199" s="21">
        <f>IF(AJ199=1,SUM($AJ$2:AJ199),"")</f>
        <v/>
      </c>
      <c r="AL199" s="21">
        <f>IF(AND(AI199=1,OR(AD199="In person",AD199="Online"),OR(Speakers!$B$5="",AB199=Speakers!$B$5)),N(Z199)+ROW()/1000000000,"")</f>
        <v/>
      </c>
    </row>
    <row r="200">
      <c r="U200" s="19" t="n"/>
      <c r="V200" s="24" t="n"/>
      <c r="W200" s="24" t="n"/>
      <c r="X200" s="19" t="n"/>
      <c r="Y200" s="21">
        <f>IFERROR(TRIM(INDEX($A200:$T200,MATCH(Lists!$F$2,$A$1:$T$1,0))&amp;""),"")</f>
        <v/>
      </c>
      <c r="Z200" s="22">
        <f>IF(Y200="","",IFERROR(IF(ISNUMBER(INDEX($A200:$T200,MATCH(Lists!$F$3,$A$1:$T$1,0))),INDEX($A200:$T200,MATCH(Lists!$F$3,$A$1:$T$1,0)),DATE(VALUE(LEFT(IFERROR(TRIM(INDEX($A200:$T200,MATCH(Lists!$F$3,$A$1:$T$1,0))&amp;""),""),4)),VALUE(MID(IFERROR(TRIM(INDEX($A200:$T200,MATCH(Lists!$F$3,$A$1:$T$1,0))&amp;""),""),6,2)),VALUE(MID(IFERROR(TRIM(INDEX($A200:$T200,MATCH(Lists!$F$3,$A$1:$T$1,0))&amp;""),""),9,2)))+TIME(VALUE(MID(IFERROR(TRIM(INDEX($A200:$T200,MATCH(Lists!$F$3,$A$1:$T$1,0))&amp;""),""),12,2)),VALUE(MID(IFERROR(TRIM(INDEX($A200:$T200,MATCH(Lists!$F$3,$A$1:$T$1,0))&amp;""),""),15,2)),VALUE(MID(IFERROR(TRIM(INDEX($A200:$T200,MATCH(Lists!$F$3,$A$1:$T$1,0))&amp;""),""),18,2)))),""))</f>
        <v/>
      </c>
      <c r="AA200" s="23">
        <f>IF(Y200="","",IF(ISNUMBER(IFERROR(IF(TRIM(INDEX($A200:$T200,MATCH(Lists!$F$4,$A$1:$T$1,0))&amp;"")="","",IF(ISNUMBER(INDEX($A200:$T200,MATCH(Lists!$F$4,$A$1:$T$1,0))),INT(INDEX($A200:$T200,MATCH(Lists!$F$4,$A$1:$T$1,0))),DATE(VALUE(LEFT(INDEX($A200:$T200,MATCH(Lists!$F$4,$A$1:$T$1,0)),4)),VALUE(MID(INDEX($A200:$T200,MATCH(Lists!$F$4,$A$1:$T$1,0)),6,2)),VALUE(MID(INDEX($A200:$T200,MATCH(Lists!$F$4,$A$1:$T$1,0)),9,2))))),"")),IFERROR(IF(TRIM(INDEX($A200:$T200,MATCH(Lists!$F$4,$A$1:$T$1,0))&amp;"")="","",IF(ISNUMBER(INDEX($A200:$T200,MATCH(Lists!$F$4,$A$1:$T$1,0))),INT(INDEX($A200:$T200,MATCH(Lists!$F$4,$A$1:$T$1,0))),DATE(VALUE(LEFT(INDEX($A200:$T200,MATCH(Lists!$F$4,$A$1:$T$1,0)),4)),VALUE(MID(INDEX($A200:$T200,MATCH(Lists!$F$4,$A$1:$T$1,0)),6,2)),VALUE(MID(INDEX($A200:$T200,MATCH(Lists!$F$4,$A$1:$T$1,0)),9,2))))),""),IFERROR(IF(TRIM(INDEX($A200:$T200,MATCH(Lists!$F$5,$A$1:$T$1,0))&amp;"")="","",IF(ISNUMBER(INDEX($A200:$T200,MATCH(Lists!$F$5,$A$1:$T$1,0))),INT(INDEX($A200:$T200,MATCH(Lists!$F$5,$A$1:$T$1,0))),DATE(VALUE(LEFT(INDEX($A200:$T200,MATCH(Lists!$F$5,$A$1:$T$1,0)),4)),VALUE(MID(INDEX($A200:$T200,MATCH(Lists!$F$5,$A$1:$T$1,0)),6,2)),VALUE(MID(INDEX($A200:$T200,MATCH(Lists!$F$5,$A$1:$T$1,0)),9,2))))),"")))</f>
        <v/>
      </c>
      <c r="AB200" s="21">
        <f>IF(Y200="","",IF(LEFT(IFERROR(TRIM(INDEX($A200:$T200,MATCH(Lists!$F$6,$A$1:$T$1,0))&amp;""),""),2)="No","General comment",IF(IFERROR(TRIM(INDEX($A200:$T200,MATCH(Lists!$F$7,$A$1:$T$1,0))&amp;""),"")&lt;&gt;"",IFERROR(TRIM(INDEX($A200:$T200,MATCH(Lists!$F$7,$A$1:$T$1,0))&amp;""),""),IF(IFERROR(TRIM(INDEX($A200:$T200,MATCH(Lists!$F$8,$A$1:$T$1,0))&amp;""),"")&lt;&gt;"",IFERROR(TRIM(INDEX($A200:$T200,MATCH(Lists!$F$8,$A$1:$T$1,0))&amp;""),""),"(no item given)"))))</f>
        <v/>
      </c>
      <c r="AC200" s="21">
        <f>IF(Y200="","",IF(ISNUMBER(SEARCH("support",IFERROR(TRIM(INDEX($A200:$T200,MATCH(Lists!$F$9,$A$1:$T$1,0))&amp;""),""))),"Support",IF(ISNUMBER(SEARCH("oppose",IFERROR(TRIM(INDEX($A200:$T200,MATCH(Lists!$F$9,$A$1:$T$1,0))&amp;""),""))),"Oppose",IF(IFERROR(TRIM(INDEX($A200:$T200,MATCH(Lists!$F$9,$A$1:$T$1,0))&amp;""),"")="","No position","Neither"))))</f>
        <v/>
      </c>
      <c r="AD200" s="21">
        <f>IF(Y200="","",IF(ISNUMBER(SEARCH("in person",IFERROR(TRIM(INDEX($A200:$T200,MATCH(Lists!$F$13,$A$1:$T$1,0))&amp;""),""))),"In person",IF(ISNUMBER(SEARCH("online",IFERROR(TRIM(INDEX($A200:$T200,MATCH(Lists!$F$13,$A$1:$T$1,0))&amp;""),""))),"Online","Written only")))</f>
        <v/>
      </c>
      <c r="AE200" s="21">
        <f>IF(Y200="","",IFERROR(TRIM(INDEX($A200:$T200,MATCH(Lists!$F$11,$A$1:$T$1,0))&amp;""),""))</f>
        <v/>
      </c>
      <c r="AF200" s="21">
        <f>IF(Y200="","",IFERROR(TRIM(INDEX($A200:$T200,MATCH(Lists!$F$12,$A$1:$T$1,0))&amp;""),""))</f>
        <v/>
      </c>
      <c r="AG200" s="21">
        <f>IF(Y200="","",IFERROR(TRIM(INDEX($A200:$T200,MATCH(Lists!$F$14,$A$1:$T$1,0))&amp;""),""))</f>
        <v/>
      </c>
      <c r="AH200" s="21">
        <f>IF(Y200="","",LEFT(IFERROR(TRIM(INDEX($A200:$T200,MATCH(Lists!$F$10,$A$1:$T$1,0))&amp;""),""),80))</f>
        <v/>
      </c>
      <c r="AI200" s="21">
        <f>IF(Y200="",0,IF(OR(Tally!$B$5="",AA200=Tally!$B$5),1,0))</f>
        <v/>
      </c>
      <c r="AJ200" s="21">
        <f>IF(AI200=1,IF(COUNTIFS($AB$2:AB200,AB200,$AI$2:AI200,1)=1,1,0),0)</f>
        <v/>
      </c>
      <c r="AK200" s="21">
        <f>IF(AJ200=1,SUM($AJ$2:AJ200),"")</f>
        <v/>
      </c>
      <c r="AL200" s="21">
        <f>IF(AND(AI200=1,OR(AD200="In person",AD200="Online"),OR(Speakers!$B$5="",AB200=Speakers!$B$5)),N(Z200)+ROW()/1000000000,"")</f>
        <v/>
      </c>
    </row>
    <row r="201">
      <c r="U201" s="19" t="n"/>
      <c r="V201" s="24" t="n"/>
      <c r="W201" s="24" t="n"/>
      <c r="X201" s="19" t="n"/>
      <c r="Y201" s="21">
        <f>IFERROR(TRIM(INDEX($A201:$T201,MATCH(Lists!$F$2,$A$1:$T$1,0))&amp;""),"")</f>
        <v/>
      </c>
      <c r="Z201" s="22">
        <f>IF(Y201="","",IFERROR(IF(ISNUMBER(INDEX($A201:$T201,MATCH(Lists!$F$3,$A$1:$T$1,0))),INDEX($A201:$T201,MATCH(Lists!$F$3,$A$1:$T$1,0)),DATE(VALUE(LEFT(IFERROR(TRIM(INDEX($A201:$T201,MATCH(Lists!$F$3,$A$1:$T$1,0))&amp;""),""),4)),VALUE(MID(IFERROR(TRIM(INDEX($A201:$T201,MATCH(Lists!$F$3,$A$1:$T$1,0))&amp;""),""),6,2)),VALUE(MID(IFERROR(TRIM(INDEX($A201:$T201,MATCH(Lists!$F$3,$A$1:$T$1,0))&amp;""),""),9,2)))+TIME(VALUE(MID(IFERROR(TRIM(INDEX($A201:$T201,MATCH(Lists!$F$3,$A$1:$T$1,0))&amp;""),""),12,2)),VALUE(MID(IFERROR(TRIM(INDEX($A201:$T201,MATCH(Lists!$F$3,$A$1:$T$1,0))&amp;""),""),15,2)),VALUE(MID(IFERROR(TRIM(INDEX($A201:$T201,MATCH(Lists!$F$3,$A$1:$T$1,0))&amp;""),""),18,2)))),""))</f>
        <v/>
      </c>
      <c r="AA201" s="23">
        <f>IF(Y201="","",IF(ISNUMBER(IFERROR(IF(TRIM(INDEX($A201:$T201,MATCH(Lists!$F$4,$A$1:$T$1,0))&amp;"")="","",IF(ISNUMBER(INDEX($A201:$T201,MATCH(Lists!$F$4,$A$1:$T$1,0))),INT(INDEX($A201:$T201,MATCH(Lists!$F$4,$A$1:$T$1,0))),DATE(VALUE(LEFT(INDEX($A201:$T201,MATCH(Lists!$F$4,$A$1:$T$1,0)),4)),VALUE(MID(INDEX($A201:$T201,MATCH(Lists!$F$4,$A$1:$T$1,0)),6,2)),VALUE(MID(INDEX($A201:$T201,MATCH(Lists!$F$4,$A$1:$T$1,0)),9,2))))),"")),IFERROR(IF(TRIM(INDEX($A201:$T201,MATCH(Lists!$F$4,$A$1:$T$1,0))&amp;"")="","",IF(ISNUMBER(INDEX($A201:$T201,MATCH(Lists!$F$4,$A$1:$T$1,0))),INT(INDEX($A201:$T201,MATCH(Lists!$F$4,$A$1:$T$1,0))),DATE(VALUE(LEFT(INDEX($A201:$T201,MATCH(Lists!$F$4,$A$1:$T$1,0)),4)),VALUE(MID(INDEX($A201:$T201,MATCH(Lists!$F$4,$A$1:$T$1,0)),6,2)),VALUE(MID(INDEX($A201:$T201,MATCH(Lists!$F$4,$A$1:$T$1,0)),9,2))))),""),IFERROR(IF(TRIM(INDEX($A201:$T201,MATCH(Lists!$F$5,$A$1:$T$1,0))&amp;"")="","",IF(ISNUMBER(INDEX($A201:$T201,MATCH(Lists!$F$5,$A$1:$T$1,0))),INT(INDEX($A201:$T201,MATCH(Lists!$F$5,$A$1:$T$1,0))),DATE(VALUE(LEFT(INDEX($A201:$T201,MATCH(Lists!$F$5,$A$1:$T$1,0)),4)),VALUE(MID(INDEX($A201:$T201,MATCH(Lists!$F$5,$A$1:$T$1,0)),6,2)),VALUE(MID(INDEX($A201:$T201,MATCH(Lists!$F$5,$A$1:$T$1,0)),9,2))))),"")))</f>
        <v/>
      </c>
      <c r="AB201" s="21">
        <f>IF(Y201="","",IF(LEFT(IFERROR(TRIM(INDEX($A201:$T201,MATCH(Lists!$F$6,$A$1:$T$1,0))&amp;""),""),2)="No","General comment",IF(IFERROR(TRIM(INDEX($A201:$T201,MATCH(Lists!$F$7,$A$1:$T$1,0))&amp;""),"")&lt;&gt;"",IFERROR(TRIM(INDEX($A201:$T201,MATCH(Lists!$F$7,$A$1:$T$1,0))&amp;""),""),IF(IFERROR(TRIM(INDEX($A201:$T201,MATCH(Lists!$F$8,$A$1:$T$1,0))&amp;""),"")&lt;&gt;"",IFERROR(TRIM(INDEX($A201:$T201,MATCH(Lists!$F$8,$A$1:$T$1,0))&amp;""),""),"(no item given)"))))</f>
        <v/>
      </c>
      <c r="AC201" s="21">
        <f>IF(Y201="","",IF(ISNUMBER(SEARCH("support",IFERROR(TRIM(INDEX($A201:$T201,MATCH(Lists!$F$9,$A$1:$T$1,0))&amp;""),""))),"Support",IF(ISNUMBER(SEARCH("oppose",IFERROR(TRIM(INDEX($A201:$T201,MATCH(Lists!$F$9,$A$1:$T$1,0))&amp;""),""))),"Oppose",IF(IFERROR(TRIM(INDEX($A201:$T201,MATCH(Lists!$F$9,$A$1:$T$1,0))&amp;""),"")="","No position","Neither"))))</f>
        <v/>
      </c>
      <c r="AD201" s="21">
        <f>IF(Y201="","",IF(ISNUMBER(SEARCH("in person",IFERROR(TRIM(INDEX($A201:$T201,MATCH(Lists!$F$13,$A$1:$T$1,0))&amp;""),""))),"In person",IF(ISNUMBER(SEARCH("online",IFERROR(TRIM(INDEX($A201:$T201,MATCH(Lists!$F$13,$A$1:$T$1,0))&amp;""),""))),"Online","Written only")))</f>
        <v/>
      </c>
      <c r="AE201" s="21">
        <f>IF(Y201="","",IFERROR(TRIM(INDEX($A201:$T201,MATCH(Lists!$F$11,$A$1:$T$1,0))&amp;""),""))</f>
        <v/>
      </c>
      <c r="AF201" s="21">
        <f>IF(Y201="","",IFERROR(TRIM(INDEX($A201:$T201,MATCH(Lists!$F$12,$A$1:$T$1,0))&amp;""),""))</f>
        <v/>
      </c>
      <c r="AG201" s="21">
        <f>IF(Y201="","",IFERROR(TRIM(INDEX($A201:$T201,MATCH(Lists!$F$14,$A$1:$T$1,0))&amp;""),""))</f>
        <v/>
      </c>
      <c r="AH201" s="21">
        <f>IF(Y201="","",LEFT(IFERROR(TRIM(INDEX($A201:$T201,MATCH(Lists!$F$10,$A$1:$T$1,0))&amp;""),""),80))</f>
        <v/>
      </c>
      <c r="AI201" s="21">
        <f>IF(Y201="",0,IF(OR(Tally!$B$5="",AA201=Tally!$B$5),1,0))</f>
        <v/>
      </c>
      <c r="AJ201" s="21">
        <f>IF(AI201=1,IF(COUNTIFS($AB$2:AB201,AB201,$AI$2:AI201,1)=1,1,0),0)</f>
        <v/>
      </c>
      <c r="AK201" s="21">
        <f>IF(AJ201=1,SUM($AJ$2:AJ201),"")</f>
        <v/>
      </c>
      <c r="AL201" s="21">
        <f>IF(AND(AI201=1,OR(AD201="In person",AD201="Online"),OR(Speakers!$B$5="",AB201=Speakers!$B$5)),N(Z201)+ROW()/1000000000,"")</f>
        <v/>
      </c>
    </row>
    <row r="202">
      <c r="U202" s="19" t="n"/>
      <c r="V202" s="24" t="n"/>
      <c r="W202" s="24" t="n"/>
      <c r="X202" s="19" t="n"/>
      <c r="Y202" s="21">
        <f>IFERROR(TRIM(INDEX($A202:$T202,MATCH(Lists!$F$2,$A$1:$T$1,0))&amp;""),"")</f>
        <v/>
      </c>
      <c r="Z202" s="22">
        <f>IF(Y202="","",IFERROR(IF(ISNUMBER(INDEX($A202:$T202,MATCH(Lists!$F$3,$A$1:$T$1,0))),INDEX($A202:$T202,MATCH(Lists!$F$3,$A$1:$T$1,0)),DATE(VALUE(LEFT(IFERROR(TRIM(INDEX($A202:$T202,MATCH(Lists!$F$3,$A$1:$T$1,0))&amp;""),""),4)),VALUE(MID(IFERROR(TRIM(INDEX($A202:$T202,MATCH(Lists!$F$3,$A$1:$T$1,0))&amp;""),""),6,2)),VALUE(MID(IFERROR(TRIM(INDEX($A202:$T202,MATCH(Lists!$F$3,$A$1:$T$1,0))&amp;""),""),9,2)))+TIME(VALUE(MID(IFERROR(TRIM(INDEX($A202:$T202,MATCH(Lists!$F$3,$A$1:$T$1,0))&amp;""),""),12,2)),VALUE(MID(IFERROR(TRIM(INDEX($A202:$T202,MATCH(Lists!$F$3,$A$1:$T$1,0))&amp;""),""),15,2)),VALUE(MID(IFERROR(TRIM(INDEX($A202:$T202,MATCH(Lists!$F$3,$A$1:$T$1,0))&amp;""),""),18,2)))),""))</f>
        <v/>
      </c>
      <c r="AA202" s="23">
        <f>IF(Y202="","",IF(ISNUMBER(IFERROR(IF(TRIM(INDEX($A202:$T202,MATCH(Lists!$F$4,$A$1:$T$1,0))&amp;"")="","",IF(ISNUMBER(INDEX($A202:$T202,MATCH(Lists!$F$4,$A$1:$T$1,0))),INT(INDEX($A202:$T202,MATCH(Lists!$F$4,$A$1:$T$1,0))),DATE(VALUE(LEFT(INDEX($A202:$T202,MATCH(Lists!$F$4,$A$1:$T$1,0)),4)),VALUE(MID(INDEX($A202:$T202,MATCH(Lists!$F$4,$A$1:$T$1,0)),6,2)),VALUE(MID(INDEX($A202:$T202,MATCH(Lists!$F$4,$A$1:$T$1,0)),9,2))))),"")),IFERROR(IF(TRIM(INDEX($A202:$T202,MATCH(Lists!$F$4,$A$1:$T$1,0))&amp;"")="","",IF(ISNUMBER(INDEX($A202:$T202,MATCH(Lists!$F$4,$A$1:$T$1,0))),INT(INDEX($A202:$T202,MATCH(Lists!$F$4,$A$1:$T$1,0))),DATE(VALUE(LEFT(INDEX($A202:$T202,MATCH(Lists!$F$4,$A$1:$T$1,0)),4)),VALUE(MID(INDEX($A202:$T202,MATCH(Lists!$F$4,$A$1:$T$1,0)),6,2)),VALUE(MID(INDEX($A202:$T202,MATCH(Lists!$F$4,$A$1:$T$1,0)),9,2))))),""),IFERROR(IF(TRIM(INDEX($A202:$T202,MATCH(Lists!$F$5,$A$1:$T$1,0))&amp;"")="","",IF(ISNUMBER(INDEX($A202:$T202,MATCH(Lists!$F$5,$A$1:$T$1,0))),INT(INDEX($A202:$T202,MATCH(Lists!$F$5,$A$1:$T$1,0))),DATE(VALUE(LEFT(INDEX($A202:$T202,MATCH(Lists!$F$5,$A$1:$T$1,0)),4)),VALUE(MID(INDEX($A202:$T202,MATCH(Lists!$F$5,$A$1:$T$1,0)),6,2)),VALUE(MID(INDEX($A202:$T202,MATCH(Lists!$F$5,$A$1:$T$1,0)),9,2))))),"")))</f>
        <v/>
      </c>
      <c r="AB202" s="21">
        <f>IF(Y202="","",IF(LEFT(IFERROR(TRIM(INDEX($A202:$T202,MATCH(Lists!$F$6,$A$1:$T$1,0))&amp;""),""),2)="No","General comment",IF(IFERROR(TRIM(INDEX($A202:$T202,MATCH(Lists!$F$7,$A$1:$T$1,0))&amp;""),"")&lt;&gt;"",IFERROR(TRIM(INDEX($A202:$T202,MATCH(Lists!$F$7,$A$1:$T$1,0))&amp;""),""),IF(IFERROR(TRIM(INDEX($A202:$T202,MATCH(Lists!$F$8,$A$1:$T$1,0))&amp;""),"")&lt;&gt;"",IFERROR(TRIM(INDEX($A202:$T202,MATCH(Lists!$F$8,$A$1:$T$1,0))&amp;""),""),"(no item given)"))))</f>
        <v/>
      </c>
      <c r="AC202" s="21">
        <f>IF(Y202="","",IF(ISNUMBER(SEARCH("support",IFERROR(TRIM(INDEX($A202:$T202,MATCH(Lists!$F$9,$A$1:$T$1,0))&amp;""),""))),"Support",IF(ISNUMBER(SEARCH("oppose",IFERROR(TRIM(INDEX($A202:$T202,MATCH(Lists!$F$9,$A$1:$T$1,0))&amp;""),""))),"Oppose",IF(IFERROR(TRIM(INDEX($A202:$T202,MATCH(Lists!$F$9,$A$1:$T$1,0))&amp;""),"")="","No position","Neither"))))</f>
        <v/>
      </c>
      <c r="AD202" s="21">
        <f>IF(Y202="","",IF(ISNUMBER(SEARCH("in person",IFERROR(TRIM(INDEX($A202:$T202,MATCH(Lists!$F$13,$A$1:$T$1,0))&amp;""),""))),"In person",IF(ISNUMBER(SEARCH("online",IFERROR(TRIM(INDEX($A202:$T202,MATCH(Lists!$F$13,$A$1:$T$1,0))&amp;""),""))),"Online","Written only")))</f>
        <v/>
      </c>
      <c r="AE202" s="21">
        <f>IF(Y202="","",IFERROR(TRIM(INDEX($A202:$T202,MATCH(Lists!$F$11,$A$1:$T$1,0))&amp;""),""))</f>
        <v/>
      </c>
      <c r="AF202" s="21">
        <f>IF(Y202="","",IFERROR(TRIM(INDEX($A202:$T202,MATCH(Lists!$F$12,$A$1:$T$1,0))&amp;""),""))</f>
        <v/>
      </c>
      <c r="AG202" s="21">
        <f>IF(Y202="","",IFERROR(TRIM(INDEX($A202:$T202,MATCH(Lists!$F$14,$A$1:$T$1,0))&amp;""),""))</f>
        <v/>
      </c>
      <c r="AH202" s="21">
        <f>IF(Y202="","",LEFT(IFERROR(TRIM(INDEX($A202:$T202,MATCH(Lists!$F$10,$A$1:$T$1,0))&amp;""),""),80))</f>
        <v/>
      </c>
      <c r="AI202" s="21">
        <f>IF(Y202="",0,IF(OR(Tally!$B$5="",AA202=Tally!$B$5),1,0))</f>
        <v/>
      </c>
      <c r="AJ202" s="21">
        <f>IF(AI202=1,IF(COUNTIFS($AB$2:AB202,AB202,$AI$2:AI202,1)=1,1,0),0)</f>
        <v/>
      </c>
      <c r="AK202" s="21">
        <f>IF(AJ202=1,SUM($AJ$2:AJ202),"")</f>
        <v/>
      </c>
      <c r="AL202" s="21">
        <f>IF(AND(AI202=1,OR(AD202="In person",AD202="Online"),OR(Speakers!$B$5="",AB202=Speakers!$B$5)),N(Z202)+ROW()/1000000000,"")</f>
        <v/>
      </c>
    </row>
    <row r="203">
      <c r="U203" s="19" t="n"/>
      <c r="V203" s="24" t="n"/>
      <c r="W203" s="24" t="n"/>
      <c r="X203" s="19" t="n"/>
      <c r="Y203" s="21">
        <f>IFERROR(TRIM(INDEX($A203:$T203,MATCH(Lists!$F$2,$A$1:$T$1,0))&amp;""),"")</f>
        <v/>
      </c>
      <c r="Z203" s="22">
        <f>IF(Y203="","",IFERROR(IF(ISNUMBER(INDEX($A203:$T203,MATCH(Lists!$F$3,$A$1:$T$1,0))),INDEX($A203:$T203,MATCH(Lists!$F$3,$A$1:$T$1,0)),DATE(VALUE(LEFT(IFERROR(TRIM(INDEX($A203:$T203,MATCH(Lists!$F$3,$A$1:$T$1,0))&amp;""),""),4)),VALUE(MID(IFERROR(TRIM(INDEX($A203:$T203,MATCH(Lists!$F$3,$A$1:$T$1,0))&amp;""),""),6,2)),VALUE(MID(IFERROR(TRIM(INDEX($A203:$T203,MATCH(Lists!$F$3,$A$1:$T$1,0))&amp;""),""),9,2)))+TIME(VALUE(MID(IFERROR(TRIM(INDEX($A203:$T203,MATCH(Lists!$F$3,$A$1:$T$1,0))&amp;""),""),12,2)),VALUE(MID(IFERROR(TRIM(INDEX($A203:$T203,MATCH(Lists!$F$3,$A$1:$T$1,0))&amp;""),""),15,2)),VALUE(MID(IFERROR(TRIM(INDEX($A203:$T203,MATCH(Lists!$F$3,$A$1:$T$1,0))&amp;""),""),18,2)))),""))</f>
        <v/>
      </c>
      <c r="AA203" s="23">
        <f>IF(Y203="","",IF(ISNUMBER(IFERROR(IF(TRIM(INDEX($A203:$T203,MATCH(Lists!$F$4,$A$1:$T$1,0))&amp;"")="","",IF(ISNUMBER(INDEX($A203:$T203,MATCH(Lists!$F$4,$A$1:$T$1,0))),INT(INDEX($A203:$T203,MATCH(Lists!$F$4,$A$1:$T$1,0))),DATE(VALUE(LEFT(INDEX($A203:$T203,MATCH(Lists!$F$4,$A$1:$T$1,0)),4)),VALUE(MID(INDEX($A203:$T203,MATCH(Lists!$F$4,$A$1:$T$1,0)),6,2)),VALUE(MID(INDEX($A203:$T203,MATCH(Lists!$F$4,$A$1:$T$1,0)),9,2))))),"")),IFERROR(IF(TRIM(INDEX($A203:$T203,MATCH(Lists!$F$4,$A$1:$T$1,0))&amp;"")="","",IF(ISNUMBER(INDEX($A203:$T203,MATCH(Lists!$F$4,$A$1:$T$1,0))),INT(INDEX($A203:$T203,MATCH(Lists!$F$4,$A$1:$T$1,0))),DATE(VALUE(LEFT(INDEX($A203:$T203,MATCH(Lists!$F$4,$A$1:$T$1,0)),4)),VALUE(MID(INDEX($A203:$T203,MATCH(Lists!$F$4,$A$1:$T$1,0)),6,2)),VALUE(MID(INDEX($A203:$T203,MATCH(Lists!$F$4,$A$1:$T$1,0)),9,2))))),""),IFERROR(IF(TRIM(INDEX($A203:$T203,MATCH(Lists!$F$5,$A$1:$T$1,0))&amp;"")="","",IF(ISNUMBER(INDEX($A203:$T203,MATCH(Lists!$F$5,$A$1:$T$1,0))),INT(INDEX($A203:$T203,MATCH(Lists!$F$5,$A$1:$T$1,0))),DATE(VALUE(LEFT(INDEX($A203:$T203,MATCH(Lists!$F$5,$A$1:$T$1,0)),4)),VALUE(MID(INDEX($A203:$T203,MATCH(Lists!$F$5,$A$1:$T$1,0)),6,2)),VALUE(MID(INDEX($A203:$T203,MATCH(Lists!$F$5,$A$1:$T$1,0)),9,2))))),"")))</f>
        <v/>
      </c>
      <c r="AB203" s="21">
        <f>IF(Y203="","",IF(LEFT(IFERROR(TRIM(INDEX($A203:$T203,MATCH(Lists!$F$6,$A$1:$T$1,0))&amp;""),""),2)="No","General comment",IF(IFERROR(TRIM(INDEX($A203:$T203,MATCH(Lists!$F$7,$A$1:$T$1,0))&amp;""),"")&lt;&gt;"",IFERROR(TRIM(INDEX($A203:$T203,MATCH(Lists!$F$7,$A$1:$T$1,0))&amp;""),""),IF(IFERROR(TRIM(INDEX($A203:$T203,MATCH(Lists!$F$8,$A$1:$T$1,0))&amp;""),"")&lt;&gt;"",IFERROR(TRIM(INDEX($A203:$T203,MATCH(Lists!$F$8,$A$1:$T$1,0))&amp;""),""),"(no item given)"))))</f>
        <v/>
      </c>
      <c r="AC203" s="21">
        <f>IF(Y203="","",IF(ISNUMBER(SEARCH("support",IFERROR(TRIM(INDEX($A203:$T203,MATCH(Lists!$F$9,$A$1:$T$1,0))&amp;""),""))),"Support",IF(ISNUMBER(SEARCH("oppose",IFERROR(TRIM(INDEX($A203:$T203,MATCH(Lists!$F$9,$A$1:$T$1,0))&amp;""),""))),"Oppose",IF(IFERROR(TRIM(INDEX($A203:$T203,MATCH(Lists!$F$9,$A$1:$T$1,0))&amp;""),"")="","No position","Neither"))))</f>
        <v/>
      </c>
      <c r="AD203" s="21">
        <f>IF(Y203="","",IF(ISNUMBER(SEARCH("in person",IFERROR(TRIM(INDEX($A203:$T203,MATCH(Lists!$F$13,$A$1:$T$1,0))&amp;""),""))),"In person",IF(ISNUMBER(SEARCH("online",IFERROR(TRIM(INDEX($A203:$T203,MATCH(Lists!$F$13,$A$1:$T$1,0))&amp;""),""))),"Online","Written only")))</f>
        <v/>
      </c>
      <c r="AE203" s="21">
        <f>IF(Y203="","",IFERROR(TRIM(INDEX($A203:$T203,MATCH(Lists!$F$11,$A$1:$T$1,0))&amp;""),""))</f>
        <v/>
      </c>
      <c r="AF203" s="21">
        <f>IF(Y203="","",IFERROR(TRIM(INDEX($A203:$T203,MATCH(Lists!$F$12,$A$1:$T$1,0))&amp;""),""))</f>
        <v/>
      </c>
      <c r="AG203" s="21">
        <f>IF(Y203="","",IFERROR(TRIM(INDEX($A203:$T203,MATCH(Lists!$F$14,$A$1:$T$1,0))&amp;""),""))</f>
        <v/>
      </c>
      <c r="AH203" s="21">
        <f>IF(Y203="","",LEFT(IFERROR(TRIM(INDEX($A203:$T203,MATCH(Lists!$F$10,$A$1:$T$1,0))&amp;""),""),80))</f>
        <v/>
      </c>
      <c r="AI203" s="21">
        <f>IF(Y203="",0,IF(OR(Tally!$B$5="",AA203=Tally!$B$5),1,0))</f>
        <v/>
      </c>
      <c r="AJ203" s="21">
        <f>IF(AI203=1,IF(COUNTIFS($AB$2:AB203,AB203,$AI$2:AI203,1)=1,1,0),0)</f>
        <v/>
      </c>
      <c r="AK203" s="21">
        <f>IF(AJ203=1,SUM($AJ$2:AJ203),"")</f>
        <v/>
      </c>
      <c r="AL203" s="21">
        <f>IF(AND(AI203=1,OR(AD203="In person",AD203="Online"),OR(Speakers!$B$5="",AB203=Speakers!$B$5)),N(Z203)+ROW()/1000000000,"")</f>
        <v/>
      </c>
    </row>
    <row r="204">
      <c r="U204" s="19" t="n"/>
      <c r="V204" s="24" t="n"/>
      <c r="W204" s="24" t="n"/>
      <c r="X204" s="19" t="n"/>
      <c r="Y204" s="21">
        <f>IFERROR(TRIM(INDEX($A204:$T204,MATCH(Lists!$F$2,$A$1:$T$1,0))&amp;""),"")</f>
        <v/>
      </c>
      <c r="Z204" s="22">
        <f>IF(Y204="","",IFERROR(IF(ISNUMBER(INDEX($A204:$T204,MATCH(Lists!$F$3,$A$1:$T$1,0))),INDEX($A204:$T204,MATCH(Lists!$F$3,$A$1:$T$1,0)),DATE(VALUE(LEFT(IFERROR(TRIM(INDEX($A204:$T204,MATCH(Lists!$F$3,$A$1:$T$1,0))&amp;""),""),4)),VALUE(MID(IFERROR(TRIM(INDEX($A204:$T204,MATCH(Lists!$F$3,$A$1:$T$1,0))&amp;""),""),6,2)),VALUE(MID(IFERROR(TRIM(INDEX($A204:$T204,MATCH(Lists!$F$3,$A$1:$T$1,0))&amp;""),""),9,2)))+TIME(VALUE(MID(IFERROR(TRIM(INDEX($A204:$T204,MATCH(Lists!$F$3,$A$1:$T$1,0))&amp;""),""),12,2)),VALUE(MID(IFERROR(TRIM(INDEX($A204:$T204,MATCH(Lists!$F$3,$A$1:$T$1,0))&amp;""),""),15,2)),VALUE(MID(IFERROR(TRIM(INDEX($A204:$T204,MATCH(Lists!$F$3,$A$1:$T$1,0))&amp;""),""),18,2)))),""))</f>
        <v/>
      </c>
      <c r="AA204" s="23">
        <f>IF(Y204="","",IF(ISNUMBER(IFERROR(IF(TRIM(INDEX($A204:$T204,MATCH(Lists!$F$4,$A$1:$T$1,0))&amp;"")="","",IF(ISNUMBER(INDEX($A204:$T204,MATCH(Lists!$F$4,$A$1:$T$1,0))),INT(INDEX($A204:$T204,MATCH(Lists!$F$4,$A$1:$T$1,0))),DATE(VALUE(LEFT(INDEX($A204:$T204,MATCH(Lists!$F$4,$A$1:$T$1,0)),4)),VALUE(MID(INDEX($A204:$T204,MATCH(Lists!$F$4,$A$1:$T$1,0)),6,2)),VALUE(MID(INDEX($A204:$T204,MATCH(Lists!$F$4,$A$1:$T$1,0)),9,2))))),"")),IFERROR(IF(TRIM(INDEX($A204:$T204,MATCH(Lists!$F$4,$A$1:$T$1,0))&amp;"")="","",IF(ISNUMBER(INDEX($A204:$T204,MATCH(Lists!$F$4,$A$1:$T$1,0))),INT(INDEX($A204:$T204,MATCH(Lists!$F$4,$A$1:$T$1,0))),DATE(VALUE(LEFT(INDEX($A204:$T204,MATCH(Lists!$F$4,$A$1:$T$1,0)),4)),VALUE(MID(INDEX($A204:$T204,MATCH(Lists!$F$4,$A$1:$T$1,0)),6,2)),VALUE(MID(INDEX($A204:$T204,MATCH(Lists!$F$4,$A$1:$T$1,0)),9,2))))),""),IFERROR(IF(TRIM(INDEX($A204:$T204,MATCH(Lists!$F$5,$A$1:$T$1,0))&amp;"")="","",IF(ISNUMBER(INDEX($A204:$T204,MATCH(Lists!$F$5,$A$1:$T$1,0))),INT(INDEX($A204:$T204,MATCH(Lists!$F$5,$A$1:$T$1,0))),DATE(VALUE(LEFT(INDEX($A204:$T204,MATCH(Lists!$F$5,$A$1:$T$1,0)),4)),VALUE(MID(INDEX($A204:$T204,MATCH(Lists!$F$5,$A$1:$T$1,0)),6,2)),VALUE(MID(INDEX($A204:$T204,MATCH(Lists!$F$5,$A$1:$T$1,0)),9,2))))),"")))</f>
        <v/>
      </c>
      <c r="AB204" s="21">
        <f>IF(Y204="","",IF(LEFT(IFERROR(TRIM(INDEX($A204:$T204,MATCH(Lists!$F$6,$A$1:$T$1,0))&amp;""),""),2)="No","General comment",IF(IFERROR(TRIM(INDEX($A204:$T204,MATCH(Lists!$F$7,$A$1:$T$1,0))&amp;""),"")&lt;&gt;"",IFERROR(TRIM(INDEX($A204:$T204,MATCH(Lists!$F$7,$A$1:$T$1,0))&amp;""),""),IF(IFERROR(TRIM(INDEX($A204:$T204,MATCH(Lists!$F$8,$A$1:$T$1,0))&amp;""),"")&lt;&gt;"",IFERROR(TRIM(INDEX($A204:$T204,MATCH(Lists!$F$8,$A$1:$T$1,0))&amp;""),""),"(no item given)"))))</f>
        <v/>
      </c>
      <c r="AC204" s="21">
        <f>IF(Y204="","",IF(ISNUMBER(SEARCH("support",IFERROR(TRIM(INDEX($A204:$T204,MATCH(Lists!$F$9,$A$1:$T$1,0))&amp;""),""))),"Support",IF(ISNUMBER(SEARCH("oppose",IFERROR(TRIM(INDEX($A204:$T204,MATCH(Lists!$F$9,$A$1:$T$1,0))&amp;""),""))),"Oppose",IF(IFERROR(TRIM(INDEX($A204:$T204,MATCH(Lists!$F$9,$A$1:$T$1,0))&amp;""),"")="","No position","Neither"))))</f>
        <v/>
      </c>
      <c r="AD204" s="21">
        <f>IF(Y204="","",IF(ISNUMBER(SEARCH("in person",IFERROR(TRIM(INDEX($A204:$T204,MATCH(Lists!$F$13,$A$1:$T$1,0))&amp;""),""))),"In person",IF(ISNUMBER(SEARCH("online",IFERROR(TRIM(INDEX($A204:$T204,MATCH(Lists!$F$13,$A$1:$T$1,0))&amp;""),""))),"Online","Written only")))</f>
        <v/>
      </c>
      <c r="AE204" s="21">
        <f>IF(Y204="","",IFERROR(TRIM(INDEX($A204:$T204,MATCH(Lists!$F$11,$A$1:$T$1,0))&amp;""),""))</f>
        <v/>
      </c>
      <c r="AF204" s="21">
        <f>IF(Y204="","",IFERROR(TRIM(INDEX($A204:$T204,MATCH(Lists!$F$12,$A$1:$T$1,0))&amp;""),""))</f>
        <v/>
      </c>
      <c r="AG204" s="21">
        <f>IF(Y204="","",IFERROR(TRIM(INDEX($A204:$T204,MATCH(Lists!$F$14,$A$1:$T$1,0))&amp;""),""))</f>
        <v/>
      </c>
      <c r="AH204" s="21">
        <f>IF(Y204="","",LEFT(IFERROR(TRIM(INDEX($A204:$T204,MATCH(Lists!$F$10,$A$1:$T$1,0))&amp;""),""),80))</f>
        <v/>
      </c>
      <c r="AI204" s="21">
        <f>IF(Y204="",0,IF(OR(Tally!$B$5="",AA204=Tally!$B$5),1,0))</f>
        <v/>
      </c>
      <c r="AJ204" s="21">
        <f>IF(AI204=1,IF(COUNTIFS($AB$2:AB204,AB204,$AI$2:AI204,1)=1,1,0),0)</f>
        <v/>
      </c>
      <c r="AK204" s="21">
        <f>IF(AJ204=1,SUM($AJ$2:AJ204),"")</f>
        <v/>
      </c>
      <c r="AL204" s="21">
        <f>IF(AND(AI204=1,OR(AD204="In person",AD204="Online"),OR(Speakers!$B$5="",AB204=Speakers!$B$5)),N(Z204)+ROW()/1000000000,"")</f>
        <v/>
      </c>
    </row>
    <row r="205">
      <c r="U205" s="19" t="n"/>
      <c r="V205" s="24" t="n"/>
      <c r="W205" s="24" t="n"/>
      <c r="X205" s="19" t="n"/>
      <c r="Y205" s="21">
        <f>IFERROR(TRIM(INDEX($A205:$T205,MATCH(Lists!$F$2,$A$1:$T$1,0))&amp;""),"")</f>
        <v/>
      </c>
      <c r="Z205" s="22">
        <f>IF(Y205="","",IFERROR(IF(ISNUMBER(INDEX($A205:$T205,MATCH(Lists!$F$3,$A$1:$T$1,0))),INDEX($A205:$T205,MATCH(Lists!$F$3,$A$1:$T$1,0)),DATE(VALUE(LEFT(IFERROR(TRIM(INDEX($A205:$T205,MATCH(Lists!$F$3,$A$1:$T$1,0))&amp;""),""),4)),VALUE(MID(IFERROR(TRIM(INDEX($A205:$T205,MATCH(Lists!$F$3,$A$1:$T$1,0))&amp;""),""),6,2)),VALUE(MID(IFERROR(TRIM(INDEX($A205:$T205,MATCH(Lists!$F$3,$A$1:$T$1,0))&amp;""),""),9,2)))+TIME(VALUE(MID(IFERROR(TRIM(INDEX($A205:$T205,MATCH(Lists!$F$3,$A$1:$T$1,0))&amp;""),""),12,2)),VALUE(MID(IFERROR(TRIM(INDEX($A205:$T205,MATCH(Lists!$F$3,$A$1:$T$1,0))&amp;""),""),15,2)),VALUE(MID(IFERROR(TRIM(INDEX($A205:$T205,MATCH(Lists!$F$3,$A$1:$T$1,0))&amp;""),""),18,2)))),""))</f>
        <v/>
      </c>
      <c r="AA205" s="23">
        <f>IF(Y205="","",IF(ISNUMBER(IFERROR(IF(TRIM(INDEX($A205:$T205,MATCH(Lists!$F$4,$A$1:$T$1,0))&amp;"")="","",IF(ISNUMBER(INDEX($A205:$T205,MATCH(Lists!$F$4,$A$1:$T$1,0))),INT(INDEX($A205:$T205,MATCH(Lists!$F$4,$A$1:$T$1,0))),DATE(VALUE(LEFT(INDEX($A205:$T205,MATCH(Lists!$F$4,$A$1:$T$1,0)),4)),VALUE(MID(INDEX($A205:$T205,MATCH(Lists!$F$4,$A$1:$T$1,0)),6,2)),VALUE(MID(INDEX($A205:$T205,MATCH(Lists!$F$4,$A$1:$T$1,0)),9,2))))),"")),IFERROR(IF(TRIM(INDEX($A205:$T205,MATCH(Lists!$F$4,$A$1:$T$1,0))&amp;"")="","",IF(ISNUMBER(INDEX($A205:$T205,MATCH(Lists!$F$4,$A$1:$T$1,0))),INT(INDEX($A205:$T205,MATCH(Lists!$F$4,$A$1:$T$1,0))),DATE(VALUE(LEFT(INDEX($A205:$T205,MATCH(Lists!$F$4,$A$1:$T$1,0)),4)),VALUE(MID(INDEX($A205:$T205,MATCH(Lists!$F$4,$A$1:$T$1,0)),6,2)),VALUE(MID(INDEX($A205:$T205,MATCH(Lists!$F$4,$A$1:$T$1,0)),9,2))))),""),IFERROR(IF(TRIM(INDEX($A205:$T205,MATCH(Lists!$F$5,$A$1:$T$1,0))&amp;"")="","",IF(ISNUMBER(INDEX($A205:$T205,MATCH(Lists!$F$5,$A$1:$T$1,0))),INT(INDEX($A205:$T205,MATCH(Lists!$F$5,$A$1:$T$1,0))),DATE(VALUE(LEFT(INDEX($A205:$T205,MATCH(Lists!$F$5,$A$1:$T$1,0)),4)),VALUE(MID(INDEX($A205:$T205,MATCH(Lists!$F$5,$A$1:$T$1,0)),6,2)),VALUE(MID(INDEX($A205:$T205,MATCH(Lists!$F$5,$A$1:$T$1,0)),9,2))))),"")))</f>
        <v/>
      </c>
      <c r="AB205" s="21">
        <f>IF(Y205="","",IF(LEFT(IFERROR(TRIM(INDEX($A205:$T205,MATCH(Lists!$F$6,$A$1:$T$1,0))&amp;""),""),2)="No","General comment",IF(IFERROR(TRIM(INDEX($A205:$T205,MATCH(Lists!$F$7,$A$1:$T$1,0))&amp;""),"")&lt;&gt;"",IFERROR(TRIM(INDEX($A205:$T205,MATCH(Lists!$F$7,$A$1:$T$1,0))&amp;""),""),IF(IFERROR(TRIM(INDEX($A205:$T205,MATCH(Lists!$F$8,$A$1:$T$1,0))&amp;""),"")&lt;&gt;"",IFERROR(TRIM(INDEX($A205:$T205,MATCH(Lists!$F$8,$A$1:$T$1,0))&amp;""),""),"(no item given)"))))</f>
        <v/>
      </c>
      <c r="AC205" s="21">
        <f>IF(Y205="","",IF(ISNUMBER(SEARCH("support",IFERROR(TRIM(INDEX($A205:$T205,MATCH(Lists!$F$9,$A$1:$T$1,0))&amp;""),""))),"Support",IF(ISNUMBER(SEARCH("oppose",IFERROR(TRIM(INDEX($A205:$T205,MATCH(Lists!$F$9,$A$1:$T$1,0))&amp;""),""))),"Oppose",IF(IFERROR(TRIM(INDEX($A205:$T205,MATCH(Lists!$F$9,$A$1:$T$1,0))&amp;""),"")="","No position","Neither"))))</f>
        <v/>
      </c>
      <c r="AD205" s="21">
        <f>IF(Y205="","",IF(ISNUMBER(SEARCH("in person",IFERROR(TRIM(INDEX($A205:$T205,MATCH(Lists!$F$13,$A$1:$T$1,0))&amp;""),""))),"In person",IF(ISNUMBER(SEARCH("online",IFERROR(TRIM(INDEX($A205:$T205,MATCH(Lists!$F$13,$A$1:$T$1,0))&amp;""),""))),"Online","Written only")))</f>
        <v/>
      </c>
      <c r="AE205" s="21">
        <f>IF(Y205="","",IFERROR(TRIM(INDEX($A205:$T205,MATCH(Lists!$F$11,$A$1:$T$1,0))&amp;""),""))</f>
        <v/>
      </c>
      <c r="AF205" s="21">
        <f>IF(Y205="","",IFERROR(TRIM(INDEX($A205:$T205,MATCH(Lists!$F$12,$A$1:$T$1,0))&amp;""),""))</f>
        <v/>
      </c>
      <c r="AG205" s="21">
        <f>IF(Y205="","",IFERROR(TRIM(INDEX($A205:$T205,MATCH(Lists!$F$14,$A$1:$T$1,0))&amp;""),""))</f>
        <v/>
      </c>
      <c r="AH205" s="21">
        <f>IF(Y205="","",LEFT(IFERROR(TRIM(INDEX($A205:$T205,MATCH(Lists!$F$10,$A$1:$T$1,0))&amp;""),""),80))</f>
        <v/>
      </c>
      <c r="AI205" s="21">
        <f>IF(Y205="",0,IF(OR(Tally!$B$5="",AA205=Tally!$B$5),1,0))</f>
        <v/>
      </c>
      <c r="AJ205" s="21">
        <f>IF(AI205=1,IF(COUNTIFS($AB$2:AB205,AB205,$AI$2:AI205,1)=1,1,0),0)</f>
        <v/>
      </c>
      <c r="AK205" s="21">
        <f>IF(AJ205=1,SUM($AJ$2:AJ205),"")</f>
        <v/>
      </c>
      <c r="AL205" s="21">
        <f>IF(AND(AI205=1,OR(AD205="In person",AD205="Online"),OR(Speakers!$B$5="",AB205=Speakers!$B$5)),N(Z205)+ROW()/1000000000,"")</f>
        <v/>
      </c>
    </row>
    <row r="206">
      <c r="U206" s="19" t="n"/>
      <c r="V206" s="24" t="n"/>
      <c r="W206" s="24" t="n"/>
      <c r="X206" s="19" t="n"/>
      <c r="Y206" s="21">
        <f>IFERROR(TRIM(INDEX($A206:$T206,MATCH(Lists!$F$2,$A$1:$T$1,0))&amp;""),"")</f>
        <v/>
      </c>
      <c r="Z206" s="22">
        <f>IF(Y206="","",IFERROR(IF(ISNUMBER(INDEX($A206:$T206,MATCH(Lists!$F$3,$A$1:$T$1,0))),INDEX($A206:$T206,MATCH(Lists!$F$3,$A$1:$T$1,0)),DATE(VALUE(LEFT(IFERROR(TRIM(INDEX($A206:$T206,MATCH(Lists!$F$3,$A$1:$T$1,0))&amp;""),""),4)),VALUE(MID(IFERROR(TRIM(INDEX($A206:$T206,MATCH(Lists!$F$3,$A$1:$T$1,0))&amp;""),""),6,2)),VALUE(MID(IFERROR(TRIM(INDEX($A206:$T206,MATCH(Lists!$F$3,$A$1:$T$1,0))&amp;""),""),9,2)))+TIME(VALUE(MID(IFERROR(TRIM(INDEX($A206:$T206,MATCH(Lists!$F$3,$A$1:$T$1,0))&amp;""),""),12,2)),VALUE(MID(IFERROR(TRIM(INDEX($A206:$T206,MATCH(Lists!$F$3,$A$1:$T$1,0))&amp;""),""),15,2)),VALUE(MID(IFERROR(TRIM(INDEX($A206:$T206,MATCH(Lists!$F$3,$A$1:$T$1,0))&amp;""),""),18,2)))),""))</f>
        <v/>
      </c>
      <c r="AA206" s="23">
        <f>IF(Y206="","",IF(ISNUMBER(IFERROR(IF(TRIM(INDEX($A206:$T206,MATCH(Lists!$F$4,$A$1:$T$1,0))&amp;"")="","",IF(ISNUMBER(INDEX($A206:$T206,MATCH(Lists!$F$4,$A$1:$T$1,0))),INT(INDEX($A206:$T206,MATCH(Lists!$F$4,$A$1:$T$1,0))),DATE(VALUE(LEFT(INDEX($A206:$T206,MATCH(Lists!$F$4,$A$1:$T$1,0)),4)),VALUE(MID(INDEX($A206:$T206,MATCH(Lists!$F$4,$A$1:$T$1,0)),6,2)),VALUE(MID(INDEX($A206:$T206,MATCH(Lists!$F$4,$A$1:$T$1,0)),9,2))))),"")),IFERROR(IF(TRIM(INDEX($A206:$T206,MATCH(Lists!$F$4,$A$1:$T$1,0))&amp;"")="","",IF(ISNUMBER(INDEX($A206:$T206,MATCH(Lists!$F$4,$A$1:$T$1,0))),INT(INDEX($A206:$T206,MATCH(Lists!$F$4,$A$1:$T$1,0))),DATE(VALUE(LEFT(INDEX($A206:$T206,MATCH(Lists!$F$4,$A$1:$T$1,0)),4)),VALUE(MID(INDEX($A206:$T206,MATCH(Lists!$F$4,$A$1:$T$1,0)),6,2)),VALUE(MID(INDEX($A206:$T206,MATCH(Lists!$F$4,$A$1:$T$1,0)),9,2))))),""),IFERROR(IF(TRIM(INDEX($A206:$T206,MATCH(Lists!$F$5,$A$1:$T$1,0))&amp;"")="","",IF(ISNUMBER(INDEX($A206:$T206,MATCH(Lists!$F$5,$A$1:$T$1,0))),INT(INDEX($A206:$T206,MATCH(Lists!$F$5,$A$1:$T$1,0))),DATE(VALUE(LEFT(INDEX($A206:$T206,MATCH(Lists!$F$5,$A$1:$T$1,0)),4)),VALUE(MID(INDEX($A206:$T206,MATCH(Lists!$F$5,$A$1:$T$1,0)),6,2)),VALUE(MID(INDEX($A206:$T206,MATCH(Lists!$F$5,$A$1:$T$1,0)),9,2))))),"")))</f>
        <v/>
      </c>
      <c r="AB206" s="21">
        <f>IF(Y206="","",IF(LEFT(IFERROR(TRIM(INDEX($A206:$T206,MATCH(Lists!$F$6,$A$1:$T$1,0))&amp;""),""),2)="No","General comment",IF(IFERROR(TRIM(INDEX($A206:$T206,MATCH(Lists!$F$7,$A$1:$T$1,0))&amp;""),"")&lt;&gt;"",IFERROR(TRIM(INDEX($A206:$T206,MATCH(Lists!$F$7,$A$1:$T$1,0))&amp;""),""),IF(IFERROR(TRIM(INDEX($A206:$T206,MATCH(Lists!$F$8,$A$1:$T$1,0))&amp;""),"")&lt;&gt;"",IFERROR(TRIM(INDEX($A206:$T206,MATCH(Lists!$F$8,$A$1:$T$1,0))&amp;""),""),"(no item given)"))))</f>
        <v/>
      </c>
      <c r="AC206" s="21">
        <f>IF(Y206="","",IF(ISNUMBER(SEARCH("support",IFERROR(TRIM(INDEX($A206:$T206,MATCH(Lists!$F$9,$A$1:$T$1,0))&amp;""),""))),"Support",IF(ISNUMBER(SEARCH("oppose",IFERROR(TRIM(INDEX($A206:$T206,MATCH(Lists!$F$9,$A$1:$T$1,0))&amp;""),""))),"Oppose",IF(IFERROR(TRIM(INDEX($A206:$T206,MATCH(Lists!$F$9,$A$1:$T$1,0))&amp;""),"")="","No position","Neither"))))</f>
        <v/>
      </c>
      <c r="AD206" s="21">
        <f>IF(Y206="","",IF(ISNUMBER(SEARCH("in person",IFERROR(TRIM(INDEX($A206:$T206,MATCH(Lists!$F$13,$A$1:$T$1,0))&amp;""),""))),"In person",IF(ISNUMBER(SEARCH("online",IFERROR(TRIM(INDEX($A206:$T206,MATCH(Lists!$F$13,$A$1:$T$1,0))&amp;""),""))),"Online","Written only")))</f>
        <v/>
      </c>
      <c r="AE206" s="21">
        <f>IF(Y206="","",IFERROR(TRIM(INDEX($A206:$T206,MATCH(Lists!$F$11,$A$1:$T$1,0))&amp;""),""))</f>
        <v/>
      </c>
      <c r="AF206" s="21">
        <f>IF(Y206="","",IFERROR(TRIM(INDEX($A206:$T206,MATCH(Lists!$F$12,$A$1:$T$1,0))&amp;""),""))</f>
        <v/>
      </c>
      <c r="AG206" s="21">
        <f>IF(Y206="","",IFERROR(TRIM(INDEX($A206:$T206,MATCH(Lists!$F$14,$A$1:$T$1,0))&amp;""),""))</f>
        <v/>
      </c>
      <c r="AH206" s="21">
        <f>IF(Y206="","",LEFT(IFERROR(TRIM(INDEX($A206:$T206,MATCH(Lists!$F$10,$A$1:$T$1,0))&amp;""),""),80))</f>
        <v/>
      </c>
      <c r="AI206" s="21">
        <f>IF(Y206="",0,IF(OR(Tally!$B$5="",AA206=Tally!$B$5),1,0))</f>
        <v/>
      </c>
      <c r="AJ206" s="21">
        <f>IF(AI206=1,IF(COUNTIFS($AB$2:AB206,AB206,$AI$2:AI206,1)=1,1,0),0)</f>
        <v/>
      </c>
      <c r="AK206" s="21">
        <f>IF(AJ206=1,SUM($AJ$2:AJ206),"")</f>
        <v/>
      </c>
      <c r="AL206" s="21">
        <f>IF(AND(AI206=1,OR(AD206="In person",AD206="Online"),OR(Speakers!$B$5="",AB206=Speakers!$B$5)),N(Z206)+ROW()/1000000000,"")</f>
        <v/>
      </c>
    </row>
    <row r="207">
      <c r="U207" s="19" t="n"/>
      <c r="V207" s="24" t="n"/>
      <c r="W207" s="24" t="n"/>
      <c r="X207" s="19" t="n"/>
      <c r="Y207" s="21">
        <f>IFERROR(TRIM(INDEX($A207:$T207,MATCH(Lists!$F$2,$A$1:$T$1,0))&amp;""),"")</f>
        <v/>
      </c>
      <c r="Z207" s="22">
        <f>IF(Y207="","",IFERROR(IF(ISNUMBER(INDEX($A207:$T207,MATCH(Lists!$F$3,$A$1:$T$1,0))),INDEX($A207:$T207,MATCH(Lists!$F$3,$A$1:$T$1,0)),DATE(VALUE(LEFT(IFERROR(TRIM(INDEX($A207:$T207,MATCH(Lists!$F$3,$A$1:$T$1,0))&amp;""),""),4)),VALUE(MID(IFERROR(TRIM(INDEX($A207:$T207,MATCH(Lists!$F$3,$A$1:$T$1,0))&amp;""),""),6,2)),VALUE(MID(IFERROR(TRIM(INDEX($A207:$T207,MATCH(Lists!$F$3,$A$1:$T$1,0))&amp;""),""),9,2)))+TIME(VALUE(MID(IFERROR(TRIM(INDEX($A207:$T207,MATCH(Lists!$F$3,$A$1:$T$1,0))&amp;""),""),12,2)),VALUE(MID(IFERROR(TRIM(INDEX($A207:$T207,MATCH(Lists!$F$3,$A$1:$T$1,0))&amp;""),""),15,2)),VALUE(MID(IFERROR(TRIM(INDEX($A207:$T207,MATCH(Lists!$F$3,$A$1:$T$1,0))&amp;""),""),18,2)))),""))</f>
        <v/>
      </c>
      <c r="AA207" s="23">
        <f>IF(Y207="","",IF(ISNUMBER(IFERROR(IF(TRIM(INDEX($A207:$T207,MATCH(Lists!$F$4,$A$1:$T$1,0))&amp;"")="","",IF(ISNUMBER(INDEX($A207:$T207,MATCH(Lists!$F$4,$A$1:$T$1,0))),INT(INDEX($A207:$T207,MATCH(Lists!$F$4,$A$1:$T$1,0))),DATE(VALUE(LEFT(INDEX($A207:$T207,MATCH(Lists!$F$4,$A$1:$T$1,0)),4)),VALUE(MID(INDEX($A207:$T207,MATCH(Lists!$F$4,$A$1:$T$1,0)),6,2)),VALUE(MID(INDEX($A207:$T207,MATCH(Lists!$F$4,$A$1:$T$1,0)),9,2))))),"")),IFERROR(IF(TRIM(INDEX($A207:$T207,MATCH(Lists!$F$4,$A$1:$T$1,0))&amp;"")="","",IF(ISNUMBER(INDEX($A207:$T207,MATCH(Lists!$F$4,$A$1:$T$1,0))),INT(INDEX($A207:$T207,MATCH(Lists!$F$4,$A$1:$T$1,0))),DATE(VALUE(LEFT(INDEX($A207:$T207,MATCH(Lists!$F$4,$A$1:$T$1,0)),4)),VALUE(MID(INDEX($A207:$T207,MATCH(Lists!$F$4,$A$1:$T$1,0)),6,2)),VALUE(MID(INDEX($A207:$T207,MATCH(Lists!$F$4,$A$1:$T$1,0)),9,2))))),""),IFERROR(IF(TRIM(INDEX($A207:$T207,MATCH(Lists!$F$5,$A$1:$T$1,0))&amp;"")="","",IF(ISNUMBER(INDEX($A207:$T207,MATCH(Lists!$F$5,$A$1:$T$1,0))),INT(INDEX($A207:$T207,MATCH(Lists!$F$5,$A$1:$T$1,0))),DATE(VALUE(LEFT(INDEX($A207:$T207,MATCH(Lists!$F$5,$A$1:$T$1,0)),4)),VALUE(MID(INDEX($A207:$T207,MATCH(Lists!$F$5,$A$1:$T$1,0)),6,2)),VALUE(MID(INDEX($A207:$T207,MATCH(Lists!$F$5,$A$1:$T$1,0)),9,2))))),"")))</f>
        <v/>
      </c>
      <c r="AB207" s="21">
        <f>IF(Y207="","",IF(LEFT(IFERROR(TRIM(INDEX($A207:$T207,MATCH(Lists!$F$6,$A$1:$T$1,0))&amp;""),""),2)="No","General comment",IF(IFERROR(TRIM(INDEX($A207:$T207,MATCH(Lists!$F$7,$A$1:$T$1,0))&amp;""),"")&lt;&gt;"",IFERROR(TRIM(INDEX($A207:$T207,MATCH(Lists!$F$7,$A$1:$T$1,0))&amp;""),""),IF(IFERROR(TRIM(INDEX($A207:$T207,MATCH(Lists!$F$8,$A$1:$T$1,0))&amp;""),"")&lt;&gt;"",IFERROR(TRIM(INDEX($A207:$T207,MATCH(Lists!$F$8,$A$1:$T$1,0))&amp;""),""),"(no item given)"))))</f>
        <v/>
      </c>
      <c r="AC207" s="21">
        <f>IF(Y207="","",IF(ISNUMBER(SEARCH("support",IFERROR(TRIM(INDEX($A207:$T207,MATCH(Lists!$F$9,$A$1:$T$1,0))&amp;""),""))),"Support",IF(ISNUMBER(SEARCH("oppose",IFERROR(TRIM(INDEX($A207:$T207,MATCH(Lists!$F$9,$A$1:$T$1,0))&amp;""),""))),"Oppose",IF(IFERROR(TRIM(INDEX($A207:$T207,MATCH(Lists!$F$9,$A$1:$T$1,0))&amp;""),"")="","No position","Neither"))))</f>
        <v/>
      </c>
      <c r="AD207" s="21">
        <f>IF(Y207="","",IF(ISNUMBER(SEARCH("in person",IFERROR(TRIM(INDEX($A207:$T207,MATCH(Lists!$F$13,$A$1:$T$1,0))&amp;""),""))),"In person",IF(ISNUMBER(SEARCH("online",IFERROR(TRIM(INDEX($A207:$T207,MATCH(Lists!$F$13,$A$1:$T$1,0))&amp;""),""))),"Online","Written only")))</f>
        <v/>
      </c>
      <c r="AE207" s="21">
        <f>IF(Y207="","",IFERROR(TRIM(INDEX($A207:$T207,MATCH(Lists!$F$11,$A$1:$T$1,0))&amp;""),""))</f>
        <v/>
      </c>
      <c r="AF207" s="21">
        <f>IF(Y207="","",IFERROR(TRIM(INDEX($A207:$T207,MATCH(Lists!$F$12,$A$1:$T$1,0))&amp;""),""))</f>
        <v/>
      </c>
      <c r="AG207" s="21">
        <f>IF(Y207="","",IFERROR(TRIM(INDEX($A207:$T207,MATCH(Lists!$F$14,$A$1:$T$1,0))&amp;""),""))</f>
        <v/>
      </c>
      <c r="AH207" s="21">
        <f>IF(Y207="","",LEFT(IFERROR(TRIM(INDEX($A207:$T207,MATCH(Lists!$F$10,$A$1:$T$1,0))&amp;""),""),80))</f>
        <v/>
      </c>
      <c r="AI207" s="21">
        <f>IF(Y207="",0,IF(OR(Tally!$B$5="",AA207=Tally!$B$5),1,0))</f>
        <v/>
      </c>
      <c r="AJ207" s="21">
        <f>IF(AI207=1,IF(COUNTIFS($AB$2:AB207,AB207,$AI$2:AI207,1)=1,1,0),0)</f>
        <v/>
      </c>
      <c r="AK207" s="21">
        <f>IF(AJ207=1,SUM($AJ$2:AJ207),"")</f>
        <v/>
      </c>
      <c r="AL207" s="21">
        <f>IF(AND(AI207=1,OR(AD207="In person",AD207="Online"),OR(Speakers!$B$5="",AB207=Speakers!$B$5)),N(Z207)+ROW()/1000000000,"")</f>
        <v/>
      </c>
    </row>
    <row r="208">
      <c r="U208" s="19" t="n"/>
      <c r="V208" s="24" t="n"/>
      <c r="W208" s="24" t="n"/>
      <c r="X208" s="19" t="n"/>
      <c r="Y208" s="21">
        <f>IFERROR(TRIM(INDEX($A208:$T208,MATCH(Lists!$F$2,$A$1:$T$1,0))&amp;""),"")</f>
        <v/>
      </c>
      <c r="Z208" s="22">
        <f>IF(Y208="","",IFERROR(IF(ISNUMBER(INDEX($A208:$T208,MATCH(Lists!$F$3,$A$1:$T$1,0))),INDEX($A208:$T208,MATCH(Lists!$F$3,$A$1:$T$1,0)),DATE(VALUE(LEFT(IFERROR(TRIM(INDEX($A208:$T208,MATCH(Lists!$F$3,$A$1:$T$1,0))&amp;""),""),4)),VALUE(MID(IFERROR(TRIM(INDEX($A208:$T208,MATCH(Lists!$F$3,$A$1:$T$1,0))&amp;""),""),6,2)),VALUE(MID(IFERROR(TRIM(INDEX($A208:$T208,MATCH(Lists!$F$3,$A$1:$T$1,0))&amp;""),""),9,2)))+TIME(VALUE(MID(IFERROR(TRIM(INDEX($A208:$T208,MATCH(Lists!$F$3,$A$1:$T$1,0))&amp;""),""),12,2)),VALUE(MID(IFERROR(TRIM(INDEX($A208:$T208,MATCH(Lists!$F$3,$A$1:$T$1,0))&amp;""),""),15,2)),VALUE(MID(IFERROR(TRIM(INDEX($A208:$T208,MATCH(Lists!$F$3,$A$1:$T$1,0))&amp;""),""),18,2)))),""))</f>
        <v/>
      </c>
      <c r="AA208" s="23">
        <f>IF(Y208="","",IF(ISNUMBER(IFERROR(IF(TRIM(INDEX($A208:$T208,MATCH(Lists!$F$4,$A$1:$T$1,0))&amp;"")="","",IF(ISNUMBER(INDEX($A208:$T208,MATCH(Lists!$F$4,$A$1:$T$1,0))),INT(INDEX($A208:$T208,MATCH(Lists!$F$4,$A$1:$T$1,0))),DATE(VALUE(LEFT(INDEX($A208:$T208,MATCH(Lists!$F$4,$A$1:$T$1,0)),4)),VALUE(MID(INDEX($A208:$T208,MATCH(Lists!$F$4,$A$1:$T$1,0)),6,2)),VALUE(MID(INDEX($A208:$T208,MATCH(Lists!$F$4,$A$1:$T$1,0)),9,2))))),"")),IFERROR(IF(TRIM(INDEX($A208:$T208,MATCH(Lists!$F$4,$A$1:$T$1,0))&amp;"")="","",IF(ISNUMBER(INDEX($A208:$T208,MATCH(Lists!$F$4,$A$1:$T$1,0))),INT(INDEX($A208:$T208,MATCH(Lists!$F$4,$A$1:$T$1,0))),DATE(VALUE(LEFT(INDEX($A208:$T208,MATCH(Lists!$F$4,$A$1:$T$1,0)),4)),VALUE(MID(INDEX($A208:$T208,MATCH(Lists!$F$4,$A$1:$T$1,0)),6,2)),VALUE(MID(INDEX($A208:$T208,MATCH(Lists!$F$4,$A$1:$T$1,0)),9,2))))),""),IFERROR(IF(TRIM(INDEX($A208:$T208,MATCH(Lists!$F$5,$A$1:$T$1,0))&amp;"")="","",IF(ISNUMBER(INDEX($A208:$T208,MATCH(Lists!$F$5,$A$1:$T$1,0))),INT(INDEX($A208:$T208,MATCH(Lists!$F$5,$A$1:$T$1,0))),DATE(VALUE(LEFT(INDEX($A208:$T208,MATCH(Lists!$F$5,$A$1:$T$1,0)),4)),VALUE(MID(INDEX($A208:$T208,MATCH(Lists!$F$5,$A$1:$T$1,0)),6,2)),VALUE(MID(INDEX($A208:$T208,MATCH(Lists!$F$5,$A$1:$T$1,0)),9,2))))),"")))</f>
        <v/>
      </c>
      <c r="AB208" s="21">
        <f>IF(Y208="","",IF(LEFT(IFERROR(TRIM(INDEX($A208:$T208,MATCH(Lists!$F$6,$A$1:$T$1,0))&amp;""),""),2)="No","General comment",IF(IFERROR(TRIM(INDEX($A208:$T208,MATCH(Lists!$F$7,$A$1:$T$1,0))&amp;""),"")&lt;&gt;"",IFERROR(TRIM(INDEX($A208:$T208,MATCH(Lists!$F$7,$A$1:$T$1,0))&amp;""),""),IF(IFERROR(TRIM(INDEX($A208:$T208,MATCH(Lists!$F$8,$A$1:$T$1,0))&amp;""),"")&lt;&gt;"",IFERROR(TRIM(INDEX($A208:$T208,MATCH(Lists!$F$8,$A$1:$T$1,0))&amp;""),""),"(no item given)"))))</f>
        <v/>
      </c>
      <c r="AC208" s="21">
        <f>IF(Y208="","",IF(ISNUMBER(SEARCH("support",IFERROR(TRIM(INDEX($A208:$T208,MATCH(Lists!$F$9,$A$1:$T$1,0))&amp;""),""))),"Support",IF(ISNUMBER(SEARCH("oppose",IFERROR(TRIM(INDEX($A208:$T208,MATCH(Lists!$F$9,$A$1:$T$1,0))&amp;""),""))),"Oppose",IF(IFERROR(TRIM(INDEX($A208:$T208,MATCH(Lists!$F$9,$A$1:$T$1,0))&amp;""),"")="","No position","Neither"))))</f>
        <v/>
      </c>
      <c r="AD208" s="21">
        <f>IF(Y208="","",IF(ISNUMBER(SEARCH("in person",IFERROR(TRIM(INDEX($A208:$T208,MATCH(Lists!$F$13,$A$1:$T$1,0))&amp;""),""))),"In person",IF(ISNUMBER(SEARCH("online",IFERROR(TRIM(INDEX($A208:$T208,MATCH(Lists!$F$13,$A$1:$T$1,0))&amp;""),""))),"Online","Written only")))</f>
        <v/>
      </c>
      <c r="AE208" s="21">
        <f>IF(Y208="","",IFERROR(TRIM(INDEX($A208:$T208,MATCH(Lists!$F$11,$A$1:$T$1,0))&amp;""),""))</f>
        <v/>
      </c>
      <c r="AF208" s="21">
        <f>IF(Y208="","",IFERROR(TRIM(INDEX($A208:$T208,MATCH(Lists!$F$12,$A$1:$T$1,0))&amp;""),""))</f>
        <v/>
      </c>
      <c r="AG208" s="21">
        <f>IF(Y208="","",IFERROR(TRIM(INDEX($A208:$T208,MATCH(Lists!$F$14,$A$1:$T$1,0))&amp;""),""))</f>
        <v/>
      </c>
      <c r="AH208" s="21">
        <f>IF(Y208="","",LEFT(IFERROR(TRIM(INDEX($A208:$T208,MATCH(Lists!$F$10,$A$1:$T$1,0))&amp;""),""),80))</f>
        <v/>
      </c>
      <c r="AI208" s="21">
        <f>IF(Y208="",0,IF(OR(Tally!$B$5="",AA208=Tally!$B$5),1,0))</f>
        <v/>
      </c>
      <c r="AJ208" s="21">
        <f>IF(AI208=1,IF(COUNTIFS($AB$2:AB208,AB208,$AI$2:AI208,1)=1,1,0),0)</f>
        <v/>
      </c>
      <c r="AK208" s="21">
        <f>IF(AJ208=1,SUM($AJ$2:AJ208),"")</f>
        <v/>
      </c>
      <c r="AL208" s="21">
        <f>IF(AND(AI208=1,OR(AD208="In person",AD208="Online"),OR(Speakers!$B$5="",AB208=Speakers!$B$5)),N(Z208)+ROW()/1000000000,"")</f>
        <v/>
      </c>
    </row>
    <row r="209">
      <c r="U209" s="19" t="n"/>
      <c r="V209" s="24" t="n"/>
      <c r="W209" s="24" t="n"/>
      <c r="X209" s="19" t="n"/>
      <c r="Y209" s="21">
        <f>IFERROR(TRIM(INDEX($A209:$T209,MATCH(Lists!$F$2,$A$1:$T$1,0))&amp;""),"")</f>
        <v/>
      </c>
      <c r="Z209" s="22">
        <f>IF(Y209="","",IFERROR(IF(ISNUMBER(INDEX($A209:$T209,MATCH(Lists!$F$3,$A$1:$T$1,0))),INDEX($A209:$T209,MATCH(Lists!$F$3,$A$1:$T$1,0)),DATE(VALUE(LEFT(IFERROR(TRIM(INDEX($A209:$T209,MATCH(Lists!$F$3,$A$1:$T$1,0))&amp;""),""),4)),VALUE(MID(IFERROR(TRIM(INDEX($A209:$T209,MATCH(Lists!$F$3,$A$1:$T$1,0))&amp;""),""),6,2)),VALUE(MID(IFERROR(TRIM(INDEX($A209:$T209,MATCH(Lists!$F$3,$A$1:$T$1,0))&amp;""),""),9,2)))+TIME(VALUE(MID(IFERROR(TRIM(INDEX($A209:$T209,MATCH(Lists!$F$3,$A$1:$T$1,0))&amp;""),""),12,2)),VALUE(MID(IFERROR(TRIM(INDEX($A209:$T209,MATCH(Lists!$F$3,$A$1:$T$1,0))&amp;""),""),15,2)),VALUE(MID(IFERROR(TRIM(INDEX($A209:$T209,MATCH(Lists!$F$3,$A$1:$T$1,0))&amp;""),""),18,2)))),""))</f>
        <v/>
      </c>
      <c r="AA209" s="23">
        <f>IF(Y209="","",IF(ISNUMBER(IFERROR(IF(TRIM(INDEX($A209:$T209,MATCH(Lists!$F$4,$A$1:$T$1,0))&amp;"")="","",IF(ISNUMBER(INDEX($A209:$T209,MATCH(Lists!$F$4,$A$1:$T$1,0))),INT(INDEX($A209:$T209,MATCH(Lists!$F$4,$A$1:$T$1,0))),DATE(VALUE(LEFT(INDEX($A209:$T209,MATCH(Lists!$F$4,$A$1:$T$1,0)),4)),VALUE(MID(INDEX($A209:$T209,MATCH(Lists!$F$4,$A$1:$T$1,0)),6,2)),VALUE(MID(INDEX($A209:$T209,MATCH(Lists!$F$4,$A$1:$T$1,0)),9,2))))),"")),IFERROR(IF(TRIM(INDEX($A209:$T209,MATCH(Lists!$F$4,$A$1:$T$1,0))&amp;"")="","",IF(ISNUMBER(INDEX($A209:$T209,MATCH(Lists!$F$4,$A$1:$T$1,0))),INT(INDEX($A209:$T209,MATCH(Lists!$F$4,$A$1:$T$1,0))),DATE(VALUE(LEFT(INDEX($A209:$T209,MATCH(Lists!$F$4,$A$1:$T$1,0)),4)),VALUE(MID(INDEX($A209:$T209,MATCH(Lists!$F$4,$A$1:$T$1,0)),6,2)),VALUE(MID(INDEX($A209:$T209,MATCH(Lists!$F$4,$A$1:$T$1,0)),9,2))))),""),IFERROR(IF(TRIM(INDEX($A209:$T209,MATCH(Lists!$F$5,$A$1:$T$1,0))&amp;"")="","",IF(ISNUMBER(INDEX($A209:$T209,MATCH(Lists!$F$5,$A$1:$T$1,0))),INT(INDEX($A209:$T209,MATCH(Lists!$F$5,$A$1:$T$1,0))),DATE(VALUE(LEFT(INDEX($A209:$T209,MATCH(Lists!$F$5,$A$1:$T$1,0)),4)),VALUE(MID(INDEX($A209:$T209,MATCH(Lists!$F$5,$A$1:$T$1,0)),6,2)),VALUE(MID(INDEX($A209:$T209,MATCH(Lists!$F$5,$A$1:$T$1,0)),9,2))))),"")))</f>
        <v/>
      </c>
      <c r="AB209" s="21">
        <f>IF(Y209="","",IF(LEFT(IFERROR(TRIM(INDEX($A209:$T209,MATCH(Lists!$F$6,$A$1:$T$1,0))&amp;""),""),2)="No","General comment",IF(IFERROR(TRIM(INDEX($A209:$T209,MATCH(Lists!$F$7,$A$1:$T$1,0))&amp;""),"")&lt;&gt;"",IFERROR(TRIM(INDEX($A209:$T209,MATCH(Lists!$F$7,$A$1:$T$1,0))&amp;""),""),IF(IFERROR(TRIM(INDEX($A209:$T209,MATCH(Lists!$F$8,$A$1:$T$1,0))&amp;""),"")&lt;&gt;"",IFERROR(TRIM(INDEX($A209:$T209,MATCH(Lists!$F$8,$A$1:$T$1,0))&amp;""),""),"(no item given)"))))</f>
        <v/>
      </c>
      <c r="AC209" s="21">
        <f>IF(Y209="","",IF(ISNUMBER(SEARCH("support",IFERROR(TRIM(INDEX($A209:$T209,MATCH(Lists!$F$9,$A$1:$T$1,0))&amp;""),""))),"Support",IF(ISNUMBER(SEARCH("oppose",IFERROR(TRIM(INDEX($A209:$T209,MATCH(Lists!$F$9,$A$1:$T$1,0))&amp;""),""))),"Oppose",IF(IFERROR(TRIM(INDEX($A209:$T209,MATCH(Lists!$F$9,$A$1:$T$1,0))&amp;""),"")="","No position","Neither"))))</f>
        <v/>
      </c>
      <c r="AD209" s="21">
        <f>IF(Y209="","",IF(ISNUMBER(SEARCH("in person",IFERROR(TRIM(INDEX($A209:$T209,MATCH(Lists!$F$13,$A$1:$T$1,0))&amp;""),""))),"In person",IF(ISNUMBER(SEARCH("online",IFERROR(TRIM(INDEX($A209:$T209,MATCH(Lists!$F$13,$A$1:$T$1,0))&amp;""),""))),"Online","Written only")))</f>
        <v/>
      </c>
      <c r="AE209" s="21">
        <f>IF(Y209="","",IFERROR(TRIM(INDEX($A209:$T209,MATCH(Lists!$F$11,$A$1:$T$1,0))&amp;""),""))</f>
        <v/>
      </c>
      <c r="AF209" s="21">
        <f>IF(Y209="","",IFERROR(TRIM(INDEX($A209:$T209,MATCH(Lists!$F$12,$A$1:$T$1,0))&amp;""),""))</f>
        <v/>
      </c>
      <c r="AG209" s="21">
        <f>IF(Y209="","",IFERROR(TRIM(INDEX($A209:$T209,MATCH(Lists!$F$14,$A$1:$T$1,0))&amp;""),""))</f>
        <v/>
      </c>
      <c r="AH209" s="21">
        <f>IF(Y209="","",LEFT(IFERROR(TRIM(INDEX($A209:$T209,MATCH(Lists!$F$10,$A$1:$T$1,0))&amp;""),""),80))</f>
        <v/>
      </c>
      <c r="AI209" s="21">
        <f>IF(Y209="",0,IF(OR(Tally!$B$5="",AA209=Tally!$B$5),1,0))</f>
        <v/>
      </c>
      <c r="AJ209" s="21">
        <f>IF(AI209=1,IF(COUNTIFS($AB$2:AB209,AB209,$AI$2:AI209,1)=1,1,0),0)</f>
        <v/>
      </c>
      <c r="AK209" s="21">
        <f>IF(AJ209=1,SUM($AJ$2:AJ209),"")</f>
        <v/>
      </c>
      <c r="AL209" s="21">
        <f>IF(AND(AI209=1,OR(AD209="In person",AD209="Online"),OR(Speakers!$B$5="",AB209=Speakers!$B$5)),N(Z209)+ROW()/1000000000,"")</f>
        <v/>
      </c>
    </row>
    <row r="210">
      <c r="U210" s="19" t="n"/>
      <c r="V210" s="24" t="n"/>
      <c r="W210" s="24" t="n"/>
      <c r="X210" s="19" t="n"/>
      <c r="Y210" s="21">
        <f>IFERROR(TRIM(INDEX($A210:$T210,MATCH(Lists!$F$2,$A$1:$T$1,0))&amp;""),"")</f>
        <v/>
      </c>
      <c r="Z210" s="22">
        <f>IF(Y210="","",IFERROR(IF(ISNUMBER(INDEX($A210:$T210,MATCH(Lists!$F$3,$A$1:$T$1,0))),INDEX($A210:$T210,MATCH(Lists!$F$3,$A$1:$T$1,0)),DATE(VALUE(LEFT(IFERROR(TRIM(INDEX($A210:$T210,MATCH(Lists!$F$3,$A$1:$T$1,0))&amp;""),""),4)),VALUE(MID(IFERROR(TRIM(INDEX($A210:$T210,MATCH(Lists!$F$3,$A$1:$T$1,0))&amp;""),""),6,2)),VALUE(MID(IFERROR(TRIM(INDEX($A210:$T210,MATCH(Lists!$F$3,$A$1:$T$1,0))&amp;""),""),9,2)))+TIME(VALUE(MID(IFERROR(TRIM(INDEX($A210:$T210,MATCH(Lists!$F$3,$A$1:$T$1,0))&amp;""),""),12,2)),VALUE(MID(IFERROR(TRIM(INDEX($A210:$T210,MATCH(Lists!$F$3,$A$1:$T$1,0))&amp;""),""),15,2)),VALUE(MID(IFERROR(TRIM(INDEX($A210:$T210,MATCH(Lists!$F$3,$A$1:$T$1,0))&amp;""),""),18,2)))),""))</f>
        <v/>
      </c>
      <c r="AA210" s="23">
        <f>IF(Y210="","",IF(ISNUMBER(IFERROR(IF(TRIM(INDEX($A210:$T210,MATCH(Lists!$F$4,$A$1:$T$1,0))&amp;"")="","",IF(ISNUMBER(INDEX($A210:$T210,MATCH(Lists!$F$4,$A$1:$T$1,0))),INT(INDEX($A210:$T210,MATCH(Lists!$F$4,$A$1:$T$1,0))),DATE(VALUE(LEFT(INDEX($A210:$T210,MATCH(Lists!$F$4,$A$1:$T$1,0)),4)),VALUE(MID(INDEX($A210:$T210,MATCH(Lists!$F$4,$A$1:$T$1,0)),6,2)),VALUE(MID(INDEX($A210:$T210,MATCH(Lists!$F$4,$A$1:$T$1,0)),9,2))))),"")),IFERROR(IF(TRIM(INDEX($A210:$T210,MATCH(Lists!$F$4,$A$1:$T$1,0))&amp;"")="","",IF(ISNUMBER(INDEX($A210:$T210,MATCH(Lists!$F$4,$A$1:$T$1,0))),INT(INDEX($A210:$T210,MATCH(Lists!$F$4,$A$1:$T$1,0))),DATE(VALUE(LEFT(INDEX($A210:$T210,MATCH(Lists!$F$4,$A$1:$T$1,0)),4)),VALUE(MID(INDEX($A210:$T210,MATCH(Lists!$F$4,$A$1:$T$1,0)),6,2)),VALUE(MID(INDEX($A210:$T210,MATCH(Lists!$F$4,$A$1:$T$1,0)),9,2))))),""),IFERROR(IF(TRIM(INDEX($A210:$T210,MATCH(Lists!$F$5,$A$1:$T$1,0))&amp;"")="","",IF(ISNUMBER(INDEX($A210:$T210,MATCH(Lists!$F$5,$A$1:$T$1,0))),INT(INDEX($A210:$T210,MATCH(Lists!$F$5,$A$1:$T$1,0))),DATE(VALUE(LEFT(INDEX($A210:$T210,MATCH(Lists!$F$5,$A$1:$T$1,0)),4)),VALUE(MID(INDEX($A210:$T210,MATCH(Lists!$F$5,$A$1:$T$1,0)),6,2)),VALUE(MID(INDEX($A210:$T210,MATCH(Lists!$F$5,$A$1:$T$1,0)),9,2))))),"")))</f>
        <v/>
      </c>
      <c r="AB210" s="21">
        <f>IF(Y210="","",IF(LEFT(IFERROR(TRIM(INDEX($A210:$T210,MATCH(Lists!$F$6,$A$1:$T$1,0))&amp;""),""),2)="No","General comment",IF(IFERROR(TRIM(INDEX($A210:$T210,MATCH(Lists!$F$7,$A$1:$T$1,0))&amp;""),"")&lt;&gt;"",IFERROR(TRIM(INDEX($A210:$T210,MATCH(Lists!$F$7,$A$1:$T$1,0))&amp;""),""),IF(IFERROR(TRIM(INDEX($A210:$T210,MATCH(Lists!$F$8,$A$1:$T$1,0))&amp;""),"")&lt;&gt;"",IFERROR(TRIM(INDEX($A210:$T210,MATCH(Lists!$F$8,$A$1:$T$1,0))&amp;""),""),"(no item given)"))))</f>
        <v/>
      </c>
      <c r="AC210" s="21">
        <f>IF(Y210="","",IF(ISNUMBER(SEARCH("support",IFERROR(TRIM(INDEX($A210:$T210,MATCH(Lists!$F$9,$A$1:$T$1,0))&amp;""),""))),"Support",IF(ISNUMBER(SEARCH("oppose",IFERROR(TRIM(INDEX($A210:$T210,MATCH(Lists!$F$9,$A$1:$T$1,0))&amp;""),""))),"Oppose",IF(IFERROR(TRIM(INDEX($A210:$T210,MATCH(Lists!$F$9,$A$1:$T$1,0))&amp;""),"")="","No position","Neither"))))</f>
        <v/>
      </c>
      <c r="AD210" s="21">
        <f>IF(Y210="","",IF(ISNUMBER(SEARCH("in person",IFERROR(TRIM(INDEX($A210:$T210,MATCH(Lists!$F$13,$A$1:$T$1,0))&amp;""),""))),"In person",IF(ISNUMBER(SEARCH("online",IFERROR(TRIM(INDEX($A210:$T210,MATCH(Lists!$F$13,$A$1:$T$1,0))&amp;""),""))),"Online","Written only")))</f>
        <v/>
      </c>
      <c r="AE210" s="21">
        <f>IF(Y210="","",IFERROR(TRIM(INDEX($A210:$T210,MATCH(Lists!$F$11,$A$1:$T$1,0))&amp;""),""))</f>
        <v/>
      </c>
      <c r="AF210" s="21">
        <f>IF(Y210="","",IFERROR(TRIM(INDEX($A210:$T210,MATCH(Lists!$F$12,$A$1:$T$1,0))&amp;""),""))</f>
        <v/>
      </c>
      <c r="AG210" s="21">
        <f>IF(Y210="","",IFERROR(TRIM(INDEX($A210:$T210,MATCH(Lists!$F$14,$A$1:$T$1,0))&amp;""),""))</f>
        <v/>
      </c>
      <c r="AH210" s="21">
        <f>IF(Y210="","",LEFT(IFERROR(TRIM(INDEX($A210:$T210,MATCH(Lists!$F$10,$A$1:$T$1,0))&amp;""),""),80))</f>
        <v/>
      </c>
      <c r="AI210" s="21">
        <f>IF(Y210="",0,IF(OR(Tally!$B$5="",AA210=Tally!$B$5),1,0))</f>
        <v/>
      </c>
      <c r="AJ210" s="21">
        <f>IF(AI210=1,IF(COUNTIFS($AB$2:AB210,AB210,$AI$2:AI210,1)=1,1,0),0)</f>
        <v/>
      </c>
      <c r="AK210" s="21">
        <f>IF(AJ210=1,SUM($AJ$2:AJ210),"")</f>
        <v/>
      </c>
      <c r="AL210" s="21">
        <f>IF(AND(AI210=1,OR(AD210="In person",AD210="Online"),OR(Speakers!$B$5="",AB210=Speakers!$B$5)),N(Z210)+ROW()/1000000000,"")</f>
        <v/>
      </c>
    </row>
    <row r="211">
      <c r="U211" s="19" t="n"/>
      <c r="V211" s="24" t="n"/>
      <c r="W211" s="24" t="n"/>
      <c r="X211" s="19" t="n"/>
      <c r="Y211" s="21">
        <f>IFERROR(TRIM(INDEX($A211:$T211,MATCH(Lists!$F$2,$A$1:$T$1,0))&amp;""),"")</f>
        <v/>
      </c>
      <c r="Z211" s="22">
        <f>IF(Y211="","",IFERROR(IF(ISNUMBER(INDEX($A211:$T211,MATCH(Lists!$F$3,$A$1:$T$1,0))),INDEX($A211:$T211,MATCH(Lists!$F$3,$A$1:$T$1,0)),DATE(VALUE(LEFT(IFERROR(TRIM(INDEX($A211:$T211,MATCH(Lists!$F$3,$A$1:$T$1,0))&amp;""),""),4)),VALUE(MID(IFERROR(TRIM(INDEX($A211:$T211,MATCH(Lists!$F$3,$A$1:$T$1,0))&amp;""),""),6,2)),VALUE(MID(IFERROR(TRIM(INDEX($A211:$T211,MATCH(Lists!$F$3,$A$1:$T$1,0))&amp;""),""),9,2)))+TIME(VALUE(MID(IFERROR(TRIM(INDEX($A211:$T211,MATCH(Lists!$F$3,$A$1:$T$1,0))&amp;""),""),12,2)),VALUE(MID(IFERROR(TRIM(INDEX($A211:$T211,MATCH(Lists!$F$3,$A$1:$T$1,0))&amp;""),""),15,2)),VALUE(MID(IFERROR(TRIM(INDEX($A211:$T211,MATCH(Lists!$F$3,$A$1:$T$1,0))&amp;""),""),18,2)))),""))</f>
        <v/>
      </c>
      <c r="AA211" s="23">
        <f>IF(Y211="","",IF(ISNUMBER(IFERROR(IF(TRIM(INDEX($A211:$T211,MATCH(Lists!$F$4,$A$1:$T$1,0))&amp;"")="","",IF(ISNUMBER(INDEX($A211:$T211,MATCH(Lists!$F$4,$A$1:$T$1,0))),INT(INDEX($A211:$T211,MATCH(Lists!$F$4,$A$1:$T$1,0))),DATE(VALUE(LEFT(INDEX($A211:$T211,MATCH(Lists!$F$4,$A$1:$T$1,0)),4)),VALUE(MID(INDEX($A211:$T211,MATCH(Lists!$F$4,$A$1:$T$1,0)),6,2)),VALUE(MID(INDEX($A211:$T211,MATCH(Lists!$F$4,$A$1:$T$1,0)),9,2))))),"")),IFERROR(IF(TRIM(INDEX($A211:$T211,MATCH(Lists!$F$4,$A$1:$T$1,0))&amp;"")="","",IF(ISNUMBER(INDEX($A211:$T211,MATCH(Lists!$F$4,$A$1:$T$1,0))),INT(INDEX($A211:$T211,MATCH(Lists!$F$4,$A$1:$T$1,0))),DATE(VALUE(LEFT(INDEX($A211:$T211,MATCH(Lists!$F$4,$A$1:$T$1,0)),4)),VALUE(MID(INDEX($A211:$T211,MATCH(Lists!$F$4,$A$1:$T$1,0)),6,2)),VALUE(MID(INDEX($A211:$T211,MATCH(Lists!$F$4,$A$1:$T$1,0)),9,2))))),""),IFERROR(IF(TRIM(INDEX($A211:$T211,MATCH(Lists!$F$5,$A$1:$T$1,0))&amp;"")="","",IF(ISNUMBER(INDEX($A211:$T211,MATCH(Lists!$F$5,$A$1:$T$1,0))),INT(INDEX($A211:$T211,MATCH(Lists!$F$5,$A$1:$T$1,0))),DATE(VALUE(LEFT(INDEX($A211:$T211,MATCH(Lists!$F$5,$A$1:$T$1,0)),4)),VALUE(MID(INDEX($A211:$T211,MATCH(Lists!$F$5,$A$1:$T$1,0)),6,2)),VALUE(MID(INDEX($A211:$T211,MATCH(Lists!$F$5,$A$1:$T$1,0)),9,2))))),"")))</f>
        <v/>
      </c>
      <c r="AB211" s="21">
        <f>IF(Y211="","",IF(LEFT(IFERROR(TRIM(INDEX($A211:$T211,MATCH(Lists!$F$6,$A$1:$T$1,0))&amp;""),""),2)="No","General comment",IF(IFERROR(TRIM(INDEX($A211:$T211,MATCH(Lists!$F$7,$A$1:$T$1,0))&amp;""),"")&lt;&gt;"",IFERROR(TRIM(INDEX($A211:$T211,MATCH(Lists!$F$7,$A$1:$T$1,0))&amp;""),""),IF(IFERROR(TRIM(INDEX($A211:$T211,MATCH(Lists!$F$8,$A$1:$T$1,0))&amp;""),"")&lt;&gt;"",IFERROR(TRIM(INDEX($A211:$T211,MATCH(Lists!$F$8,$A$1:$T$1,0))&amp;""),""),"(no item given)"))))</f>
        <v/>
      </c>
      <c r="AC211" s="21">
        <f>IF(Y211="","",IF(ISNUMBER(SEARCH("support",IFERROR(TRIM(INDEX($A211:$T211,MATCH(Lists!$F$9,$A$1:$T$1,0))&amp;""),""))),"Support",IF(ISNUMBER(SEARCH("oppose",IFERROR(TRIM(INDEX($A211:$T211,MATCH(Lists!$F$9,$A$1:$T$1,0))&amp;""),""))),"Oppose",IF(IFERROR(TRIM(INDEX($A211:$T211,MATCH(Lists!$F$9,$A$1:$T$1,0))&amp;""),"")="","No position","Neither"))))</f>
        <v/>
      </c>
      <c r="AD211" s="21">
        <f>IF(Y211="","",IF(ISNUMBER(SEARCH("in person",IFERROR(TRIM(INDEX($A211:$T211,MATCH(Lists!$F$13,$A$1:$T$1,0))&amp;""),""))),"In person",IF(ISNUMBER(SEARCH("online",IFERROR(TRIM(INDEX($A211:$T211,MATCH(Lists!$F$13,$A$1:$T$1,0))&amp;""),""))),"Online","Written only")))</f>
        <v/>
      </c>
      <c r="AE211" s="21">
        <f>IF(Y211="","",IFERROR(TRIM(INDEX($A211:$T211,MATCH(Lists!$F$11,$A$1:$T$1,0))&amp;""),""))</f>
        <v/>
      </c>
      <c r="AF211" s="21">
        <f>IF(Y211="","",IFERROR(TRIM(INDEX($A211:$T211,MATCH(Lists!$F$12,$A$1:$T$1,0))&amp;""),""))</f>
        <v/>
      </c>
      <c r="AG211" s="21">
        <f>IF(Y211="","",IFERROR(TRIM(INDEX($A211:$T211,MATCH(Lists!$F$14,$A$1:$T$1,0))&amp;""),""))</f>
        <v/>
      </c>
      <c r="AH211" s="21">
        <f>IF(Y211="","",LEFT(IFERROR(TRIM(INDEX($A211:$T211,MATCH(Lists!$F$10,$A$1:$T$1,0))&amp;""),""),80))</f>
        <v/>
      </c>
      <c r="AI211" s="21">
        <f>IF(Y211="",0,IF(OR(Tally!$B$5="",AA211=Tally!$B$5),1,0))</f>
        <v/>
      </c>
      <c r="AJ211" s="21">
        <f>IF(AI211=1,IF(COUNTIFS($AB$2:AB211,AB211,$AI$2:AI211,1)=1,1,0),0)</f>
        <v/>
      </c>
      <c r="AK211" s="21">
        <f>IF(AJ211=1,SUM($AJ$2:AJ211),"")</f>
        <v/>
      </c>
      <c r="AL211" s="21">
        <f>IF(AND(AI211=1,OR(AD211="In person",AD211="Online"),OR(Speakers!$B$5="",AB211=Speakers!$B$5)),N(Z211)+ROW()/1000000000,"")</f>
        <v/>
      </c>
    </row>
    <row r="212">
      <c r="U212" s="19" t="n"/>
      <c r="V212" s="24" t="n"/>
      <c r="W212" s="24" t="n"/>
      <c r="X212" s="19" t="n"/>
      <c r="Y212" s="21">
        <f>IFERROR(TRIM(INDEX($A212:$T212,MATCH(Lists!$F$2,$A$1:$T$1,0))&amp;""),"")</f>
        <v/>
      </c>
      <c r="Z212" s="22">
        <f>IF(Y212="","",IFERROR(IF(ISNUMBER(INDEX($A212:$T212,MATCH(Lists!$F$3,$A$1:$T$1,0))),INDEX($A212:$T212,MATCH(Lists!$F$3,$A$1:$T$1,0)),DATE(VALUE(LEFT(IFERROR(TRIM(INDEX($A212:$T212,MATCH(Lists!$F$3,$A$1:$T$1,0))&amp;""),""),4)),VALUE(MID(IFERROR(TRIM(INDEX($A212:$T212,MATCH(Lists!$F$3,$A$1:$T$1,0))&amp;""),""),6,2)),VALUE(MID(IFERROR(TRIM(INDEX($A212:$T212,MATCH(Lists!$F$3,$A$1:$T$1,0))&amp;""),""),9,2)))+TIME(VALUE(MID(IFERROR(TRIM(INDEX($A212:$T212,MATCH(Lists!$F$3,$A$1:$T$1,0))&amp;""),""),12,2)),VALUE(MID(IFERROR(TRIM(INDEX($A212:$T212,MATCH(Lists!$F$3,$A$1:$T$1,0))&amp;""),""),15,2)),VALUE(MID(IFERROR(TRIM(INDEX($A212:$T212,MATCH(Lists!$F$3,$A$1:$T$1,0))&amp;""),""),18,2)))),""))</f>
        <v/>
      </c>
      <c r="AA212" s="23">
        <f>IF(Y212="","",IF(ISNUMBER(IFERROR(IF(TRIM(INDEX($A212:$T212,MATCH(Lists!$F$4,$A$1:$T$1,0))&amp;"")="","",IF(ISNUMBER(INDEX($A212:$T212,MATCH(Lists!$F$4,$A$1:$T$1,0))),INT(INDEX($A212:$T212,MATCH(Lists!$F$4,$A$1:$T$1,0))),DATE(VALUE(LEFT(INDEX($A212:$T212,MATCH(Lists!$F$4,$A$1:$T$1,0)),4)),VALUE(MID(INDEX($A212:$T212,MATCH(Lists!$F$4,$A$1:$T$1,0)),6,2)),VALUE(MID(INDEX($A212:$T212,MATCH(Lists!$F$4,$A$1:$T$1,0)),9,2))))),"")),IFERROR(IF(TRIM(INDEX($A212:$T212,MATCH(Lists!$F$4,$A$1:$T$1,0))&amp;"")="","",IF(ISNUMBER(INDEX($A212:$T212,MATCH(Lists!$F$4,$A$1:$T$1,0))),INT(INDEX($A212:$T212,MATCH(Lists!$F$4,$A$1:$T$1,0))),DATE(VALUE(LEFT(INDEX($A212:$T212,MATCH(Lists!$F$4,$A$1:$T$1,0)),4)),VALUE(MID(INDEX($A212:$T212,MATCH(Lists!$F$4,$A$1:$T$1,0)),6,2)),VALUE(MID(INDEX($A212:$T212,MATCH(Lists!$F$4,$A$1:$T$1,0)),9,2))))),""),IFERROR(IF(TRIM(INDEX($A212:$T212,MATCH(Lists!$F$5,$A$1:$T$1,0))&amp;"")="","",IF(ISNUMBER(INDEX($A212:$T212,MATCH(Lists!$F$5,$A$1:$T$1,0))),INT(INDEX($A212:$T212,MATCH(Lists!$F$5,$A$1:$T$1,0))),DATE(VALUE(LEFT(INDEX($A212:$T212,MATCH(Lists!$F$5,$A$1:$T$1,0)),4)),VALUE(MID(INDEX($A212:$T212,MATCH(Lists!$F$5,$A$1:$T$1,0)),6,2)),VALUE(MID(INDEX($A212:$T212,MATCH(Lists!$F$5,$A$1:$T$1,0)),9,2))))),"")))</f>
        <v/>
      </c>
      <c r="AB212" s="21">
        <f>IF(Y212="","",IF(LEFT(IFERROR(TRIM(INDEX($A212:$T212,MATCH(Lists!$F$6,$A$1:$T$1,0))&amp;""),""),2)="No","General comment",IF(IFERROR(TRIM(INDEX($A212:$T212,MATCH(Lists!$F$7,$A$1:$T$1,0))&amp;""),"")&lt;&gt;"",IFERROR(TRIM(INDEX($A212:$T212,MATCH(Lists!$F$7,$A$1:$T$1,0))&amp;""),""),IF(IFERROR(TRIM(INDEX($A212:$T212,MATCH(Lists!$F$8,$A$1:$T$1,0))&amp;""),"")&lt;&gt;"",IFERROR(TRIM(INDEX($A212:$T212,MATCH(Lists!$F$8,$A$1:$T$1,0))&amp;""),""),"(no item given)"))))</f>
        <v/>
      </c>
      <c r="AC212" s="21">
        <f>IF(Y212="","",IF(ISNUMBER(SEARCH("support",IFERROR(TRIM(INDEX($A212:$T212,MATCH(Lists!$F$9,$A$1:$T$1,0))&amp;""),""))),"Support",IF(ISNUMBER(SEARCH("oppose",IFERROR(TRIM(INDEX($A212:$T212,MATCH(Lists!$F$9,$A$1:$T$1,0))&amp;""),""))),"Oppose",IF(IFERROR(TRIM(INDEX($A212:$T212,MATCH(Lists!$F$9,$A$1:$T$1,0))&amp;""),"")="","No position","Neither"))))</f>
        <v/>
      </c>
      <c r="AD212" s="21">
        <f>IF(Y212="","",IF(ISNUMBER(SEARCH("in person",IFERROR(TRIM(INDEX($A212:$T212,MATCH(Lists!$F$13,$A$1:$T$1,0))&amp;""),""))),"In person",IF(ISNUMBER(SEARCH("online",IFERROR(TRIM(INDEX($A212:$T212,MATCH(Lists!$F$13,$A$1:$T$1,0))&amp;""),""))),"Online","Written only")))</f>
        <v/>
      </c>
      <c r="AE212" s="21">
        <f>IF(Y212="","",IFERROR(TRIM(INDEX($A212:$T212,MATCH(Lists!$F$11,$A$1:$T$1,0))&amp;""),""))</f>
        <v/>
      </c>
      <c r="AF212" s="21">
        <f>IF(Y212="","",IFERROR(TRIM(INDEX($A212:$T212,MATCH(Lists!$F$12,$A$1:$T$1,0))&amp;""),""))</f>
        <v/>
      </c>
      <c r="AG212" s="21">
        <f>IF(Y212="","",IFERROR(TRIM(INDEX($A212:$T212,MATCH(Lists!$F$14,$A$1:$T$1,0))&amp;""),""))</f>
        <v/>
      </c>
      <c r="AH212" s="21">
        <f>IF(Y212="","",LEFT(IFERROR(TRIM(INDEX($A212:$T212,MATCH(Lists!$F$10,$A$1:$T$1,0))&amp;""),""),80))</f>
        <v/>
      </c>
      <c r="AI212" s="21">
        <f>IF(Y212="",0,IF(OR(Tally!$B$5="",AA212=Tally!$B$5),1,0))</f>
        <v/>
      </c>
      <c r="AJ212" s="21">
        <f>IF(AI212=1,IF(COUNTIFS($AB$2:AB212,AB212,$AI$2:AI212,1)=1,1,0),0)</f>
        <v/>
      </c>
      <c r="AK212" s="21">
        <f>IF(AJ212=1,SUM($AJ$2:AJ212),"")</f>
        <v/>
      </c>
      <c r="AL212" s="21">
        <f>IF(AND(AI212=1,OR(AD212="In person",AD212="Online"),OR(Speakers!$B$5="",AB212=Speakers!$B$5)),N(Z212)+ROW()/1000000000,"")</f>
        <v/>
      </c>
    </row>
    <row r="213">
      <c r="U213" s="19" t="n"/>
      <c r="V213" s="24" t="n"/>
      <c r="W213" s="24" t="n"/>
      <c r="X213" s="19" t="n"/>
      <c r="Y213" s="21">
        <f>IFERROR(TRIM(INDEX($A213:$T213,MATCH(Lists!$F$2,$A$1:$T$1,0))&amp;""),"")</f>
        <v/>
      </c>
      <c r="Z213" s="22">
        <f>IF(Y213="","",IFERROR(IF(ISNUMBER(INDEX($A213:$T213,MATCH(Lists!$F$3,$A$1:$T$1,0))),INDEX($A213:$T213,MATCH(Lists!$F$3,$A$1:$T$1,0)),DATE(VALUE(LEFT(IFERROR(TRIM(INDEX($A213:$T213,MATCH(Lists!$F$3,$A$1:$T$1,0))&amp;""),""),4)),VALUE(MID(IFERROR(TRIM(INDEX($A213:$T213,MATCH(Lists!$F$3,$A$1:$T$1,0))&amp;""),""),6,2)),VALUE(MID(IFERROR(TRIM(INDEX($A213:$T213,MATCH(Lists!$F$3,$A$1:$T$1,0))&amp;""),""),9,2)))+TIME(VALUE(MID(IFERROR(TRIM(INDEX($A213:$T213,MATCH(Lists!$F$3,$A$1:$T$1,0))&amp;""),""),12,2)),VALUE(MID(IFERROR(TRIM(INDEX($A213:$T213,MATCH(Lists!$F$3,$A$1:$T$1,0))&amp;""),""),15,2)),VALUE(MID(IFERROR(TRIM(INDEX($A213:$T213,MATCH(Lists!$F$3,$A$1:$T$1,0))&amp;""),""),18,2)))),""))</f>
        <v/>
      </c>
      <c r="AA213" s="23">
        <f>IF(Y213="","",IF(ISNUMBER(IFERROR(IF(TRIM(INDEX($A213:$T213,MATCH(Lists!$F$4,$A$1:$T$1,0))&amp;"")="","",IF(ISNUMBER(INDEX($A213:$T213,MATCH(Lists!$F$4,$A$1:$T$1,0))),INT(INDEX($A213:$T213,MATCH(Lists!$F$4,$A$1:$T$1,0))),DATE(VALUE(LEFT(INDEX($A213:$T213,MATCH(Lists!$F$4,$A$1:$T$1,0)),4)),VALUE(MID(INDEX($A213:$T213,MATCH(Lists!$F$4,$A$1:$T$1,0)),6,2)),VALUE(MID(INDEX($A213:$T213,MATCH(Lists!$F$4,$A$1:$T$1,0)),9,2))))),"")),IFERROR(IF(TRIM(INDEX($A213:$T213,MATCH(Lists!$F$4,$A$1:$T$1,0))&amp;"")="","",IF(ISNUMBER(INDEX($A213:$T213,MATCH(Lists!$F$4,$A$1:$T$1,0))),INT(INDEX($A213:$T213,MATCH(Lists!$F$4,$A$1:$T$1,0))),DATE(VALUE(LEFT(INDEX($A213:$T213,MATCH(Lists!$F$4,$A$1:$T$1,0)),4)),VALUE(MID(INDEX($A213:$T213,MATCH(Lists!$F$4,$A$1:$T$1,0)),6,2)),VALUE(MID(INDEX($A213:$T213,MATCH(Lists!$F$4,$A$1:$T$1,0)),9,2))))),""),IFERROR(IF(TRIM(INDEX($A213:$T213,MATCH(Lists!$F$5,$A$1:$T$1,0))&amp;"")="","",IF(ISNUMBER(INDEX($A213:$T213,MATCH(Lists!$F$5,$A$1:$T$1,0))),INT(INDEX($A213:$T213,MATCH(Lists!$F$5,$A$1:$T$1,0))),DATE(VALUE(LEFT(INDEX($A213:$T213,MATCH(Lists!$F$5,$A$1:$T$1,0)),4)),VALUE(MID(INDEX($A213:$T213,MATCH(Lists!$F$5,$A$1:$T$1,0)),6,2)),VALUE(MID(INDEX($A213:$T213,MATCH(Lists!$F$5,$A$1:$T$1,0)),9,2))))),"")))</f>
        <v/>
      </c>
      <c r="AB213" s="21">
        <f>IF(Y213="","",IF(LEFT(IFERROR(TRIM(INDEX($A213:$T213,MATCH(Lists!$F$6,$A$1:$T$1,0))&amp;""),""),2)="No","General comment",IF(IFERROR(TRIM(INDEX($A213:$T213,MATCH(Lists!$F$7,$A$1:$T$1,0))&amp;""),"")&lt;&gt;"",IFERROR(TRIM(INDEX($A213:$T213,MATCH(Lists!$F$7,$A$1:$T$1,0))&amp;""),""),IF(IFERROR(TRIM(INDEX($A213:$T213,MATCH(Lists!$F$8,$A$1:$T$1,0))&amp;""),"")&lt;&gt;"",IFERROR(TRIM(INDEX($A213:$T213,MATCH(Lists!$F$8,$A$1:$T$1,0))&amp;""),""),"(no item given)"))))</f>
        <v/>
      </c>
      <c r="AC213" s="21">
        <f>IF(Y213="","",IF(ISNUMBER(SEARCH("support",IFERROR(TRIM(INDEX($A213:$T213,MATCH(Lists!$F$9,$A$1:$T$1,0))&amp;""),""))),"Support",IF(ISNUMBER(SEARCH("oppose",IFERROR(TRIM(INDEX($A213:$T213,MATCH(Lists!$F$9,$A$1:$T$1,0))&amp;""),""))),"Oppose",IF(IFERROR(TRIM(INDEX($A213:$T213,MATCH(Lists!$F$9,$A$1:$T$1,0))&amp;""),"")="","No position","Neither"))))</f>
        <v/>
      </c>
      <c r="AD213" s="21">
        <f>IF(Y213="","",IF(ISNUMBER(SEARCH("in person",IFERROR(TRIM(INDEX($A213:$T213,MATCH(Lists!$F$13,$A$1:$T$1,0))&amp;""),""))),"In person",IF(ISNUMBER(SEARCH("online",IFERROR(TRIM(INDEX($A213:$T213,MATCH(Lists!$F$13,$A$1:$T$1,0))&amp;""),""))),"Online","Written only")))</f>
        <v/>
      </c>
      <c r="AE213" s="21">
        <f>IF(Y213="","",IFERROR(TRIM(INDEX($A213:$T213,MATCH(Lists!$F$11,$A$1:$T$1,0))&amp;""),""))</f>
        <v/>
      </c>
      <c r="AF213" s="21">
        <f>IF(Y213="","",IFERROR(TRIM(INDEX($A213:$T213,MATCH(Lists!$F$12,$A$1:$T$1,0))&amp;""),""))</f>
        <v/>
      </c>
      <c r="AG213" s="21">
        <f>IF(Y213="","",IFERROR(TRIM(INDEX($A213:$T213,MATCH(Lists!$F$14,$A$1:$T$1,0))&amp;""),""))</f>
        <v/>
      </c>
      <c r="AH213" s="21">
        <f>IF(Y213="","",LEFT(IFERROR(TRIM(INDEX($A213:$T213,MATCH(Lists!$F$10,$A$1:$T$1,0))&amp;""),""),80))</f>
        <v/>
      </c>
      <c r="AI213" s="21">
        <f>IF(Y213="",0,IF(OR(Tally!$B$5="",AA213=Tally!$B$5),1,0))</f>
        <v/>
      </c>
      <c r="AJ213" s="21">
        <f>IF(AI213=1,IF(COUNTIFS($AB$2:AB213,AB213,$AI$2:AI213,1)=1,1,0),0)</f>
        <v/>
      </c>
      <c r="AK213" s="21">
        <f>IF(AJ213=1,SUM($AJ$2:AJ213),"")</f>
        <v/>
      </c>
      <c r="AL213" s="21">
        <f>IF(AND(AI213=1,OR(AD213="In person",AD213="Online"),OR(Speakers!$B$5="",AB213=Speakers!$B$5)),N(Z213)+ROW()/1000000000,"")</f>
        <v/>
      </c>
    </row>
    <row r="214">
      <c r="U214" s="19" t="n"/>
      <c r="V214" s="24" t="n"/>
      <c r="W214" s="24" t="n"/>
      <c r="X214" s="19" t="n"/>
      <c r="Y214" s="21">
        <f>IFERROR(TRIM(INDEX($A214:$T214,MATCH(Lists!$F$2,$A$1:$T$1,0))&amp;""),"")</f>
        <v/>
      </c>
      <c r="Z214" s="22">
        <f>IF(Y214="","",IFERROR(IF(ISNUMBER(INDEX($A214:$T214,MATCH(Lists!$F$3,$A$1:$T$1,0))),INDEX($A214:$T214,MATCH(Lists!$F$3,$A$1:$T$1,0)),DATE(VALUE(LEFT(IFERROR(TRIM(INDEX($A214:$T214,MATCH(Lists!$F$3,$A$1:$T$1,0))&amp;""),""),4)),VALUE(MID(IFERROR(TRIM(INDEX($A214:$T214,MATCH(Lists!$F$3,$A$1:$T$1,0))&amp;""),""),6,2)),VALUE(MID(IFERROR(TRIM(INDEX($A214:$T214,MATCH(Lists!$F$3,$A$1:$T$1,0))&amp;""),""),9,2)))+TIME(VALUE(MID(IFERROR(TRIM(INDEX($A214:$T214,MATCH(Lists!$F$3,$A$1:$T$1,0))&amp;""),""),12,2)),VALUE(MID(IFERROR(TRIM(INDEX($A214:$T214,MATCH(Lists!$F$3,$A$1:$T$1,0))&amp;""),""),15,2)),VALUE(MID(IFERROR(TRIM(INDEX($A214:$T214,MATCH(Lists!$F$3,$A$1:$T$1,0))&amp;""),""),18,2)))),""))</f>
        <v/>
      </c>
      <c r="AA214" s="23">
        <f>IF(Y214="","",IF(ISNUMBER(IFERROR(IF(TRIM(INDEX($A214:$T214,MATCH(Lists!$F$4,$A$1:$T$1,0))&amp;"")="","",IF(ISNUMBER(INDEX($A214:$T214,MATCH(Lists!$F$4,$A$1:$T$1,0))),INT(INDEX($A214:$T214,MATCH(Lists!$F$4,$A$1:$T$1,0))),DATE(VALUE(LEFT(INDEX($A214:$T214,MATCH(Lists!$F$4,$A$1:$T$1,0)),4)),VALUE(MID(INDEX($A214:$T214,MATCH(Lists!$F$4,$A$1:$T$1,0)),6,2)),VALUE(MID(INDEX($A214:$T214,MATCH(Lists!$F$4,$A$1:$T$1,0)),9,2))))),"")),IFERROR(IF(TRIM(INDEX($A214:$T214,MATCH(Lists!$F$4,$A$1:$T$1,0))&amp;"")="","",IF(ISNUMBER(INDEX($A214:$T214,MATCH(Lists!$F$4,$A$1:$T$1,0))),INT(INDEX($A214:$T214,MATCH(Lists!$F$4,$A$1:$T$1,0))),DATE(VALUE(LEFT(INDEX($A214:$T214,MATCH(Lists!$F$4,$A$1:$T$1,0)),4)),VALUE(MID(INDEX($A214:$T214,MATCH(Lists!$F$4,$A$1:$T$1,0)),6,2)),VALUE(MID(INDEX($A214:$T214,MATCH(Lists!$F$4,$A$1:$T$1,0)),9,2))))),""),IFERROR(IF(TRIM(INDEX($A214:$T214,MATCH(Lists!$F$5,$A$1:$T$1,0))&amp;"")="","",IF(ISNUMBER(INDEX($A214:$T214,MATCH(Lists!$F$5,$A$1:$T$1,0))),INT(INDEX($A214:$T214,MATCH(Lists!$F$5,$A$1:$T$1,0))),DATE(VALUE(LEFT(INDEX($A214:$T214,MATCH(Lists!$F$5,$A$1:$T$1,0)),4)),VALUE(MID(INDEX($A214:$T214,MATCH(Lists!$F$5,$A$1:$T$1,0)),6,2)),VALUE(MID(INDEX($A214:$T214,MATCH(Lists!$F$5,$A$1:$T$1,0)),9,2))))),"")))</f>
        <v/>
      </c>
      <c r="AB214" s="21">
        <f>IF(Y214="","",IF(LEFT(IFERROR(TRIM(INDEX($A214:$T214,MATCH(Lists!$F$6,$A$1:$T$1,0))&amp;""),""),2)="No","General comment",IF(IFERROR(TRIM(INDEX($A214:$T214,MATCH(Lists!$F$7,$A$1:$T$1,0))&amp;""),"")&lt;&gt;"",IFERROR(TRIM(INDEX($A214:$T214,MATCH(Lists!$F$7,$A$1:$T$1,0))&amp;""),""),IF(IFERROR(TRIM(INDEX($A214:$T214,MATCH(Lists!$F$8,$A$1:$T$1,0))&amp;""),"")&lt;&gt;"",IFERROR(TRIM(INDEX($A214:$T214,MATCH(Lists!$F$8,$A$1:$T$1,0))&amp;""),""),"(no item given)"))))</f>
        <v/>
      </c>
      <c r="AC214" s="21">
        <f>IF(Y214="","",IF(ISNUMBER(SEARCH("support",IFERROR(TRIM(INDEX($A214:$T214,MATCH(Lists!$F$9,$A$1:$T$1,0))&amp;""),""))),"Support",IF(ISNUMBER(SEARCH("oppose",IFERROR(TRIM(INDEX($A214:$T214,MATCH(Lists!$F$9,$A$1:$T$1,0))&amp;""),""))),"Oppose",IF(IFERROR(TRIM(INDEX($A214:$T214,MATCH(Lists!$F$9,$A$1:$T$1,0))&amp;""),"")="","No position","Neither"))))</f>
        <v/>
      </c>
      <c r="AD214" s="21">
        <f>IF(Y214="","",IF(ISNUMBER(SEARCH("in person",IFERROR(TRIM(INDEX($A214:$T214,MATCH(Lists!$F$13,$A$1:$T$1,0))&amp;""),""))),"In person",IF(ISNUMBER(SEARCH("online",IFERROR(TRIM(INDEX($A214:$T214,MATCH(Lists!$F$13,$A$1:$T$1,0))&amp;""),""))),"Online","Written only")))</f>
        <v/>
      </c>
      <c r="AE214" s="21">
        <f>IF(Y214="","",IFERROR(TRIM(INDEX($A214:$T214,MATCH(Lists!$F$11,$A$1:$T$1,0))&amp;""),""))</f>
        <v/>
      </c>
      <c r="AF214" s="21">
        <f>IF(Y214="","",IFERROR(TRIM(INDEX($A214:$T214,MATCH(Lists!$F$12,$A$1:$T$1,0))&amp;""),""))</f>
        <v/>
      </c>
      <c r="AG214" s="21">
        <f>IF(Y214="","",IFERROR(TRIM(INDEX($A214:$T214,MATCH(Lists!$F$14,$A$1:$T$1,0))&amp;""),""))</f>
        <v/>
      </c>
      <c r="AH214" s="21">
        <f>IF(Y214="","",LEFT(IFERROR(TRIM(INDEX($A214:$T214,MATCH(Lists!$F$10,$A$1:$T$1,0))&amp;""),""),80))</f>
        <v/>
      </c>
      <c r="AI214" s="21">
        <f>IF(Y214="",0,IF(OR(Tally!$B$5="",AA214=Tally!$B$5),1,0))</f>
        <v/>
      </c>
      <c r="AJ214" s="21">
        <f>IF(AI214=1,IF(COUNTIFS($AB$2:AB214,AB214,$AI$2:AI214,1)=1,1,0),0)</f>
        <v/>
      </c>
      <c r="AK214" s="21">
        <f>IF(AJ214=1,SUM($AJ$2:AJ214),"")</f>
        <v/>
      </c>
      <c r="AL214" s="21">
        <f>IF(AND(AI214=1,OR(AD214="In person",AD214="Online"),OR(Speakers!$B$5="",AB214=Speakers!$B$5)),N(Z214)+ROW()/1000000000,"")</f>
        <v/>
      </c>
    </row>
    <row r="215">
      <c r="U215" s="19" t="n"/>
      <c r="V215" s="24" t="n"/>
      <c r="W215" s="24" t="n"/>
      <c r="X215" s="19" t="n"/>
      <c r="Y215" s="21">
        <f>IFERROR(TRIM(INDEX($A215:$T215,MATCH(Lists!$F$2,$A$1:$T$1,0))&amp;""),"")</f>
        <v/>
      </c>
      <c r="Z215" s="22">
        <f>IF(Y215="","",IFERROR(IF(ISNUMBER(INDEX($A215:$T215,MATCH(Lists!$F$3,$A$1:$T$1,0))),INDEX($A215:$T215,MATCH(Lists!$F$3,$A$1:$T$1,0)),DATE(VALUE(LEFT(IFERROR(TRIM(INDEX($A215:$T215,MATCH(Lists!$F$3,$A$1:$T$1,0))&amp;""),""),4)),VALUE(MID(IFERROR(TRIM(INDEX($A215:$T215,MATCH(Lists!$F$3,$A$1:$T$1,0))&amp;""),""),6,2)),VALUE(MID(IFERROR(TRIM(INDEX($A215:$T215,MATCH(Lists!$F$3,$A$1:$T$1,0))&amp;""),""),9,2)))+TIME(VALUE(MID(IFERROR(TRIM(INDEX($A215:$T215,MATCH(Lists!$F$3,$A$1:$T$1,0))&amp;""),""),12,2)),VALUE(MID(IFERROR(TRIM(INDEX($A215:$T215,MATCH(Lists!$F$3,$A$1:$T$1,0))&amp;""),""),15,2)),VALUE(MID(IFERROR(TRIM(INDEX($A215:$T215,MATCH(Lists!$F$3,$A$1:$T$1,0))&amp;""),""),18,2)))),""))</f>
        <v/>
      </c>
      <c r="AA215" s="23">
        <f>IF(Y215="","",IF(ISNUMBER(IFERROR(IF(TRIM(INDEX($A215:$T215,MATCH(Lists!$F$4,$A$1:$T$1,0))&amp;"")="","",IF(ISNUMBER(INDEX($A215:$T215,MATCH(Lists!$F$4,$A$1:$T$1,0))),INT(INDEX($A215:$T215,MATCH(Lists!$F$4,$A$1:$T$1,0))),DATE(VALUE(LEFT(INDEX($A215:$T215,MATCH(Lists!$F$4,$A$1:$T$1,0)),4)),VALUE(MID(INDEX($A215:$T215,MATCH(Lists!$F$4,$A$1:$T$1,0)),6,2)),VALUE(MID(INDEX($A215:$T215,MATCH(Lists!$F$4,$A$1:$T$1,0)),9,2))))),"")),IFERROR(IF(TRIM(INDEX($A215:$T215,MATCH(Lists!$F$4,$A$1:$T$1,0))&amp;"")="","",IF(ISNUMBER(INDEX($A215:$T215,MATCH(Lists!$F$4,$A$1:$T$1,0))),INT(INDEX($A215:$T215,MATCH(Lists!$F$4,$A$1:$T$1,0))),DATE(VALUE(LEFT(INDEX($A215:$T215,MATCH(Lists!$F$4,$A$1:$T$1,0)),4)),VALUE(MID(INDEX($A215:$T215,MATCH(Lists!$F$4,$A$1:$T$1,0)),6,2)),VALUE(MID(INDEX($A215:$T215,MATCH(Lists!$F$4,$A$1:$T$1,0)),9,2))))),""),IFERROR(IF(TRIM(INDEX($A215:$T215,MATCH(Lists!$F$5,$A$1:$T$1,0))&amp;"")="","",IF(ISNUMBER(INDEX($A215:$T215,MATCH(Lists!$F$5,$A$1:$T$1,0))),INT(INDEX($A215:$T215,MATCH(Lists!$F$5,$A$1:$T$1,0))),DATE(VALUE(LEFT(INDEX($A215:$T215,MATCH(Lists!$F$5,$A$1:$T$1,0)),4)),VALUE(MID(INDEX($A215:$T215,MATCH(Lists!$F$5,$A$1:$T$1,0)),6,2)),VALUE(MID(INDEX($A215:$T215,MATCH(Lists!$F$5,$A$1:$T$1,0)),9,2))))),"")))</f>
        <v/>
      </c>
      <c r="AB215" s="21">
        <f>IF(Y215="","",IF(LEFT(IFERROR(TRIM(INDEX($A215:$T215,MATCH(Lists!$F$6,$A$1:$T$1,0))&amp;""),""),2)="No","General comment",IF(IFERROR(TRIM(INDEX($A215:$T215,MATCH(Lists!$F$7,$A$1:$T$1,0))&amp;""),"")&lt;&gt;"",IFERROR(TRIM(INDEX($A215:$T215,MATCH(Lists!$F$7,$A$1:$T$1,0))&amp;""),""),IF(IFERROR(TRIM(INDEX($A215:$T215,MATCH(Lists!$F$8,$A$1:$T$1,0))&amp;""),"")&lt;&gt;"",IFERROR(TRIM(INDEX($A215:$T215,MATCH(Lists!$F$8,$A$1:$T$1,0))&amp;""),""),"(no item given)"))))</f>
        <v/>
      </c>
      <c r="AC215" s="21">
        <f>IF(Y215="","",IF(ISNUMBER(SEARCH("support",IFERROR(TRIM(INDEX($A215:$T215,MATCH(Lists!$F$9,$A$1:$T$1,0))&amp;""),""))),"Support",IF(ISNUMBER(SEARCH("oppose",IFERROR(TRIM(INDEX($A215:$T215,MATCH(Lists!$F$9,$A$1:$T$1,0))&amp;""),""))),"Oppose",IF(IFERROR(TRIM(INDEX($A215:$T215,MATCH(Lists!$F$9,$A$1:$T$1,0))&amp;""),"")="","No position","Neither"))))</f>
        <v/>
      </c>
      <c r="AD215" s="21">
        <f>IF(Y215="","",IF(ISNUMBER(SEARCH("in person",IFERROR(TRIM(INDEX($A215:$T215,MATCH(Lists!$F$13,$A$1:$T$1,0))&amp;""),""))),"In person",IF(ISNUMBER(SEARCH("online",IFERROR(TRIM(INDEX($A215:$T215,MATCH(Lists!$F$13,$A$1:$T$1,0))&amp;""),""))),"Online","Written only")))</f>
        <v/>
      </c>
      <c r="AE215" s="21">
        <f>IF(Y215="","",IFERROR(TRIM(INDEX($A215:$T215,MATCH(Lists!$F$11,$A$1:$T$1,0))&amp;""),""))</f>
        <v/>
      </c>
      <c r="AF215" s="21">
        <f>IF(Y215="","",IFERROR(TRIM(INDEX($A215:$T215,MATCH(Lists!$F$12,$A$1:$T$1,0))&amp;""),""))</f>
        <v/>
      </c>
      <c r="AG215" s="21">
        <f>IF(Y215="","",IFERROR(TRIM(INDEX($A215:$T215,MATCH(Lists!$F$14,$A$1:$T$1,0))&amp;""),""))</f>
        <v/>
      </c>
      <c r="AH215" s="21">
        <f>IF(Y215="","",LEFT(IFERROR(TRIM(INDEX($A215:$T215,MATCH(Lists!$F$10,$A$1:$T$1,0))&amp;""),""),80))</f>
        <v/>
      </c>
      <c r="AI215" s="21">
        <f>IF(Y215="",0,IF(OR(Tally!$B$5="",AA215=Tally!$B$5),1,0))</f>
        <v/>
      </c>
      <c r="AJ215" s="21">
        <f>IF(AI215=1,IF(COUNTIFS($AB$2:AB215,AB215,$AI$2:AI215,1)=1,1,0),0)</f>
        <v/>
      </c>
      <c r="AK215" s="21">
        <f>IF(AJ215=1,SUM($AJ$2:AJ215),"")</f>
        <v/>
      </c>
      <c r="AL215" s="21">
        <f>IF(AND(AI215=1,OR(AD215="In person",AD215="Online"),OR(Speakers!$B$5="",AB215=Speakers!$B$5)),N(Z215)+ROW()/1000000000,"")</f>
        <v/>
      </c>
    </row>
    <row r="216">
      <c r="U216" s="19" t="n"/>
      <c r="V216" s="24" t="n"/>
      <c r="W216" s="24" t="n"/>
      <c r="X216" s="19" t="n"/>
      <c r="Y216" s="21">
        <f>IFERROR(TRIM(INDEX($A216:$T216,MATCH(Lists!$F$2,$A$1:$T$1,0))&amp;""),"")</f>
        <v/>
      </c>
      <c r="Z216" s="22">
        <f>IF(Y216="","",IFERROR(IF(ISNUMBER(INDEX($A216:$T216,MATCH(Lists!$F$3,$A$1:$T$1,0))),INDEX($A216:$T216,MATCH(Lists!$F$3,$A$1:$T$1,0)),DATE(VALUE(LEFT(IFERROR(TRIM(INDEX($A216:$T216,MATCH(Lists!$F$3,$A$1:$T$1,0))&amp;""),""),4)),VALUE(MID(IFERROR(TRIM(INDEX($A216:$T216,MATCH(Lists!$F$3,$A$1:$T$1,0))&amp;""),""),6,2)),VALUE(MID(IFERROR(TRIM(INDEX($A216:$T216,MATCH(Lists!$F$3,$A$1:$T$1,0))&amp;""),""),9,2)))+TIME(VALUE(MID(IFERROR(TRIM(INDEX($A216:$T216,MATCH(Lists!$F$3,$A$1:$T$1,0))&amp;""),""),12,2)),VALUE(MID(IFERROR(TRIM(INDEX($A216:$T216,MATCH(Lists!$F$3,$A$1:$T$1,0))&amp;""),""),15,2)),VALUE(MID(IFERROR(TRIM(INDEX($A216:$T216,MATCH(Lists!$F$3,$A$1:$T$1,0))&amp;""),""),18,2)))),""))</f>
        <v/>
      </c>
      <c r="AA216" s="23">
        <f>IF(Y216="","",IF(ISNUMBER(IFERROR(IF(TRIM(INDEX($A216:$T216,MATCH(Lists!$F$4,$A$1:$T$1,0))&amp;"")="","",IF(ISNUMBER(INDEX($A216:$T216,MATCH(Lists!$F$4,$A$1:$T$1,0))),INT(INDEX($A216:$T216,MATCH(Lists!$F$4,$A$1:$T$1,0))),DATE(VALUE(LEFT(INDEX($A216:$T216,MATCH(Lists!$F$4,$A$1:$T$1,0)),4)),VALUE(MID(INDEX($A216:$T216,MATCH(Lists!$F$4,$A$1:$T$1,0)),6,2)),VALUE(MID(INDEX($A216:$T216,MATCH(Lists!$F$4,$A$1:$T$1,0)),9,2))))),"")),IFERROR(IF(TRIM(INDEX($A216:$T216,MATCH(Lists!$F$4,$A$1:$T$1,0))&amp;"")="","",IF(ISNUMBER(INDEX($A216:$T216,MATCH(Lists!$F$4,$A$1:$T$1,0))),INT(INDEX($A216:$T216,MATCH(Lists!$F$4,$A$1:$T$1,0))),DATE(VALUE(LEFT(INDEX($A216:$T216,MATCH(Lists!$F$4,$A$1:$T$1,0)),4)),VALUE(MID(INDEX($A216:$T216,MATCH(Lists!$F$4,$A$1:$T$1,0)),6,2)),VALUE(MID(INDEX($A216:$T216,MATCH(Lists!$F$4,$A$1:$T$1,0)),9,2))))),""),IFERROR(IF(TRIM(INDEX($A216:$T216,MATCH(Lists!$F$5,$A$1:$T$1,0))&amp;"")="","",IF(ISNUMBER(INDEX($A216:$T216,MATCH(Lists!$F$5,$A$1:$T$1,0))),INT(INDEX($A216:$T216,MATCH(Lists!$F$5,$A$1:$T$1,0))),DATE(VALUE(LEFT(INDEX($A216:$T216,MATCH(Lists!$F$5,$A$1:$T$1,0)),4)),VALUE(MID(INDEX($A216:$T216,MATCH(Lists!$F$5,$A$1:$T$1,0)),6,2)),VALUE(MID(INDEX($A216:$T216,MATCH(Lists!$F$5,$A$1:$T$1,0)),9,2))))),"")))</f>
        <v/>
      </c>
      <c r="AB216" s="21">
        <f>IF(Y216="","",IF(LEFT(IFERROR(TRIM(INDEX($A216:$T216,MATCH(Lists!$F$6,$A$1:$T$1,0))&amp;""),""),2)="No","General comment",IF(IFERROR(TRIM(INDEX($A216:$T216,MATCH(Lists!$F$7,$A$1:$T$1,0))&amp;""),"")&lt;&gt;"",IFERROR(TRIM(INDEX($A216:$T216,MATCH(Lists!$F$7,$A$1:$T$1,0))&amp;""),""),IF(IFERROR(TRIM(INDEX($A216:$T216,MATCH(Lists!$F$8,$A$1:$T$1,0))&amp;""),"")&lt;&gt;"",IFERROR(TRIM(INDEX($A216:$T216,MATCH(Lists!$F$8,$A$1:$T$1,0))&amp;""),""),"(no item given)"))))</f>
        <v/>
      </c>
      <c r="AC216" s="21">
        <f>IF(Y216="","",IF(ISNUMBER(SEARCH("support",IFERROR(TRIM(INDEX($A216:$T216,MATCH(Lists!$F$9,$A$1:$T$1,0))&amp;""),""))),"Support",IF(ISNUMBER(SEARCH("oppose",IFERROR(TRIM(INDEX($A216:$T216,MATCH(Lists!$F$9,$A$1:$T$1,0))&amp;""),""))),"Oppose",IF(IFERROR(TRIM(INDEX($A216:$T216,MATCH(Lists!$F$9,$A$1:$T$1,0))&amp;""),"")="","No position","Neither"))))</f>
        <v/>
      </c>
      <c r="AD216" s="21">
        <f>IF(Y216="","",IF(ISNUMBER(SEARCH("in person",IFERROR(TRIM(INDEX($A216:$T216,MATCH(Lists!$F$13,$A$1:$T$1,0))&amp;""),""))),"In person",IF(ISNUMBER(SEARCH("online",IFERROR(TRIM(INDEX($A216:$T216,MATCH(Lists!$F$13,$A$1:$T$1,0))&amp;""),""))),"Online","Written only")))</f>
        <v/>
      </c>
      <c r="AE216" s="21">
        <f>IF(Y216="","",IFERROR(TRIM(INDEX($A216:$T216,MATCH(Lists!$F$11,$A$1:$T$1,0))&amp;""),""))</f>
        <v/>
      </c>
      <c r="AF216" s="21">
        <f>IF(Y216="","",IFERROR(TRIM(INDEX($A216:$T216,MATCH(Lists!$F$12,$A$1:$T$1,0))&amp;""),""))</f>
        <v/>
      </c>
      <c r="AG216" s="21">
        <f>IF(Y216="","",IFERROR(TRIM(INDEX($A216:$T216,MATCH(Lists!$F$14,$A$1:$T$1,0))&amp;""),""))</f>
        <v/>
      </c>
      <c r="AH216" s="21">
        <f>IF(Y216="","",LEFT(IFERROR(TRIM(INDEX($A216:$T216,MATCH(Lists!$F$10,$A$1:$T$1,0))&amp;""),""),80))</f>
        <v/>
      </c>
      <c r="AI216" s="21">
        <f>IF(Y216="",0,IF(OR(Tally!$B$5="",AA216=Tally!$B$5),1,0))</f>
        <v/>
      </c>
      <c r="AJ216" s="21">
        <f>IF(AI216=1,IF(COUNTIFS($AB$2:AB216,AB216,$AI$2:AI216,1)=1,1,0),0)</f>
        <v/>
      </c>
      <c r="AK216" s="21">
        <f>IF(AJ216=1,SUM($AJ$2:AJ216),"")</f>
        <v/>
      </c>
      <c r="AL216" s="21">
        <f>IF(AND(AI216=1,OR(AD216="In person",AD216="Online"),OR(Speakers!$B$5="",AB216=Speakers!$B$5)),N(Z216)+ROW()/1000000000,"")</f>
        <v/>
      </c>
    </row>
    <row r="217">
      <c r="U217" s="19" t="n"/>
      <c r="V217" s="24" t="n"/>
      <c r="W217" s="24" t="n"/>
      <c r="X217" s="19" t="n"/>
      <c r="Y217" s="21">
        <f>IFERROR(TRIM(INDEX($A217:$T217,MATCH(Lists!$F$2,$A$1:$T$1,0))&amp;""),"")</f>
        <v/>
      </c>
      <c r="Z217" s="22">
        <f>IF(Y217="","",IFERROR(IF(ISNUMBER(INDEX($A217:$T217,MATCH(Lists!$F$3,$A$1:$T$1,0))),INDEX($A217:$T217,MATCH(Lists!$F$3,$A$1:$T$1,0)),DATE(VALUE(LEFT(IFERROR(TRIM(INDEX($A217:$T217,MATCH(Lists!$F$3,$A$1:$T$1,0))&amp;""),""),4)),VALUE(MID(IFERROR(TRIM(INDEX($A217:$T217,MATCH(Lists!$F$3,$A$1:$T$1,0))&amp;""),""),6,2)),VALUE(MID(IFERROR(TRIM(INDEX($A217:$T217,MATCH(Lists!$F$3,$A$1:$T$1,0))&amp;""),""),9,2)))+TIME(VALUE(MID(IFERROR(TRIM(INDEX($A217:$T217,MATCH(Lists!$F$3,$A$1:$T$1,0))&amp;""),""),12,2)),VALUE(MID(IFERROR(TRIM(INDEX($A217:$T217,MATCH(Lists!$F$3,$A$1:$T$1,0))&amp;""),""),15,2)),VALUE(MID(IFERROR(TRIM(INDEX($A217:$T217,MATCH(Lists!$F$3,$A$1:$T$1,0))&amp;""),""),18,2)))),""))</f>
        <v/>
      </c>
      <c r="AA217" s="23">
        <f>IF(Y217="","",IF(ISNUMBER(IFERROR(IF(TRIM(INDEX($A217:$T217,MATCH(Lists!$F$4,$A$1:$T$1,0))&amp;"")="","",IF(ISNUMBER(INDEX($A217:$T217,MATCH(Lists!$F$4,$A$1:$T$1,0))),INT(INDEX($A217:$T217,MATCH(Lists!$F$4,$A$1:$T$1,0))),DATE(VALUE(LEFT(INDEX($A217:$T217,MATCH(Lists!$F$4,$A$1:$T$1,0)),4)),VALUE(MID(INDEX($A217:$T217,MATCH(Lists!$F$4,$A$1:$T$1,0)),6,2)),VALUE(MID(INDEX($A217:$T217,MATCH(Lists!$F$4,$A$1:$T$1,0)),9,2))))),"")),IFERROR(IF(TRIM(INDEX($A217:$T217,MATCH(Lists!$F$4,$A$1:$T$1,0))&amp;"")="","",IF(ISNUMBER(INDEX($A217:$T217,MATCH(Lists!$F$4,$A$1:$T$1,0))),INT(INDEX($A217:$T217,MATCH(Lists!$F$4,$A$1:$T$1,0))),DATE(VALUE(LEFT(INDEX($A217:$T217,MATCH(Lists!$F$4,$A$1:$T$1,0)),4)),VALUE(MID(INDEX($A217:$T217,MATCH(Lists!$F$4,$A$1:$T$1,0)),6,2)),VALUE(MID(INDEX($A217:$T217,MATCH(Lists!$F$4,$A$1:$T$1,0)),9,2))))),""),IFERROR(IF(TRIM(INDEX($A217:$T217,MATCH(Lists!$F$5,$A$1:$T$1,0))&amp;"")="","",IF(ISNUMBER(INDEX($A217:$T217,MATCH(Lists!$F$5,$A$1:$T$1,0))),INT(INDEX($A217:$T217,MATCH(Lists!$F$5,$A$1:$T$1,0))),DATE(VALUE(LEFT(INDEX($A217:$T217,MATCH(Lists!$F$5,$A$1:$T$1,0)),4)),VALUE(MID(INDEX($A217:$T217,MATCH(Lists!$F$5,$A$1:$T$1,0)),6,2)),VALUE(MID(INDEX($A217:$T217,MATCH(Lists!$F$5,$A$1:$T$1,0)),9,2))))),"")))</f>
        <v/>
      </c>
      <c r="AB217" s="21">
        <f>IF(Y217="","",IF(LEFT(IFERROR(TRIM(INDEX($A217:$T217,MATCH(Lists!$F$6,$A$1:$T$1,0))&amp;""),""),2)="No","General comment",IF(IFERROR(TRIM(INDEX($A217:$T217,MATCH(Lists!$F$7,$A$1:$T$1,0))&amp;""),"")&lt;&gt;"",IFERROR(TRIM(INDEX($A217:$T217,MATCH(Lists!$F$7,$A$1:$T$1,0))&amp;""),""),IF(IFERROR(TRIM(INDEX($A217:$T217,MATCH(Lists!$F$8,$A$1:$T$1,0))&amp;""),"")&lt;&gt;"",IFERROR(TRIM(INDEX($A217:$T217,MATCH(Lists!$F$8,$A$1:$T$1,0))&amp;""),""),"(no item given)"))))</f>
        <v/>
      </c>
      <c r="AC217" s="21">
        <f>IF(Y217="","",IF(ISNUMBER(SEARCH("support",IFERROR(TRIM(INDEX($A217:$T217,MATCH(Lists!$F$9,$A$1:$T$1,0))&amp;""),""))),"Support",IF(ISNUMBER(SEARCH("oppose",IFERROR(TRIM(INDEX($A217:$T217,MATCH(Lists!$F$9,$A$1:$T$1,0))&amp;""),""))),"Oppose",IF(IFERROR(TRIM(INDEX($A217:$T217,MATCH(Lists!$F$9,$A$1:$T$1,0))&amp;""),"")="","No position","Neither"))))</f>
        <v/>
      </c>
      <c r="AD217" s="21">
        <f>IF(Y217="","",IF(ISNUMBER(SEARCH("in person",IFERROR(TRIM(INDEX($A217:$T217,MATCH(Lists!$F$13,$A$1:$T$1,0))&amp;""),""))),"In person",IF(ISNUMBER(SEARCH("online",IFERROR(TRIM(INDEX($A217:$T217,MATCH(Lists!$F$13,$A$1:$T$1,0))&amp;""),""))),"Online","Written only")))</f>
        <v/>
      </c>
      <c r="AE217" s="21">
        <f>IF(Y217="","",IFERROR(TRIM(INDEX($A217:$T217,MATCH(Lists!$F$11,$A$1:$T$1,0))&amp;""),""))</f>
        <v/>
      </c>
      <c r="AF217" s="21">
        <f>IF(Y217="","",IFERROR(TRIM(INDEX($A217:$T217,MATCH(Lists!$F$12,$A$1:$T$1,0))&amp;""),""))</f>
        <v/>
      </c>
      <c r="AG217" s="21">
        <f>IF(Y217="","",IFERROR(TRIM(INDEX($A217:$T217,MATCH(Lists!$F$14,$A$1:$T$1,0))&amp;""),""))</f>
        <v/>
      </c>
      <c r="AH217" s="21">
        <f>IF(Y217="","",LEFT(IFERROR(TRIM(INDEX($A217:$T217,MATCH(Lists!$F$10,$A$1:$T$1,0))&amp;""),""),80))</f>
        <v/>
      </c>
      <c r="AI217" s="21">
        <f>IF(Y217="",0,IF(OR(Tally!$B$5="",AA217=Tally!$B$5),1,0))</f>
        <v/>
      </c>
      <c r="AJ217" s="21">
        <f>IF(AI217=1,IF(COUNTIFS($AB$2:AB217,AB217,$AI$2:AI217,1)=1,1,0),0)</f>
        <v/>
      </c>
      <c r="AK217" s="21">
        <f>IF(AJ217=1,SUM($AJ$2:AJ217),"")</f>
        <v/>
      </c>
      <c r="AL217" s="21">
        <f>IF(AND(AI217=1,OR(AD217="In person",AD217="Online"),OR(Speakers!$B$5="",AB217=Speakers!$B$5)),N(Z217)+ROW()/1000000000,"")</f>
        <v/>
      </c>
    </row>
    <row r="218">
      <c r="U218" s="19" t="n"/>
      <c r="V218" s="24" t="n"/>
      <c r="W218" s="24" t="n"/>
      <c r="X218" s="19" t="n"/>
      <c r="Y218" s="21">
        <f>IFERROR(TRIM(INDEX($A218:$T218,MATCH(Lists!$F$2,$A$1:$T$1,0))&amp;""),"")</f>
        <v/>
      </c>
      <c r="Z218" s="22">
        <f>IF(Y218="","",IFERROR(IF(ISNUMBER(INDEX($A218:$T218,MATCH(Lists!$F$3,$A$1:$T$1,0))),INDEX($A218:$T218,MATCH(Lists!$F$3,$A$1:$T$1,0)),DATE(VALUE(LEFT(IFERROR(TRIM(INDEX($A218:$T218,MATCH(Lists!$F$3,$A$1:$T$1,0))&amp;""),""),4)),VALUE(MID(IFERROR(TRIM(INDEX($A218:$T218,MATCH(Lists!$F$3,$A$1:$T$1,0))&amp;""),""),6,2)),VALUE(MID(IFERROR(TRIM(INDEX($A218:$T218,MATCH(Lists!$F$3,$A$1:$T$1,0))&amp;""),""),9,2)))+TIME(VALUE(MID(IFERROR(TRIM(INDEX($A218:$T218,MATCH(Lists!$F$3,$A$1:$T$1,0))&amp;""),""),12,2)),VALUE(MID(IFERROR(TRIM(INDEX($A218:$T218,MATCH(Lists!$F$3,$A$1:$T$1,0))&amp;""),""),15,2)),VALUE(MID(IFERROR(TRIM(INDEX($A218:$T218,MATCH(Lists!$F$3,$A$1:$T$1,0))&amp;""),""),18,2)))),""))</f>
        <v/>
      </c>
      <c r="AA218" s="23">
        <f>IF(Y218="","",IF(ISNUMBER(IFERROR(IF(TRIM(INDEX($A218:$T218,MATCH(Lists!$F$4,$A$1:$T$1,0))&amp;"")="","",IF(ISNUMBER(INDEX($A218:$T218,MATCH(Lists!$F$4,$A$1:$T$1,0))),INT(INDEX($A218:$T218,MATCH(Lists!$F$4,$A$1:$T$1,0))),DATE(VALUE(LEFT(INDEX($A218:$T218,MATCH(Lists!$F$4,$A$1:$T$1,0)),4)),VALUE(MID(INDEX($A218:$T218,MATCH(Lists!$F$4,$A$1:$T$1,0)),6,2)),VALUE(MID(INDEX($A218:$T218,MATCH(Lists!$F$4,$A$1:$T$1,0)),9,2))))),"")),IFERROR(IF(TRIM(INDEX($A218:$T218,MATCH(Lists!$F$4,$A$1:$T$1,0))&amp;"")="","",IF(ISNUMBER(INDEX($A218:$T218,MATCH(Lists!$F$4,$A$1:$T$1,0))),INT(INDEX($A218:$T218,MATCH(Lists!$F$4,$A$1:$T$1,0))),DATE(VALUE(LEFT(INDEX($A218:$T218,MATCH(Lists!$F$4,$A$1:$T$1,0)),4)),VALUE(MID(INDEX($A218:$T218,MATCH(Lists!$F$4,$A$1:$T$1,0)),6,2)),VALUE(MID(INDEX($A218:$T218,MATCH(Lists!$F$4,$A$1:$T$1,0)),9,2))))),""),IFERROR(IF(TRIM(INDEX($A218:$T218,MATCH(Lists!$F$5,$A$1:$T$1,0))&amp;"")="","",IF(ISNUMBER(INDEX($A218:$T218,MATCH(Lists!$F$5,$A$1:$T$1,0))),INT(INDEX($A218:$T218,MATCH(Lists!$F$5,$A$1:$T$1,0))),DATE(VALUE(LEFT(INDEX($A218:$T218,MATCH(Lists!$F$5,$A$1:$T$1,0)),4)),VALUE(MID(INDEX($A218:$T218,MATCH(Lists!$F$5,$A$1:$T$1,0)),6,2)),VALUE(MID(INDEX($A218:$T218,MATCH(Lists!$F$5,$A$1:$T$1,0)),9,2))))),"")))</f>
        <v/>
      </c>
      <c r="AB218" s="21">
        <f>IF(Y218="","",IF(LEFT(IFERROR(TRIM(INDEX($A218:$T218,MATCH(Lists!$F$6,$A$1:$T$1,0))&amp;""),""),2)="No","General comment",IF(IFERROR(TRIM(INDEX($A218:$T218,MATCH(Lists!$F$7,$A$1:$T$1,0))&amp;""),"")&lt;&gt;"",IFERROR(TRIM(INDEX($A218:$T218,MATCH(Lists!$F$7,$A$1:$T$1,0))&amp;""),""),IF(IFERROR(TRIM(INDEX($A218:$T218,MATCH(Lists!$F$8,$A$1:$T$1,0))&amp;""),"")&lt;&gt;"",IFERROR(TRIM(INDEX($A218:$T218,MATCH(Lists!$F$8,$A$1:$T$1,0))&amp;""),""),"(no item given)"))))</f>
        <v/>
      </c>
      <c r="AC218" s="21">
        <f>IF(Y218="","",IF(ISNUMBER(SEARCH("support",IFERROR(TRIM(INDEX($A218:$T218,MATCH(Lists!$F$9,$A$1:$T$1,0))&amp;""),""))),"Support",IF(ISNUMBER(SEARCH("oppose",IFERROR(TRIM(INDEX($A218:$T218,MATCH(Lists!$F$9,$A$1:$T$1,0))&amp;""),""))),"Oppose",IF(IFERROR(TRIM(INDEX($A218:$T218,MATCH(Lists!$F$9,$A$1:$T$1,0))&amp;""),"")="","No position","Neither"))))</f>
        <v/>
      </c>
      <c r="AD218" s="21">
        <f>IF(Y218="","",IF(ISNUMBER(SEARCH("in person",IFERROR(TRIM(INDEX($A218:$T218,MATCH(Lists!$F$13,$A$1:$T$1,0))&amp;""),""))),"In person",IF(ISNUMBER(SEARCH("online",IFERROR(TRIM(INDEX($A218:$T218,MATCH(Lists!$F$13,$A$1:$T$1,0))&amp;""),""))),"Online","Written only")))</f>
        <v/>
      </c>
      <c r="AE218" s="21">
        <f>IF(Y218="","",IFERROR(TRIM(INDEX($A218:$T218,MATCH(Lists!$F$11,$A$1:$T$1,0))&amp;""),""))</f>
        <v/>
      </c>
      <c r="AF218" s="21">
        <f>IF(Y218="","",IFERROR(TRIM(INDEX($A218:$T218,MATCH(Lists!$F$12,$A$1:$T$1,0))&amp;""),""))</f>
        <v/>
      </c>
      <c r="AG218" s="21">
        <f>IF(Y218="","",IFERROR(TRIM(INDEX($A218:$T218,MATCH(Lists!$F$14,$A$1:$T$1,0))&amp;""),""))</f>
        <v/>
      </c>
      <c r="AH218" s="21">
        <f>IF(Y218="","",LEFT(IFERROR(TRIM(INDEX($A218:$T218,MATCH(Lists!$F$10,$A$1:$T$1,0))&amp;""),""),80))</f>
        <v/>
      </c>
      <c r="AI218" s="21">
        <f>IF(Y218="",0,IF(OR(Tally!$B$5="",AA218=Tally!$B$5),1,0))</f>
        <v/>
      </c>
      <c r="AJ218" s="21">
        <f>IF(AI218=1,IF(COUNTIFS($AB$2:AB218,AB218,$AI$2:AI218,1)=1,1,0),0)</f>
        <v/>
      </c>
      <c r="AK218" s="21">
        <f>IF(AJ218=1,SUM($AJ$2:AJ218),"")</f>
        <v/>
      </c>
      <c r="AL218" s="21">
        <f>IF(AND(AI218=1,OR(AD218="In person",AD218="Online"),OR(Speakers!$B$5="",AB218=Speakers!$B$5)),N(Z218)+ROW()/1000000000,"")</f>
        <v/>
      </c>
    </row>
    <row r="219">
      <c r="U219" s="19" t="n"/>
      <c r="V219" s="24" t="n"/>
      <c r="W219" s="24" t="n"/>
      <c r="X219" s="19" t="n"/>
      <c r="Y219" s="21">
        <f>IFERROR(TRIM(INDEX($A219:$T219,MATCH(Lists!$F$2,$A$1:$T$1,0))&amp;""),"")</f>
        <v/>
      </c>
      <c r="Z219" s="22">
        <f>IF(Y219="","",IFERROR(IF(ISNUMBER(INDEX($A219:$T219,MATCH(Lists!$F$3,$A$1:$T$1,0))),INDEX($A219:$T219,MATCH(Lists!$F$3,$A$1:$T$1,0)),DATE(VALUE(LEFT(IFERROR(TRIM(INDEX($A219:$T219,MATCH(Lists!$F$3,$A$1:$T$1,0))&amp;""),""),4)),VALUE(MID(IFERROR(TRIM(INDEX($A219:$T219,MATCH(Lists!$F$3,$A$1:$T$1,0))&amp;""),""),6,2)),VALUE(MID(IFERROR(TRIM(INDEX($A219:$T219,MATCH(Lists!$F$3,$A$1:$T$1,0))&amp;""),""),9,2)))+TIME(VALUE(MID(IFERROR(TRIM(INDEX($A219:$T219,MATCH(Lists!$F$3,$A$1:$T$1,0))&amp;""),""),12,2)),VALUE(MID(IFERROR(TRIM(INDEX($A219:$T219,MATCH(Lists!$F$3,$A$1:$T$1,0))&amp;""),""),15,2)),VALUE(MID(IFERROR(TRIM(INDEX($A219:$T219,MATCH(Lists!$F$3,$A$1:$T$1,0))&amp;""),""),18,2)))),""))</f>
        <v/>
      </c>
      <c r="AA219" s="23">
        <f>IF(Y219="","",IF(ISNUMBER(IFERROR(IF(TRIM(INDEX($A219:$T219,MATCH(Lists!$F$4,$A$1:$T$1,0))&amp;"")="","",IF(ISNUMBER(INDEX($A219:$T219,MATCH(Lists!$F$4,$A$1:$T$1,0))),INT(INDEX($A219:$T219,MATCH(Lists!$F$4,$A$1:$T$1,0))),DATE(VALUE(LEFT(INDEX($A219:$T219,MATCH(Lists!$F$4,$A$1:$T$1,0)),4)),VALUE(MID(INDEX($A219:$T219,MATCH(Lists!$F$4,$A$1:$T$1,0)),6,2)),VALUE(MID(INDEX($A219:$T219,MATCH(Lists!$F$4,$A$1:$T$1,0)),9,2))))),"")),IFERROR(IF(TRIM(INDEX($A219:$T219,MATCH(Lists!$F$4,$A$1:$T$1,0))&amp;"")="","",IF(ISNUMBER(INDEX($A219:$T219,MATCH(Lists!$F$4,$A$1:$T$1,0))),INT(INDEX($A219:$T219,MATCH(Lists!$F$4,$A$1:$T$1,0))),DATE(VALUE(LEFT(INDEX($A219:$T219,MATCH(Lists!$F$4,$A$1:$T$1,0)),4)),VALUE(MID(INDEX($A219:$T219,MATCH(Lists!$F$4,$A$1:$T$1,0)),6,2)),VALUE(MID(INDEX($A219:$T219,MATCH(Lists!$F$4,$A$1:$T$1,0)),9,2))))),""),IFERROR(IF(TRIM(INDEX($A219:$T219,MATCH(Lists!$F$5,$A$1:$T$1,0))&amp;"")="","",IF(ISNUMBER(INDEX($A219:$T219,MATCH(Lists!$F$5,$A$1:$T$1,0))),INT(INDEX($A219:$T219,MATCH(Lists!$F$5,$A$1:$T$1,0))),DATE(VALUE(LEFT(INDEX($A219:$T219,MATCH(Lists!$F$5,$A$1:$T$1,0)),4)),VALUE(MID(INDEX($A219:$T219,MATCH(Lists!$F$5,$A$1:$T$1,0)),6,2)),VALUE(MID(INDEX($A219:$T219,MATCH(Lists!$F$5,$A$1:$T$1,0)),9,2))))),"")))</f>
        <v/>
      </c>
      <c r="AB219" s="21">
        <f>IF(Y219="","",IF(LEFT(IFERROR(TRIM(INDEX($A219:$T219,MATCH(Lists!$F$6,$A$1:$T$1,0))&amp;""),""),2)="No","General comment",IF(IFERROR(TRIM(INDEX($A219:$T219,MATCH(Lists!$F$7,$A$1:$T$1,0))&amp;""),"")&lt;&gt;"",IFERROR(TRIM(INDEX($A219:$T219,MATCH(Lists!$F$7,$A$1:$T$1,0))&amp;""),""),IF(IFERROR(TRIM(INDEX($A219:$T219,MATCH(Lists!$F$8,$A$1:$T$1,0))&amp;""),"")&lt;&gt;"",IFERROR(TRIM(INDEX($A219:$T219,MATCH(Lists!$F$8,$A$1:$T$1,0))&amp;""),""),"(no item given)"))))</f>
        <v/>
      </c>
      <c r="AC219" s="21">
        <f>IF(Y219="","",IF(ISNUMBER(SEARCH("support",IFERROR(TRIM(INDEX($A219:$T219,MATCH(Lists!$F$9,$A$1:$T$1,0))&amp;""),""))),"Support",IF(ISNUMBER(SEARCH("oppose",IFERROR(TRIM(INDEX($A219:$T219,MATCH(Lists!$F$9,$A$1:$T$1,0))&amp;""),""))),"Oppose",IF(IFERROR(TRIM(INDEX($A219:$T219,MATCH(Lists!$F$9,$A$1:$T$1,0))&amp;""),"")="","No position","Neither"))))</f>
        <v/>
      </c>
      <c r="AD219" s="21">
        <f>IF(Y219="","",IF(ISNUMBER(SEARCH("in person",IFERROR(TRIM(INDEX($A219:$T219,MATCH(Lists!$F$13,$A$1:$T$1,0))&amp;""),""))),"In person",IF(ISNUMBER(SEARCH("online",IFERROR(TRIM(INDEX($A219:$T219,MATCH(Lists!$F$13,$A$1:$T$1,0))&amp;""),""))),"Online","Written only")))</f>
        <v/>
      </c>
      <c r="AE219" s="21">
        <f>IF(Y219="","",IFERROR(TRIM(INDEX($A219:$T219,MATCH(Lists!$F$11,$A$1:$T$1,0))&amp;""),""))</f>
        <v/>
      </c>
      <c r="AF219" s="21">
        <f>IF(Y219="","",IFERROR(TRIM(INDEX($A219:$T219,MATCH(Lists!$F$12,$A$1:$T$1,0))&amp;""),""))</f>
        <v/>
      </c>
      <c r="AG219" s="21">
        <f>IF(Y219="","",IFERROR(TRIM(INDEX($A219:$T219,MATCH(Lists!$F$14,$A$1:$T$1,0))&amp;""),""))</f>
        <v/>
      </c>
      <c r="AH219" s="21">
        <f>IF(Y219="","",LEFT(IFERROR(TRIM(INDEX($A219:$T219,MATCH(Lists!$F$10,$A$1:$T$1,0))&amp;""),""),80))</f>
        <v/>
      </c>
      <c r="AI219" s="21">
        <f>IF(Y219="",0,IF(OR(Tally!$B$5="",AA219=Tally!$B$5),1,0))</f>
        <v/>
      </c>
      <c r="AJ219" s="21">
        <f>IF(AI219=1,IF(COUNTIFS($AB$2:AB219,AB219,$AI$2:AI219,1)=1,1,0),0)</f>
        <v/>
      </c>
      <c r="AK219" s="21">
        <f>IF(AJ219=1,SUM($AJ$2:AJ219),"")</f>
        <v/>
      </c>
      <c r="AL219" s="21">
        <f>IF(AND(AI219=1,OR(AD219="In person",AD219="Online"),OR(Speakers!$B$5="",AB219=Speakers!$B$5)),N(Z219)+ROW()/1000000000,"")</f>
        <v/>
      </c>
    </row>
    <row r="220">
      <c r="U220" s="19" t="n"/>
      <c r="V220" s="24" t="n"/>
      <c r="W220" s="24" t="n"/>
      <c r="X220" s="19" t="n"/>
      <c r="Y220" s="21">
        <f>IFERROR(TRIM(INDEX($A220:$T220,MATCH(Lists!$F$2,$A$1:$T$1,0))&amp;""),"")</f>
        <v/>
      </c>
      <c r="Z220" s="22">
        <f>IF(Y220="","",IFERROR(IF(ISNUMBER(INDEX($A220:$T220,MATCH(Lists!$F$3,$A$1:$T$1,0))),INDEX($A220:$T220,MATCH(Lists!$F$3,$A$1:$T$1,0)),DATE(VALUE(LEFT(IFERROR(TRIM(INDEX($A220:$T220,MATCH(Lists!$F$3,$A$1:$T$1,0))&amp;""),""),4)),VALUE(MID(IFERROR(TRIM(INDEX($A220:$T220,MATCH(Lists!$F$3,$A$1:$T$1,0))&amp;""),""),6,2)),VALUE(MID(IFERROR(TRIM(INDEX($A220:$T220,MATCH(Lists!$F$3,$A$1:$T$1,0))&amp;""),""),9,2)))+TIME(VALUE(MID(IFERROR(TRIM(INDEX($A220:$T220,MATCH(Lists!$F$3,$A$1:$T$1,0))&amp;""),""),12,2)),VALUE(MID(IFERROR(TRIM(INDEX($A220:$T220,MATCH(Lists!$F$3,$A$1:$T$1,0))&amp;""),""),15,2)),VALUE(MID(IFERROR(TRIM(INDEX($A220:$T220,MATCH(Lists!$F$3,$A$1:$T$1,0))&amp;""),""),18,2)))),""))</f>
        <v/>
      </c>
      <c r="AA220" s="23">
        <f>IF(Y220="","",IF(ISNUMBER(IFERROR(IF(TRIM(INDEX($A220:$T220,MATCH(Lists!$F$4,$A$1:$T$1,0))&amp;"")="","",IF(ISNUMBER(INDEX($A220:$T220,MATCH(Lists!$F$4,$A$1:$T$1,0))),INT(INDEX($A220:$T220,MATCH(Lists!$F$4,$A$1:$T$1,0))),DATE(VALUE(LEFT(INDEX($A220:$T220,MATCH(Lists!$F$4,$A$1:$T$1,0)),4)),VALUE(MID(INDEX($A220:$T220,MATCH(Lists!$F$4,$A$1:$T$1,0)),6,2)),VALUE(MID(INDEX($A220:$T220,MATCH(Lists!$F$4,$A$1:$T$1,0)),9,2))))),"")),IFERROR(IF(TRIM(INDEX($A220:$T220,MATCH(Lists!$F$4,$A$1:$T$1,0))&amp;"")="","",IF(ISNUMBER(INDEX($A220:$T220,MATCH(Lists!$F$4,$A$1:$T$1,0))),INT(INDEX($A220:$T220,MATCH(Lists!$F$4,$A$1:$T$1,0))),DATE(VALUE(LEFT(INDEX($A220:$T220,MATCH(Lists!$F$4,$A$1:$T$1,0)),4)),VALUE(MID(INDEX($A220:$T220,MATCH(Lists!$F$4,$A$1:$T$1,0)),6,2)),VALUE(MID(INDEX($A220:$T220,MATCH(Lists!$F$4,$A$1:$T$1,0)),9,2))))),""),IFERROR(IF(TRIM(INDEX($A220:$T220,MATCH(Lists!$F$5,$A$1:$T$1,0))&amp;"")="","",IF(ISNUMBER(INDEX($A220:$T220,MATCH(Lists!$F$5,$A$1:$T$1,0))),INT(INDEX($A220:$T220,MATCH(Lists!$F$5,$A$1:$T$1,0))),DATE(VALUE(LEFT(INDEX($A220:$T220,MATCH(Lists!$F$5,$A$1:$T$1,0)),4)),VALUE(MID(INDEX($A220:$T220,MATCH(Lists!$F$5,$A$1:$T$1,0)),6,2)),VALUE(MID(INDEX($A220:$T220,MATCH(Lists!$F$5,$A$1:$T$1,0)),9,2))))),"")))</f>
        <v/>
      </c>
      <c r="AB220" s="21">
        <f>IF(Y220="","",IF(LEFT(IFERROR(TRIM(INDEX($A220:$T220,MATCH(Lists!$F$6,$A$1:$T$1,0))&amp;""),""),2)="No","General comment",IF(IFERROR(TRIM(INDEX($A220:$T220,MATCH(Lists!$F$7,$A$1:$T$1,0))&amp;""),"")&lt;&gt;"",IFERROR(TRIM(INDEX($A220:$T220,MATCH(Lists!$F$7,$A$1:$T$1,0))&amp;""),""),IF(IFERROR(TRIM(INDEX($A220:$T220,MATCH(Lists!$F$8,$A$1:$T$1,0))&amp;""),"")&lt;&gt;"",IFERROR(TRIM(INDEX($A220:$T220,MATCH(Lists!$F$8,$A$1:$T$1,0))&amp;""),""),"(no item given)"))))</f>
        <v/>
      </c>
      <c r="AC220" s="21">
        <f>IF(Y220="","",IF(ISNUMBER(SEARCH("support",IFERROR(TRIM(INDEX($A220:$T220,MATCH(Lists!$F$9,$A$1:$T$1,0))&amp;""),""))),"Support",IF(ISNUMBER(SEARCH("oppose",IFERROR(TRIM(INDEX($A220:$T220,MATCH(Lists!$F$9,$A$1:$T$1,0))&amp;""),""))),"Oppose",IF(IFERROR(TRIM(INDEX($A220:$T220,MATCH(Lists!$F$9,$A$1:$T$1,0))&amp;""),"")="","No position","Neither"))))</f>
        <v/>
      </c>
      <c r="AD220" s="21">
        <f>IF(Y220="","",IF(ISNUMBER(SEARCH("in person",IFERROR(TRIM(INDEX($A220:$T220,MATCH(Lists!$F$13,$A$1:$T$1,0))&amp;""),""))),"In person",IF(ISNUMBER(SEARCH("online",IFERROR(TRIM(INDEX($A220:$T220,MATCH(Lists!$F$13,$A$1:$T$1,0))&amp;""),""))),"Online","Written only")))</f>
        <v/>
      </c>
      <c r="AE220" s="21">
        <f>IF(Y220="","",IFERROR(TRIM(INDEX($A220:$T220,MATCH(Lists!$F$11,$A$1:$T$1,0))&amp;""),""))</f>
        <v/>
      </c>
      <c r="AF220" s="21">
        <f>IF(Y220="","",IFERROR(TRIM(INDEX($A220:$T220,MATCH(Lists!$F$12,$A$1:$T$1,0))&amp;""),""))</f>
        <v/>
      </c>
      <c r="AG220" s="21">
        <f>IF(Y220="","",IFERROR(TRIM(INDEX($A220:$T220,MATCH(Lists!$F$14,$A$1:$T$1,0))&amp;""),""))</f>
        <v/>
      </c>
      <c r="AH220" s="21">
        <f>IF(Y220="","",LEFT(IFERROR(TRIM(INDEX($A220:$T220,MATCH(Lists!$F$10,$A$1:$T$1,0))&amp;""),""),80))</f>
        <v/>
      </c>
      <c r="AI220" s="21">
        <f>IF(Y220="",0,IF(OR(Tally!$B$5="",AA220=Tally!$B$5),1,0))</f>
        <v/>
      </c>
      <c r="AJ220" s="21">
        <f>IF(AI220=1,IF(COUNTIFS($AB$2:AB220,AB220,$AI$2:AI220,1)=1,1,0),0)</f>
        <v/>
      </c>
      <c r="AK220" s="21">
        <f>IF(AJ220=1,SUM($AJ$2:AJ220),"")</f>
        <v/>
      </c>
      <c r="AL220" s="21">
        <f>IF(AND(AI220=1,OR(AD220="In person",AD220="Online"),OR(Speakers!$B$5="",AB220=Speakers!$B$5)),N(Z220)+ROW()/1000000000,"")</f>
        <v/>
      </c>
    </row>
    <row r="221">
      <c r="U221" s="19" t="n"/>
      <c r="V221" s="24" t="n"/>
      <c r="W221" s="24" t="n"/>
      <c r="X221" s="19" t="n"/>
      <c r="Y221" s="21">
        <f>IFERROR(TRIM(INDEX($A221:$T221,MATCH(Lists!$F$2,$A$1:$T$1,0))&amp;""),"")</f>
        <v/>
      </c>
      <c r="Z221" s="22">
        <f>IF(Y221="","",IFERROR(IF(ISNUMBER(INDEX($A221:$T221,MATCH(Lists!$F$3,$A$1:$T$1,0))),INDEX($A221:$T221,MATCH(Lists!$F$3,$A$1:$T$1,0)),DATE(VALUE(LEFT(IFERROR(TRIM(INDEX($A221:$T221,MATCH(Lists!$F$3,$A$1:$T$1,0))&amp;""),""),4)),VALUE(MID(IFERROR(TRIM(INDEX($A221:$T221,MATCH(Lists!$F$3,$A$1:$T$1,0))&amp;""),""),6,2)),VALUE(MID(IFERROR(TRIM(INDEX($A221:$T221,MATCH(Lists!$F$3,$A$1:$T$1,0))&amp;""),""),9,2)))+TIME(VALUE(MID(IFERROR(TRIM(INDEX($A221:$T221,MATCH(Lists!$F$3,$A$1:$T$1,0))&amp;""),""),12,2)),VALUE(MID(IFERROR(TRIM(INDEX($A221:$T221,MATCH(Lists!$F$3,$A$1:$T$1,0))&amp;""),""),15,2)),VALUE(MID(IFERROR(TRIM(INDEX($A221:$T221,MATCH(Lists!$F$3,$A$1:$T$1,0))&amp;""),""),18,2)))),""))</f>
        <v/>
      </c>
      <c r="AA221" s="23">
        <f>IF(Y221="","",IF(ISNUMBER(IFERROR(IF(TRIM(INDEX($A221:$T221,MATCH(Lists!$F$4,$A$1:$T$1,0))&amp;"")="","",IF(ISNUMBER(INDEX($A221:$T221,MATCH(Lists!$F$4,$A$1:$T$1,0))),INT(INDEX($A221:$T221,MATCH(Lists!$F$4,$A$1:$T$1,0))),DATE(VALUE(LEFT(INDEX($A221:$T221,MATCH(Lists!$F$4,$A$1:$T$1,0)),4)),VALUE(MID(INDEX($A221:$T221,MATCH(Lists!$F$4,$A$1:$T$1,0)),6,2)),VALUE(MID(INDEX($A221:$T221,MATCH(Lists!$F$4,$A$1:$T$1,0)),9,2))))),"")),IFERROR(IF(TRIM(INDEX($A221:$T221,MATCH(Lists!$F$4,$A$1:$T$1,0))&amp;"")="","",IF(ISNUMBER(INDEX($A221:$T221,MATCH(Lists!$F$4,$A$1:$T$1,0))),INT(INDEX($A221:$T221,MATCH(Lists!$F$4,$A$1:$T$1,0))),DATE(VALUE(LEFT(INDEX($A221:$T221,MATCH(Lists!$F$4,$A$1:$T$1,0)),4)),VALUE(MID(INDEX($A221:$T221,MATCH(Lists!$F$4,$A$1:$T$1,0)),6,2)),VALUE(MID(INDEX($A221:$T221,MATCH(Lists!$F$4,$A$1:$T$1,0)),9,2))))),""),IFERROR(IF(TRIM(INDEX($A221:$T221,MATCH(Lists!$F$5,$A$1:$T$1,0))&amp;"")="","",IF(ISNUMBER(INDEX($A221:$T221,MATCH(Lists!$F$5,$A$1:$T$1,0))),INT(INDEX($A221:$T221,MATCH(Lists!$F$5,$A$1:$T$1,0))),DATE(VALUE(LEFT(INDEX($A221:$T221,MATCH(Lists!$F$5,$A$1:$T$1,0)),4)),VALUE(MID(INDEX($A221:$T221,MATCH(Lists!$F$5,$A$1:$T$1,0)),6,2)),VALUE(MID(INDEX($A221:$T221,MATCH(Lists!$F$5,$A$1:$T$1,0)),9,2))))),"")))</f>
        <v/>
      </c>
      <c r="AB221" s="21">
        <f>IF(Y221="","",IF(LEFT(IFERROR(TRIM(INDEX($A221:$T221,MATCH(Lists!$F$6,$A$1:$T$1,0))&amp;""),""),2)="No","General comment",IF(IFERROR(TRIM(INDEX($A221:$T221,MATCH(Lists!$F$7,$A$1:$T$1,0))&amp;""),"")&lt;&gt;"",IFERROR(TRIM(INDEX($A221:$T221,MATCH(Lists!$F$7,$A$1:$T$1,0))&amp;""),""),IF(IFERROR(TRIM(INDEX($A221:$T221,MATCH(Lists!$F$8,$A$1:$T$1,0))&amp;""),"")&lt;&gt;"",IFERROR(TRIM(INDEX($A221:$T221,MATCH(Lists!$F$8,$A$1:$T$1,0))&amp;""),""),"(no item given)"))))</f>
        <v/>
      </c>
      <c r="AC221" s="21">
        <f>IF(Y221="","",IF(ISNUMBER(SEARCH("support",IFERROR(TRIM(INDEX($A221:$T221,MATCH(Lists!$F$9,$A$1:$T$1,0))&amp;""),""))),"Support",IF(ISNUMBER(SEARCH("oppose",IFERROR(TRIM(INDEX($A221:$T221,MATCH(Lists!$F$9,$A$1:$T$1,0))&amp;""),""))),"Oppose",IF(IFERROR(TRIM(INDEX($A221:$T221,MATCH(Lists!$F$9,$A$1:$T$1,0))&amp;""),"")="","No position","Neither"))))</f>
        <v/>
      </c>
      <c r="AD221" s="21">
        <f>IF(Y221="","",IF(ISNUMBER(SEARCH("in person",IFERROR(TRIM(INDEX($A221:$T221,MATCH(Lists!$F$13,$A$1:$T$1,0))&amp;""),""))),"In person",IF(ISNUMBER(SEARCH("online",IFERROR(TRIM(INDEX($A221:$T221,MATCH(Lists!$F$13,$A$1:$T$1,0))&amp;""),""))),"Online","Written only")))</f>
        <v/>
      </c>
      <c r="AE221" s="21">
        <f>IF(Y221="","",IFERROR(TRIM(INDEX($A221:$T221,MATCH(Lists!$F$11,$A$1:$T$1,0))&amp;""),""))</f>
        <v/>
      </c>
      <c r="AF221" s="21">
        <f>IF(Y221="","",IFERROR(TRIM(INDEX($A221:$T221,MATCH(Lists!$F$12,$A$1:$T$1,0))&amp;""),""))</f>
        <v/>
      </c>
      <c r="AG221" s="21">
        <f>IF(Y221="","",IFERROR(TRIM(INDEX($A221:$T221,MATCH(Lists!$F$14,$A$1:$T$1,0))&amp;""),""))</f>
        <v/>
      </c>
      <c r="AH221" s="21">
        <f>IF(Y221="","",LEFT(IFERROR(TRIM(INDEX($A221:$T221,MATCH(Lists!$F$10,$A$1:$T$1,0))&amp;""),""),80))</f>
        <v/>
      </c>
      <c r="AI221" s="21">
        <f>IF(Y221="",0,IF(OR(Tally!$B$5="",AA221=Tally!$B$5),1,0))</f>
        <v/>
      </c>
      <c r="AJ221" s="21">
        <f>IF(AI221=1,IF(COUNTIFS($AB$2:AB221,AB221,$AI$2:AI221,1)=1,1,0),0)</f>
        <v/>
      </c>
      <c r="AK221" s="21">
        <f>IF(AJ221=1,SUM($AJ$2:AJ221),"")</f>
        <v/>
      </c>
      <c r="AL221" s="21">
        <f>IF(AND(AI221=1,OR(AD221="In person",AD221="Online"),OR(Speakers!$B$5="",AB221=Speakers!$B$5)),N(Z221)+ROW()/1000000000,"")</f>
        <v/>
      </c>
    </row>
    <row r="222">
      <c r="U222" s="19" t="n"/>
      <c r="V222" s="24" t="n"/>
      <c r="W222" s="24" t="n"/>
      <c r="X222" s="19" t="n"/>
      <c r="Y222" s="21">
        <f>IFERROR(TRIM(INDEX($A222:$T222,MATCH(Lists!$F$2,$A$1:$T$1,0))&amp;""),"")</f>
        <v/>
      </c>
      <c r="Z222" s="22">
        <f>IF(Y222="","",IFERROR(IF(ISNUMBER(INDEX($A222:$T222,MATCH(Lists!$F$3,$A$1:$T$1,0))),INDEX($A222:$T222,MATCH(Lists!$F$3,$A$1:$T$1,0)),DATE(VALUE(LEFT(IFERROR(TRIM(INDEX($A222:$T222,MATCH(Lists!$F$3,$A$1:$T$1,0))&amp;""),""),4)),VALUE(MID(IFERROR(TRIM(INDEX($A222:$T222,MATCH(Lists!$F$3,$A$1:$T$1,0))&amp;""),""),6,2)),VALUE(MID(IFERROR(TRIM(INDEX($A222:$T222,MATCH(Lists!$F$3,$A$1:$T$1,0))&amp;""),""),9,2)))+TIME(VALUE(MID(IFERROR(TRIM(INDEX($A222:$T222,MATCH(Lists!$F$3,$A$1:$T$1,0))&amp;""),""),12,2)),VALUE(MID(IFERROR(TRIM(INDEX($A222:$T222,MATCH(Lists!$F$3,$A$1:$T$1,0))&amp;""),""),15,2)),VALUE(MID(IFERROR(TRIM(INDEX($A222:$T222,MATCH(Lists!$F$3,$A$1:$T$1,0))&amp;""),""),18,2)))),""))</f>
        <v/>
      </c>
      <c r="AA222" s="23">
        <f>IF(Y222="","",IF(ISNUMBER(IFERROR(IF(TRIM(INDEX($A222:$T222,MATCH(Lists!$F$4,$A$1:$T$1,0))&amp;"")="","",IF(ISNUMBER(INDEX($A222:$T222,MATCH(Lists!$F$4,$A$1:$T$1,0))),INT(INDEX($A222:$T222,MATCH(Lists!$F$4,$A$1:$T$1,0))),DATE(VALUE(LEFT(INDEX($A222:$T222,MATCH(Lists!$F$4,$A$1:$T$1,0)),4)),VALUE(MID(INDEX($A222:$T222,MATCH(Lists!$F$4,$A$1:$T$1,0)),6,2)),VALUE(MID(INDEX($A222:$T222,MATCH(Lists!$F$4,$A$1:$T$1,0)),9,2))))),"")),IFERROR(IF(TRIM(INDEX($A222:$T222,MATCH(Lists!$F$4,$A$1:$T$1,0))&amp;"")="","",IF(ISNUMBER(INDEX($A222:$T222,MATCH(Lists!$F$4,$A$1:$T$1,0))),INT(INDEX($A222:$T222,MATCH(Lists!$F$4,$A$1:$T$1,0))),DATE(VALUE(LEFT(INDEX($A222:$T222,MATCH(Lists!$F$4,$A$1:$T$1,0)),4)),VALUE(MID(INDEX($A222:$T222,MATCH(Lists!$F$4,$A$1:$T$1,0)),6,2)),VALUE(MID(INDEX($A222:$T222,MATCH(Lists!$F$4,$A$1:$T$1,0)),9,2))))),""),IFERROR(IF(TRIM(INDEX($A222:$T222,MATCH(Lists!$F$5,$A$1:$T$1,0))&amp;"")="","",IF(ISNUMBER(INDEX($A222:$T222,MATCH(Lists!$F$5,$A$1:$T$1,0))),INT(INDEX($A222:$T222,MATCH(Lists!$F$5,$A$1:$T$1,0))),DATE(VALUE(LEFT(INDEX($A222:$T222,MATCH(Lists!$F$5,$A$1:$T$1,0)),4)),VALUE(MID(INDEX($A222:$T222,MATCH(Lists!$F$5,$A$1:$T$1,0)),6,2)),VALUE(MID(INDEX($A222:$T222,MATCH(Lists!$F$5,$A$1:$T$1,0)),9,2))))),"")))</f>
        <v/>
      </c>
      <c r="AB222" s="21">
        <f>IF(Y222="","",IF(LEFT(IFERROR(TRIM(INDEX($A222:$T222,MATCH(Lists!$F$6,$A$1:$T$1,0))&amp;""),""),2)="No","General comment",IF(IFERROR(TRIM(INDEX($A222:$T222,MATCH(Lists!$F$7,$A$1:$T$1,0))&amp;""),"")&lt;&gt;"",IFERROR(TRIM(INDEX($A222:$T222,MATCH(Lists!$F$7,$A$1:$T$1,0))&amp;""),""),IF(IFERROR(TRIM(INDEX($A222:$T222,MATCH(Lists!$F$8,$A$1:$T$1,0))&amp;""),"")&lt;&gt;"",IFERROR(TRIM(INDEX($A222:$T222,MATCH(Lists!$F$8,$A$1:$T$1,0))&amp;""),""),"(no item given)"))))</f>
        <v/>
      </c>
      <c r="AC222" s="21">
        <f>IF(Y222="","",IF(ISNUMBER(SEARCH("support",IFERROR(TRIM(INDEX($A222:$T222,MATCH(Lists!$F$9,$A$1:$T$1,0))&amp;""),""))),"Support",IF(ISNUMBER(SEARCH("oppose",IFERROR(TRIM(INDEX($A222:$T222,MATCH(Lists!$F$9,$A$1:$T$1,0))&amp;""),""))),"Oppose",IF(IFERROR(TRIM(INDEX($A222:$T222,MATCH(Lists!$F$9,$A$1:$T$1,0))&amp;""),"")="","No position","Neither"))))</f>
        <v/>
      </c>
      <c r="AD222" s="21">
        <f>IF(Y222="","",IF(ISNUMBER(SEARCH("in person",IFERROR(TRIM(INDEX($A222:$T222,MATCH(Lists!$F$13,$A$1:$T$1,0))&amp;""),""))),"In person",IF(ISNUMBER(SEARCH("online",IFERROR(TRIM(INDEX($A222:$T222,MATCH(Lists!$F$13,$A$1:$T$1,0))&amp;""),""))),"Online","Written only")))</f>
        <v/>
      </c>
      <c r="AE222" s="21">
        <f>IF(Y222="","",IFERROR(TRIM(INDEX($A222:$T222,MATCH(Lists!$F$11,$A$1:$T$1,0))&amp;""),""))</f>
        <v/>
      </c>
      <c r="AF222" s="21">
        <f>IF(Y222="","",IFERROR(TRIM(INDEX($A222:$T222,MATCH(Lists!$F$12,$A$1:$T$1,0))&amp;""),""))</f>
        <v/>
      </c>
      <c r="AG222" s="21">
        <f>IF(Y222="","",IFERROR(TRIM(INDEX($A222:$T222,MATCH(Lists!$F$14,$A$1:$T$1,0))&amp;""),""))</f>
        <v/>
      </c>
      <c r="AH222" s="21">
        <f>IF(Y222="","",LEFT(IFERROR(TRIM(INDEX($A222:$T222,MATCH(Lists!$F$10,$A$1:$T$1,0))&amp;""),""),80))</f>
        <v/>
      </c>
      <c r="AI222" s="21">
        <f>IF(Y222="",0,IF(OR(Tally!$B$5="",AA222=Tally!$B$5),1,0))</f>
        <v/>
      </c>
      <c r="AJ222" s="21">
        <f>IF(AI222=1,IF(COUNTIFS($AB$2:AB222,AB222,$AI$2:AI222,1)=1,1,0),0)</f>
        <v/>
      </c>
      <c r="AK222" s="21">
        <f>IF(AJ222=1,SUM($AJ$2:AJ222),"")</f>
        <v/>
      </c>
      <c r="AL222" s="21">
        <f>IF(AND(AI222=1,OR(AD222="In person",AD222="Online"),OR(Speakers!$B$5="",AB222=Speakers!$B$5)),N(Z222)+ROW()/1000000000,"")</f>
        <v/>
      </c>
    </row>
    <row r="223">
      <c r="U223" s="19" t="n"/>
      <c r="V223" s="24" t="n"/>
      <c r="W223" s="24" t="n"/>
      <c r="X223" s="19" t="n"/>
      <c r="Y223" s="21">
        <f>IFERROR(TRIM(INDEX($A223:$T223,MATCH(Lists!$F$2,$A$1:$T$1,0))&amp;""),"")</f>
        <v/>
      </c>
      <c r="Z223" s="22">
        <f>IF(Y223="","",IFERROR(IF(ISNUMBER(INDEX($A223:$T223,MATCH(Lists!$F$3,$A$1:$T$1,0))),INDEX($A223:$T223,MATCH(Lists!$F$3,$A$1:$T$1,0)),DATE(VALUE(LEFT(IFERROR(TRIM(INDEX($A223:$T223,MATCH(Lists!$F$3,$A$1:$T$1,0))&amp;""),""),4)),VALUE(MID(IFERROR(TRIM(INDEX($A223:$T223,MATCH(Lists!$F$3,$A$1:$T$1,0))&amp;""),""),6,2)),VALUE(MID(IFERROR(TRIM(INDEX($A223:$T223,MATCH(Lists!$F$3,$A$1:$T$1,0))&amp;""),""),9,2)))+TIME(VALUE(MID(IFERROR(TRIM(INDEX($A223:$T223,MATCH(Lists!$F$3,$A$1:$T$1,0))&amp;""),""),12,2)),VALUE(MID(IFERROR(TRIM(INDEX($A223:$T223,MATCH(Lists!$F$3,$A$1:$T$1,0))&amp;""),""),15,2)),VALUE(MID(IFERROR(TRIM(INDEX($A223:$T223,MATCH(Lists!$F$3,$A$1:$T$1,0))&amp;""),""),18,2)))),""))</f>
        <v/>
      </c>
      <c r="AA223" s="23">
        <f>IF(Y223="","",IF(ISNUMBER(IFERROR(IF(TRIM(INDEX($A223:$T223,MATCH(Lists!$F$4,$A$1:$T$1,0))&amp;"")="","",IF(ISNUMBER(INDEX($A223:$T223,MATCH(Lists!$F$4,$A$1:$T$1,0))),INT(INDEX($A223:$T223,MATCH(Lists!$F$4,$A$1:$T$1,0))),DATE(VALUE(LEFT(INDEX($A223:$T223,MATCH(Lists!$F$4,$A$1:$T$1,0)),4)),VALUE(MID(INDEX($A223:$T223,MATCH(Lists!$F$4,$A$1:$T$1,0)),6,2)),VALUE(MID(INDEX($A223:$T223,MATCH(Lists!$F$4,$A$1:$T$1,0)),9,2))))),"")),IFERROR(IF(TRIM(INDEX($A223:$T223,MATCH(Lists!$F$4,$A$1:$T$1,0))&amp;"")="","",IF(ISNUMBER(INDEX($A223:$T223,MATCH(Lists!$F$4,$A$1:$T$1,0))),INT(INDEX($A223:$T223,MATCH(Lists!$F$4,$A$1:$T$1,0))),DATE(VALUE(LEFT(INDEX($A223:$T223,MATCH(Lists!$F$4,$A$1:$T$1,0)),4)),VALUE(MID(INDEX($A223:$T223,MATCH(Lists!$F$4,$A$1:$T$1,0)),6,2)),VALUE(MID(INDEX($A223:$T223,MATCH(Lists!$F$4,$A$1:$T$1,0)),9,2))))),""),IFERROR(IF(TRIM(INDEX($A223:$T223,MATCH(Lists!$F$5,$A$1:$T$1,0))&amp;"")="","",IF(ISNUMBER(INDEX($A223:$T223,MATCH(Lists!$F$5,$A$1:$T$1,0))),INT(INDEX($A223:$T223,MATCH(Lists!$F$5,$A$1:$T$1,0))),DATE(VALUE(LEFT(INDEX($A223:$T223,MATCH(Lists!$F$5,$A$1:$T$1,0)),4)),VALUE(MID(INDEX($A223:$T223,MATCH(Lists!$F$5,$A$1:$T$1,0)),6,2)),VALUE(MID(INDEX($A223:$T223,MATCH(Lists!$F$5,$A$1:$T$1,0)),9,2))))),"")))</f>
        <v/>
      </c>
      <c r="AB223" s="21">
        <f>IF(Y223="","",IF(LEFT(IFERROR(TRIM(INDEX($A223:$T223,MATCH(Lists!$F$6,$A$1:$T$1,0))&amp;""),""),2)="No","General comment",IF(IFERROR(TRIM(INDEX($A223:$T223,MATCH(Lists!$F$7,$A$1:$T$1,0))&amp;""),"")&lt;&gt;"",IFERROR(TRIM(INDEX($A223:$T223,MATCH(Lists!$F$7,$A$1:$T$1,0))&amp;""),""),IF(IFERROR(TRIM(INDEX($A223:$T223,MATCH(Lists!$F$8,$A$1:$T$1,0))&amp;""),"")&lt;&gt;"",IFERROR(TRIM(INDEX($A223:$T223,MATCH(Lists!$F$8,$A$1:$T$1,0))&amp;""),""),"(no item given)"))))</f>
        <v/>
      </c>
      <c r="AC223" s="21">
        <f>IF(Y223="","",IF(ISNUMBER(SEARCH("support",IFERROR(TRIM(INDEX($A223:$T223,MATCH(Lists!$F$9,$A$1:$T$1,0))&amp;""),""))),"Support",IF(ISNUMBER(SEARCH("oppose",IFERROR(TRIM(INDEX($A223:$T223,MATCH(Lists!$F$9,$A$1:$T$1,0))&amp;""),""))),"Oppose",IF(IFERROR(TRIM(INDEX($A223:$T223,MATCH(Lists!$F$9,$A$1:$T$1,0))&amp;""),"")="","No position","Neither"))))</f>
        <v/>
      </c>
      <c r="AD223" s="21">
        <f>IF(Y223="","",IF(ISNUMBER(SEARCH("in person",IFERROR(TRIM(INDEX($A223:$T223,MATCH(Lists!$F$13,$A$1:$T$1,0))&amp;""),""))),"In person",IF(ISNUMBER(SEARCH("online",IFERROR(TRIM(INDEX($A223:$T223,MATCH(Lists!$F$13,$A$1:$T$1,0))&amp;""),""))),"Online","Written only")))</f>
        <v/>
      </c>
      <c r="AE223" s="21">
        <f>IF(Y223="","",IFERROR(TRIM(INDEX($A223:$T223,MATCH(Lists!$F$11,$A$1:$T$1,0))&amp;""),""))</f>
        <v/>
      </c>
      <c r="AF223" s="21">
        <f>IF(Y223="","",IFERROR(TRIM(INDEX($A223:$T223,MATCH(Lists!$F$12,$A$1:$T$1,0))&amp;""),""))</f>
        <v/>
      </c>
      <c r="AG223" s="21">
        <f>IF(Y223="","",IFERROR(TRIM(INDEX($A223:$T223,MATCH(Lists!$F$14,$A$1:$T$1,0))&amp;""),""))</f>
        <v/>
      </c>
      <c r="AH223" s="21">
        <f>IF(Y223="","",LEFT(IFERROR(TRIM(INDEX($A223:$T223,MATCH(Lists!$F$10,$A$1:$T$1,0))&amp;""),""),80))</f>
        <v/>
      </c>
      <c r="AI223" s="21">
        <f>IF(Y223="",0,IF(OR(Tally!$B$5="",AA223=Tally!$B$5),1,0))</f>
        <v/>
      </c>
      <c r="AJ223" s="21">
        <f>IF(AI223=1,IF(COUNTIFS($AB$2:AB223,AB223,$AI$2:AI223,1)=1,1,0),0)</f>
        <v/>
      </c>
      <c r="AK223" s="21">
        <f>IF(AJ223=1,SUM($AJ$2:AJ223),"")</f>
        <v/>
      </c>
      <c r="AL223" s="21">
        <f>IF(AND(AI223=1,OR(AD223="In person",AD223="Online"),OR(Speakers!$B$5="",AB223=Speakers!$B$5)),N(Z223)+ROW()/1000000000,"")</f>
        <v/>
      </c>
    </row>
    <row r="224">
      <c r="U224" s="19" t="n"/>
      <c r="V224" s="24" t="n"/>
      <c r="W224" s="24" t="n"/>
      <c r="X224" s="19" t="n"/>
      <c r="Y224" s="21">
        <f>IFERROR(TRIM(INDEX($A224:$T224,MATCH(Lists!$F$2,$A$1:$T$1,0))&amp;""),"")</f>
        <v/>
      </c>
      <c r="Z224" s="22">
        <f>IF(Y224="","",IFERROR(IF(ISNUMBER(INDEX($A224:$T224,MATCH(Lists!$F$3,$A$1:$T$1,0))),INDEX($A224:$T224,MATCH(Lists!$F$3,$A$1:$T$1,0)),DATE(VALUE(LEFT(IFERROR(TRIM(INDEX($A224:$T224,MATCH(Lists!$F$3,$A$1:$T$1,0))&amp;""),""),4)),VALUE(MID(IFERROR(TRIM(INDEX($A224:$T224,MATCH(Lists!$F$3,$A$1:$T$1,0))&amp;""),""),6,2)),VALUE(MID(IFERROR(TRIM(INDEX($A224:$T224,MATCH(Lists!$F$3,$A$1:$T$1,0))&amp;""),""),9,2)))+TIME(VALUE(MID(IFERROR(TRIM(INDEX($A224:$T224,MATCH(Lists!$F$3,$A$1:$T$1,0))&amp;""),""),12,2)),VALUE(MID(IFERROR(TRIM(INDEX($A224:$T224,MATCH(Lists!$F$3,$A$1:$T$1,0))&amp;""),""),15,2)),VALUE(MID(IFERROR(TRIM(INDEX($A224:$T224,MATCH(Lists!$F$3,$A$1:$T$1,0))&amp;""),""),18,2)))),""))</f>
        <v/>
      </c>
      <c r="AA224" s="23">
        <f>IF(Y224="","",IF(ISNUMBER(IFERROR(IF(TRIM(INDEX($A224:$T224,MATCH(Lists!$F$4,$A$1:$T$1,0))&amp;"")="","",IF(ISNUMBER(INDEX($A224:$T224,MATCH(Lists!$F$4,$A$1:$T$1,0))),INT(INDEX($A224:$T224,MATCH(Lists!$F$4,$A$1:$T$1,0))),DATE(VALUE(LEFT(INDEX($A224:$T224,MATCH(Lists!$F$4,$A$1:$T$1,0)),4)),VALUE(MID(INDEX($A224:$T224,MATCH(Lists!$F$4,$A$1:$T$1,0)),6,2)),VALUE(MID(INDEX($A224:$T224,MATCH(Lists!$F$4,$A$1:$T$1,0)),9,2))))),"")),IFERROR(IF(TRIM(INDEX($A224:$T224,MATCH(Lists!$F$4,$A$1:$T$1,0))&amp;"")="","",IF(ISNUMBER(INDEX($A224:$T224,MATCH(Lists!$F$4,$A$1:$T$1,0))),INT(INDEX($A224:$T224,MATCH(Lists!$F$4,$A$1:$T$1,0))),DATE(VALUE(LEFT(INDEX($A224:$T224,MATCH(Lists!$F$4,$A$1:$T$1,0)),4)),VALUE(MID(INDEX($A224:$T224,MATCH(Lists!$F$4,$A$1:$T$1,0)),6,2)),VALUE(MID(INDEX($A224:$T224,MATCH(Lists!$F$4,$A$1:$T$1,0)),9,2))))),""),IFERROR(IF(TRIM(INDEX($A224:$T224,MATCH(Lists!$F$5,$A$1:$T$1,0))&amp;"")="","",IF(ISNUMBER(INDEX($A224:$T224,MATCH(Lists!$F$5,$A$1:$T$1,0))),INT(INDEX($A224:$T224,MATCH(Lists!$F$5,$A$1:$T$1,0))),DATE(VALUE(LEFT(INDEX($A224:$T224,MATCH(Lists!$F$5,$A$1:$T$1,0)),4)),VALUE(MID(INDEX($A224:$T224,MATCH(Lists!$F$5,$A$1:$T$1,0)),6,2)),VALUE(MID(INDEX($A224:$T224,MATCH(Lists!$F$5,$A$1:$T$1,0)),9,2))))),"")))</f>
        <v/>
      </c>
      <c r="AB224" s="21">
        <f>IF(Y224="","",IF(LEFT(IFERROR(TRIM(INDEX($A224:$T224,MATCH(Lists!$F$6,$A$1:$T$1,0))&amp;""),""),2)="No","General comment",IF(IFERROR(TRIM(INDEX($A224:$T224,MATCH(Lists!$F$7,$A$1:$T$1,0))&amp;""),"")&lt;&gt;"",IFERROR(TRIM(INDEX($A224:$T224,MATCH(Lists!$F$7,$A$1:$T$1,0))&amp;""),""),IF(IFERROR(TRIM(INDEX($A224:$T224,MATCH(Lists!$F$8,$A$1:$T$1,0))&amp;""),"")&lt;&gt;"",IFERROR(TRIM(INDEX($A224:$T224,MATCH(Lists!$F$8,$A$1:$T$1,0))&amp;""),""),"(no item given)"))))</f>
        <v/>
      </c>
      <c r="AC224" s="21">
        <f>IF(Y224="","",IF(ISNUMBER(SEARCH("support",IFERROR(TRIM(INDEX($A224:$T224,MATCH(Lists!$F$9,$A$1:$T$1,0))&amp;""),""))),"Support",IF(ISNUMBER(SEARCH("oppose",IFERROR(TRIM(INDEX($A224:$T224,MATCH(Lists!$F$9,$A$1:$T$1,0))&amp;""),""))),"Oppose",IF(IFERROR(TRIM(INDEX($A224:$T224,MATCH(Lists!$F$9,$A$1:$T$1,0))&amp;""),"")="","No position","Neither"))))</f>
        <v/>
      </c>
      <c r="AD224" s="21">
        <f>IF(Y224="","",IF(ISNUMBER(SEARCH("in person",IFERROR(TRIM(INDEX($A224:$T224,MATCH(Lists!$F$13,$A$1:$T$1,0))&amp;""),""))),"In person",IF(ISNUMBER(SEARCH("online",IFERROR(TRIM(INDEX($A224:$T224,MATCH(Lists!$F$13,$A$1:$T$1,0))&amp;""),""))),"Online","Written only")))</f>
        <v/>
      </c>
      <c r="AE224" s="21">
        <f>IF(Y224="","",IFERROR(TRIM(INDEX($A224:$T224,MATCH(Lists!$F$11,$A$1:$T$1,0))&amp;""),""))</f>
        <v/>
      </c>
      <c r="AF224" s="21">
        <f>IF(Y224="","",IFERROR(TRIM(INDEX($A224:$T224,MATCH(Lists!$F$12,$A$1:$T$1,0))&amp;""),""))</f>
        <v/>
      </c>
      <c r="AG224" s="21">
        <f>IF(Y224="","",IFERROR(TRIM(INDEX($A224:$T224,MATCH(Lists!$F$14,$A$1:$T$1,0))&amp;""),""))</f>
        <v/>
      </c>
      <c r="AH224" s="21">
        <f>IF(Y224="","",LEFT(IFERROR(TRIM(INDEX($A224:$T224,MATCH(Lists!$F$10,$A$1:$T$1,0))&amp;""),""),80))</f>
        <v/>
      </c>
      <c r="AI224" s="21">
        <f>IF(Y224="",0,IF(OR(Tally!$B$5="",AA224=Tally!$B$5),1,0))</f>
        <v/>
      </c>
      <c r="AJ224" s="21">
        <f>IF(AI224=1,IF(COUNTIFS($AB$2:AB224,AB224,$AI$2:AI224,1)=1,1,0),0)</f>
        <v/>
      </c>
      <c r="AK224" s="21">
        <f>IF(AJ224=1,SUM($AJ$2:AJ224),"")</f>
        <v/>
      </c>
      <c r="AL224" s="21">
        <f>IF(AND(AI224=1,OR(AD224="In person",AD224="Online"),OR(Speakers!$B$5="",AB224=Speakers!$B$5)),N(Z224)+ROW()/1000000000,"")</f>
        <v/>
      </c>
    </row>
    <row r="225">
      <c r="U225" s="19" t="n"/>
      <c r="V225" s="24" t="n"/>
      <c r="W225" s="24" t="n"/>
      <c r="X225" s="19" t="n"/>
      <c r="Y225" s="21">
        <f>IFERROR(TRIM(INDEX($A225:$T225,MATCH(Lists!$F$2,$A$1:$T$1,0))&amp;""),"")</f>
        <v/>
      </c>
      <c r="Z225" s="22">
        <f>IF(Y225="","",IFERROR(IF(ISNUMBER(INDEX($A225:$T225,MATCH(Lists!$F$3,$A$1:$T$1,0))),INDEX($A225:$T225,MATCH(Lists!$F$3,$A$1:$T$1,0)),DATE(VALUE(LEFT(IFERROR(TRIM(INDEX($A225:$T225,MATCH(Lists!$F$3,$A$1:$T$1,0))&amp;""),""),4)),VALUE(MID(IFERROR(TRIM(INDEX($A225:$T225,MATCH(Lists!$F$3,$A$1:$T$1,0))&amp;""),""),6,2)),VALUE(MID(IFERROR(TRIM(INDEX($A225:$T225,MATCH(Lists!$F$3,$A$1:$T$1,0))&amp;""),""),9,2)))+TIME(VALUE(MID(IFERROR(TRIM(INDEX($A225:$T225,MATCH(Lists!$F$3,$A$1:$T$1,0))&amp;""),""),12,2)),VALUE(MID(IFERROR(TRIM(INDEX($A225:$T225,MATCH(Lists!$F$3,$A$1:$T$1,0))&amp;""),""),15,2)),VALUE(MID(IFERROR(TRIM(INDEX($A225:$T225,MATCH(Lists!$F$3,$A$1:$T$1,0))&amp;""),""),18,2)))),""))</f>
        <v/>
      </c>
      <c r="AA225" s="23">
        <f>IF(Y225="","",IF(ISNUMBER(IFERROR(IF(TRIM(INDEX($A225:$T225,MATCH(Lists!$F$4,$A$1:$T$1,0))&amp;"")="","",IF(ISNUMBER(INDEX($A225:$T225,MATCH(Lists!$F$4,$A$1:$T$1,0))),INT(INDEX($A225:$T225,MATCH(Lists!$F$4,$A$1:$T$1,0))),DATE(VALUE(LEFT(INDEX($A225:$T225,MATCH(Lists!$F$4,$A$1:$T$1,0)),4)),VALUE(MID(INDEX($A225:$T225,MATCH(Lists!$F$4,$A$1:$T$1,0)),6,2)),VALUE(MID(INDEX($A225:$T225,MATCH(Lists!$F$4,$A$1:$T$1,0)),9,2))))),"")),IFERROR(IF(TRIM(INDEX($A225:$T225,MATCH(Lists!$F$4,$A$1:$T$1,0))&amp;"")="","",IF(ISNUMBER(INDEX($A225:$T225,MATCH(Lists!$F$4,$A$1:$T$1,0))),INT(INDEX($A225:$T225,MATCH(Lists!$F$4,$A$1:$T$1,0))),DATE(VALUE(LEFT(INDEX($A225:$T225,MATCH(Lists!$F$4,$A$1:$T$1,0)),4)),VALUE(MID(INDEX($A225:$T225,MATCH(Lists!$F$4,$A$1:$T$1,0)),6,2)),VALUE(MID(INDEX($A225:$T225,MATCH(Lists!$F$4,$A$1:$T$1,0)),9,2))))),""),IFERROR(IF(TRIM(INDEX($A225:$T225,MATCH(Lists!$F$5,$A$1:$T$1,0))&amp;"")="","",IF(ISNUMBER(INDEX($A225:$T225,MATCH(Lists!$F$5,$A$1:$T$1,0))),INT(INDEX($A225:$T225,MATCH(Lists!$F$5,$A$1:$T$1,0))),DATE(VALUE(LEFT(INDEX($A225:$T225,MATCH(Lists!$F$5,$A$1:$T$1,0)),4)),VALUE(MID(INDEX($A225:$T225,MATCH(Lists!$F$5,$A$1:$T$1,0)),6,2)),VALUE(MID(INDEX($A225:$T225,MATCH(Lists!$F$5,$A$1:$T$1,0)),9,2))))),"")))</f>
        <v/>
      </c>
      <c r="AB225" s="21">
        <f>IF(Y225="","",IF(LEFT(IFERROR(TRIM(INDEX($A225:$T225,MATCH(Lists!$F$6,$A$1:$T$1,0))&amp;""),""),2)="No","General comment",IF(IFERROR(TRIM(INDEX($A225:$T225,MATCH(Lists!$F$7,$A$1:$T$1,0))&amp;""),"")&lt;&gt;"",IFERROR(TRIM(INDEX($A225:$T225,MATCH(Lists!$F$7,$A$1:$T$1,0))&amp;""),""),IF(IFERROR(TRIM(INDEX($A225:$T225,MATCH(Lists!$F$8,$A$1:$T$1,0))&amp;""),"")&lt;&gt;"",IFERROR(TRIM(INDEX($A225:$T225,MATCH(Lists!$F$8,$A$1:$T$1,0))&amp;""),""),"(no item given)"))))</f>
        <v/>
      </c>
      <c r="AC225" s="21">
        <f>IF(Y225="","",IF(ISNUMBER(SEARCH("support",IFERROR(TRIM(INDEX($A225:$T225,MATCH(Lists!$F$9,$A$1:$T$1,0))&amp;""),""))),"Support",IF(ISNUMBER(SEARCH("oppose",IFERROR(TRIM(INDEX($A225:$T225,MATCH(Lists!$F$9,$A$1:$T$1,0))&amp;""),""))),"Oppose",IF(IFERROR(TRIM(INDEX($A225:$T225,MATCH(Lists!$F$9,$A$1:$T$1,0))&amp;""),"")="","No position","Neither"))))</f>
        <v/>
      </c>
      <c r="AD225" s="21">
        <f>IF(Y225="","",IF(ISNUMBER(SEARCH("in person",IFERROR(TRIM(INDEX($A225:$T225,MATCH(Lists!$F$13,$A$1:$T$1,0))&amp;""),""))),"In person",IF(ISNUMBER(SEARCH("online",IFERROR(TRIM(INDEX($A225:$T225,MATCH(Lists!$F$13,$A$1:$T$1,0))&amp;""),""))),"Online","Written only")))</f>
        <v/>
      </c>
      <c r="AE225" s="21">
        <f>IF(Y225="","",IFERROR(TRIM(INDEX($A225:$T225,MATCH(Lists!$F$11,$A$1:$T$1,0))&amp;""),""))</f>
        <v/>
      </c>
      <c r="AF225" s="21">
        <f>IF(Y225="","",IFERROR(TRIM(INDEX($A225:$T225,MATCH(Lists!$F$12,$A$1:$T$1,0))&amp;""),""))</f>
        <v/>
      </c>
      <c r="AG225" s="21">
        <f>IF(Y225="","",IFERROR(TRIM(INDEX($A225:$T225,MATCH(Lists!$F$14,$A$1:$T$1,0))&amp;""),""))</f>
        <v/>
      </c>
      <c r="AH225" s="21">
        <f>IF(Y225="","",LEFT(IFERROR(TRIM(INDEX($A225:$T225,MATCH(Lists!$F$10,$A$1:$T$1,0))&amp;""),""),80))</f>
        <v/>
      </c>
      <c r="AI225" s="21">
        <f>IF(Y225="",0,IF(OR(Tally!$B$5="",AA225=Tally!$B$5),1,0))</f>
        <v/>
      </c>
      <c r="AJ225" s="21">
        <f>IF(AI225=1,IF(COUNTIFS($AB$2:AB225,AB225,$AI$2:AI225,1)=1,1,0),0)</f>
        <v/>
      </c>
      <c r="AK225" s="21">
        <f>IF(AJ225=1,SUM($AJ$2:AJ225),"")</f>
        <v/>
      </c>
      <c r="AL225" s="21">
        <f>IF(AND(AI225=1,OR(AD225="In person",AD225="Online"),OR(Speakers!$B$5="",AB225=Speakers!$B$5)),N(Z225)+ROW()/1000000000,"")</f>
        <v/>
      </c>
    </row>
    <row r="226">
      <c r="U226" s="19" t="n"/>
      <c r="V226" s="24" t="n"/>
      <c r="W226" s="24" t="n"/>
      <c r="X226" s="19" t="n"/>
      <c r="Y226" s="21">
        <f>IFERROR(TRIM(INDEX($A226:$T226,MATCH(Lists!$F$2,$A$1:$T$1,0))&amp;""),"")</f>
        <v/>
      </c>
      <c r="Z226" s="22">
        <f>IF(Y226="","",IFERROR(IF(ISNUMBER(INDEX($A226:$T226,MATCH(Lists!$F$3,$A$1:$T$1,0))),INDEX($A226:$T226,MATCH(Lists!$F$3,$A$1:$T$1,0)),DATE(VALUE(LEFT(IFERROR(TRIM(INDEX($A226:$T226,MATCH(Lists!$F$3,$A$1:$T$1,0))&amp;""),""),4)),VALUE(MID(IFERROR(TRIM(INDEX($A226:$T226,MATCH(Lists!$F$3,$A$1:$T$1,0))&amp;""),""),6,2)),VALUE(MID(IFERROR(TRIM(INDEX($A226:$T226,MATCH(Lists!$F$3,$A$1:$T$1,0))&amp;""),""),9,2)))+TIME(VALUE(MID(IFERROR(TRIM(INDEX($A226:$T226,MATCH(Lists!$F$3,$A$1:$T$1,0))&amp;""),""),12,2)),VALUE(MID(IFERROR(TRIM(INDEX($A226:$T226,MATCH(Lists!$F$3,$A$1:$T$1,0))&amp;""),""),15,2)),VALUE(MID(IFERROR(TRIM(INDEX($A226:$T226,MATCH(Lists!$F$3,$A$1:$T$1,0))&amp;""),""),18,2)))),""))</f>
        <v/>
      </c>
      <c r="AA226" s="23">
        <f>IF(Y226="","",IF(ISNUMBER(IFERROR(IF(TRIM(INDEX($A226:$T226,MATCH(Lists!$F$4,$A$1:$T$1,0))&amp;"")="","",IF(ISNUMBER(INDEX($A226:$T226,MATCH(Lists!$F$4,$A$1:$T$1,0))),INT(INDEX($A226:$T226,MATCH(Lists!$F$4,$A$1:$T$1,0))),DATE(VALUE(LEFT(INDEX($A226:$T226,MATCH(Lists!$F$4,$A$1:$T$1,0)),4)),VALUE(MID(INDEX($A226:$T226,MATCH(Lists!$F$4,$A$1:$T$1,0)),6,2)),VALUE(MID(INDEX($A226:$T226,MATCH(Lists!$F$4,$A$1:$T$1,0)),9,2))))),"")),IFERROR(IF(TRIM(INDEX($A226:$T226,MATCH(Lists!$F$4,$A$1:$T$1,0))&amp;"")="","",IF(ISNUMBER(INDEX($A226:$T226,MATCH(Lists!$F$4,$A$1:$T$1,0))),INT(INDEX($A226:$T226,MATCH(Lists!$F$4,$A$1:$T$1,0))),DATE(VALUE(LEFT(INDEX($A226:$T226,MATCH(Lists!$F$4,$A$1:$T$1,0)),4)),VALUE(MID(INDEX($A226:$T226,MATCH(Lists!$F$4,$A$1:$T$1,0)),6,2)),VALUE(MID(INDEX($A226:$T226,MATCH(Lists!$F$4,$A$1:$T$1,0)),9,2))))),""),IFERROR(IF(TRIM(INDEX($A226:$T226,MATCH(Lists!$F$5,$A$1:$T$1,0))&amp;"")="","",IF(ISNUMBER(INDEX($A226:$T226,MATCH(Lists!$F$5,$A$1:$T$1,0))),INT(INDEX($A226:$T226,MATCH(Lists!$F$5,$A$1:$T$1,0))),DATE(VALUE(LEFT(INDEX($A226:$T226,MATCH(Lists!$F$5,$A$1:$T$1,0)),4)),VALUE(MID(INDEX($A226:$T226,MATCH(Lists!$F$5,$A$1:$T$1,0)),6,2)),VALUE(MID(INDEX($A226:$T226,MATCH(Lists!$F$5,$A$1:$T$1,0)),9,2))))),"")))</f>
        <v/>
      </c>
      <c r="AB226" s="21">
        <f>IF(Y226="","",IF(LEFT(IFERROR(TRIM(INDEX($A226:$T226,MATCH(Lists!$F$6,$A$1:$T$1,0))&amp;""),""),2)="No","General comment",IF(IFERROR(TRIM(INDEX($A226:$T226,MATCH(Lists!$F$7,$A$1:$T$1,0))&amp;""),"")&lt;&gt;"",IFERROR(TRIM(INDEX($A226:$T226,MATCH(Lists!$F$7,$A$1:$T$1,0))&amp;""),""),IF(IFERROR(TRIM(INDEX($A226:$T226,MATCH(Lists!$F$8,$A$1:$T$1,0))&amp;""),"")&lt;&gt;"",IFERROR(TRIM(INDEX($A226:$T226,MATCH(Lists!$F$8,$A$1:$T$1,0))&amp;""),""),"(no item given)"))))</f>
        <v/>
      </c>
      <c r="AC226" s="21">
        <f>IF(Y226="","",IF(ISNUMBER(SEARCH("support",IFERROR(TRIM(INDEX($A226:$T226,MATCH(Lists!$F$9,$A$1:$T$1,0))&amp;""),""))),"Support",IF(ISNUMBER(SEARCH("oppose",IFERROR(TRIM(INDEX($A226:$T226,MATCH(Lists!$F$9,$A$1:$T$1,0))&amp;""),""))),"Oppose",IF(IFERROR(TRIM(INDEX($A226:$T226,MATCH(Lists!$F$9,$A$1:$T$1,0))&amp;""),"")="","No position","Neither"))))</f>
        <v/>
      </c>
      <c r="AD226" s="21">
        <f>IF(Y226="","",IF(ISNUMBER(SEARCH("in person",IFERROR(TRIM(INDEX($A226:$T226,MATCH(Lists!$F$13,$A$1:$T$1,0))&amp;""),""))),"In person",IF(ISNUMBER(SEARCH("online",IFERROR(TRIM(INDEX($A226:$T226,MATCH(Lists!$F$13,$A$1:$T$1,0))&amp;""),""))),"Online","Written only")))</f>
        <v/>
      </c>
      <c r="AE226" s="21">
        <f>IF(Y226="","",IFERROR(TRIM(INDEX($A226:$T226,MATCH(Lists!$F$11,$A$1:$T$1,0))&amp;""),""))</f>
        <v/>
      </c>
      <c r="AF226" s="21">
        <f>IF(Y226="","",IFERROR(TRIM(INDEX($A226:$T226,MATCH(Lists!$F$12,$A$1:$T$1,0))&amp;""),""))</f>
        <v/>
      </c>
      <c r="AG226" s="21">
        <f>IF(Y226="","",IFERROR(TRIM(INDEX($A226:$T226,MATCH(Lists!$F$14,$A$1:$T$1,0))&amp;""),""))</f>
        <v/>
      </c>
      <c r="AH226" s="21">
        <f>IF(Y226="","",LEFT(IFERROR(TRIM(INDEX($A226:$T226,MATCH(Lists!$F$10,$A$1:$T$1,0))&amp;""),""),80))</f>
        <v/>
      </c>
      <c r="AI226" s="21">
        <f>IF(Y226="",0,IF(OR(Tally!$B$5="",AA226=Tally!$B$5),1,0))</f>
        <v/>
      </c>
      <c r="AJ226" s="21">
        <f>IF(AI226=1,IF(COUNTIFS($AB$2:AB226,AB226,$AI$2:AI226,1)=1,1,0),0)</f>
        <v/>
      </c>
      <c r="AK226" s="21">
        <f>IF(AJ226=1,SUM($AJ$2:AJ226),"")</f>
        <v/>
      </c>
      <c r="AL226" s="21">
        <f>IF(AND(AI226=1,OR(AD226="In person",AD226="Online"),OR(Speakers!$B$5="",AB226=Speakers!$B$5)),N(Z226)+ROW()/1000000000,"")</f>
        <v/>
      </c>
    </row>
    <row r="227">
      <c r="U227" s="19" t="n"/>
      <c r="V227" s="24" t="n"/>
      <c r="W227" s="24" t="n"/>
      <c r="X227" s="19" t="n"/>
      <c r="Y227" s="21">
        <f>IFERROR(TRIM(INDEX($A227:$T227,MATCH(Lists!$F$2,$A$1:$T$1,0))&amp;""),"")</f>
        <v/>
      </c>
      <c r="Z227" s="22">
        <f>IF(Y227="","",IFERROR(IF(ISNUMBER(INDEX($A227:$T227,MATCH(Lists!$F$3,$A$1:$T$1,0))),INDEX($A227:$T227,MATCH(Lists!$F$3,$A$1:$T$1,0)),DATE(VALUE(LEFT(IFERROR(TRIM(INDEX($A227:$T227,MATCH(Lists!$F$3,$A$1:$T$1,0))&amp;""),""),4)),VALUE(MID(IFERROR(TRIM(INDEX($A227:$T227,MATCH(Lists!$F$3,$A$1:$T$1,0))&amp;""),""),6,2)),VALUE(MID(IFERROR(TRIM(INDEX($A227:$T227,MATCH(Lists!$F$3,$A$1:$T$1,0))&amp;""),""),9,2)))+TIME(VALUE(MID(IFERROR(TRIM(INDEX($A227:$T227,MATCH(Lists!$F$3,$A$1:$T$1,0))&amp;""),""),12,2)),VALUE(MID(IFERROR(TRIM(INDEX($A227:$T227,MATCH(Lists!$F$3,$A$1:$T$1,0))&amp;""),""),15,2)),VALUE(MID(IFERROR(TRIM(INDEX($A227:$T227,MATCH(Lists!$F$3,$A$1:$T$1,0))&amp;""),""),18,2)))),""))</f>
        <v/>
      </c>
      <c r="AA227" s="23">
        <f>IF(Y227="","",IF(ISNUMBER(IFERROR(IF(TRIM(INDEX($A227:$T227,MATCH(Lists!$F$4,$A$1:$T$1,0))&amp;"")="","",IF(ISNUMBER(INDEX($A227:$T227,MATCH(Lists!$F$4,$A$1:$T$1,0))),INT(INDEX($A227:$T227,MATCH(Lists!$F$4,$A$1:$T$1,0))),DATE(VALUE(LEFT(INDEX($A227:$T227,MATCH(Lists!$F$4,$A$1:$T$1,0)),4)),VALUE(MID(INDEX($A227:$T227,MATCH(Lists!$F$4,$A$1:$T$1,0)),6,2)),VALUE(MID(INDEX($A227:$T227,MATCH(Lists!$F$4,$A$1:$T$1,0)),9,2))))),"")),IFERROR(IF(TRIM(INDEX($A227:$T227,MATCH(Lists!$F$4,$A$1:$T$1,0))&amp;"")="","",IF(ISNUMBER(INDEX($A227:$T227,MATCH(Lists!$F$4,$A$1:$T$1,0))),INT(INDEX($A227:$T227,MATCH(Lists!$F$4,$A$1:$T$1,0))),DATE(VALUE(LEFT(INDEX($A227:$T227,MATCH(Lists!$F$4,$A$1:$T$1,0)),4)),VALUE(MID(INDEX($A227:$T227,MATCH(Lists!$F$4,$A$1:$T$1,0)),6,2)),VALUE(MID(INDEX($A227:$T227,MATCH(Lists!$F$4,$A$1:$T$1,0)),9,2))))),""),IFERROR(IF(TRIM(INDEX($A227:$T227,MATCH(Lists!$F$5,$A$1:$T$1,0))&amp;"")="","",IF(ISNUMBER(INDEX($A227:$T227,MATCH(Lists!$F$5,$A$1:$T$1,0))),INT(INDEX($A227:$T227,MATCH(Lists!$F$5,$A$1:$T$1,0))),DATE(VALUE(LEFT(INDEX($A227:$T227,MATCH(Lists!$F$5,$A$1:$T$1,0)),4)),VALUE(MID(INDEX($A227:$T227,MATCH(Lists!$F$5,$A$1:$T$1,0)),6,2)),VALUE(MID(INDEX($A227:$T227,MATCH(Lists!$F$5,$A$1:$T$1,0)),9,2))))),"")))</f>
        <v/>
      </c>
      <c r="AB227" s="21">
        <f>IF(Y227="","",IF(LEFT(IFERROR(TRIM(INDEX($A227:$T227,MATCH(Lists!$F$6,$A$1:$T$1,0))&amp;""),""),2)="No","General comment",IF(IFERROR(TRIM(INDEX($A227:$T227,MATCH(Lists!$F$7,$A$1:$T$1,0))&amp;""),"")&lt;&gt;"",IFERROR(TRIM(INDEX($A227:$T227,MATCH(Lists!$F$7,$A$1:$T$1,0))&amp;""),""),IF(IFERROR(TRIM(INDEX($A227:$T227,MATCH(Lists!$F$8,$A$1:$T$1,0))&amp;""),"")&lt;&gt;"",IFERROR(TRIM(INDEX($A227:$T227,MATCH(Lists!$F$8,$A$1:$T$1,0))&amp;""),""),"(no item given)"))))</f>
        <v/>
      </c>
      <c r="AC227" s="21">
        <f>IF(Y227="","",IF(ISNUMBER(SEARCH("support",IFERROR(TRIM(INDEX($A227:$T227,MATCH(Lists!$F$9,$A$1:$T$1,0))&amp;""),""))),"Support",IF(ISNUMBER(SEARCH("oppose",IFERROR(TRIM(INDEX($A227:$T227,MATCH(Lists!$F$9,$A$1:$T$1,0))&amp;""),""))),"Oppose",IF(IFERROR(TRIM(INDEX($A227:$T227,MATCH(Lists!$F$9,$A$1:$T$1,0))&amp;""),"")="","No position","Neither"))))</f>
        <v/>
      </c>
      <c r="AD227" s="21">
        <f>IF(Y227="","",IF(ISNUMBER(SEARCH("in person",IFERROR(TRIM(INDEX($A227:$T227,MATCH(Lists!$F$13,$A$1:$T$1,0))&amp;""),""))),"In person",IF(ISNUMBER(SEARCH("online",IFERROR(TRIM(INDEX($A227:$T227,MATCH(Lists!$F$13,$A$1:$T$1,0))&amp;""),""))),"Online","Written only")))</f>
        <v/>
      </c>
      <c r="AE227" s="21">
        <f>IF(Y227="","",IFERROR(TRIM(INDEX($A227:$T227,MATCH(Lists!$F$11,$A$1:$T$1,0))&amp;""),""))</f>
        <v/>
      </c>
      <c r="AF227" s="21">
        <f>IF(Y227="","",IFERROR(TRIM(INDEX($A227:$T227,MATCH(Lists!$F$12,$A$1:$T$1,0))&amp;""),""))</f>
        <v/>
      </c>
      <c r="AG227" s="21">
        <f>IF(Y227="","",IFERROR(TRIM(INDEX($A227:$T227,MATCH(Lists!$F$14,$A$1:$T$1,0))&amp;""),""))</f>
        <v/>
      </c>
      <c r="AH227" s="21">
        <f>IF(Y227="","",LEFT(IFERROR(TRIM(INDEX($A227:$T227,MATCH(Lists!$F$10,$A$1:$T$1,0))&amp;""),""),80))</f>
        <v/>
      </c>
      <c r="AI227" s="21">
        <f>IF(Y227="",0,IF(OR(Tally!$B$5="",AA227=Tally!$B$5),1,0))</f>
        <v/>
      </c>
      <c r="AJ227" s="21">
        <f>IF(AI227=1,IF(COUNTIFS($AB$2:AB227,AB227,$AI$2:AI227,1)=1,1,0),0)</f>
        <v/>
      </c>
      <c r="AK227" s="21">
        <f>IF(AJ227=1,SUM($AJ$2:AJ227),"")</f>
        <v/>
      </c>
      <c r="AL227" s="21">
        <f>IF(AND(AI227=1,OR(AD227="In person",AD227="Online"),OR(Speakers!$B$5="",AB227=Speakers!$B$5)),N(Z227)+ROW()/1000000000,"")</f>
        <v/>
      </c>
    </row>
    <row r="228">
      <c r="U228" s="19" t="n"/>
      <c r="V228" s="24" t="n"/>
      <c r="W228" s="24" t="n"/>
      <c r="X228" s="19" t="n"/>
      <c r="Y228" s="21">
        <f>IFERROR(TRIM(INDEX($A228:$T228,MATCH(Lists!$F$2,$A$1:$T$1,0))&amp;""),"")</f>
        <v/>
      </c>
      <c r="Z228" s="22">
        <f>IF(Y228="","",IFERROR(IF(ISNUMBER(INDEX($A228:$T228,MATCH(Lists!$F$3,$A$1:$T$1,0))),INDEX($A228:$T228,MATCH(Lists!$F$3,$A$1:$T$1,0)),DATE(VALUE(LEFT(IFERROR(TRIM(INDEX($A228:$T228,MATCH(Lists!$F$3,$A$1:$T$1,0))&amp;""),""),4)),VALUE(MID(IFERROR(TRIM(INDEX($A228:$T228,MATCH(Lists!$F$3,$A$1:$T$1,0))&amp;""),""),6,2)),VALUE(MID(IFERROR(TRIM(INDEX($A228:$T228,MATCH(Lists!$F$3,$A$1:$T$1,0))&amp;""),""),9,2)))+TIME(VALUE(MID(IFERROR(TRIM(INDEX($A228:$T228,MATCH(Lists!$F$3,$A$1:$T$1,0))&amp;""),""),12,2)),VALUE(MID(IFERROR(TRIM(INDEX($A228:$T228,MATCH(Lists!$F$3,$A$1:$T$1,0))&amp;""),""),15,2)),VALUE(MID(IFERROR(TRIM(INDEX($A228:$T228,MATCH(Lists!$F$3,$A$1:$T$1,0))&amp;""),""),18,2)))),""))</f>
        <v/>
      </c>
      <c r="AA228" s="23">
        <f>IF(Y228="","",IF(ISNUMBER(IFERROR(IF(TRIM(INDEX($A228:$T228,MATCH(Lists!$F$4,$A$1:$T$1,0))&amp;"")="","",IF(ISNUMBER(INDEX($A228:$T228,MATCH(Lists!$F$4,$A$1:$T$1,0))),INT(INDEX($A228:$T228,MATCH(Lists!$F$4,$A$1:$T$1,0))),DATE(VALUE(LEFT(INDEX($A228:$T228,MATCH(Lists!$F$4,$A$1:$T$1,0)),4)),VALUE(MID(INDEX($A228:$T228,MATCH(Lists!$F$4,$A$1:$T$1,0)),6,2)),VALUE(MID(INDEX($A228:$T228,MATCH(Lists!$F$4,$A$1:$T$1,0)),9,2))))),"")),IFERROR(IF(TRIM(INDEX($A228:$T228,MATCH(Lists!$F$4,$A$1:$T$1,0))&amp;"")="","",IF(ISNUMBER(INDEX($A228:$T228,MATCH(Lists!$F$4,$A$1:$T$1,0))),INT(INDEX($A228:$T228,MATCH(Lists!$F$4,$A$1:$T$1,0))),DATE(VALUE(LEFT(INDEX($A228:$T228,MATCH(Lists!$F$4,$A$1:$T$1,0)),4)),VALUE(MID(INDEX($A228:$T228,MATCH(Lists!$F$4,$A$1:$T$1,0)),6,2)),VALUE(MID(INDEX($A228:$T228,MATCH(Lists!$F$4,$A$1:$T$1,0)),9,2))))),""),IFERROR(IF(TRIM(INDEX($A228:$T228,MATCH(Lists!$F$5,$A$1:$T$1,0))&amp;"")="","",IF(ISNUMBER(INDEX($A228:$T228,MATCH(Lists!$F$5,$A$1:$T$1,0))),INT(INDEX($A228:$T228,MATCH(Lists!$F$5,$A$1:$T$1,0))),DATE(VALUE(LEFT(INDEX($A228:$T228,MATCH(Lists!$F$5,$A$1:$T$1,0)),4)),VALUE(MID(INDEX($A228:$T228,MATCH(Lists!$F$5,$A$1:$T$1,0)),6,2)),VALUE(MID(INDEX($A228:$T228,MATCH(Lists!$F$5,$A$1:$T$1,0)),9,2))))),"")))</f>
        <v/>
      </c>
      <c r="AB228" s="21">
        <f>IF(Y228="","",IF(LEFT(IFERROR(TRIM(INDEX($A228:$T228,MATCH(Lists!$F$6,$A$1:$T$1,0))&amp;""),""),2)="No","General comment",IF(IFERROR(TRIM(INDEX($A228:$T228,MATCH(Lists!$F$7,$A$1:$T$1,0))&amp;""),"")&lt;&gt;"",IFERROR(TRIM(INDEX($A228:$T228,MATCH(Lists!$F$7,$A$1:$T$1,0))&amp;""),""),IF(IFERROR(TRIM(INDEX($A228:$T228,MATCH(Lists!$F$8,$A$1:$T$1,0))&amp;""),"")&lt;&gt;"",IFERROR(TRIM(INDEX($A228:$T228,MATCH(Lists!$F$8,$A$1:$T$1,0))&amp;""),""),"(no item given)"))))</f>
        <v/>
      </c>
      <c r="AC228" s="21">
        <f>IF(Y228="","",IF(ISNUMBER(SEARCH("support",IFERROR(TRIM(INDEX($A228:$T228,MATCH(Lists!$F$9,$A$1:$T$1,0))&amp;""),""))),"Support",IF(ISNUMBER(SEARCH("oppose",IFERROR(TRIM(INDEX($A228:$T228,MATCH(Lists!$F$9,$A$1:$T$1,0))&amp;""),""))),"Oppose",IF(IFERROR(TRIM(INDEX($A228:$T228,MATCH(Lists!$F$9,$A$1:$T$1,0))&amp;""),"")="","No position","Neither"))))</f>
        <v/>
      </c>
      <c r="AD228" s="21">
        <f>IF(Y228="","",IF(ISNUMBER(SEARCH("in person",IFERROR(TRIM(INDEX($A228:$T228,MATCH(Lists!$F$13,$A$1:$T$1,0))&amp;""),""))),"In person",IF(ISNUMBER(SEARCH("online",IFERROR(TRIM(INDEX($A228:$T228,MATCH(Lists!$F$13,$A$1:$T$1,0))&amp;""),""))),"Online","Written only")))</f>
        <v/>
      </c>
      <c r="AE228" s="21">
        <f>IF(Y228="","",IFERROR(TRIM(INDEX($A228:$T228,MATCH(Lists!$F$11,$A$1:$T$1,0))&amp;""),""))</f>
        <v/>
      </c>
      <c r="AF228" s="21">
        <f>IF(Y228="","",IFERROR(TRIM(INDEX($A228:$T228,MATCH(Lists!$F$12,$A$1:$T$1,0))&amp;""),""))</f>
        <v/>
      </c>
      <c r="AG228" s="21">
        <f>IF(Y228="","",IFERROR(TRIM(INDEX($A228:$T228,MATCH(Lists!$F$14,$A$1:$T$1,0))&amp;""),""))</f>
        <v/>
      </c>
      <c r="AH228" s="21">
        <f>IF(Y228="","",LEFT(IFERROR(TRIM(INDEX($A228:$T228,MATCH(Lists!$F$10,$A$1:$T$1,0))&amp;""),""),80))</f>
        <v/>
      </c>
      <c r="AI228" s="21">
        <f>IF(Y228="",0,IF(OR(Tally!$B$5="",AA228=Tally!$B$5),1,0))</f>
        <v/>
      </c>
      <c r="AJ228" s="21">
        <f>IF(AI228=1,IF(COUNTIFS($AB$2:AB228,AB228,$AI$2:AI228,1)=1,1,0),0)</f>
        <v/>
      </c>
      <c r="AK228" s="21">
        <f>IF(AJ228=1,SUM($AJ$2:AJ228),"")</f>
        <v/>
      </c>
      <c r="AL228" s="21">
        <f>IF(AND(AI228=1,OR(AD228="In person",AD228="Online"),OR(Speakers!$B$5="",AB228=Speakers!$B$5)),N(Z228)+ROW()/1000000000,"")</f>
        <v/>
      </c>
    </row>
    <row r="229">
      <c r="U229" s="19" t="n"/>
      <c r="V229" s="24" t="n"/>
      <c r="W229" s="24" t="n"/>
      <c r="X229" s="19" t="n"/>
      <c r="Y229" s="21">
        <f>IFERROR(TRIM(INDEX($A229:$T229,MATCH(Lists!$F$2,$A$1:$T$1,0))&amp;""),"")</f>
        <v/>
      </c>
      <c r="Z229" s="22">
        <f>IF(Y229="","",IFERROR(IF(ISNUMBER(INDEX($A229:$T229,MATCH(Lists!$F$3,$A$1:$T$1,0))),INDEX($A229:$T229,MATCH(Lists!$F$3,$A$1:$T$1,0)),DATE(VALUE(LEFT(IFERROR(TRIM(INDEX($A229:$T229,MATCH(Lists!$F$3,$A$1:$T$1,0))&amp;""),""),4)),VALUE(MID(IFERROR(TRIM(INDEX($A229:$T229,MATCH(Lists!$F$3,$A$1:$T$1,0))&amp;""),""),6,2)),VALUE(MID(IFERROR(TRIM(INDEX($A229:$T229,MATCH(Lists!$F$3,$A$1:$T$1,0))&amp;""),""),9,2)))+TIME(VALUE(MID(IFERROR(TRIM(INDEX($A229:$T229,MATCH(Lists!$F$3,$A$1:$T$1,0))&amp;""),""),12,2)),VALUE(MID(IFERROR(TRIM(INDEX($A229:$T229,MATCH(Lists!$F$3,$A$1:$T$1,0))&amp;""),""),15,2)),VALUE(MID(IFERROR(TRIM(INDEX($A229:$T229,MATCH(Lists!$F$3,$A$1:$T$1,0))&amp;""),""),18,2)))),""))</f>
        <v/>
      </c>
      <c r="AA229" s="23">
        <f>IF(Y229="","",IF(ISNUMBER(IFERROR(IF(TRIM(INDEX($A229:$T229,MATCH(Lists!$F$4,$A$1:$T$1,0))&amp;"")="","",IF(ISNUMBER(INDEX($A229:$T229,MATCH(Lists!$F$4,$A$1:$T$1,0))),INT(INDEX($A229:$T229,MATCH(Lists!$F$4,$A$1:$T$1,0))),DATE(VALUE(LEFT(INDEX($A229:$T229,MATCH(Lists!$F$4,$A$1:$T$1,0)),4)),VALUE(MID(INDEX($A229:$T229,MATCH(Lists!$F$4,$A$1:$T$1,0)),6,2)),VALUE(MID(INDEX($A229:$T229,MATCH(Lists!$F$4,$A$1:$T$1,0)),9,2))))),"")),IFERROR(IF(TRIM(INDEX($A229:$T229,MATCH(Lists!$F$4,$A$1:$T$1,0))&amp;"")="","",IF(ISNUMBER(INDEX($A229:$T229,MATCH(Lists!$F$4,$A$1:$T$1,0))),INT(INDEX($A229:$T229,MATCH(Lists!$F$4,$A$1:$T$1,0))),DATE(VALUE(LEFT(INDEX($A229:$T229,MATCH(Lists!$F$4,$A$1:$T$1,0)),4)),VALUE(MID(INDEX($A229:$T229,MATCH(Lists!$F$4,$A$1:$T$1,0)),6,2)),VALUE(MID(INDEX($A229:$T229,MATCH(Lists!$F$4,$A$1:$T$1,0)),9,2))))),""),IFERROR(IF(TRIM(INDEX($A229:$T229,MATCH(Lists!$F$5,$A$1:$T$1,0))&amp;"")="","",IF(ISNUMBER(INDEX($A229:$T229,MATCH(Lists!$F$5,$A$1:$T$1,0))),INT(INDEX($A229:$T229,MATCH(Lists!$F$5,$A$1:$T$1,0))),DATE(VALUE(LEFT(INDEX($A229:$T229,MATCH(Lists!$F$5,$A$1:$T$1,0)),4)),VALUE(MID(INDEX($A229:$T229,MATCH(Lists!$F$5,$A$1:$T$1,0)),6,2)),VALUE(MID(INDEX($A229:$T229,MATCH(Lists!$F$5,$A$1:$T$1,0)),9,2))))),"")))</f>
        <v/>
      </c>
      <c r="AB229" s="21">
        <f>IF(Y229="","",IF(LEFT(IFERROR(TRIM(INDEX($A229:$T229,MATCH(Lists!$F$6,$A$1:$T$1,0))&amp;""),""),2)="No","General comment",IF(IFERROR(TRIM(INDEX($A229:$T229,MATCH(Lists!$F$7,$A$1:$T$1,0))&amp;""),"")&lt;&gt;"",IFERROR(TRIM(INDEX($A229:$T229,MATCH(Lists!$F$7,$A$1:$T$1,0))&amp;""),""),IF(IFERROR(TRIM(INDEX($A229:$T229,MATCH(Lists!$F$8,$A$1:$T$1,0))&amp;""),"")&lt;&gt;"",IFERROR(TRIM(INDEX($A229:$T229,MATCH(Lists!$F$8,$A$1:$T$1,0))&amp;""),""),"(no item given)"))))</f>
        <v/>
      </c>
      <c r="AC229" s="21">
        <f>IF(Y229="","",IF(ISNUMBER(SEARCH("support",IFERROR(TRIM(INDEX($A229:$T229,MATCH(Lists!$F$9,$A$1:$T$1,0))&amp;""),""))),"Support",IF(ISNUMBER(SEARCH("oppose",IFERROR(TRIM(INDEX($A229:$T229,MATCH(Lists!$F$9,$A$1:$T$1,0))&amp;""),""))),"Oppose",IF(IFERROR(TRIM(INDEX($A229:$T229,MATCH(Lists!$F$9,$A$1:$T$1,0))&amp;""),"")="","No position","Neither"))))</f>
        <v/>
      </c>
      <c r="AD229" s="21">
        <f>IF(Y229="","",IF(ISNUMBER(SEARCH("in person",IFERROR(TRIM(INDEX($A229:$T229,MATCH(Lists!$F$13,$A$1:$T$1,0))&amp;""),""))),"In person",IF(ISNUMBER(SEARCH("online",IFERROR(TRIM(INDEX($A229:$T229,MATCH(Lists!$F$13,$A$1:$T$1,0))&amp;""),""))),"Online","Written only")))</f>
        <v/>
      </c>
      <c r="AE229" s="21">
        <f>IF(Y229="","",IFERROR(TRIM(INDEX($A229:$T229,MATCH(Lists!$F$11,$A$1:$T$1,0))&amp;""),""))</f>
        <v/>
      </c>
      <c r="AF229" s="21">
        <f>IF(Y229="","",IFERROR(TRIM(INDEX($A229:$T229,MATCH(Lists!$F$12,$A$1:$T$1,0))&amp;""),""))</f>
        <v/>
      </c>
      <c r="AG229" s="21">
        <f>IF(Y229="","",IFERROR(TRIM(INDEX($A229:$T229,MATCH(Lists!$F$14,$A$1:$T$1,0))&amp;""),""))</f>
        <v/>
      </c>
      <c r="AH229" s="21">
        <f>IF(Y229="","",LEFT(IFERROR(TRIM(INDEX($A229:$T229,MATCH(Lists!$F$10,$A$1:$T$1,0))&amp;""),""),80))</f>
        <v/>
      </c>
      <c r="AI229" s="21">
        <f>IF(Y229="",0,IF(OR(Tally!$B$5="",AA229=Tally!$B$5),1,0))</f>
        <v/>
      </c>
      <c r="AJ229" s="21">
        <f>IF(AI229=1,IF(COUNTIFS($AB$2:AB229,AB229,$AI$2:AI229,1)=1,1,0),0)</f>
        <v/>
      </c>
      <c r="AK229" s="21">
        <f>IF(AJ229=1,SUM($AJ$2:AJ229),"")</f>
        <v/>
      </c>
      <c r="AL229" s="21">
        <f>IF(AND(AI229=1,OR(AD229="In person",AD229="Online"),OR(Speakers!$B$5="",AB229=Speakers!$B$5)),N(Z229)+ROW()/1000000000,"")</f>
        <v/>
      </c>
    </row>
    <row r="230">
      <c r="U230" s="19" t="n"/>
      <c r="V230" s="24" t="n"/>
      <c r="W230" s="24" t="n"/>
      <c r="X230" s="19" t="n"/>
      <c r="Y230" s="21">
        <f>IFERROR(TRIM(INDEX($A230:$T230,MATCH(Lists!$F$2,$A$1:$T$1,0))&amp;""),"")</f>
        <v/>
      </c>
      <c r="Z230" s="22">
        <f>IF(Y230="","",IFERROR(IF(ISNUMBER(INDEX($A230:$T230,MATCH(Lists!$F$3,$A$1:$T$1,0))),INDEX($A230:$T230,MATCH(Lists!$F$3,$A$1:$T$1,0)),DATE(VALUE(LEFT(IFERROR(TRIM(INDEX($A230:$T230,MATCH(Lists!$F$3,$A$1:$T$1,0))&amp;""),""),4)),VALUE(MID(IFERROR(TRIM(INDEX($A230:$T230,MATCH(Lists!$F$3,$A$1:$T$1,0))&amp;""),""),6,2)),VALUE(MID(IFERROR(TRIM(INDEX($A230:$T230,MATCH(Lists!$F$3,$A$1:$T$1,0))&amp;""),""),9,2)))+TIME(VALUE(MID(IFERROR(TRIM(INDEX($A230:$T230,MATCH(Lists!$F$3,$A$1:$T$1,0))&amp;""),""),12,2)),VALUE(MID(IFERROR(TRIM(INDEX($A230:$T230,MATCH(Lists!$F$3,$A$1:$T$1,0))&amp;""),""),15,2)),VALUE(MID(IFERROR(TRIM(INDEX($A230:$T230,MATCH(Lists!$F$3,$A$1:$T$1,0))&amp;""),""),18,2)))),""))</f>
        <v/>
      </c>
      <c r="AA230" s="23">
        <f>IF(Y230="","",IF(ISNUMBER(IFERROR(IF(TRIM(INDEX($A230:$T230,MATCH(Lists!$F$4,$A$1:$T$1,0))&amp;"")="","",IF(ISNUMBER(INDEX($A230:$T230,MATCH(Lists!$F$4,$A$1:$T$1,0))),INT(INDEX($A230:$T230,MATCH(Lists!$F$4,$A$1:$T$1,0))),DATE(VALUE(LEFT(INDEX($A230:$T230,MATCH(Lists!$F$4,$A$1:$T$1,0)),4)),VALUE(MID(INDEX($A230:$T230,MATCH(Lists!$F$4,$A$1:$T$1,0)),6,2)),VALUE(MID(INDEX($A230:$T230,MATCH(Lists!$F$4,$A$1:$T$1,0)),9,2))))),"")),IFERROR(IF(TRIM(INDEX($A230:$T230,MATCH(Lists!$F$4,$A$1:$T$1,0))&amp;"")="","",IF(ISNUMBER(INDEX($A230:$T230,MATCH(Lists!$F$4,$A$1:$T$1,0))),INT(INDEX($A230:$T230,MATCH(Lists!$F$4,$A$1:$T$1,0))),DATE(VALUE(LEFT(INDEX($A230:$T230,MATCH(Lists!$F$4,$A$1:$T$1,0)),4)),VALUE(MID(INDEX($A230:$T230,MATCH(Lists!$F$4,$A$1:$T$1,0)),6,2)),VALUE(MID(INDEX($A230:$T230,MATCH(Lists!$F$4,$A$1:$T$1,0)),9,2))))),""),IFERROR(IF(TRIM(INDEX($A230:$T230,MATCH(Lists!$F$5,$A$1:$T$1,0))&amp;"")="","",IF(ISNUMBER(INDEX($A230:$T230,MATCH(Lists!$F$5,$A$1:$T$1,0))),INT(INDEX($A230:$T230,MATCH(Lists!$F$5,$A$1:$T$1,0))),DATE(VALUE(LEFT(INDEX($A230:$T230,MATCH(Lists!$F$5,$A$1:$T$1,0)),4)),VALUE(MID(INDEX($A230:$T230,MATCH(Lists!$F$5,$A$1:$T$1,0)),6,2)),VALUE(MID(INDEX($A230:$T230,MATCH(Lists!$F$5,$A$1:$T$1,0)),9,2))))),"")))</f>
        <v/>
      </c>
      <c r="AB230" s="21">
        <f>IF(Y230="","",IF(LEFT(IFERROR(TRIM(INDEX($A230:$T230,MATCH(Lists!$F$6,$A$1:$T$1,0))&amp;""),""),2)="No","General comment",IF(IFERROR(TRIM(INDEX($A230:$T230,MATCH(Lists!$F$7,$A$1:$T$1,0))&amp;""),"")&lt;&gt;"",IFERROR(TRIM(INDEX($A230:$T230,MATCH(Lists!$F$7,$A$1:$T$1,0))&amp;""),""),IF(IFERROR(TRIM(INDEX($A230:$T230,MATCH(Lists!$F$8,$A$1:$T$1,0))&amp;""),"")&lt;&gt;"",IFERROR(TRIM(INDEX($A230:$T230,MATCH(Lists!$F$8,$A$1:$T$1,0))&amp;""),""),"(no item given)"))))</f>
        <v/>
      </c>
      <c r="AC230" s="21">
        <f>IF(Y230="","",IF(ISNUMBER(SEARCH("support",IFERROR(TRIM(INDEX($A230:$T230,MATCH(Lists!$F$9,$A$1:$T$1,0))&amp;""),""))),"Support",IF(ISNUMBER(SEARCH("oppose",IFERROR(TRIM(INDEX($A230:$T230,MATCH(Lists!$F$9,$A$1:$T$1,0))&amp;""),""))),"Oppose",IF(IFERROR(TRIM(INDEX($A230:$T230,MATCH(Lists!$F$9,$A$1:$T$1,0))&amp;""),"")="","No position","Neither"))))</f>
        <v/>
      </c>
      <c r="AD230" s="21">
        <f>IF(Y230="","",IF(ISNUMBER(SEARCH("in person",IFERROR(TRIM(INDEX($A230:$T230,MATCH(Lists!$F$13,$A$1:$T$1,0))&amp;""),""))),"In person",IF(ISNUMBER(SEARCH("online",IFERROR(TRIM(INDEX($A230:$T230,MATCH(Lists!$F$13,$A$1:$T$1,0))&amp;""),""))),"Online","Written only")))</f>
        <v/>
      </c>
      <c r="AE230" s="21">
        <f>IF(Y230="","",IFERROR(TRIM(INDEX($A230:$T230,MATCH(Lists!$F$11,$A$1:$T$1,0))&amp;""),""))</f>
        <v/>
      </c>
      <c r="AF230" s="21">
        <f>IF(Y230="","",IFERROR(TRIM(INDEX($A230:$T230,MATCH(Lists!$F$12,$A$1:$T$1,0))&amp;""),""))</f>
        <v/>
      </c>
      <c r="AG230" s="21">
        <f>IF(Y230="","",IFERROR(TRIM(INDEX($A230:$T230,MATCH(Lists!$F$14,$A$1:$T$1,0))&amp;""),""))</f>
        <v/>
      </c>
      <c r="AH230" s="21">
        <f>IF(Y230="","",LEFT(IFERROR(TRIM(INDEX($A230:$T230,MATCH(Lists!$F$10,$A$1:$T$1,0))&amp;""),""),80))</f>
        <v/>
      </c>
      <c r="AI230" s="21">
        <f>IF(Y230="",0,IF(OR(Tally!$B$5="",AA230=Tally!$B$5),1,0))</f>
        <v/>
      </c>
      <c r="AJ230" s="21">
        <f>IF(AI230=1,IF(COUNTIFS($AB$2:AB230,AB230,$AI$2:AI230,1)=1,1,0),0)</f>
        <v/>
      </c>
      <c r="AK230" s="21">
        <f>IF(AJ230=1,SUM($AJ$2:AJ230),"")</f>
        <v/>
      </c>
      <c r="AL230" s="21">
        <f>IF(AND(AI230=1,OR(AD230="In person",AD230="Online"),OR(Speakers!$B$5="",AB230=Speakers!$B$5)),N(Z230)+ROW()/1000000000,"")</f>
        <v/>
      </c>
    </row>
    <row r="231">
      <c r="U231" s="19" t="n"/>
      <c r="V231" s="24" t="n"/>
      <c r="W231" s="24" t="n"/>
      <c r="X231" s="19" t="n"/>
      <c r="Y231" s="21">
        <f>IFERROR(TRIM(INDEX($A231:$T231,MATCH(Lists!$F$2,$A$1:$T$1,0))&amp;""),"")</f>
        <v/>
      </c>
      <c r="Z231" s="22">
        <f>IF(Y231="","",IFERROR(IF(ISNUMBER(INDEX($A231:$T231,MATCH(Lists!$F$3,$A$1:$T$1,0))),INDEX($A231:$T231,MATCH(Lists!$F$3,$A$1:$T$1,0)),DATE(VALUE(LEFT(IFERROR(TRIM(INDEX($A231:$T231,MATCH(Lists!$F$3,$A$1:$T$1,0))&amp;""),""),4)),VALUE(MID(IFERROR(TRIM(INDEX($A231:$T231,MATCH(Lists!$F$3,$A$1:$T$1,0))&amp;""),""),6,2)),VALUE(MID(IFERROR(TRIM(INDEX($A231:$T231,MATCH(Lists!$F$3,$A$1:$T$1,0))&amp;""),""),9,2)))+TIME(VALUE(MID(IFERROR(TRIM(INDEX($A231:$T231,MATCH(Lists!$F$3,$A$1:$T$1,0))&amp;""),""),12,2)),VALUE(MID(IFERROR(TRIM(INDEX($A231:$T231,MATCH(Lists!$F$3,$A$1:$T$1,0))&amp;""),""),15,2)),VALUE(MID(IFERROR(TRIM(INDEX($A231:$T231,MATCH(Lists!$F$3,$A$1:$T$1,0))&amp;""),""),18,2)))),""))</f>
        <v/>
      </c>
      <c r="AA231" s="23">
        <f>IF(Y231="","",IF(ISNUMBER(IFERROR(IF(TRIM(INDEX($A231:$T231,MATCH(Lists!$F$4,$A$1:$T$1,0))&amp;"")="","",IF(ISNUMBER(INDEX($A231:$T231,MATCH(Lists!$F$4,$A$1:$T$1,0))),INT(INDEX($A231:$T231,MATCH(Lists!$F$4,$A$1:$T$1,0))),DATE(VALUE(LEFT(INDEX($A231:$T231,MATCH(Lists!$F$4,$A$1:$T$1,0)),4)),VALUE(MID(INDEX($A231:$T231,MATCH(Lists!$F$4,$A$1:$T$1,0)),6,2)),VALUE(MID(INDEX($A231:$T231,MATCH(Lists!$F$4,$A$1:$T$1,0)),9,2))))),"")),IFERROR(IF(TRIM(INDEX($A231:$T231,MATCH(Lists!$F$4,$A$1:$T$1,0))&amp;"")="","",IF(ISNUMBER(INDEX($A231:$T231,MATCH(Lists!$F$4,$A$1:$T$1,0))),INT(INDEX($A231:$T231,MATCH(Lists!$F$4,$A$1:$T$1,0))),DATE(VALUE(LEFT(INDEX($A231:$T231,MATCH(Lists!$F$4,$A$1:$T$1,0)),4)),VALUE(MID(INDEX($A231:$T231,MATCH(Lists!$F$4,$A$1:$T$1,0)),6,2)),VALUE(MID(INDEX($A231:$T231,MATCH(Lists!$F$4,$A$1:$T$1,0)),9,2))))),""),IFERROR(IF(TRIM(INDEX($A231:$T231,MATCH(Lists!$F$5,$A$1:$T$1,0))&amp;"")="","",IF(ISNUMBER(INDEX($A231:$T231,MATCH(Lists!$F$5,$A$1:$T$1,0))),INT(INDEX($A231:$T231,MATCH(Lists!$F$5,$A$1:$T$1,0))),DATE(VALUE(LEFT(INDEX($A231:$T231,MATCH(Lists!$F$5,$A$1:$T$1,0)),4)),VALUE(MID(INDEX($A231:$T231,MATCH(Lists!$F$5,$A$1:$T$1,0)),6,2)),VALUE(MID(INDEX($A231:$T231,MATCH(Lists!$F$5,$A$1:$T$1,0)),9,2))))),"")))</f>
        <v/>
      </c>
      <c r="AB231" s="21">
        <f>IF(Y231="","",IF(LEFT(IFERROR(TRIM(INDEX($A231:$T231,MATCH(Lists!$F$6,$A$1:$T$1,0))&amp;""),""),2)="No","General comment",IF(IFERROR(TRIM(INDEX($A231:$T231,MATCH(Lists!$F$7,$A$1:$T$1,0))&amp;""),"")&lt;&gt;"",IFERROR(TRIM(INDEX($A231:$T231,MATCH(Lists!$F$7,$A$1:$T$1,0))&amp;""),""),IF(IFERROR(TRIM(INDEX($A231:$T231,MATCH(Lists!$F$8,$A$1:$T$1,0))&amp;""),"")&lt;&gt;"",IFERROR(TRIM(INDEX($A231:$T231,MATCH(Lists!$F$8,$A$1:$T$1,0))&amp;""),""),"(no item given)"))))</f>
        <v/>
      </c>
      <c r="AC231" s="21">
        <f>IF(Y231="","",IF(ISNUMBER(SEARCH("support",IFERROR(TRIM(INDEX($A231:$T231,MATCH(Lists!$F$9,$A$1:$T$1,0))&amp;""),""))),"Support",IF(ISNUMBER(SEARCH("oppose",IFERROR(TRIM(INDEX($A231:$T231,MATCH(Lists!$F$9,$A$1:$T$1,0))&amp;""),""))),"Oppose",IF(IFERROR(TRIM(INDEX($A231:$T231,MATCH(Lists!$F$9,$A$1:$T$1,0))&amp;""),"")="","No position","Neither"))))</f>
        <v/>
      </c>
      <c r="AD231" s="21">
        <f>IF(Y231="","",IF(ISNUMBER(SEARCH("in person",IFERROR(TRIM(INDEX($A231:$T231,MATCH(Lists!$F$13,$A$1:$T$1,0))&amp;""),""))),"In person",IF(ISNUMBER(SEARCH("online",IFERROR(TRIM(INDEX($A231:$T231,MATCH(Lists!$F$13,$A$1:$T$1,0))&amp;""),""))),"Online","Written only")))</f>
        <v/>
      </c>
      <c r="AE231" s="21">
        <f>IF(Y231="","",IFERROR(TRIM(INDEX($A231:$T231,MATCH(Lists!$F$11,$A$1:$T$1,0))&amp;""),""))</f>
        <v/>
      </c>
      <c r="AF231" s="21">
        <f>IF(Y231="","",IFERROR(TRIM(INDEX($A231:$T231,MATCH(Lists!$F$12,$A$1:$T$1,0))&amp;""),""))</f>
        <v/>
      </c>
      <c r="AG231" s="21">
        <f>IF(Y231="","",IFERROR(TRIM(INDEX($A231:$T231,MATCH(Lists!$F$14,$A$1:$T$1,0))&amp;""),""))</f>
        <v/>
      </c>
      <c r="AH231" s="21">
        <f>IF(Y231="","",LEFT(IFERROR(TRIM(INDEX($A231:$T231,MATCH(Lists!$F$10,$A$1:$T$1,0))&amp;""),""),80))</f>
        <v/>
      </c>
      <c r="AI231" s="21">
        <f>IF(Y231="",0,IF(OR(Tally!$B$5="",AA231=Tally!$B$5),1,0))</f>
        <v/>
      </c>
      <c r="AJ231" s="21">
        <f>IF(AI231=1,IF(COUNTIFS($AB$2:AB231,AB231,$AI$2:AI231,1)=1,1,0),0)</f>
        <v/>
      </c>
      <c r="AK231" s="21">
        <f>IF(AJ231=1,SUM($AJ$2:AJ231),"")</f>
        <v/>
      </c>
      <c r="AL231" s="21">
        <f>IF(AND(AI231=1,OR(AD231="In person",AD231="Online"),OR(Speakers!$B$5="",AB231=Speakers!$B$5)),N(Z231)+ROW()/1000000000,"")</f>
        <v/>
      </c>
    </row>
    <row r="232">
      <c r="U232" s="19" t="n"/>
      <c r="V232" s="24" t="n"/>
      <c r="W232" s="24" t="n"/>
      <c r="X232" s="19" t="n"/>
      <c r="Y232" s="21">
        <f>IFERROR(TRIM(INDEX($A232:$T232,MATCH(Lists!$F$2,$A$1:$T$1,0))&amp;""),"")</f>
        <v/>
      </c>
      <c r="Z232" s="22">
        <f>IF(Y232="","",IFERROR(IF(ISNUMBER(INDEX($A232:$T232,MATCH(Lists!$F$3,$A$1:$T$1,0))),INDEX($A232:$T232,MATCH(Lists!$F$3,$A$1:$T$1,0)),DATE(VALUE(LEFT(IFERROR(TRIM(INDEX($A232:$T232,MATCH(Lists!$F$3,$A$1:$T$1,0))&amp;""),""),4)),VALUE(MID(IFERROR(TRIM(INDEX($A232:$T232,MATCH(Lists!$F$3,$A$1:$T$1,0))&amp;""),""),6,2)),VALUE(MID(IFERROR(TRIM(INDEX($A232:$T232,MATCH(Lists!$F$3,$A$1:$T$1,0))&amp;""),""),9,2)))+TIME(VALUE(MID(IFERROR(TRIM(INDEX($A232:$T232,MATCH(Lists!$F$3,$A$1:$T$1,0))&amp;""),""),12,2)),VALUE(MID(IFERROR(TRIM(INDEX($A232:$T232,MATCH(Lists!$F$3,$A$1:$T$1,0))&amp;""),""),15,2)),VALUE(MID(IFERROR(TRIM(INDEX($A232:$T232,MATCH(Lists!$F$3,$A$1:$T$1,0))&amp;""),""),18,2)))),""))</f>
        <v/>
      </c>
      <c r="AA232" s="23">
        <f>IF(Y232="","",IF(ISNUMBER(IFERROR(IF(TRIM(INDEX($A232:$T232,MATCH(Lists!$F$4,$A$1:$T$1,0))&amp;"")="","",IF(ISNUMBER(INDEX($A232:$T232,MATCH(Lists!$F$4,$A$1:$T$1,0))),INT(INDEX($A232:$T232,MATCH(Lists!$F$4,$A$1:$T$1,0))),DATE(VALUE(LEFT(INDEX($A232:$T232,MATCH(Lists!$F$4,$A$1:$T$1,0)),4)),VALUE(MID(INDEX($A232:$T232,MATCH(Lists!$F$4,$A$1:$T$1,0)),6,2)),VALUE(MID(INDEX($A232:$T232,MATCH(Lists!$F$4,$A$1:$T$1,0)),9,2))))),"")),IFERROR(IF(TRIM(INDEX($A232:$T232,MATCH(Lists!$F$4,$A$1:$T$1,0))&amp;"")="","",IF(ISNUMBER(INDEX($A232:$T232,MATCH(Lists!$F$4,$A$1:$T$1,0))),INT(INDEX($A232:$T232,MATCH(Lists!$F$4,$A$1:$T$1,0))),DATE(VALUE(LEFT(INDEX($A232:$T232,MATCH(Lists!$F$4,$A$1:$T$1,0)),4)),VALUE(MID(INDEX($A232:$T232,MATCH(Lists!$F$4,$A$1:$T$1,0)),6,2)),VALUE(MID(INDEX($A232:$T232,MATCH(Lists!$F$4,$A$1:$T$1,0)),9,2))))),""),IFERROR(IF(TRIM(INDEX($A232:$T232,MATCH(Lists!$F$5,$A$1:$T$1,0))&amp;"")="","",IF(ISNUMBER(INDEX($A232:$T232,MATCH(Lists!$F$5,$A$1:$T$1,0))),INT(INDEX($A232:$T232,MATCH(Lists!$F$5,$A$1:$T$1,0))),DATE(VALUE(LEFT(INDEX($A232:$T232,MATCH(Lists!$F$5,$A$1:$T$1,0)),4)),VALUE(MID(INDEX($A232:$T232,MATCH(Lists!$F$5,$A$1:$T$1,0)),6,2)),VALUE(MID(INDEX($A232:$T232,MATCH(Lists!$F$5,$A$1:$T$1,0)),9,2))))),"")))</f>
        <v/>
      </c>
      <c r="AB232" s="21">
        <f>IF(Y232="","",IF(LEFT(IFERROR(TRIM(INDEX($A232:$T232,MATCH(Lists!$F$6,$A$1:$T$1,0))&amp;""),""),2)="No","General comment",IF(IFERROR(TRIM(INDEX($A232:$T232,MATCH(Lists!$F$7,$A$1:$T$1,0))&amp;""),"")&lt;&gt;"",IFERROR(TRIM(INDEX($A232:$T232,MATCH(Lists!$F$7,$A$1:$T$1,0))&amp;""),""),IF(IFERROR(TRIM(INDEX($A232:$T232,MATCH(Lists!$F$8,$A$1:$T$1,0))&amp;""),"")&lt;&gt;"",IFERROR(TRIM(INDEX($A232:$T232,MATCH(Lists!$F$8,$A$1:$T$1,0))&amp;""),""),"(no item given)"))))</f>
        <v/>
      </c>
      <c r="AC232" s="21">
        <f>IF(Y232="","",IF(ISNUMBER(SEARCH("support",IFERROR(TRIM(INDEX($A232:$T232,MATCH(Lists!$F$9,$A$1:$T$1,0))&amp;""),""))),"Support",IF(ISNUMBER(SEARCH("oppose",IFERROR(TRIM(INDEX($A232:$T232,MATCH(Lists!$F$9,$A$1:$T$1,0))&amp;""),""))),"Oppose",IF(IFERROR(TRIM(INDEX($A232:$T232,MATCH(Lists!$F$9,$A$1:$T$1,0))&amp;""),"")="","No position","Neither"))))</f>
        <v/>
      </c>
      <c r="AD232" s="21">
        <f>IF(Y232="","",IF(ISNUMBER(SEARCH("in person",IFERROR(TRIM(INDEX($A232:$T232,MATCH(Lists!$F$13,$A$1:$T$1,0))&amp;""),""))),"In person",IF(ISNUMBER(SEARCH("online",IFERROR(TRIM(INDEX($A232:$T232,MATCH(Lists!$F$13,$A$1:$T$1,0))&amp;""),""))),"Online","Written only")))</f>
        <v/>
      </c>
      <c r="AE232" s="21">
        <f>IF(Y232="","",IFERROR(TRIM(INDEX($A232:$T232,MATCH(Lists!$F$11,$A$1:$T$1,0))&amp;""),""))</f>
        <v/>
      </c>
      <c r="AF232" s="21">
        <f>IF(Y232="","",IFERROR(TRIM(INDEX($A232:$T232,MATCH(Lists!$F$12,$A$1:$T$1,0))&amp;""),""))</f>
        <v/>
      </c>
      <c r="AG232" s="21">
        <f>IF(Y232="","",IFERROR(TRIM(INDEX($A232:$T232,MATCH(Lists!$F$14,$A$1:$T$1,0))&amp;""),""))</f>
        <v/>
      </c>
      <c r="AH232" s="21">
        <f>IF(Y232="","",LEFT(IFERROR(TRIM(INDEX($A232:$T232,MATCH(Lists!$F$10,$A$1:$T$1,0))&amp;""),""),80))</f>
        <v/>
      </c>
      <c r="AI232" s="21">
        <f>IF(Y232="",0,IF(OR(Tally!$B$5="",AA232=Tally!$B$5),1,0))</f>
        <v/>
      </c>
      <c r="AJ232" s="21">
        <f>IF(AI232=1,IF(COUNTIFS($AB$2:AB232,AB232,$AI$2:AI232,1)=1,1,0),0)</f>
        <v/>
      </c>
      <c r="AK232" s="21">
        <f>IF(AJ232=1,SUM($AJ$2:AJ232),"")</f>
        <v/>
      </c>
      <c r="AL232" s="21">
        <f>IF(AND(AI232=1,OR(AD232="In person",AD232="Online"),OR(Speakers!$B$5="",AB232=Speakers!$B$5)),N(Z232)+ROW()/1000000000,"")</f>
        <v/>
      </c>
    </row>
    <row r="233">
      <c r="U233" s="19" t="n"/>
      <c r="V233" s="24" t="n"/>
      <c r="W233" s="24" t="n"/>
      <c r="X233" s="19" t="n"/>
      <c r="Y233" s="21">
        <f>IFERROR(TRIM(INDEX($A233:$T233,MATCH(Lists!$F$2,$A$1:$T$1,0))&amp;""),"")</f>
        <v/>
      </c>
      <c r="Z233" s="22">
        <f>IF(Y233="","",IFERROR(IF(ISNUMBER(INDEX($A233:$T233,MATCH(Lists!$F$3,$A$1:$T$1,0))),INDEX($A233:$T233,MATCH(Lists!$F$3,$A$1:$T$1,0)),DATE(VALUE(LEFT(IFERROR(TRIM(INDEX($A233:$T233,MATCH(Lists!$F$3,$A$1:$T$1,0))&amp;""),""),4)),VALUE(MID(IFERROR(TRIM(INDEX($A233:$T233,MATCH(Lists!$F$3,$A$1:$T$1,0))&amp;""),""),6,2)),VALUE(MID(IFERROR(TRIM(INDEX($A233:$T233,MATCH(Lists!$F$3,$A$1:$T$1,0))&amp;""),""),9,2)))+TIME(VALUE(MID(IFERROR(TRIM(INDEX($A233:$T233,MATCH(Lists!$F$3,$A$1:$T$1,0))&amp;""),""),12,2)),VALUE(MID(IFERROR(TRIM(INDEX($A233:$T233,MATCH(Lists!$F$3,$A$1:$T$1,0))&amp;""),""),15,2)),VALUE(MID(IFERROR(TRIM(INDEX($A233:$T233,MATCH(Lists!$F$3,$A$1:$T$1,0))&amp;""),""),18,2)))),""))</f>
        <v/>
      </c>
      <c r="AA233" s="23">
        <f>IF(Y233="","",IF(ISNUMBER(IFERROR(IF(TRIM(INDEX($A233:$T233,MATCH(Lists!$F$4,$A$1:$T$1,0))&amp;"")="","",IF(ISNUMBER(INDEX($A233:$T233,MATCH(Lists!$F$4,$A$1:$T$1,0))),INT(INDEX($A233:$T233,MATCH(Lists!$F$4,$A$1:$T$1,0))),DATE(VALUE(LEFT(INDEX($A233:$T233,MATCH(Lists!$F$4,$A$1:$T$1,0)),4)),VALUE(MID(INDEX($A233:$T233,MATCH(Lists!$F$4,$A$1:$T$1,0)),6,2)),VALUE(MID(INDEX($A233:$T233,MATCH(Lists!$F$4,$A$1:$T$1,0)),9,2))))),"")),IFERROR(IF(TRIM(INDEX($A233:$T233,MATCH(Lists!$F$4,$A$1:$T$1,0))&amp;"")="","",IF(ISNUMBER(INDEX($A233:$T233,MATCH(Lists!$F$4,$A$1:$T$1,0))),INT(INDEX($A233:$T233,MATCH(Lists!$F$4,$A$1:$T$1,0))),DATE(VALUE(LEFT(INDEX($A233:$T233,MATCH(Lists!$F$4,$A$1:$T$1,0)),4)),VALUE(MID(INDEX($A233:$T233,MATCH(Lists!$F$4,$A$1:$T$1,0)),6,2)),VALUE(MID(INDEX($A233:$T233,MATCH(Lists!$F$4,$A$1:$T$1,0)),9,2))))),""),IFERROR(IF(TRIM(INDEX($A233:$T233,MATCH(Lists!$F$5,$A$1:$T$1,0))&amp;"")="","",IF(ISNUMBER(INDEX($A233:$T233,MATCH(Lists!$F$5,$A$1:$T$1,0))),INT(INDEX($A233:$T233,MATCH(Lists!$F$5,$A$1:$T$1,0))),DATE(VALUE(LEFT(INDEX($A233:$T233,MATCH(Lists!$F$5,$A$1:$T$1,0)),4)),VALUE(MID(INDEX($A233:$T233,MATCH(Lists!$F$5,$A$1:$T$1,0)),6,2)),VALUE(MID(INDEX($A233:$T233,MATCH(Lists!$F$5,$A$1:$T$1,0)),9,2))))),"")))</f>
        <v/>
      </c>
      <c r="AB233" s="21">
        <f>IF(Y233="","",IF(LEFT(IFERROR(TRIM(INDEX($A233:$T233,MATCH(Lists!$F$6,$A$1:$T$1,0))&amp;""),""),2)="No","General comment",IF(IFERROR(TRIM(INDEX($A233:$T233,MATCH(Lists!$F$7,$A$1:$T$1,0))&amp;""),"")&lt;&gt;"",IFERROR(TRIM(INDEX($A233:$T233,MATCH(Lists!$F$7,$A$1:$T$1,0))&amp;""),""),IF(IFERROR(TRIM(INDEX($A233:$T233,MATCH(Lists!$F$8,$A$1:$T$1,0))&amp;""),"")&lt;&gt;"",IFERROR(TRIM(INDEX($A233:$T233,MATCH(Lists!$F$8,$A$1:$T$1,0))&amp;""),""),"(no item given)"))))</f>
        <v/>
      </c>
      <c r="AC233" s="21">
        <f>IF(Y233="","",IF(ISNUMBER(SEARCH("support",IFERROR(TRIM(INDEX($A233:$T233,MATCH(Lists!$F$9,$A$1:$T$1,0))&amp;""),""))),"Support",IF(ISNUMBER(SEARCH("oppose",IFERROR(TRIM(INDEX($A233:$T233,MATCH(Lists!$F$9,$A$1:$T$1,0))&amp;""),""))),"Oppose",IF(IFERROR(TRIM(INDEX($A233:$T233,MATCH(Lists!$F$9,$A$1:$T$1,0))&amp;""),"")="","No position","Neither"))))</f>
        <v/>
      </c>
      <c r="AD233" s="21">
        <f>IF(Y233="","",IF(ISNUMBER(SEARCH("in person",IFERROR(TRIM(INDEX($A233:$T233,MATCH(Lists!$F$13,$A$1:$T$1,0))&amp;""),""))),"In person",IF(ISNUMBER(SEARCH("online",IFERROR(TRIM(INDEX($A233:$T233,MATCH(Lists!$F$13,$A$1:$T$1,0))&amp;""),""))),"Online","Written only")))</f>
        <v/>
      </c>
      <c r="AE233" s="21">
        <f>IF(Y233="","",IFERROR(TRIM(INDEX($A233:$T233,MATCH(Lists!$F$11,$A$1:$T$1,0))&amp;""),""))</f>
        <v/>
      </c>
      <c r="AF233" s="21">
        <f>IF(Y233="","",IFERROR(TRIM(INDEX($A233:$T233,MATCH(Lists!$F$12,$A$1:$T$1,0))&amp;""),""))</f>
        <v/>
      </c>
      <c r="AG233" s="21">
        <f>IF(Y233="","",IFERROR(TRIM(INDEX($A233:$T233,MATCH(Lists!$F$14,$A$1:$T$1,0))&amp;""),""))</f>
        <v/>
      </c>
      <c r="AH233" s="21">
        <f>IF(Y233="","",LEFT(IFERROR(TRIM(INDEX($A233:$T233,MATCH(Lists!$F$10,$A$1:$T$1,0))&amp;""),""),80))</f>
        <v/>
      </c>
      <c r="AI233" s="21">
        <f>IF(Y233="",0,IF(OR(Tally!$B$5="",AA233=Tally!$B$5),1,0))</f>
        <v/>
      </c>
      <c r="AJ233" s="21">
        <f>IF(AI233=1,IF(COUNTIFS($AB$2:AB233,AB233,$AI$2:AI233,1)=1,1,0),0)</f>
        <v/>
      </c>
      <c r="AK233" s="21">
        <f>IF(AJ233=1,SUM($AJ$2:AJ233),"")</f>
        <v/>
      </c>
      <c r="AL233" s="21">
        <f>IF(AND(AI233=1,OR(AD233="In person",AD233="Online"),OR(Speakers!$B$5="",AB233=Speakers!$B$5)),N(Z233)+ROW()/1000000000,"")</f>
        <v/>
      </c>
    </row>
    <row r="234">
      <c r="U234" s="19" t="n"/>
      <c r="V234" s="24" t="n"/>
      <c r="W234" s="24" t="n"/>
      <c r="X234" s="19" t="n"/>
      <c r="Y234" s="21">
        <f>IFERROR(TRIM(INDEX($A234:$T234,MATCH(Lists!$F$2,$A$1:$T$1,0))&amp;""),"")</f>
        <v/>
      </c>
      <c r="Z234" s="22">
        <f>IF(Y234="","",IFERROR(IF(ISNUMBER(INDEX($A234:$T234,MATCH(Lists!$F$3,$A$1:$T$1,0))),INDEX($A234:$T234,MATCH(Lists!$F$3,$A$1:$T$1,0)),DATE(VALUE(LEFT(IFERROR(TRIM(INDEX($A234:$T234,MATCH(Lists!$F$3,$A$1:$T$1,0))&amp;""),""),4)),VALUE(MID(IFERROR(TRIM(INDEX($A234:$T234,MATCH(Lists!$F$3,$A$1:$T$1,0))&amp;""),""),6,2)),VALUE(MID(IFERROR(TRIM(INDEX($A234:$T234,MATCH(Lists!$F$3,$A$1:$T$1,0))&amp;""),""),9,2)))+TIME(VALUE(MID(IFERROR(TRIM(INDEX($A234:$T234,MATCH(Lists!$F$3,$A$1:$T$1,0))&amp;""),""),12,2)),VALUE(MID(IFERROR(TRIM(INDEX($A234:$T234,MATCH(Lists!$F$3,$A$1:$T$1,0))&amp;""),""),15,2)),VALUE(MID(IFERROR(TRIM(INDEX($A234:$T234,MATCH(Lists!$F$3,$A$1:$T$1,0))&amp;""),""),18,2)))),""))</f>
        <v/>
      </c>
      <c r="AA234" s="23">
        <f>IF(Y234="","",IF(ISNUMBER(IFERROR(IF(TRIM(INDEX($A234:$T234,MATCH(Lists!$F$4,$A$1:$T$1,0))&amp;"")="","",IF(ISNUMBER(INDEX($A234:$T234,MATCH(Lists!$F$4,$A$1:$T$1,0))),INT(INDEX($A234:$T234,MATCH(Lists!$F$4,$A$1:$T$1,0))),DATE(VALUE(LEFT(INDEX($A234:$T234,MATCH(Lists!$F$4,$A$1:$T$1,0)),4)),VALUE(MID(INDEX($A234:$T234,MATCH(Lists!$F$4,$A$1:$T$1,0)),6,2)),VALUE(MID(INDEX($A234:$T234,MATCH(Lists!$F$4,$A$1:$T$1,0)),9,2))))),"")),IFERROR(IF(TRIM(INDEX($A234:$T234,MATCH(Lists!$F$4,$A$1:$T$1,0))&amp;"")="","",IF(ISNUMBER(INDEX($A234:$T234,MATCH(Lists!$F$4,$A$1:$T$1,0))),INT(INDEX($A234:$T234,MATCH(Lists!$F$4,$A$1:$T$1,0))),DATE(VALUE(LEFT(INDEX($A234:$T234,MATCH(Lists!$F$4,$A$1:$T$1,0)),4)),VALUE(MID(INDEX($A234:$T234,MATCH(Lists!$F$4,$A$1:$T$1,0)),6,2)),VALUE(MID(INDEX($A234:$T234,MATCH(Lists!$F$4,$A$1:$T$1,0)),9,2))))),""),IFERROR(IF(TRIM(INDEX($A234:$T234,MATCH(Lists!$F$5,$A$1:$T$1,0))&amp;"")="","",IF(ISNUMBER(INDEX($A234:$T234,MATCH(Lists!$F$5,$A$1:$T$1,0))),INT(INDEX($A234:$T234,MATCH(Lists!$F$5,$A$1:$T$1,0))),DATE(VALUE(LEFT(INDEX($A234:$T234,MATCH(Lists!$F$5,$A$1:$T$1,0)),4)),VALUE(MID(INDEX($A234:$T234,MATCH(Lists!$F$5,$A$1:$T$1,0)),6,2)),VALUE(MID(INDEX($A234:$T234,MATCH(Lists!$F$5,$A$1:$T$1,0)),9,2))))),"")))</f>
        <v/>
      </c>
      <c r="AB234" s="21">
        <f>IF(Y234="","",IF(LEFT(IFERROR(TRIM(INDEX($A234:$T234,MATCH(Lists!$F$6,$A$1:$T$1,0))&amp;""),""),2)="No","General comment",IF(IFERROR(TRIM(INDEX($A234:$T234,MATCH(Lists!$F$7,$A$1:$T$1,0))&amp;""),"")&lt;&gt;"",IFERROR(TRIM(INDEX($A234:$T234,MATCH(Lists!$F$7,$A$1:$T$1,0))&amp;""),""),IF(IFERROR(TRIM(INDEX($A234:$T234,MATCH(Lists!$F$8,$A$1:$T$1,0))&amp;""),"")&lt;&gt;"",IFERROR(TRIM(INDEX($A234:$T234,MATCH(Lists!$F$8,$A$1:$T$1,0))&amp;""),""),"(no item given)"))))</f>
        <v/>
      </c>
      <c r="AC234" s="21">
        <f>IF(Y234="","",IF(ISNUMBER(SEARCH("support",IFERROR(TRIM(INDEX($A234:$T234,MATCH(Lists!$F$9,$A$1:$T$1,0))&amp;""),""))),"Support",IF(ISNUMBER(SEARCH("oppose",IFERROR(TRIM(INDEX($A234:$T234,MATCH(Lists!$F$9,$A$1:$T$1,0))&amp;""),""))),"Oppose",IF(IFERROR(TRIM(INDEX($A234:$T234,MATCH(Lists!$F$9,$A$1:$T$1,0))&amp;""),"")="","No position","Neither"))))</f>
        <v/>
      </c>
      <c r="AD234" s="21">
        <f>IF(Y234="","",IF(ISNUMBER(SEARCH("in person",IFERROR(TRIM(INDEX($A234:$T234,MATCH(Lists!$F$13,$A$1:$T$1,0))&amp;""),""))),"In person",IF(ISNUMBER(SEARCH("online",IFERROR(TRIM(INDEX($A234:$T234,MATCH(Lists!$F$13,$A$1:$T$1,0))&amp;""),""))),"Online","Written only")))</f>
        <v/>
      </c>
      <c r="AE234" s="21">
        <f>IF(Y234="","",IFERROR(TRIM(INDEX($A234:$T234,MATCH(Lists!$F$11,$A$1:$T$1,0))&amp;""),""))</f>
        <v/>
      </c>
      <c r="AF234" s="21">
        <f>IF(Y234="","",IFERROR(TRIM(INDEX($A234:$T234,MATCH(Lists!$F$12,$A$1:$T$1,0))&amp;""),""))</f>
        <v/>
      </c>
      <c r="AG234" s="21">
        <f>IF(Y234="","",IFERROR(TRIM(INDEX($A234:$T234,MATCH(Lists!$F$14,$A$1:$T$1,0))&amp;""),""))</f>
        <v/>
      </c>
      <c r="AH234" s="21">
        <f>IF(Y234="","",LEFT(IFERROR(TRIM(INDEX($A234:$T234,MATCH(Lists!$F$10,$A$1:$T$1,0))&amp;""),""),80))</f>
        <v/>
      </c>
      <c r="AI234" s="21">
        <f>IF(Y234="",0,IF(OR(Tally!$B$5="",AA234=Tally!$B$5),1,0))</f>
        <v/>
      </c>
      <c r="AJ234" s="21">
        <f>IF(AI234=1,IF(COUNTIFS($AB$2:AB234,AB234,$AI$2:AI234,1)=1,1,0),0)</f>
        <v/>
      </c>
      <c r="AK234" s="21">
        <f>IF(AJ234=1,SUM($AJ$2:AJ234),"")</f>
        <v/>
      </c>
      <c r="AL234" s="21">
        <f>IF(AND(AI234=1,OR(AD234="In person",AD234="Online"),OR(Speakers!$B$5="",AB234=Speakers!$B$5)),N(Z234)+ROW()/1000000000,"")</f>
        <v/>
      </c>
    </row>
    <row r="235">
      <c r="U235" s="19" t="n"/>
      <c r="V235" s="24" t="n"/>
      <c r="W235" s="24" t="n"/>
      <c r="X235" s="19" t="n"/>
      <c r="Y235" s="21">
        <f>IFERROR(TRIM(INDEX($A235:$T235,MATCH(Lists!$F$2,$A$1:$T$1,0))&amp;""),"")</f>
        <v/>
      </c>
      <c r="Z235" s="22">
        <f>IF(Y235="","",IFERROR(IF(ISNUMBER(INDEX($A235:$T235,MATCH(Lists!$F$3,$A$1:$T$1,0))),INDEX($A235:$T235,MATCH(Lists!$F$3,$A$1:$T$1,0)),DATE(VALUE(LEFT(IFERROR(TRIM(INDEX($A235:$T235,MATCH(Lists!$F$3,$A$1:$T$1,0))&amp;""),""),4)),VALUE(MID(IFERROR(TRIM(INDEX($A235:$T235,MATCH(Lists!$F$3,$A$1:$T$1,0))&amp;""),""),6,2)),VALUE(MID(IFERROR(TRIM(INDEX($A235:$T235,MATCH(Lists!$F$3,$A$1:$T$1,0))&amp;""),""),9,2)))+TIME(VALUE(MID(IFERROR(TRIM(INDEX($A235:$T235,MATCH(Lists!$F$3,$A$1:$T$1,0))&amp;""),""),12,2)),VALUE(MID(IFERROR(TRIM(INDEX($A235:$T235,MATCH(Lists!$F$3,$A$1:$T$1,0))&amp;""),""),15,2)),VALUE(MID(IFERROR(TRIM(INDEX($A235:$T235,MATCH(Lists!$F$3,$A$1:$T$1,0))&amp;""),""),18,2)))),""))</f>
        <v/>
      </c>
      <c r="AA235" s="23">
        <f>IF(Y235="","",IF(ISNUMBER(IFERROR(IF(TRIM(INDEX($A235:$T235,MATCH(Lists!$F$4,$A$1:$T$1,0))&amp;"")="","",IF(ISNUMBER(INDEX($A235:$T235,MATCH(Lists!$F$4,$A$1:$T$1,0))),INT(INDEX($A235:$T235,MATCH(Lists!$F$4,$A$1:$T$1,0))),DATE(VALUE(LEFT(INDEX($A235:$T235,MATCH(Lists!$F$4,$A$1:$T$1,0)),4)),VALUE(MID(INDEX($A235:$T235,MATCH(Lists!$F$4,$A$1:$T$1,0)),6,2)),VALUE(MID(INDEX($A235:$T235,MATCH(Lists!$F$4,$A$1:$T$1,0)),9,2))))),"")),IFERROR(IF(TRIM(INDEX($A235:$T235,MATCH(Lists!$F$4,$A$1:$T$1,0))&amp;"")="","",IF(ISNUMBER(INDEX($A235:$T235,MATCH(Lists!$F$4,$A$1:$T$1,0))),INT(INDEX($A235:$T235,MATCH(Lists!$F$4,$A$1:$T$1,0))),DATE(VALUE(LEFT(INDEX($A235:$T235,MATCH(Lists!$F$4,$A$1:$T$1,0)),4)),VALUE(MID(INDEX($A235:$T235,MATCH(Lists!$F$4,$A$1:$T$1,0)),6,2)),VALUE(MID(INDEX($A235:$T235,MATCH(Lists!$F$4,$A$1:$T$1,0)),9,2))))),""),IFERROR(IF(TRIM(INDEX($A235:$T235,MATCH(Lists!$F$5,$A$1:$T$1,0))&amp;"")="","",IF(ISNUMBER(INDEX($A235:$T235,MATCH(Lists!$F$5,$A$1:$T$1,0))),INT(INDEX($A235:$T235,MATCH(Lists!$F$5,$A$1:$T$1,0))),DATE(VALUE(LEFT(INDEX($A235:$T235,MATCH(Lists!$F$5,$A$1:$T$1,0)),4)),VALUE(MID(INDEX($A235:$T235,MATCH(Lists!$F$5,$A$1:$T$1,0)),6,2)),VALUE(MID(INDEX($A235:$T235,MATCH(Lists!$F$5,$A$1:$T$1,0)),9,2))))),"")))</f>
        <v/>
      </c>
      <c r="AB235" s="21">
        <f>IF(Y235="","",IF(LEFT(IFERROR(TRIM(INDEX($A235:$T235,MATCH(Lists!$F$6,$A$1:$T$1,0))&amp;""),""),2)="No","General comment",IF(IFERROR(TRIM(INDEX($A235:$T235,MATCH(Lists!$F$7,$A$1:$T$1,0))&amp;""),"")&lt;&gt;"",IFERROR(TRIM(INDEX($A235:$T235,MATCH(Lists!$F$7,$A$1:$T$1,0))&amp;""),""),IF(IFERROR(TRIM(INDEX($A235:$T235,MATCH(Lists!$F$8,$A$1:$T$1,0))&amp;""),"")&lt;&gt;"",IFERROR(TRIM(INDEX($A235:$T235,MATCH(Lists!$F$8,$A$1:$T$1,0))&amp;""),""),"(no item given)"))))</f>
        <v/>
      </c>
      <c r="AC235" s="21">
        <f>IF(Y235="","",IF(ISNUMBER(SEARCH("support",IFERROR(TRIM(INDEX($A235:$T235,MATCH(Lists!$F$9,$A$1:$T$1,0))&amp;""),""))),"Support",IF(ISNUMBER(SEARCH("oppose",IFERROR(TRIM(INDEX($A235:$T235,MATCH(Lists!$F$9,$A$1:$T$1,0))&amp;""),""))),"Oppose",IF(IFERROR(TRIM(INDEX($A235:$T235,MATCH(Lists!$F$9,$A$1:$T$1,0))&amp;""),"")="","No position","Neither"))))</f>
        <v/>
      </c>
      <c r="AD235" s="21">
        <f>IF(Y235="","",IF(ISNUMBER(SEARCH("in person",IFERROR(TRIM(INDEX($A235:$T235,MATCH(Lists!$F$13,$A$1:$T$1,0))&amp;""),""))),"In person",IF(ISNUMBER(SEARCH("online",IFERROR(TRIM(INDEX($A235:$T235,MATCH(Lists!$F$13,$A$1:$T$1,0))&amp;""),""))),"Online","Written only")))</f>
        <v/>
      </c>
      <c r="AE235" s="21">
        <f>IF(Y235="","",IFERROR(TRIM(INDEX($A235:$T235,MATCH(Lists!$F$11,$A$1:$T$1,0))&amp;""),""))</f>
        <v/>
      </c>
      <c r="AF235" s="21">
        <f>IF(Y235="","",IFERROR(TRIM(INDEX($A235:$T235,MATCH(Lists!$F$12,$A$1:$T$1,0))&amp;""),""))</f>
        <v/>
      </c>
      <c r="AG235" s="21">
        <f>IF(Y235="","",IFERROR(TRIM(INDEX($A235:$T235,MATCH(Lists!$F$14,$A$1:$T$1,0))&amp;""),""))</f>
        <v/>
      </c>
      <c r="AH235" s="21">
        <f>IF(Y235="","",LEFT(IFERROR(TRIM(INDEX($A235:$T235,MATCH(Lists!$F$10,$A$1:$T$1,0))&amp;""),""),80))</f>
        <v/>
      </c>
      <c r="AI235" s="21">
        <f>IF(Y235="",0,IF(OR(Tally!$B$5="",AA235=Tally!$B$5),1,0))</f>
        <v/>
      </c>
      <c r="AJ235" s="21">
        <f>IF(AI235=1,IF(COUNTIFS($AB$2:AB235,AB235,$AI$2:AI235,1)=1,1,0),0)</f>
        <v/>
      </c>
      <c r="AK235" s="21">
        <f>IF(AJ235=1,SUM($AJ$2:AJ235),"")</f>
        <v/>
      </c>
      <c r="AL235" s="21">
        <f>IF(AND(AI235=1,OR(AD235="In person",AD235="Online"),OR(Speakers!$B$5="",AB235=Speakers!$B$5)),N(Z235)+ROW()/1000000000,"")</f>
        <v/>
      </c>
    </row>
    <row r="236">
      <c r="U236" s="19" t="n"/>
      <c r="V236" s="24" t="n"/>
      <c r="W236" s="24" t="n"/>
      <c r="X236" s="19" t="n"/>
      <c r="Y236" s="21">
        <f>IFERROR(TRIM(INDEX($A236:$T236,MATCH(Lists!$F$2,$A$1:$T$1,0))&amp;""),"")</f>
        <v/>
      </c>
      <c r="Z236" s="22">
        <f>IF(Y236="","",IFERROR(IF(ISNUMBER(INDEX($A236:$T236,MATCH(Lists!$F$3,$A$1:$T$1,0))),INDEX($A236:$T236,MATCH(Lists!$F$3,$A$1:$T$1,0)),DATE(VALUE(LEFT(IFERROR(TRIM(INDEX($A236:$T236,MATCH(Lists!$F$3,$A$1:$T$1,0))&amp;""),""),4)),VALUE(MID(IFERROR(TRIM(INDEX($A236:$T236,MATCH(Lists!$F$3,$A$1:$T$1,0))&amp;""),""),6,2)),VALUE(MID(IFERROR(TRIM(INDEX($A236:$T236,MATCH(Lists!$F$3,$A$1:$T$1,0))&amp;""),""),9,2)))+TIME(VALUE(MID(IFERROR(TRIM(INDEX($A236:$T236,MATCH(Lists!$F$3,$A$1:$T$1,0))&amp;""),""),12,2)),VALUE(MID(IFERROR(TRIM(INDEX($A236:$T236,MATCH(Lists!$F$3,$A$1:$T$1,0))&amp;""),""),15,2)),VALUE(MID(IFERROR(TRIM(INDEX($A236:$T236,MATCH(Lists!$F$3,$A$1:$T$1,0))&amp;""),""),18,2)))),""))</f>
        <v/>
      </c>
      <c r="AA236" s="23">
        <f>IF(Y236="","",IF(ISNUMBER(IFERROR(IF(TRIM(INDEX($A236:$T236,MATCH(Lists!$F$4,$A$1:$T$1,0))&amp;"")="","",IF(ISNUMBER(INDEX($A236:$T236,MATCH(Lists!$F$4,$A$1:$T$1,0))),INT(INDEX($A236:$T236,MATCH(Lists!$F$4,$A$1:$T$1,0))),DATE(VALUE(LEFT(INDEX($A236:$T236,MATCH(Lists!$F$4,$A$1:$T$1,0)),4)),VALUE(MID(INDEX($A236:$T236,MATCH(Lists!$F$4,$A$1:$T$1,0)),6,2)),VALUE(MID(INDEX($A236:$T236,MATCH(Lists!$F$4,$A$1:$T$1,0)),9,2))))),"")),IFERROR(IF(TRIM(INDEX($A236:$T236,MATCH(Lists!$F$4,$A$1:$T$1,0))&amp;"")="","",IF(ISNUMBER(INDEX($A236:$T236,MATCH(Lists!$F$4,$A$1:$T$1,0))),INT(INDEX($A236:$T236,MATCH(Lists!$F$4,$A$1:$T$1,0))),DATE(VALUE(LEFT(INDEX($A236:$T236,MATCH(Lists!$F$4,$A$1:$T$1,0)),4)),VALUE(MID(INDEX($A236:$T236,MATCH(Lists!$F$4,$A$1:$T$1,0)),6,2)),VALUE(MID(INDEX($A236:$T236,MATCH(Lists!$F$4,$A$1:$T$1,0)),9,2))))),""),IFERROR(IF(TRIM(INDEX($A236:$T236,MATCH(Lists!$F$5,$A$1:$T$1,0))&amp;"")="","",IF(ISNUMBER(INDEX($A236:$T236,MATCH(Lists!$F$5,$A$1:$T$1,0))),INT(INDEX($A236:$T236,MATCH(Lists!$F$5,$A$1:$T$1,0))),DATE(VALUE(LEFT(INDEX($A236:$T236,MATCH(Lists!$F$5,$A$1:$T$1,0)),4)),VALUE(MID(INDEX($A236:$T236,MATCH(Lists!$F$5,$A$1:$T$1,0)),6,2)),VALUE(MID(INDEX($A236:$T236,MATCH(Lists!$F$5,$A$1:$T$1,0)),9,2))))),"")))</f>
        <v/>
      </c>
      <c r="AB236" s="21">
        <f>IF(Y236="","",IF(LEFT(IFERROR(TRIM(INDEX($A236:$T236,MATCH(Lists!$F$6,$A$1:$T$1,0))&amp;""),""),2)="No","General comment",IF(IFERROR(TRIM(INDEX($A236:$T236,MATCH(Lists!$F$7,$A$1:$T$1,0))&amp;""),"")&lt;&gt;"",IFERROR(TRIM(INDEX($A236:$T236,MATCH(Lists!$F$7,$A$1:$T$1,0))&amp;""),""),IF(IFERROR(TRIM(INDEX($A236:$T236,MATCH(Lists!$F$8,$A$1:$T$1,0))&amp;""),"")&lt;&gt;"",IFERROR(TRIM(INDEX($A236:$T236,MATCH(Lists!$F$8,$A$1:$T$1,0))&amp;""),""),"(no item given)"))))</f>
        <v/>
      </c>
      <c r="AC236" s="21">
        <f>IF(Y236="","",IF(ISNUMBER(SEARCH("support",IFERROR(TRIM(INDEX($A236:$T236,MATCH(Lists!$F$9,$A$1:$T$1,0))&amp;""),""))),"Support",IF(ISNUMBER(SEARCH("oppose",IFERROR(TRIM(INDEX($A236:$T236,MATCH(Lists!$F$9,$A$1:$T$1,0))&amp;""),""))),"Oppose",IF(IFERROR(TRIM(INDEX($A236:$T236,MATCH(Lists!$F$9,$A$1:$T$1,0))&amp;""),"")="","No position","Neither"))))</f>
        <v/>
      </c>
      <c r="AD236" s="21">
        <f>IF(Y236="","",IF(ISNUMBER(SEARCH("in person",IFERROR(TRIM(INDEX($A236:$T236,MATCH(Lists!$F$13,$A$1:$T$1,0))&amp;""),""))),"In person",IF(ISNUMBER(SEARCH("online",IFERROR(TRIM(INDEX($A236:$T236,MATCH(Lists!$F$13,$A$1:$T$1,0))&amp;""),""))),"Online","Written only")))</f>
        <v/>
      </c>
      <c r="AE236" s="21">
        <f>IF(Y236="","",IFERROR(TRIM(INDEX($A236:$T236,MATCH(Lists!$F$11,$A$1:$T$1,0))&amp;""),""))</f>
        <v/>
      </c>
      <c r="AF236" s="21">
        <f>IF(Y236="","",IFERROR(TRIM(INDEX($A236:$T236,MATCH(Lists!$F$12,$A$1:$T$1,0))&amp;""),""))</f>
        <v/>
      </c>
      <c r="AG236" s="21">
        <f>IF(Y236="","",IFERROR(TRIM(INDEX($A236:$T236,MATCH(Lists!$F$14,$A$1:$T$1,0))&amp;""),""))</f>
        <v/>
      </c>
      <c r="AH236" s="21">
        <f>IF(Y236="","",LEFT(IFERROR(TRIM(INDEX($A236:$T236,MATCH(Lists!$F$10,$A$1:$T$1,0))&amp;""),""),80))</f>
        <v/>
      </c>
      <c r="AI236" s="21">
        <f>IF(Y236="",0,IF(OR(Tally!$B$5="",AA236=Tally!$B$5),1,0))</f>
        <v/>
      </c>
      <c r="AJ236" s="21">
        <f>IF(AI236=1,IF(COUNTIFS($AB$2:AB236,AB236,$AI$2:AI236,1)=1,1,0),0)</f>
        <v/>
      </c>
      <c r="AK236" s="21">
        <f>IF(AJ236=1,SUM($AJ$2:AJ236),"")</f>
        <v/>
      </c>
      <c r="AL236" s="21">
        <f>IF(AND(AI236=1,OR(AD236="In person",AD236="Online"),OR(Speakers!$B$5="",AB236=Speakers!$B$5)),N(Z236)+ROW()/1000000000,"")</f>
        <v/>
      </c>
    </row>
    <row r="237">
      <c r="U237" s="19" t="n"/>
      <c r="V237" s="24" t="n"/>
      <c r="W237" s="24" t="n"/>
      <c r="X237" s="19" t="n"/>
      <c r="Y237" s="21">
        <f>IFERROR(TRIM(INDEX($A237:$T237,MATCH(Lists!$F$2,$A$1:$T$1,0))&amp;""),"")</f>
        <v/>
      </c>
      <c r="Z237" s="22">
        <f>IF(Y237="","",IFERROR(IF(ISNUMBER(INDEX($A237:$T237,MATCH(Lists!$F$3,$A$1:$T$1,0))),INDEX($A237:$T237,MATCH(Lists!$F$3,$A$1:$T$1,0)),DATE(VALUE(LEFT(IFERROR(TRIM(INDEX($A237:$T237,MATCH(Lists!$F$3,$A$1:$T$1,0))&amp;""),""),4)),VALUE(MID(IFERROR(TRIM(INDEX($A237:$T237,MATCH(Lists!$F$3,$A$1:$T$1,0))&amp;""),""),6,2)),VALUE(MID(IFERROR(TRIM(INDEX($A237:$T237,MATCH(Lists!$F$3,$A$1:$T$1,0))&amp;""),""),9,2)))+TIME(VALUE(MID(IFERROR(TRIM(INDEX($A237:$T237,MATCH(Lists!$F$3,$A$1:$T$1,0))&amp;""),""),12,2)),VALUE(MID(IFERROR(TRIM(INDEX($A237:$T237,MATCH(Lists!$F$3,$A$1:$T$1,0))&amp;""),""),15,2)),VALUE(MID(IFERROR(TRIM(INDEX($A237:$T237,MATCH(Lists!$F$3,$A$1:$T$1,0))&amp;""),""),18,2)))),""))</f>
        <v/>
      </c>
      <c r="AA237" s="23">
        <f>IF(Y237="","",IF(ISNUMBER(IFERROR(IF(TRIM(INDEX($A237:$T237,MATCH(Lists!$F$4,$A$1:$T$1,0))&amp;"")="","",IF(ISNUMBER(INDEX($A237:$T237,MATCH(Lists!$F$4,$A$1:$T$1,0))),INT(INDEX($A237:$T237,MATCH(Lists!$F$4,$A$1:$T$1,0))),DATE(VALUE(LEFT(INDEX($A237:$T237,MATCH(Lists!$F$4,$A$1:$T$1,0)),4)),VALUE(MID(INDEX($A237:$T237,MATCH(Lists!$F$4,$A$1:$T$1,0)),6,2)),VALUE(MID(INDEX($A237:$T237,MATCH(Lists!$F$4,$A$1:$T$1,0)),9,2))))),"")),IFERROR(IF(TRIM(INDEX($A237:$T237,MATCH(Lists!$F$4,$A$1:$T$1,0))&amp;"")="","",IF(ISNUMBER(INDEX($A237:$T237,MATCH(Lists!$F$4,$A$1:$T$1,0))),INT(INDEX($A237:$T237,MATCH(Lists!$F$4,$A$1:$T$1,0))),DATE(VALUE(LEFT(INDEX($A237:$T237,MATCH(Lists!$F$4,$A$1:$T$1,0)),4)),VALUE(MID(INDEX($A237:$T237,MATCH(Lists!$F$4,$A$1:$T$1,0)),6,2)),VALUE(MID(INDEX($A237:$T237,MATCH(Lists!$F$4,$A$1:$T$1,0)),9,2))))),""),IFERROR(IF(TRIM(INDEX($A237:$T237,MATCH(Lists!$F$5,$A$1:$T$1,0))&amp;"")="","",IF(ISNUMBER(INDEX($A237:$T237,MATCH(Lists!$F$5,$A$1:$T$1,0))),INT(INDEX($A237:$T237,MATCH(Lists!$F$5,$A$1:$T$1,0))),DATE(VALUE(LEFT(INDEX($A237:$T237,MATCH(Lists!$F$5,$A$1:$T$1,0)),4)),VALUE(MID(INDEX($A237:$T237,MATCH(Lists!$F$5,$A$1:$T$1,0)),6,2)),VALUE(MID(INDEX($A237:$T237,MATCH(Lists!$F$5,$A$1:$T$1,0)),9,2))))),"")))</f>
        <v/>
      </c>
      <c r="AB237" s="21">
        <f>IF(Y237="","",IF(LEFT(IFERROR(TRIM(INDEX($A237:$T237,MATCH(Lists!$F$6,$A$1:$T$1,0))&amp;""),""),2)="No","General comment",IF(IFERROR(TRIM(INDEX($A237:$T237,MATCH(Lists!$F$7,$A$1:$T$1,0))&amp;""),"")&lt;&gt;"",IFERROR(TRIM(INDEX($A237:$T237,MATCH(Lists!$F$7,$A$1:$T$1,0))&amp;""),""),IF(IFERROR(TRIM(INDEX($A237:$T237,MATCH(Lists!$F$8,$A$1:$T$1,0))&amp;""),"")&lt;&gt;"",IFERROR(TRIM(INDEX($A237:$T237,MATCH(Lists!$F$8,$A$1:$T$1,0))&amp;""),""),"(no item given)"))))</f>
        <v/>
      </c>
      <c r="AC237" s="21">
        <f>IF(Y237="","",IF(ISNUMBER(SEARCH("support",IFERROR(TRIM(INDEX($A237:$T237,MATCH(Lists!$F$9,$A$1:$T$1,0))&amp;""),""))),"Support",IF(ISNUMBER(SEARCH("oppose",IFERROR(TRIM(INDEX($A237:$T237,MATCH(Lists!$F$9,$A$1:$T$1,0))&amp;""),""))),"Oppose",IF(IFERROR(TRIM(INDEX($A237:$T237,MATCH(Lists!$F$9,$A$1:$T$1,0))&amp;""),"")="","No position","Neither"))))</f>
        <v/>
      </c>
      <c r="AD237" s="21">
        <f>IF(Y237="","",IF(ISNUMBER(SEARCH("in person",IFERROR(TRIM(INDEX($A237:$T237,MATCH(Lists!$F$13,$A$1:$T$1,0))&amp;""),""))),"In person",IF(ISNUMBER(SEARCH("online",IFERROR(TRIM(INDEX($A237:$T237,MATCH(Lists!$F$13,$A$1:$T$1,0))&amp;""),""))),"Online","Written only")))</f>
        <v/>
      </c>
      <c r="AE237" s="21">
        <f>IF(Y237="","",IFERROR(TRIM(INDEX($A237:$T237,MATCH(Lists!$F$11,$A$1:$T$1,0))&amp;""),""))</f>
        <v/>
      </c>
      <c r="AF237" s="21">
        <f>IF(Y237="","",IFERROR(TRIM(INDEX($A237:$T237,MATCH(Lists!$F$12,$A$1:$T$1,0))&amp;""),""))</f>
        <v/>
      </c>
      <c r="AG237" s="21">
        <f>IF(Y237="","",IFERROR(TRIM(INDEX($A237:$T237,MATCH(Lists!$F$14,$A$1:$T$1,0))&amp;""),""))</f>
        <v/>
      </c>
      <c r="AH237" s="21">
        <f>IF(Y237="","",LEFT(IFERROR(TRIM(INDEX($A237:$T237,MATCH(Lists!$F$10,$A$1:$T$1,0))&amp;""),""),80))</f>
        <v/>
      </c>
      <c r="AI237" s="21">
        <f>IF(Y237="",0,IF(OR(Tally!$B$5="",AA237=Tally!$B$5),1,0))</f>
        <v/>
      </c>
      <c r="AJ237" s="21">
        <f>IF(AI237=1,IF(COUNTIFS($AB$2:AB237,AB237,$AI$2:AI237,1)=1,1,0),0)</f>
        <v/>
      </c>
      <c r="AK237" s="21">
        <f>IF(AJ237=1,SUM($AJ$2:AJ237),"")</f>
        <v/>
      </c>
      <c r="AL237" s="21">
        <f>IF(AND(AI237=1,OR(AD237="In person",AD237="Online"),OR(Speakers!$B$5="",AB237=Speakers!$B$5)),N(Z237)+ROW()/1000000000,"")</f>
        <v/>
      </c>
    </row>
    <row r="238">
      <c r="U238" s="19" t="n"/>
      <c r="V238" s="24" t="n"/>
      <c r="W238" s="24" t="n"/>
      <c r="X238" s="19" t="n"/>
      <c r="Y238" s="21">
        <f>IFERROR(TRIM(INDEX($A238:$T238,MATCH(Lists!$F$2,$A$1:$T$1,0))&amp;""),"")</f>
        <v/>
      </c>
      <c r="Z238" s="22">
        <f>IF(Y238="","",IFERROR(IF(ISNUMBER(INDEX($A238:$T238,MATCH(Lists!$F$3,$A$1:$T$1,0))),INDEX($A238:$T238,MATCH(Lists!$F$3,$A$1:$T$1,0)),DATE(VALUE(LEFT(IFERROR(TRIM(INDEX($A238:$T238,MATCH(Lists!$F$3,$A$1:$T$1,0))&amp;""),""),4)),VALUE(MID(IFERROR(TRIM(INDEX($A238:$T238,MATCH(Lists!$F$3,$A$1:$T$1,0))&amp;""),""),6,2)),VALUE(MID(IFERROR(TRIM(INDEX($A238:$T238,MATCH(Lists!$F$3,$A$1:$T$1,0))&amp;""),""),9,2)))+TIME(VALUE(MID(IFERROR(TRIM(INDEX($A238:$T238,MATCH(Lists!$F$3,$A$1:$T$1,0))&amp;""),""),12,2)),VALUE(MID(IFERROR(TRIM(INDEX($A238:$T238,MATCH(Lists!$F$3,$A$1:$T$1,0))&amp;""),""),15,2)),VALUE(MID(IFERROR(TRIM(INDEX($A238:$T238,MATCH(Lists!$F$3,$A$1:$T$1,0))&amp;""),""),18,2)))),""))</f>
        <v/>
      </c>
      <c r="AA238" s="23">
        <f>IF(Y238="","",IF(ISNUMBER(IFERROR(IF(TRIM(INDEX($A238:$T238,MATCH(Lists!$F$4,$A$1:$T$1,0))&amp;"")="","",IF(ISNUMBER(INDEX($A238:$T238,MATCH(Lists!$F$4,$A$1:$T$1,0))),INT(INDEX($A238:$T238,MATCH(Lists!$F$4,$A$1:$T$1,0))),DATE(VALUE(LEFT(INDEX($A238:$T238,MATCH(Lists!$F$4,$A$1:$T$1,0)),4)),VALUE(MID(INDEX($A238:$T238,MATCH(Lists!$F$4,$A$1:$T$1,0)),6,2)),VALUE(MID(INDEX($A238:$T238,MATCH(Lists!$F$4,$A$1:$T$1,0)),9,2))))),"")),IFERROR(IF(TRIM(INDEX($A238:$T238,MATCH(Lists!$F$4,$A$1:$T$1,0))&amp;"")="","",IF(ISNUMBER(INDEX($A238:$T238,MATCH(Lists!$F$4,$A$1:$T$1,0))),INT(INDEX($A238:$T238,MATCH(Lists!$F$4,$A$1:$T$1,0))),DATE(VALUE(LEFT(INDEX($A238:$T238,MATCH(Lists!$F$4,$A$1:$T$1,0)),4)),VALUE(MID(INDEX($A238:$T238,MATCH(Lists!$F$4,$A$1:$T$1,0)),6,2)),VALUE(MID(INDEX($A238:$T238,MATCH(Lists!$F$4,$A$1:$T$1,0)),9,2))))),""),IFERROR(IF(TRIM(INDEX($A238:$T238,MATCH(Lists!$F$5,$A$1:$T$1,0))&amp;"")="","",IF(ISNUMBER(INDEX($A238:$T238,MATCH(Lists!$F$5,$A$1:$T$1,0))),INT(INDEX($A238:$T238,MATCH(Lists!$F$5,$A$1:$T$1,0))),DATE(VALUE(LEFT(INDEX($A238:$T238,MATCH(Lists!$F$5,$A$1:$T$1,0)),4)),VALUE(MID(INDEX($A238:$T238,MATCH(Lists!$F$5,$A$1:$T$1,0)),6,2)),VALUE(MID(INDEX($A238:$T238,MATCH(Lists!$F$5,$A$1:$T$1,0)),9,2))))),"")))</f>
        <v/>
      </c>
      <c r="AB238" s="21">
        <f>IF(Y238="","",IF(LEFT(IFERROR(TRIM(INDEX($A238:$T238,MATCH(Lists!$F$6,$A$1:$T$1,0))&amp;""),""),2)="No","General comment",IF(IFERROR(TRIM(INDEX($A238:$T238,MATCH(Lists!$F$7,$A$1:$T$1,0))&amp;""),"")&lt;&gt;"",IFERROR(TRIM(INDEX($A238:$T238,MATCH(Lists!$F$7,$A$1:$T$1,0))&amp;""),""),IF(IFERROR(TRIM(INDEX($A238:$T238,MATCH(Lists!$F$8,$A$1:$T$1,0))&amp;""),"")&lt;&gt;"",IFERROR(TRIM(INDEX($A238:$T238,MATCH(Lists!$F$8,$A$1:$T$1,0))&amp;""),""),"(no item given)"))))</f>
        <v/>
      </c>
      <c r="AC238" s="21">
        <f>IF(Y238="","",IF(ISNUMBER(SEARCH("support",IFERROR(TRIM(INDEX($A238:$T238,MATCH(Lists!$F$9,$A$1:$T$1,0))&amp;""),""))),"Support",IF(ISNUMBER(SEARCH("oppose",IFERROR(TRIM(INDEX($A238:$T238,MATCH(Lists!$F$9,$A$1:$T$1,0))&amp;""),""))),"Oppose",IF(IFERROR(TRIM(INDEX($A238:$T238,MATCH(Lists!$F$9,$A$1:$T$1,0))&amp;""),"")="","No position","Neither"))))</f>
        <v/>
      </c>
      <c r="AD238" s="21">
        <f>IF(Y238="","",IF(ISNUMBER(SEARCH("in person",IFERROR(TRIM(INDEX($A238:$T238,MATCH(Lists!$F$13,$A$1:$T$1,0))&amp;""),""))),"In person",IF(ISNUMBER(SEARCH("online",IFERROR(TRIM(INDEX($A238:$T238,MATCH(Lists!$F$13,$A$1:$T$1,0))&amp;""),""))),"Online","Written only")))</f>
        <v/>
      </c>
      <c r="AE238" s="21">
        <f>IF(Y238="","",IFERROR(TRIM(INDEX($A238:$T238,MATCH(Lists!$F$11,$A$1:$T$1,0))&amp;""),""))</f>
        <v/>
      </c>
      <c r="AF238" s="21">
        <f>IF(Y238="","",IFERROR(TRIM(INDEX($A238:$T238,MATCH(Lists!$F$12,$A$1:$T$1,0))&amp;""),""))</f>
        <v/>
      </c>
      <c r="AG238" s="21">
        <f>IF(Y238="","",IFERROR(TRIM(INDEX($A238:$T238,MATCH(Lists!$F$14,$A$1:$T$1,0))&amp;""),""))</f>
        <v/>
      </c>
      <c r="AH238" s="21">
        <f>IF(Y238="","",LEFT(IFERROR(TRIM(INDEX($A238:$T238,MATCH(Lists!$F$10,$A$1:$T$1,0))&amp;""),""),80))</f>
        <v/>
      </c>
      <c r="AI238" s="21">
        <f>IF(Y238="",0,IF(OR(Tally!$B$5="",AA238=Tally!$B$5),1,0))</f>
        <v/>
      </c>
      <c r="AJ238" s="21">
        <f>IF(AI238=1,IF(COUNTIFS($AB$2:AB238,AB238,$AI$2:AI238,1)=1,1,0),0)</f>
        <v/>
      </c>
      <c r="AK238" s="21">
        <f>IF(AJ238=1,SUM($AJ$2:AJ238),"")</f>
        <v/>
      </c>
      <c r="AL238" s="21">
        <f>IF(AND(AI238=1,OR(AD238="In person",AD238="Online"),OR(Speakers!$B$5="",AB238=Speakers!$B$5)),N(Z238)+ROW()/1000000000,"")</f>
        <v/>
      </c>
    </row>
    <row r="239">
      <c r="U239" s="19" t="n"/>
      <c r="V239" s="24" t="n"/>
      <c r="W239" s="24" t="n"/>
      <c r="X239" s="19" t="n"/>
      <c r="Y239" s="21">
        <f>IFERROR(TRIM(INDEX($A239:$T239,MATCH(Lists!$F$2,$A$1:$T$1,0))&amp;""),"")</f>
        <v/>
      </c>
      <c r="Z239" s="22">
        <f>IF(Y239="","",IFERROR(IF(ISNUMBER(INDEX($A239:$T239,MATCH(Lists!$F$3,$A$1:$T$1,0))),INDEX($A239:$T239,MATCH(Lists!$F$3,$A$1:$T$1,0)),DATE(VALUE(LEFT(IFERROR(TRIM(INDEX($A239:$T239,MATCH(Lists!$F$3,$A$1:$T$1,0))&amp;""),""),4)),VALUE(MID(IFERROR(TRIM(INDEX($A239:$T239,MATCH(Lists!$F$3,$A$1:$T$1,0))&amp;""),""),6,2)),VALUE(MID(IFERROR(TRIM(INDEX($A239:$T239,MATCH(Lists!$F$3,$A$1:$T$1,0))&amp;""),""),9,2)))+TIME(VALUE(MID(IFERROR(TRIM(INDEX($A239:$T239,MATCH(Lists!$F$3,$A$1:$T$1,0))&amp;""),""),12,2)),VALUE(MID(IFERROR(TRIM(INDEX($A239:$T239,MATCH(Lists!$F$3,$A$1:$T$1,0))&amp;""),""),15,2)),VALUE(MID(IFERROR(TRIM(INDEX($A239:$T239,MATCH(Lists!$F$3,$A$1:$T$1,0))&amp;""),""),18,2)))),""))</f>
        <v/>
      </c>
      <c r="AA239" s="23">
        <f>IF(Y239="","",IF(ISNUMBER(IFERROR(IF(TRIM(INDEX($A239:$T239,MATCH(Lists!$F$4,$A$1:$T$1,0))&amp;"")="","",IF(ISNUMBER(INDEX($A239:$T239,MATCH(Lists!$F$4,$A$1:$T$1,0))),INT(INDEX($A239:$T239,MATCH(Lists!$F$4,$A$1:$T$1,0))),DATE(VALUE(LEFT(INDEX($A239:$T239,MATCH(Lists!$F$4,$A$1:$T$1,0)),4)),VALUE(MID(INDEX($A239:$T239,MATCH(Lists!$F$4,$A$1:$T$1,0)),6,2)),VALUE(MID(INDEX($A239:$T239,MATCH(Lists!$F$4,$A$1:$T$1,0)),9,2))))),"")),IFERROR(IF(TRIM(INDEX($A239:$T239,MATCH(Lists!$F$4,$A$1:$T$1,0))&amp;"")="","",IF(ISNUMBER(INDEX($A239:$T239,MATCH(Lists!$F$4,$A$1:$T$1,0))),INT(INDEX($A239:$T239,MATCH(Lists!$F$4,$A$1:$T$1,0))),DATE(VALUE(LEFT(INDEX($A239:$T239,MATCH(Lists!$F$4,$A$1:$T$1,0)),4)),VALUE(MID(INDEX($A239:$T239,MATCH(Lists!$F$4,$A$1:$T$1,0)),6,2)),VALUE(MID(INDEX($A239:$T239,MATCH(Lists!$F$4,$A$1:$T$1,0)),9,2))))),""),IFERROR(IF(TRIM(INDEX($A239:$T239,MATCH(Lists!$F$5,$A$1:$T$1,0))&amp;"")="","",IF(ISNUMBER(INDEX($A239:$T239,MATCH(Lists!$F$5,$A$1:$T$1,0))),INT(INDEX($A239:$T239,MATCH(Lists!$F$5,$A$1:$T$1,0))),DATE(VALUE(LEFT(INDEX($A239:$T239,MATCH(Lists!$F$5,$A$1:$T$1,0)),4)),VALUE(MID(INDEX($A239:$T239,MATCH(Lists!$F$5,$A$1:$T$1,0)),6,2)),VALUE(MID(INDEX($A239:$T239,MATCH(Lists!$F$5,$A$1:$T$1,0)),9,2))))),"")))</f>
        <v/>
      </c>
      <c r="AB239" s="21">
        <f>IF(Y239="","",IF(LEFT(IFERROR(TRIM(INDEX($A239:$T239,MATCH(Lists!$F$6,$A$1:$T$1,0))&amp;""),""),2)="No","General comment",IF(IFERROR(TRIM(INDEX($A239:$T239,MATCH(Lists!$F$7,$A$1:$T$1,0))&amp;""),"")&lt;&gt;"",IFERROR(TRIM(INDEX($A239:$T239,MATCH(Lists!$F$7,$A$1:$T$1,0))&amp;""),""),IF(IFERROR(TRIM(INDEX($A239:$T239,MATCH(Lists!$F$8,$A$1:$T$1,0))&amp;""),"")&lt;&gt;"",IFERROR(TRIM(INDEX($A239:$T239,MATCH(Lists!$F$8,$A$1:$T$1,0))&amp;""),""),"(no item given)"))))</f>
        <v/>
      </c>
      <c r="AC239" s="21">
        <f>IF(Y239="","",IF(ISNUMBER(SEARCH("support",IFERROR(TRIM(INDEX($A239:$T239,MATCH(Lists!$F$9,$A$1:$T$1,0))&amp;""),""))),"Support",IF(ISNUMBER(SEARCH("oppose",IFERROR(TRIM(INDEX($A239:$T239,MATCH(Lists!$F$9,$A$1:$T$1,0))&amp;""),""))),"Oppose",IF(IFERROR(TRIM(INDEX($A239:$T239,MATCH(Lists!$F$9,$A$1:$T$1,0))&amp;""),"")="","No position","Neither"))))</f>
        <v/>
      </c>
      <c r="AD239" s="21">
        <f>IF(Y239="","",IF(ISNUMBER(SEARCH("in person",IFERROR(TRIM(INDEX($A239:$T239,MATCH(Lists!$F$13,$A$1:$T$1,0))&amp;""),""))),"In person",IF(ISNUMBER(SEARCH("online",IFERROR(TRIM(INDEX($A239:$T239,MATCH(Lists!$F$13,$A$1:$T$1,0))&amp;""),""))),"Online","Written only")))</f>
        <v/>
      </c>
      <c r="AE239" s="21">
        <f>IF(Y239="","",IFERROR(TRIM(INDEX($A239:$T239,MATCH(Lists!$F$11,$A$1:$T$1,0))&amp;""),""))</f>
        <v/>
      </c>
      <c r="AF239" s="21">
        <f>IF(Y239="","",IFERROR(TRIM(INDEX($A239:$T239,MATCH(Lists!$F$12,$A$1:$T$1,0))&amp;""),""))</f>
        <v/>
      </c>
      <c r="AG239" s="21">
        <f>IF(Y239="","",IFERROR(TRIM(INDEX($A239:$T239,MATCH(Lists!$F$14,$A$1:$T$1,0))&amp;""),""))</f>
        <v/>
      </c>
      <c r="AH239" s="21">
        <f>IF(Y239="","",LEFT(IFERROR(TRIM(INDEX($A239:$T239,MATCH(Lists!$F$10,$A$1:$T$1,0))&amp;""),""),80))</f>
        <v/>
      </c>
      <c r="AI239" s="21">
        <f>IF(Y239="",0,IF(OR(Tally!$B$5="",AA239=Tally!$B$5),1,0))</f>
        <v/>
      </c>
      <c r="AJ239" s="21">
        <f>IF(AI239=1,IF(COUNTIFS($AB$2:AB239,AB239,$AI$2:AI239,1)=1,1,0),0)</f>
        <v/>
      </c>
      <c r="AK239" s="21">
        <f>IF(AJ239=1,SUM($AJ$2:AJ239),"")</f>
        <v/>
      </c>
      <c r="AL239" s="21">
        <f>IF(AND(AI239=1,OR(AD239="In person",AD239="Online"),OR(Speakers!$B$5="",AB239=Speakers!$B$5)),N(Z239)+ROW()/1000000000,"")</f>
        <v/>
      </c>
    </row>
    <row r="240">
      <c r="U240" s="19" t="n"/>
      <c r="V240" s="24" t="n"/>
      <c r="W240" s="24" t="n"/>
      <c r="X240" s="19" t="n"/>
      <c r="Y240" s="21">
        <f>IFERROR(TRIM(INDEX($A240:$T240,MATCH(Lists!$F$2,$A$1:$T$1,0))&amp;""),"")</f>
        <v/>
      </c>
      <c r="Z240" s="22">
        <f>IF(Y240="","",IFERROR(IF(ISNUMBER(INDEX($A240:$T240,MATCH(Lists!$F$3,$A$1:$T$1,0))),INDEX($A240:$T240,MATCH(Lists!$F$3,$A$1:$T$1,0)),DATE(VALUE(LEFT(IFERROR(TRIM(INDEX($A240:$T240,MATCH(Lists!$F$3,$A$1:$T$1,0))&amp;""),""),4)),VALUE(MID(IFERROR(TRIM(INDEX($A240:$T240,MATCH(Lists!$F$3,$A$1:$T$1,0))&amp;""),""),6,2)),VALUE(MID(IFERROR(TRIM(INDEX($A240:$T240,MATCH(Lists!$F$3,$A$1:$T$1,0))&amp;""),""),9,2)))+TIME(VALUE(MID(IFERROR(TRIM(INDEX($A240:$T240,MATCH(Lists!$F$3,$A$1:$T$1,0))&amp;""),""),12,2)),VALUE(MID(IFERROR(TRIM(INDEX($A240:$T240,MATCH(Lists!$F$3,$A$1:$T$1,0))&amp;""),""),15,2)),VALUE(MID(IFERROR(TRIM(INDEX($A240:$T240,MATCH(Lists!$F$3,$A$1:$T$1,0))&amp;""),""),18,2)))),""))</f>
        <v/>
      </c>
      <c r="AA240" s="23">
        <f>IF(Y240="","",IF(ISNUMBER(IFERROR(IF(TRIM(INDEX($A240:$T240,MATCH(Lists!$F$4,$A$1:$T$1,0))&amp;"")="","",IF(ISNUMBER(INDEX($A240:$T240,MATCH(Lists!$F$4,$A$1:$T$1,0))),INT(INDEX($A240:$T240,MATCH(Lists!$F$4,$A$1:$T$1,0))),DATE(VALUE(LEFT(INDEX($A240:$T240,MATCH(Lists!$F$4,$A$1:$T$1,0)),4)),VALUE(MID(INDEX($A240:$T240,MATCH(Lists!$F$4,$A$1:$T$1,0)),6,2)),VALUE(MID(INDEX($A240:$T240,MATCH(Lists!$F$4,$A$1:$T$1,0)),9,2))))),"")),IFERROR(IF(TRIM(INDEX($A240:$T240,MATCH(Lists!$F$4,$A$1:$T$1,0))&amp;"")="","",IF(ISNUMBER(INDEX($A240:$T240,MATCH(Lists!$F$4,$A$1:$T$1,0))),INT(INDEX($A240:$T240,MATCH(Lists!$F$4,$A$1:$T$1,0))),DATE(VALUE(LEFT(INDEX($A240:$T240,MATCH(Lists!$F$4,$A$1:$T$1,0)),4)),VALUE(MID(INDEX($A240:$T240,MATCH(Lists!$F$4,$A$1:$T$1,0)),6,2)),VALUE(MID(INDEX($A240:$T240,MATCH(Lists!$F$4,$A$1:$T$1,0)),9,2))))),""),IFERROR(IF(TRIM(INDEX($A240:$T240,MATCH(Lists!$F$5,$A$1:$T$1,0))&amp;"")="","",IF(ISNUMBER(INDEX($A240:$T240,MATCH(Lists!$F$5,$A$1:$T$1,0))),INT(INDEX($A240:$T240,MATCH(Lists!$F$5,$A$1:$T$1,0))),DATE(VALUE(LEFT(INDEX($A240:$T240,MATCH(Lists!$F$5,$A$1:$T$1,0)),4)),VALUE(MID(INDEX($A240:$T240,MATCH(Lists!$F$5,$A$1:$T$1,0)),6,2)),VALUE(MID(INDEX($A240:$T240,MATCH(Lists!$F$5,$A$1:$T$1,0)),9,2))))),"")))</f>
        <v/>
      </c>
      <c r="AB240" s="21">
        <f>IF(Y240="","",IF(LEFT(IFERROR(TRIM(INDEX($A240:$T240,MATCH(Lists!$F$6,$A$1:$T$1,0))&amp;""),""),2)="No","General comment",IF(IFERROR(TRIM(INDEX($A240:$T240,MATCH(Lists!$F$7,$A$1:$T$1,0))&amp;""),"")&lt;&gt;"",IFERROR(TRIM(INDEX($A240:$T240,MATCH(Lists!$F$7,$A$1:$T$1,0))&amp;""),""),IF(IFERROR(TRIM(INDEX($A240:$T240,MATCH(Lists!$F$8,$A$1:$T$1,0))&amp;""),"")&lt;&gt;"",IFERROR(TRIM(INDEX($A240:$T240,MATCH(Lists!$F$8,$A$1:$T$1,0))&amp;""),""),"(no item given)"))))</f>
        <v/>
      </c>
      <c r="AC240" s="21">
        <f>IF(Y240="","",IF(ISNUMBER(SEARCH("support",IFERROR(TRIM(INDEX($A240:$T240,MATCH(Lists!$F$9,$A$1:$T$1,0))&amp;""),""))),"Support",IF(ISNUMBER(SEARCH("oppose",IFERROR(TRIM(INDEX($A240:$T240,MATCH(Lists!$F$9,$A$1:$T$1,0))&amp;""),""))),"Oppose",IF(IFERROR(TRIM(INDEX($A240:$T240,MATCH(Lists!$F$9,$A$1:$T$1,0))&amp;""),"")="","No position","Neither"))))</f>
        <v/>
      </c>
      <c r="AD240" s="21">
        <f>IF(Y240="","",IF(ISNUMBER(SEARCH("in person",IFERROR(TRIM(INDEX($A240:$T240,MATCH(Lists!$F$13,$A$1:$T$1,0))&amp;""),""))),"In person",IF(ISNUMBER(SEARCH("online",IFERROR(TRIM(INDEX($A240:$T240,MATCH(Lists!$F$13,$A$1:$T$1,0))&amp;""),""))),"Online","Written only")))</f>
        <v/>
      </c>
      <c r="AE240" s="21">
        <f>IF(Y240="","",IFERROR(TRIM(INDEX($A240:$T240,MATCH(Lists!$F$11,$A$1:$T$1,0))&amp;""),""))</f>
        <v/>
      </c>
      <c r="AF240" s="21">
        <f>IF(Y240="","",IFERROR(TRIM(INDEX($A240:$T240,MATCH(Lists!$F$12,$A$1:$T$1,0))&amp;""),""))</f>
        <v/>
      </c>
      <c r="AG240" s="21">
        <f>IF(Y240="","",IFERROR(TRIM(INDEX($A240:$T240,MATCH(Lists!$F$14,$A$1:$T$1,0))&amp;""),""))</f>
        <v/>
      </c>
      <c r="AH240" s="21">
        <f>IF(Y240="","",LEFT(IFERROR(TRIM(INDEX($A240:$T240,MATCH(Lists!$F$10,$A$1:$T$1,0))&amp;""),""),80))</f>
        <v/>
      </c>
      <c r="AI240" s="21">
        <f>IF(Y240="",0,IF(OR(Tally!$B$5="",AA240=Tally!$B$5),1,0))</f>
        <v/>
      </c>
      <c r="AJ240" s="21">
        <f>IF(AI240=1,IF(COUNTIFS($AB$2:AB240,AB240,$AI$2:AI240,1)=1,1,0),0)</f>
        <v/>
      </c>
      <c r="AK240" s="21">
        <f>IF(AJ240=1,SUM($AJ$2:AJ240),"")</f>
        <v/>
      </c>
      <c r="AL240" s="21">
        <f>IF(AND(AI240=1,OR(AD240="In person",AD240="Online"),OR(Speakers!$B$5="",AB240=Speakers!$B$5)),N(Z240)+ROW()/1000000000,"")</f>
        <v/>
      </c>
    </row>
    <row r="241">
      <c r="U241" s="19" t="n"/>
      <c r="V241" s="24" t="n"/>
      <c r="W241" s="24" t="n"/>
      <c r="X241" s="19" t="n"/>
      <c r="Y241" s="21">
        <f>IFERROR(TRIM(INDEX($A241:$T241,MATCH(Lists!$F$2,$A$1:$T$1,0))&amp;""),"")</f>
        <v/>
      </c>
      <c r="Z241" s="22">
        <f>IF(Y241="","",IFERROR(IF(ISNUMBER(INDEX($A241:$T241,MATCH(Lists!$F$3,$A$1:$T$1,0))),INDEX($A241:$T241,MATCH(Lists!$F$3,$A$1:$T$1,0)),DATE(VALUE(LEFT(IFERROR(TRIM(INDEX($A241:$T241,MATCH(Lists!$F$3,$A$1:$T$1,0))&amp;""),""),4)),VALUE(MID(IFERROR(TRIM(INDEX($A241:$T241,MATCH(Lists!$F$3,$A$1:$T$1,0))&amp;""),""),6,2)),VALUE(MID(IFERROR(TRIM(INDEX($A241:$T241,MATCH(Lists!$F$3,$A$1:$T$1,0))&amp;""),""),9,2)))+TIME(VALUE(MID(IFERROR(TRIM(INDEX($A241:$T241,MATCH(Lists!$F$3,$A$1:$T$1,0))&amp;""),""),12,2)),VALUE(MID(IFERROR(TRIM(INDEX($A241:$T241,MATCH(Lists!$F$3,$A$1:$T$1,0))&amp;""),""),15,2)),VALUE(MID(IFERROR(TRIM(INDEX($A241:$T241,MATCH(Lists!$F$3,$A$1:$T$1,0))&amp;""),""),18,2)))),""))</f>
        <v/>
      </c>
      <c r="AA241" s="23">
        <f>IF(Y241="","",IF(ISNUMBER(IFERROR(IF(TRIM(INDEX($A241:$T241,MATCH(Lists!$F$4,$A$1:$T$1,0))&amp;"")="","",IF(ISNUMBER(INDEX($A241:$T241,MATCH(Lists!$F$4,$A$1:$T$1,0))),INT(INDEX($A241:$T241,MATCH(Lists!$F$4,$A$1:$T$1,0))),DATE(VALUE(LEFT(INDEX($A241:$T241,MATCH(Lists!$F$4,$A$1:$T$1,0)),4)),VALUE(MID(INDEX($A241:$T241,MATCH(Lists!$F$4,$A$1:$T$1,0)),6,2)),VALUE(MID(INDEX($A241:$T241,MATCH(Lists!$F$4,$A$1:$T$1,0)),9,2))))),"")),IFERROR(IF(TRIM(INDEX($A241:$T241,MATCH(Lists!$F$4,$A$1:$T$1,0))&amp;"")="","",IF(ISNUMBER(INDEX($A241:$T241,MATCH(Lists!$F$4,$A$1:$T$1,0))),INT(INDEX($A241:$T241,MATCH(Lists!$F$4,$A$1:$T$1,0))),DATE(VALUE(LEFT(INDEX($A241:$T241,MATCH(Lists!$F$4,$A$1:$T$1,0)),4)),VALUE(MID(INDEX($A241:$T241,MATCH(Lists!$F$4,$A$1:$T$1,0)),6,2)),VALUE(MID(INDEX($A241:$T241,MATCH(Lists!$F$4,$A$1:$T$1,0)),9,2))))),""),IFERROR(IF(TRIM(INDEX($A241:$T241,MATCH(Lists!$F$5,$A$1:$T$1,0))&amp;"")="","",IF(ISNUMBER(INDEX($A241:$T241,MATCH(Lists!$F$5,$A$1:$T$1,0))),INT(INDEX($A241:$T241,MATCH(Lists!$F$5,$A$1:$T$1,0))),DATE(VALUE(LEFT(INDEX($A241:$T241,MATCH(Lists!$F$5,$A$1:$T$1,0)),4)),VALUE(MID(INDEX($A241:$T241,MATCH(Lists!$F$5,$A$1:$T$1,0)),6,2)),VALUE(MID(INDEX($A241:$T241,MATCH(Lists!$F$5,$A$1:$T$1,0)),9,2))))),"")))</f>
        <v/>
      </c>
      <c r="AB241" s="21">
        <f>IF(Y241="","",IF(LEFT(IFERROR(TRIM(INDEX($A241:$T241,MATCH(Lists!$F$6,$A$1:$T$1,0))&amp;""),""),2)="No","General comment",IF(IFERROR(TRIM(INDEX($A241:$T241,MATCH(Lists!$F$7,$A$1:$T$1,0))&amp;""),"")&lt;&gt;"",IFERROR(TRIM(INDEX($A241:$T241,MATCH(Lists!$F$7,$A$1:$T$1,0))&amp;""),""),IF(IFERROR(TRIM(INDEX($A241:$T241,MATCH(Lists!$F$8,$A$1:$T$1,0))&amp;""),"")&lt;&gt;"",IFERROR(TRIM(INDEX($A241:$T241,MATCH(Lists!$F$8,$A$1:$T$1,0))&amp;""),""),"(no item given)"))))</f>
        <v/>
      </c>
      <c r="AC241" s="21">
        <f>IF(Y241="","",IF(ISNUMBER(SEARCH("support",IFERROR(TRIM(INDEX($A241:$T241,MATCH(Lists!$F$9,$A$1:$T$1,0))&amp;""),""))),"Support",IF(ISNUMBER(SEARCH("oppose",IFERROR(TRIM(INDEX($A241:$T241,MATCH(Lists!$F$9,$A$1:$T$1,0))&amp;""),""))),"Oppose",IF(IFERROR(TRIM(INDEX($A241:$T241,MATCH(Lists!$F$9,$A$1:$T$1,0))&amp;""),"")="","No position","Neither"))))</f>
        <v/>
      </c>
      <c r="AD241" s="21">
        <f>IF(Y241="","",IF(ISNUMBER(SEARCH("in person",IFERROR(TRIM(INDEX($A241:$T241,MATCH(Lists!$F$13,$A$1:$T$1,0))&amp;""),""))),"In person",IF(ISNUMBER(SEARCH("online",IFERROR(TRIM(INDEX($A241:$T241,MATCH(Lists!$F$13,$A$1:$T$1,0))&amp;""),""))),"Online","Written only")))</f>
        <v/>
      </c>
      <c r="AE241" s="21">
        <f>IF(Y241="","",IFERROR(TRIM(INDEX($A241:$T241,MATCH(Lists!$F$11,$A$1:$T$1,0))&amp;""),""))</f>
        <v/>
      </c>
      <c r="AF241" s="21">
        <f>IF(Y241="","",IFERROR(TRIM(INDEX($A241:$T241,MATCH(Lists!$F$12,$A$1:$T$1,0))&amp;""),""))</f>
        <v/>
      </c>
      <c r="AG241" s="21">
        <f>IF(Y241="","",IFERROR(TRIM(INDEX($A241:$T241,MATCH(Lists!$F$14,$A$1:$T$1,0))&amp;""),""))</f>
        <v/>
      </c>
      <c r="AH241" s="21">
        <f>IF(Y241="","",LEFT(IFERROR(TRIM(INDEX($A241:$T241,MATCH(Lists!$F$10,$A$1:$T$1,0))&amp;""),""),80))</f>
        <v/>
      </c>
      <c r="AI241" s="21">
        <f>IF(Y241="",0,IF(OR(Tally!$B$5="",AA241=Tally!$B$5),1,0))</f>
        <v/>
      </c>
      <c r="AJ241" s="21">
        <f>IF(AI241=1,IF(COUNTIFS($AB$2:AB241,AB241,$AI$2:AI241,1)=1,1,0),0)</f>
        <v/>
      </c>
      <c r="AK241" s="21">
        <f>IF(AJ241=1,SUM($AJ$2:AJ241),"")</f>
        <v/>
      </c>
      <c r="AL241" s="21">
        <f>IF(AND(AI241=1,OR(AD241="In person",AD241="Online"),OR(Speakers!$B$5="",AB241=Speakers!$B$5)),N(Z241)+ROW()/1000000000,"")</f>
        <v/>
      </c>
    </row>
    <row r="242">
      <c r="U242" s="19" t="n"/>
      <c r="V242" s="24" t="n"/>
      <c r="W242" s="24" t="n"/>
      <c r="X242" s="19" t="n"/>
      <c r="Y242" s="21">
        <f>IFERROR(TRIM(INDEX($A242:$T242,MATCH(Lists!$F$2,$A$1:$T$1,0))&amp;""),"")</f>
        <v/>
      </c>
      <c r="Z242" s="22">
        <f>IF(Y242="","",IFERROR(IF(ISNUMBER(INDEX($A242:$T242,MATCH(Lists!$F$3,$A$1:$T$1,0))),INDEX($A242:$T242,MATCH(Lists!$F$3,$A$1:$T$1,0)),DATE(VALUE(LEFT(IFERROR(TRIM(INDEX($A242:$T242,MATCH(Lists!$F$3,$A$1:$T$1,0))&amp;""),""),4)),VALUE(MID(IFERROR(TRIM(INDEX($A242:$T242,MATCH(Lists!$F$3,$A$1:$T$1,0))&amp;""),""),6,2)),VALUE(MID(IFERROR(TRIM(INDEX($A242:$T242,MATCH(Lists!$F$3,$A$1:$T$1,0))&amp;""),""),9,2)))+TIME(VALUE(MID(IFERROR(TRIM(INDEX($A242:$T242,MATCH(Lists!$F$3,$A$1:$T$1,0))&amp;""),""),12,2)),VALUE(MID(IFERROR(TRIM(INDEX($A242:$T242,MATCH(Lists!$F$3,$A$1:$T$1,0))&amp;""),""),15,2)),VALUE(MID(IFERROR(TRIM(INDEX($A242:$T242,MATCH(Lists!$F$3,$A$1:$T$1,0))&amp;""),""),18,2)))),""))</f>
        <v/>
      </c>
      <c r="AA242" s="23">
        <f>IF(Y242="","",IF(ISNUMBER(IFERROR(IF(TRIM(INDEX($A242:$T242,MATCH(Lists!$F$4,$A$1:$T$1,0))&amp;"")="","",IF(ISNUMBER(INDEX($A242:$T242,MATCH(Lists!$F$4,$A$1:$T$1,0))),INT(INDEX($A242:$T242,MATCH(Lists!$F$4,$A$1:$T$1,0))),DATE(VALUE(LEFT(INDEX($A242:$T242,MATCH(Lists!$F$4,$A$1:$T$1,0)),4)),VALUE(MID(INDEX($A242:$T242,MATCH(Lists!$F$4,$A$1:$T$1,0)),6,2)),VALUE(MID(INDEX($A242:$T242,MATCH(Lists!$F$4,$A$1:$T$1,0)),9,2))))),"")),IFERROR(IF(TRIM(INDEX($A242:$T242,MATCH(Lists!$F$4,$A$1:$T$1,0))&amp;"")="","",IF(ISNUMBER(INDEX($A242:$T242,MATCH(Lists!$F$4,$A$1:$T$1,0))),INT(INDEX($A242:$T242,MATCH(Lists!$F$4,$A$1:$T$1,0))),DATE(VALUE(LEFT(INDEX($A242:$T242,MATCH(Lists!$F$4,$A$1:$T$1,0)),4)),VALUE(MID(INDEX($A242:$T242,MATCH(Lists!$F$4,$A$1:$T$1,0)),6,2)),VALUE(MID(INDEX($A242:$T242,MATCH(Lists!$F$4,$A$1:$T$1,0)),9,2))))),""),IFERROR(IF(TRIM(INDEX($A242:$T242,MATCH(Lists!$F$5,$A$1:$T$1,0))&amp;"")="","",IF(ISNUMBER(INDEX($A242:$T242,MATCH(Lists!$F$5,$A$1:$T$1,0))),INT(INDEX($A242:$T242,MATCH(Lists!$F$5,$A$1:$T$1,0))),DATE(VALUE(LEFT(INDEX($A242:$T242,MATCH(Lists!$F$5,$A$1:$T$1,0)),4)),VALUE(MID(INDEX($A242:$T242,MATCH(Lists!$F$5,$A$1:$T$1,0)),6,2)),VALUE(MID(INDEX($A242:$T242,MATCH(Lists!$F$5,$A$1:$T$1,0)),9,2))))),"")))</f>
        <v/>
      </c>
      <c r="AB242" s="21">
        <f>IF(Y242="","",IF(LEFT(IFERROR(TRIM(INDEX($A242:$T242,MATCH(Lists!$F$6,$A$1:$T$1,0))&amp;""),""),2)="No","General comment",IF(IFERROR(TRIM(INDEX($A242:$T242,MATCH(Lists!$F$7,$A$1:$T$1,0))&amp;""),"")&lt;&gt;"",IFERROR(TRIM(INDEX($A242:$T242,MATCH(Lists!$F$7,$A$1:$T$1,0))&amp;""),""),IF(IFERROR(TRIM(INDEX($A242:$T242,MATCH(Lists!$F$8,$A$1:$T$1,0))&amp;""),"")&lt;&gt;"",IFERROR(TRIM(INDEX($A242:$T242,MATCH(Lists!$F$8,$A$1:$T$1,0))&amp;""),""),"(no item given)"))))</f>
        <v/>
      </c>
      <c r="AC242" s="21">
        <f>IF(Y242="","",IF(ISNUMBER(SEARCH("support",IFERROR(TRIM(INDEX($A242:$T242,MATCH(Lists!$F$9,$A$1:$T$1,0))&amp;""),""))),"Support",IF(ISNUMBER(SEARCH("oppose",IFERROR(TRIM(INDEX($A242:$T242,MATCH(Lists!$F$9,$A$1:$T$1,0))&amp;""),""))),"Oppose",IF(IFERROR(TRIM(INDEX($A242:$T242,MATCH(Lists!$F$9,$A$1:$T$1,0))&amp;""),"")="","No position","Neither"))))</f>
        <v/>
      </c>
      <c r="AD242" s="21">
        <f>IF(Y242="","",IF(ISNUMBER(SEARCH("in person",IFERROR(TRIM(INDEX($A242:$T242,MATCH(Lists!$F$13,$A$1:$T$1,0))&amp;""),""))),"In person",IF(ISNUMBER(SEARCH("online",IFERROR(TRIM(INDEX($A242:$T242,MATCH(Lists!$F$13,$A$1:$T$1,0))&amp;""),""))),"Online","Written only")))</f>
        <v/>
      </c>
      <c r="AE242" s="21">
        <f>IF(Y242="","",IFERROR(TRIM(INDEX($A242:$T242,MATCH(Lists!$F$11,$A$1:$T$1,0))&amp;""),""))</f>
        <v/>
      </c>
      <c r="AF242" s="21">
        <f>IF(Y242="","",IFERROR(TRIM(INDEX($A242:$T242,MATCH(Lists!$F$12,$A$1:$T$1,0))&amp;""),""))</f>
        <v/>
      </c>
      <c r="AG242" s="21">
        <f>IF(Y242="","",IFERROR(TRIM(INDEX($A242:$T242,MATCH(Lists!$F$14,$A$1:$T$1,0))&amp;""),""))</f>
        <v/>
      </c>
      <c r="AH242" s="21">
        <f>IF(Y242="","",LEFT(IFERROR(TRIM(INDEX($A242:$T242,MATCH(Lists!$F$10,$A$1:$T$1,0))&amp;""),""),80))</f>
        <v/>
      </c>
      <c r="AI242" s="21">
        <f>IF(Y242="",0,IF(OR(Tally!$B$5="",AA242=Tally!$B$5),1,0))</f>
        <v/>
      </c>
      <c r="AJ242" s="21">
        <f>IF(AI242=1,IF(COUNTIFS($AB$2:AB242,AB242,$AI$2:AI242,1)=1,1,0),0)</f>
        <v/>
      </c>
      <c r="AK242" s="21">
        <f>IF(AJ242=1,SUM($AJ$2:AJ242),"")</f>
        <v/>
      </c>
      <c r="AL242" s="21">
        <f>IF(AND(AI242=1,OR(AD242="In person",AD242="Online"),OR(Speakers!$B$5="",AB242=Speakers!$B$5)),N(Z242)+ROW()/1000000000,"")</f>
        <v/>
      </c>
    </row>
    <row r="243">
      <c r="U243" s="19" t="n"/>
      <c r="V243" s="24" t="n"/>
      <c r="W243" s="24" t="n"/>
      <c r="X243" s="19" t="n"/>
      <c r="Y243" s="21">
        <f>IFERROR(TRIM(INDEX($A243:$T243,MATCH(Lists!$F$2,$A$1:$T$1,0))&amp;""),"")</f>
        <v/>
      </c>
      <c r="Z243" s="22">
        <f>IF(Y243="","",IFERROR(IF(ISNUMBER(INDEX($A243:$T243,MATCH(Lists!$F$3,$A$1:$T$1,0))),INDEX($A243:$T243,MATCH(Lists!$F$3,$A$1:$T$1,0)),DATE(VALUE(LEFT(IFERROR(TRIM(INDEX($A243:$T243,MATCH(Lists!$F$3,$A$1:$T$1,0))&amp;""),""),4)),VALUE(MID(IFERROR(TRIM(INDEX($A243:$T243,MATCH(Lists!$F$3,$A$1:$T$1,0))&amp;""),""),6,2)),VALUE(MID(IFERROR(TRIM(INDEX($A243:$T243,MATCH(Lists!$F$3,$A$1:$T$1,0))&amp;""),""),9,2)))+TIME(VALUE(MID(IFERROR(TRIM(INDEX($A243:$T243,MATCH(Lists!$F$3,$A$1:$T$1,0))&amp;""),""),12,2)),VALUE(MID(IFERROR(TRIM(INDEX($A243:$T243,MATCH(Lists!$F$3,$A$1:$T$1,0))&amp;""),""),15,2)),VALUE(MID(IFERROR(TRIM(INDEX($A243:$T243,MATCH(Lists!$F$3,$A$1:$T$1,0))&amp;""),""),18,2)))),""))</f>
        <v/>
      </c>
      <c r="AA243" s="23">
        <f>IF(Y243="","",IF(ISNUMBER(IFERROR(IF(TRIM(INDEX($A243:$T243,MATCH(Lists!$F$4,$A$1:$T$1,0))&amp;"")="","",IF(ISNUMBER(INDEX($A243:$T243,MATCH(Lists!$F$4,$A$1:$T$1,0))),INT(INDEX($A243:$T243,MATCH(Lists!$F$4,$A$1:$T$1,0))),DATE(VALUE(LEFT(INDEX($A243:$T243,MATCH(Lists!$F$4,$A$1:$T$1,0)),4)),VALUE(MID(INDEX($A243:$T243,MATCH(Lists!$F$4,$A$1:$T$1,0)),6,2)),VALUE(MID(INDEX($A243:$T243,MATCH(Lists!$F$4,$A$1:$T$1,0)),9,2))))),"")),IFERROR(IF(TRIM(INDEX($A243:$T243,MATCH(Lists!$F$4,$A$1:$T$1,0))&amp;"")="","",IF(ISNUMBER(INDEX($A243:$T243,MATCH(Lists!$F$4,$A$1:$T$1,0))),INT(INDEX($A243:$T243,MATCH(Lists!$F$4,$A$1:$T$1,0))),DATE(VALUE(LEFT(INDEX($A243:$T243,MATCH(Lists!$F$4,$A$1:$T$1,0)),4)),VALUE(MID(INDEX($A243:$T243,MATCH(Lists!$F$4,$A$1:$T$1,0)),6,2)),VALUE(MID(INDEX($A243:$T243,MATCH(Lists!$F$4,$A$1:$T$1,0)),9,2))))),""),IFERROR(IF(TRIM(INDEX($A243:$T243,MATCH(Lists!$F$5,$A$1:$T$1,0))&amp;"")="","",IF(ISNUMBER(INDEX($A243:$T243,MATCH(Lists!$F$5,$A$1:$T$1,0))),INT(INDEX($A243:$T243,MATCH(Lists!$F$5,$A$1:$T$1,0))),DATE(VALUE(LEFT(INDEX($A243:$T243,MATCH(Lists!$F$5,$A$1:$T$1,0)),4)),VALUE(MID(INDEX($A243:$T243,MATCH(Lists!$F$5,$A$1:$T$1,0)),6,2)),VALUE(MID(INDEX($A243:$T243,MATCH(Lists!$F$5,$A$1:$T$1,0)),9,2))))),"")))</f>
        <v/>
      </c>
      <c r="AB243" s="21">
        <f>IF(Y243="","",IF(LEFT(IFERROR(TRIM(INDEX($A243:$T243,MATCH(Lists!$F$6,$A$1:$T$1,0))&amp;""),""),2)="No","General comment",IF(IFERROR(TRIM(INDEX($A243:$T243,MATCH(Lists!$F$7,$A$1:$T$1,0))&amp;""),"")&lt;&gt;"",IFERROR(TRIM(INDEX($A243:$T243,MATCH(Lists!$F$7,$A$1:$T$1,0))&amp;""),""),IF(IFERROR(TRIM(INDEX($A243:$T243,MATCH(Lists!$F$8,$A$1:$T$1,0))&amp;""),"")&lt;&gt;"",IFERROR(TRIM(INDEX($A243:$T243,MATCH(Lists!$F$8,$A$1:$T$1,0))&amp;""),""),"(no item given)"))))</f>
        <v/>
      </c>
      <c r="AC243" s="21">
        <f>IF(Y243="","",IF(ISNUMBER(SEARCH("support",IFERROR(TRIM(INDEX($A243:$T243,MATCH(Lists!$F$9,$A$1:$T$1,0))&amp;""),""))),"Support",IF(ISNUMBER(SEARCH("oppose",IFERROR(TRIM(INDEX($A243:$T243,MATCH(Lists!$F$9,$A$1:$T$1,0))&amp;""),""))),"Oppose",IF(IFERROR(TRIM(INDEX($A243:$T243,MATCH(Lists!$F$9,$A$1:$T$1,0))&amp;""),"")="","No position","Neither"))))</f>
        <v/>
      </c>
      <c r="AD243" s="21">
        <f>IF(Y243="","",IF(ISNUMBER(SEARCH("in person",IFERROR(TRIM(INDEX($A243:$T243,MATCH(Lists!$F$13,$A$1:$T$1,0))&amp;""),""))),"In person",IF(ISNUMBER(SEARCH("online",IFERROR(TRIM(INDEX($A243:$T243,MATCH(Lists!$F$13,$A$1:$T$1,0))&amp;""),""))),"Online","Written only")))</f>
        <v/>
      </c>
      <c r="AE243" s="21">
        <f>IF(Y243="","",IFERROR(TRIM(INDEX($A243:$T243,MATCH(Lists!$F$11,$A$1:$T$1,0))&amp;""),""))</f>
        <v/>
      </c>
      <c r="AF243" s="21">
        <f>IF(Y243="","",IFERROR(TRIM(INDEX($A243:$T243,MATCH(Lists!$F$12,$A$1:$T$1,0))&amp;""),""))</f>
        <v/>
      </c>
      <c r="AG243" s="21">
        <f>IF(Y243="","",IFERROR(TRIM(INDEX($A243:$T243,MATCH(Lists!$F$14,$A$1:$T$1,0))&amp;""),""))</f>
        <v/>
      </c>
      <c r="AH243" s="21">
        <f>IF(Y243="","",LEFT(IFERROR(TRIM(INDEX($A243:$T243,MATCH(Lists!$F$10,$A$1:$T$1,0))&amp;""),""),80))</f>
        <v/>
      </c>
      <c r="AI243" s="21">
        <f>IF(Y243="",0,IF(OR(Tally!$B$5="",AA243=Tally!$B$5),1,0))</f>
        <v/>
      </c>
      <c r="AJ243" s="21">
        <f>IF(AI243=1,IF(COUNTIFS($AB$2:AB243,AB243,$AI$2:AI243,1)=1,1,0),0)</f>
        <v/>
      </c>
      <c r="AK243" s="21">
        <f>IF(AJ243=1,SUM($AJ$2:AJ243),"")</f>
        <v/>
      </c>
      <c r="AL243" s="21">
        <f>IF(AND(AI243=1,OR(AD243="In person",AD243="Online"),OR(Speakers!$B$5="",AB243=Speakers!$B$5)),N(Z243)+ROW()/1000000000,"")</f>
        <v/>
      </c>
    </row>
    <row r="244">
      <c r="U244" s="19" t="n"/>
      <c r="V244" s="24" t="n"/>
      <c r="W244" s="24" t="n"/>
      <c r="X244" s="19" t="n"/>
      <c r="Y244" s="21">
        <f>IFERROR(TRIM(INDEX($A244:$T244,MATCH(Lists!$F$2,$A$1:$T$1,0))&amp;""),"")</f>
        <v/>
      </c>
      <c r="Z244" s="22">
        <f>IF(Y244="","",IFERROR(IF(ISNUMBER(INDEX($A244:$T244,MATCH(Lists!$F$3,$A$1:$T$1,0))),INDEX($A244:$T244,MATCH(Lists!$F$3,$A$1:$T$1,0)),DATE(VALUE(LEFT(IFERROR(TRIM(INDEX($A244:$T244,MATCH(Lists!$F$3,$A$1:$T$1,0))&amp;""),""),4)),VALUE(MID(IFERROR(TRIM(INDEX($A244:$T244,MATCH(Lists!$F$3,$A$1:$T$1,0))&amp;""),""),6,2)),VALUE(MID(IFERROR(TRIM(INDEX($A244:$T244,MATCH(Lists!$F$3,$A$1:$T$1,0))&amp;""),""),9,2)))+TIME(VALUE(MID(IFERROR(TRIM(INDEX($A244:$T244,MATCH(Lists!$F$3,$A$1:$T$1,0))&amp;""),""),12,2)),VALUE(MID(IFERROR(TRIM(INDEX($A244:$T244,MATCH(Lists!$F$3,$A$1:$T$1,0))&amp;""),""),15,2)),VALUE(MID(IFERROR(TRIM(INDEX($A244:$T244,MATCH(Lists!$F$3,$A$1:$T$1,0))&amp;""),""),18,2)))),""))</f>
        <v/>
      </c>
      <c r="AA244" s="23">
        <f>IF(Y244="","",IF(ISNUMBER(IFERROR(IF(TRIM(INDEX($A244:$T244,MATCH(Lists!$F$4,$A$1:$T$1,0))&amp;"")="","",IF(ISNUMBER(INDEX($A244:$T244,MATCH(Lists!$F$4,$A$1:$T$1,0))),INT(INDEX($A244:$T244,MATCH(Lists!$F$4,$A$1:$T$1,0))),DATE(VALUE(LEFT(INDEX($A244:$T244,MATCH(Lists!$F$4,$A$1:$T$1,0)),4)),VALUE(MID(INDEX($A244:$T244,MATCH(Lists!$F$4,$A$1:$T$1,0)),6,2)),VALUE(MID(INDEX($A244:$T244,MATCH(Lists!$F$4,$A$1:$T$1,0)),9,2))))),"")),IFERROR(IF(TRIM(INDEX($A244:$T244,MATCH(Lists!$F$4,$A$1:$T$1,0))&amp;"")="","",IF(ISNUMBER(INDEX($A244:$T244,MATCH(Lists!$F$4,$A$1:$T$1,0))),INT(INDEX($A244:$T244,MATCH(Lists!$F$4,$A$1:$T$1,0))),DATE(VALUE(LEFT(INDEX($A244:$T244,MATCH(Lists!$F$4,$A$1:$T$1,0)),4)),VALUE(MID(INDEX($A244:$T244,MATCH(Lists!$F$4,$A$1:$T$1,0)),6,2)),VALUE(MID(INDEX($A244:$T244,MATCH(Lists!$F$4,$A$1:$T$1,0)),9,2))))),""),IFERROR(IF(TRIM(INDEX($A244:$T244,MATCH(Lists!$F$5,$A$1:$T$1,0))&amp;"")="","",IF(ISNUMBER(INDEX($A244:$T244,MATCH(Lists!$F$5,$A$1:$T$1,0))),INT(INDEX($A244:$T244,MATCH(Lists!$F$5,$A$1:$T$1,0))),DATE(VALUE(LEFT(INDEX($A244:$T244,MATCH(Lists!$F$5,$A$1:$T$1,0)),4)),VALUE(MID(INDEX($A244:$T244,MATCH(Lists!$F$5,$A$1:$T$1,0)),6,2)),VALUE(MID(INDEX($A244:$T244,MATCH(Lists!$F$5,$A$1:$T$1,0)),9,2))))),"")))</f>
        <v/>
      </c>
      <c r="AB244" s="21">
        <f>IF(Y244="","",IF(LEFT(IFERROR(TRIM(INDEX($A244:$T244,MATCH(Lists!$F$6,$A$1:$T$1,0))&amp;""),""),2)="No","General comment",IF(IFERROR(TRIM(INDEX($A244:$T244,MATCH(Lists!$F$7,$A$1:$T$1,0))&amp;""),"")&lt;&gt;"",IFERROR(TRIM(INDEX($A244:$T244,MATCH(Lists!$F$7,$A$1:$T$1,0))&amp;""),""),IF(IFERROR(TRIM(INDEX($A244:$T244,MATCH(Lists!$F$8,$A$1:$T$1,0))&amp;""),"")&lt;&gt;"",IFERROR(TRIM(INDEX($A244:$T244,MATCH(Lists!$F$8,$A$1:$T$1,0))&amp;""),""),"(no item given)"))))</f>
        <v/>
      </c>
      <c r="AC244" s="21">
        <f>IF(Y244="","",IF(ISNUMBER(SEARCH("support",IFERROR(TRIM(INDEX($A244:$T244,MATCH(Lists!$F$9,$A$1:$T$1,0))&amp;""),""))),"Support",IF(ISNUMBER(SEARCH("oppose",IFERROR(TRIM(INDEX($A244:$T244,MATCH(Lists!$F$9,$A$1:$T$1,0))&amp;""),""))),"Oppose",IF(IFERROR(TRIM(INDEX($A244:$T244,MATCH(Lists!$F$9,$A$1:$T$1,0))&amp;""),"")="","No position","Neither"))))</f>
        <v/>
      </c>
      <c r="AD244" s="21">
        <f>IF(Y244="","",IF(ISNUMBER(SEARCH("in person",IFERROR(TRIM(INDEX($A244:$T244,MATCH(Lists!$F$13,$A$1:$T$1,0))&amp;""),""))),"In person",IF(ISNUMBER(SEARCH("online",IFERROR(TRIM(INDEX($A244:$T244,MATCH(Lists!$F$13,$A$1:$T$1,0))&amp;""),""))),"Online","Written only")))</f>
        <v/>
      </c>
      <c r="AE244" s="21">
        <f>IF(Y244="","",IFERROR(TRIM(INDEX($A244:$T244,MATCH(Lists!$F$11,$A$1:$T$1,0))&amp;""),""))</f>
        <v/>
      </c>
      <c r="AF244" s="21">
        <f>IF(Y244="","",IFERROR(TRIM(INDEX($A244:$T244,MATCH(Lists!$F$12,$A$1:$T$1,0))&amp;""),""))</f>
        <v/>
      </c>
      <c r="AG244" s="21">
        <f>IF(Y244="","",IFERROR(TRIM(INDEX($A244:$T244,MATCH(Lists!$F$14,$A$1:$T$1,0))&amp;""),""))</f>
        <v/>
      </c>
      <c r="AH244" s="21">
        <f>IF(Y244="","",LEFT(IFERROR(TRIM(INDEX($A244:$T244,MATCH(Lists!$F$10,$A$1:$T$1,0))&amp;""),""),80))</f>
        <v/>
      </c>
      <c r="AI244" s="21">
        <f>IF(Y244="",0,IF(OR(Tally!$B$5="",AA244=Tally!$B$5),1,0))</f>
        <v/>
      </c>
      <c r="AJ244" s="21">
        <f>IF(AI244=1,IF(COUNTIFS($AB$2:AB244,AB244,$AI$2:AI244,1)=1,1,0),0)</f>
        <v/>
      </c>
      <c r="AK244" s="21">
        <f>IF(AJ244=1,SUM($AJ$2:AJ244),"")</f>
        <v/>
      </c>
      <c r="AL244" s="21">
        <f>IF(AND(AI244=1,OR(AD244="In person",AD244="Online"),OR(Speakers!$B$5="",AB244=Speakers!$B$5)),N(Z244)+ROW()/1000000000,"")</f>
        <v/>
      </c>
    </row>
    <row r="245">
      <c r="U245" s="19" t="n"/>
      <c r="V245" s="24" t="n"/>
      <c r="W245" s="24" t="n"/>
      <c r="X245" s="19" t="n"/>
      <c r="Y245" s="21">
        <f>IFERROR(TRIM(INDEX($A245:$T245,MATCH(Lists!$F$2,$A$1:$T$1,0))&amp;""),"")</f>
        <v/>
      </c>
      <c r="Z245" s="22">
        <f>IF(Y245="","",IFERROR(IF(ISNUMBER(INDEX($A245:$T245,MATCH(Lists!$F$3,$A$1:$T$1,0))),INDEX($A245:$T245,MATCH(Lists!$F$3,$A$1:$T$1,0)),DATE(VALUE(LEFT(IFERROR(TRIM(INDEX($A245:$T245,MATCH(Lists!$F$3,$A$1:$T$1,0))&amp;""),""),4)),VALUE(MID(IFERROR(TRIM(INDEX($A245:$T245,MATCH(Lists!$F$3,$A$1:$T$1,0))&amp;""),""),6,2)),VALUE(MID(IFERROR(TRIM(INDEX($A245:$T245,MATCH(Lists!$F$3,$A$1:$T$1,0))&amp;""),""),9,2)))+TIME(VALUE(MID(IFERROR(TRIM(INDEX($A245:$T245,MATCH(Lists!$F$3,$A$1:$T$1,0))&amp;""),""),12,2)),VALUE(MID(IFERROR(TRIM(INDEX($A245:$T245,MATCH(Lists!$F$3,$A$1:$T$1,0))&amp;""),""),15,2)),VALUE(MID(IFERROR(TRIM(INDEX($A245:$T245,MATCH(Lists!$F$3,$A$1:$T$1,0))&amp;""),""),18,2)))),""))</f>
        <v/>
      </c>
      <c r="AA245" s="23">
        <f>IF(Y245="","",IF(ISNUMBER(IFERROR(IF(TRIM(INDEX($A245:$T245,MATCH(Lists!$F$4,$A$1:$T$1,0))&amp;"")="","",IF(ISNUMBER(INDEX($A245:$T245,MATCH(Lists!$F$4,$A$1:$T$1,0))),INT(INDEX($A245:$T245,MATCH(Lists!$F$4,$A$1:$T$1,0))),DATE(VALUE(LEFT(INDEX($A245:$T245,MATCH(Lists!$F$4,$A$1:$T$1,0)),4)),VALUE(MID(INDEX($A245:$T245,MATCH(Lists!$F$4,$A$1:$T$1,0)),6,2)),VALUE(MID(INDEX($A245:$T245,MATCH(Lists!$F$4,$A$1:$T$1,0)),9,2))))),"")),IFERROR(IF(TRIM(INDEX($A245:$T245,MATCH(Lists!$F$4,$A$1:$T$1,0))&amp;"")="","",IF(ISNUMBER(INDEX($A245:$T245,MATCH(Lists!$F$4,$A$1:$T$1,0))),INT(INDEX($A245:$T245,MATCH(Lists!$F$4,$A$1:$T$1,0))),DATE(VALUE(LEFT(INDEX($A245:$T245,MATCH(Lists!$F$4,$A$1:$T$1,0)),4)),VALUE(MID(INDEX($A245:$T245,MATCH(Lists!$F$4,$A$1:$T$1,0)),6,2)),VALUE(MID(INDEX($A245:$T245,MATCH(Lists!$F$4,$A$1:$T$1,0)),9,2))))),""),IFERROR(IF(TRIM(INDEX($A245:$T245,MATCH(Lists!$F$5,$A$1:$T$1,0))&amp;"")="","",IF(ISNUMBER(INDEX($A245:$T245,MATCH(Lists!$F$5,$A$1:$T$1,0))),INT(INDEX($A245:$T245,MATCH(Lists!$F$5,$A$1:$T$1,0))),DATE(VALUE(LEFT(INDEX($A245:$T245,MATCH(Lists!$F$5,$A$1:$T$1,0)),4)),VALUE(MID(INDEX($A245:$T245,MATCH(Lists!$F$5,$A$1:$T$1,0)),6,2)),VALUE(MID(INDEX($A245:$T245,MATCH(Lists!$F$5,$A$1:$T$1,0)),9,2))))),"")))</f>
        <v/>
      </c>
      <c r="AB245" s="21">
        <f>IF(Y245="","",IF(LEFT(IFERROR(TRIM(INDEX($A245:$T245,MATCH(Lists!$F$6,$A$1:$T$1,0))&amp;""),""),2)="No","General comment",IF(IFERROR(TRIM(INDEX($A245:$T245,MATCH(Lists!$F$7,$A$1:$T$1,0))&amp;""),"")&lt;&gt;"",IFERROR(TRIM(INDEX($A245:$T245,MATCH(Lists!$F$7,$A$1:$T$1,0))&amp;""),""),IF(IFERROR(TRIM(INDEX($A245:$T245,MATCH(Lists!$F$8,$A$1:$T$1,0))&amp;""),"")&lt;&gt;"",IFERROR(TRIM(INDEX($A245:$T245,MATCH(Lists!$F$8,$A$1:$T$1,0))&amp;""),""),"(no item given)"))))</f>
        <v/>
      </c>
      <c r="AC245" s="21">
        <f>IF(Y245="","",IF(ISNUMBER(SEARCH("support",IFERROR(TRIM(INDEX($A245:$T245,MATCH(Lists!$F$9,$A$1:$T$1,0))&amp;""),""))),"Support",IF(ISNUMBER(SEARCH("oppose",IFERROR(TRIM(INDEX($A245:$T245,MATCH(Lists!$F$9,$A$1:$T$1,0))&amp;""),""))),"Oppose",IF(IFERROR(TRIM(INDEX($A245:$T245,MATCH(Lists!$F$9,$A$1:$T$1,0))&amp;""),"")="","No position","Neither"))))</f>
        <v/>
      </c>
      <c r="AD245" s="21">
        <f>IF(Y245="","",IF(ISNUMBER(SEARCH("in person",IFERROR(TRIM(INDEX($A245:$T245,MATCH(Lists!$F$13,$A$1:$T$1,0))&amp;""),""))),"In person",IF(ISNUMBER(SEARCH("online",IFERROR(TRIM(INDEX($A245:$T245,MATCH(Lists!$F$13,$A$1:$T$1,0))&amp;""),""))),"Online","Written only")))</f>
        <v/>
      </c>
      <c r="AE245" s="21">
        <f>IF(Y245="","",IFERROR(TRIM(INDEX($A245:$T245,MATCH(Lists!$F$11,$A$1:$T$1,0))&amp;""),""))</f>
        <v/>
      </c>
      <c r="AF245" s="21">
        <f>IF(Y245="","",IFERROR(TRIM(INDEX($A245:$T245,MATCH(Lists!$F$12,$A$1:$T$1,0))&amp;""),""))</f>
        <v/>
      </c>
      <c r="AG245" s="21">
        <f>IF(Y245="","",IFERROR(TRIM(INDEX($A245:$T245,MATCH(Lists!$F$14,$A$1:$T$1,0))&amp;""),""))</f>
        <v/>
      </c>
      <c r="AH245" s="21">
        <f>IF(Y245="","",LEFT(IFERROR(TRIM(INDEX($A245:$T245,MATCH(Lists!$F$10,$A$1:$T$1,0))&amp;""),""),80))</f>
        <v/>
      </c>
      <c r="AI245" s="21">
        <f>IF(Y245="",0,IF(OR(Tally!$B$5="",AA245=Tally!$B$5),1,0))</f>
        <v/>
      </c>
      <c r="AJ245" s="21">
        <f>IF(AI245=1,IF(COUNTIFS($AB$2:AB245,AB245,$AI$2:AI245,1)=1,1,0),0)</f>
        <v/>
      </c>
      <c r="AK245" s="21">
        <f>IF(AJ245=1,SUM($AJ$2:AJ245),"")</f>
        <v/>
      </c>
      <c r="AL245" s="21">
        <f>IF(AND(AI245=1,OR(AD245="In person",AD245="Online"),OR(Speakers!$B$5="",AB245=Speakers!$B$5)),N(Z245)+ROW()/1000000000,"")</f>
        <v/>
      </c>
    </row>
    <row r="246">
      <c r="U246" s="19" t="n"/>
      <c r="V246" s="24" t="n"/>
      <c r="W246" s="24" t="n"/>
      <c r="X246" s="19" t="n"/>
      <c r="Y246" s="21">
        <f>IFERROR(TRIM(INDEX($A246:$T246,MATCH(Lists!$F$2,$A$1:$T$1,0))&amp;""),"")</f>
        <v/>
      </c>
      <c r="Z246" s="22">
        <f>IF(Y246="","",IFERROR(IF(ISNUMBER(INDEX($A246:$T246,MATCH(Lists!$F$3,$A$1:$T$1,0))),INDEX($A246:$T246,MATCH(Lists!$F$3,$A$1:$T$1,0)),DATE(VALUE(LEFT(IFERROR(TRIM(INDEX($A246:$T246,MATCH(Lists!$F$3,$A$1:$T$1,0))&amp;""),""),4)),VALUE(MID(IFERROR(TRIM(INDEX($A246:$T246,MATCH(Lists!$F$3,$A$1:$T$1,0))&amp;""),""),6,2)),VALUE(MID(IFERROR(TRIM(INDEX($A246:$T246,MATCH(Lists!$F$3,$A$1:$T$1,0))&amp;""),""),9,2)))+TIME(VALUE(MID(IFERROR(TRIM(INDEX($A246:$T246,MATCH(Lists!$F$3,$A$1:$T$1,0))&amp;""),""),12,2)),VALUE(MID(IFERROR(TRIM(INDEX($A246:$T246,MATCH(Lists!$F$3,$A$1:$T$1,0))&amp;""),""),15,2)),VALUE(MID(IFERROR(TRIM(INDEX($A246:$T246,MATCH(Lists!$F$3,$A$1:$T$1,0))&amp;""),""),18,2)))),""))</f>
        <v/>
      </c>
      <c r="AA246" s="23">
        <f>IF(Y246="","",IF(ISNUMBER(IFERROR(IF(TRIM(INDEX($A246:$T246,MATCH(Lists!$F$4,$A$1:$T$1,0))&amp;"")="","",IF(ISNUMBER(INDEX($A246:$T246,MATCH(Lists!$F$4,$A$1:$T$1,0))),INT(INDEX($A246:$T246,MATCH(Lists!$F$4,$A$1:$T$1,0))),DATE(VALUE(LEFT(INDEX($A246:$T246,MATCH(Lists!$F$4,$A$1:$T$1,0)),4)),VALUE(MID(INDEX($A246:$T246,MATCH(Lists!$F$4,$A$1:$T$1,0)),6,2)),VALUE(MID(INDEX($A246:$T246,MATCH(Lists!$F$4,$A$1:$T$1,0)),9,2))))),"")),IFERROR(IF(TRIM(INDEX($A246:$T246,MATCH(Lists!$F$4,$A$1:$T$1,0))&amp;"")="","",IF(ISNUMBER(INDEX($A246:$T246,MATCH(Lists!$F$4,$A$1:$T$1,0))),INT(INDEX($A246:$T246,MATCH(Lists!$F$4,$A$1:$T$1,0))),DATE(VALUE(LEFT(INDEX($A246:$T246,MATCH(Lists!$F$4,$A$1:$T$1,0)),4)),VALUE(MID(INDEX($A246:$T246,MATCH(Lists!$F$4,$A$1:$T$1,0)),6,2)),VALUE(MID(INDEX($A246:$T246,MATCH(Lists!$F$4,$A$1:$T$1,0)),9,2))))),""),IFERROR(IF(TRIM(INDEX($A246:$T246,MATCH(Lists!$F$5,$A$1:$T$1,0))&amp;"")="","",IF(ISNUMBER(INDEX($A246:$T246,MATCH(Lists!$F$5,$A$1:$T$1,0))),INT(INDEX($A246:$T246,MATCH(Lists!$F$5,$A$1:$T$1,0))),DATE(VALUE(LEFT(INDEX($A246:$T246,MATCH(Lists!$F$5,$A$1:$T$1,0)),4)),VALUE(MID(INDEX($A246:$T246,MATCH(Lists!$F$5,$A$1:$T$1,0)),6,2)),VALUE(MID(INDEX($A246:$T246,MATCH(Lists!$F$5,$A$1:$T$1,0)),9,2))))),"")))</f>
        <v/>
      </c>
      <c r="AB246" s="21">
        <f>IF(Y246="","",IF(LEFT(IFERROR(TRIM(INDEX($A246:$T246,MATCH(Lists!$F$6,$A$1:$T$1,0))&amp;""),""),2)="No","General comment",IF(IFERROR(TRIM(INDEX($A246:$T246,MATCH(Lists!$F$7,$A$1:$T$1,0))&amp;""),"")&lt;&gt;"",IFERROR(TRIM(INDEX($A246:$T246,MATCH(Lists!$F$7,$A$1:$T$1,0))&amp;""),""),IF(IFERROR(TRIM(INDEX($A246:$T246,MATCH(Lists!$F$8,$A$1:$T$1,0))&amp;""),"")&lt;&gt;"",IFERROR(TRIM(INDEX($A246:$T246,MATCH(Lists!$F$8,$A$1:$T$1,0))&amp;""),""),"(no item given)"))))</f>
        <v/>
      </c>
      <c r="AC246" s="21">
        <f>IF(Y246="","",IF(ISNUMBER(SEARCH("support",IFERROR(TRIM(INDEX($A246:$T246,MATCH(Lists!$F$9,$A$1:$T$1,0))&amp;""),""))),"Support",IF(ISNUMBER(SEARCH("oppose",IFERROR(TRIM(INDEX($A246:$T246,MATCH(Lists!$F$9,$A$1:$T$1,0))&amp;""),""))),"Oppose",IF(IFERROR(TRIM(INDEX($A246:$T246,MATCH(Lists!$F$9,$A$1:$T$1,0))&amp;""),"")="","No position","Neither"))))</f>
        <v/>
      </c>
      <c r="AD246" s="21">
        <f>IF(Y246="","",IF(ISNUMBER(SEARCH("in person",IFERROR(TRIM(INDEX($A246:$T246,MATCH(Lists!$F$13,$A$1:$T$1,0))&amp;""),""))),"In person",IF(ISNUMBER(SEARCH("online",IFERROR(TRIM(INDEX($A246:$T246,MATCH(Lists!$F$13,$A$1:$T$1,0))&amp;""),""))),"Online","Written only")))</f>
        <v/>
      </c>
      <c r="AE246" s="21">
        <f>IF(Y246="","",IFERROR(TRIM(INDEX($A246:$T246,MATCH(Lists!$F$11,$A$1:$T$1,0))&amp;""),""))</f>
        <v/>
      </c>
      <c r="AF246" s="21">
        <f>IF(Y246="","",IFERROR(TRIM(INDEX($A246:$T246,MATCH(Lists!$F$12,$A$1:$T$1,0))&amp;""),""))</f>
        <v/>
      </c>
      <c r="AG246" s="21">
        <f>IF(Y246="","",IFERROR(TRIM(INDEX($A246:$T246,MATCH(Lists!$F$14,$A$1:$T$1,0))&amp;""),""))</f>
        <v/>
      </c>
      <c r="AH246" s="21">
        <f>IF(Y246="","",LEFT(IFERROR(TRIM(INDEX($A246:$T246,MATCH(Lists!$F$10,$A$1:$T$1,0))&amp;""),""),80))</f>
        <v/>
      </c>
      <c r="AI246" s="21">
        <f>IF(Y246="",0,IF(OR(Tally!$B$5="",AA246=Tally!$B$5),1,0))</f>
        <v/>
      </c>
      <c r="AJ246" s="21">
        <f>IF(AI246=1,IF(COUNTIFS($AB$2:AB246,AB246,$AI$2:AI246,1)=1,1,0),0)</f>
        <v/>
      </c>
      <c r="AK246" s="21">
        <f>IF(AJ246=1,SUM($AJ$2:AJ246),"")</f>
        <v/>
      </c>
      <c r="AL246" s="21">
        <f>IF(AND(AI246=1,OR(AD246="In person",AD246="Online"),OR(Speakers!$B$5="",AB246=Speakers!$B$5)),N(Z246)+ROW()/1000000000,"")</f>
        <v/>
      </c>
    </row>
    <row r="247">
      <c r="U247" s="19" t="n"/>
      <c r="V247" s="24" t="n"/>
      <c r="W247" s="24" t="n"/>
      <c r="X247" s="19" t="n"/>
      <c r="Y247" s="21">
        <f>IFERROR(TRIM(INDEX($A247:$T247,MATCH(Lists!$F$2,$A$1:$T$1,0))&amp;""),"")</f>
        <v/>
      </c>
      <c r="Z247" s="22">
        <f>IF(Y247="","",IFERROR(IF(ISNUMBER(INDEX($A247:$T247,MATCH(Lists!$F$3,$A$1:$T$1,0))),INDEX($A247:$T247,MATCH(Lists!$F$3,$A$1:$T$1,0)),DATE(VALUE(LEFT(IFERROR(TRIM(INDEX($A247:$T247,MATCH(Lists!$F$3,$A$1:$T$1,0))&amp;""),""),4)),VALUE(MID(IFERROR(TRIM(INDEX($A247:$T247,MATCH(Lists!$F$3,$A$1:$T$1,0))&amp;""),""),6,2)),VALUE(MID(IFERROR(TRIM(INDEX($A247:$T247,MATCH(Lists!$F$3,$A$1:$T$1,0))&amp;""),""),9,2)))+TIME(VALUE(MID(IFERROR(TRIM(INDEX($A247:$T247,MATCH(Lists!$F$3,$A$1:$T$1,0))&amp;""),""),12,2)),VALUE(MID(IFERROR(TRIM(INDEX($A247:$T247,MATCH(Lists!$F$3,$A$1:$T$1,0))&amp;""),""),15,2)),VALUE(MID(IFERROR(TRIM(INDEX($A247:$T247,MATCH(Lists!$F$3,$A$1:$T$1,0))&amp;""),""),18,2)))),""))</f>
        <v/>
      </c>
      <c r="AA247" s="23">
        <f>IF(Y247="","",IF(ISNUMBER(IFERROR(IF(TRIM(INDEX($A247:$T247,MATCH(Lists!$F$4,$A$1:$T$1,0))&amp;"")="","",IF(ISNUMBER(INDEX($A247:$T247,MATCH(Lists!$F$4,$A$1:$T$1,0))),INT(INDEX($A247:$T247,MATCH(Lists!$F$4,$A$1:$T$1,0))),DATE(VALUE(LEFT(INDEX($A247:$T247,MATCH(Lists!$F$4,$A$1:$T$1,0)),4)),VALUE(MID(INDEX($A247:$T247,MATCH(Lists!$F$4,$A$1:$T$1,0)),6,2)),VALUE(MID(INDEX($A247:$T247,MATCH(Lists!$F$4,$A$1:$T$1,0)),9,2))))),"")),IFERROR(IF(TRIM(INDEX($A247:$T247,MATCH(Lists!$F$4,$A$1:$T$1,0))&amp;"")="","",IF(ISNUMBER(INDEX($A247:$T247,MATCH(Lists!$F$4,$A$1:$T$1,0))),INT(INDEX($A247:$T247,MATCH(Lists!$F$4,$A$1:$T$1,0))),DATE(VALUE(LEFT(INDEX($A247:$T247,MATCH(Lists!$F$4,$A$1:$T$1,0)),4)),VALUE(MID(INDEX($A247:$T247,MATCH(Lists!$F$4,$A$1:$T$1,0)),6,2)),VALUE(MID(INDEX($A247:$T247,MATCH(Lists!$F$4,$A$1:$T$1,0)),9,2))))),""),IFERROR(IF(TRIM(INDEX($A247:$T247,MATCH(Lists!$F$5,$A$1:$T$1,0))&amp;"")="","",IF(ISNUMBER(INDEX($A247:$T247,MATCH(Lists!$F$5,$A$1:$T$1,0))),INT(INDEX($A247:$T247,MATCH(Lists!$F$5,$A$1:$T$1,0))),DATE(VALUE(LEFT(INDEX($A247:$T247,MATCH(Lists!$F$5,$A$1:$T$1,0)),4)),VALUE(MID(INDEX($A247:$T247,MATCH(Lists!$F$5,$A$1:$T$1,0)),6,2)),VALUE(MID(INDEX($A247:$T247,MATCH(Lists!$F$5,$A$1:$T$1,0)),9,2))))),"")))</f>
        <v/>
      </c>
      <c r="AB247" s="21">
        <f>IF(Y247="","",IF(LEFT(IFERROR(TRIM(INDEX($A247:$T247,MATCH(Lists!$F$6,$A$1:$T$1,0))&amp;""),""),2)="No","General comment",IF(IFERROR(TRIM(INDEX($A247:$T247,MATCH(Lists!$F$7,$A$1:$T$1,0))&amp;""),"")&lt;&gt;"",IFERROR(TRIM(INDEX($A247:$T247,MATCH(Lists!$F$7,$A$1:$T$1,0))&amp;""),""),IF(IFERROR(TRIM(INDEX($A247:$T247,MATCH(Lists!$F$8,$A$1:$T$1,0))&amp;""),"")&lt;&gt;"",IFERROR(TRIM(INDEX($A247:$T247,MATCH(Lists!$F$8,$A$1:$T$1,0))&amp;""),""),"(no item given)"))))</f>
        <v/>
      </c>
      <c r="AC247" s="21">
        <f>IF(Y247="","",IF(ISNUMBER(SEARCH("support",IFERROR(TRIM(INDEX($A247:$T247,MATCH(Lists!$F$9,$A$1:$T$1,0))&amp;""),""))),"Support",IF(ISNUMBER(SEARCH("oppose",IFERROR(TRIM(INDEX($A247:$T247,MATCH(Lists!$F$9,$A$1:$T$1,0))&amp;""),""))),"Oppose",IF(IFERROR(TRIM(INDEX($A247:$T247,MATCH(Lists!$F$9,$A$1:$T$1,0))&amp;""),"")="","No position","Neither"))))</f>
        <v/>
      </c>
      <c r="AD247" s="21">
        <f>IF(Y247="","",IF(ISNUMBER(SEARCH("in person",IFERROR(TRIM(INDEX($A247:$T247,MATCH(Lists!$F$13,$A$1:$T$1,0))&amp;""),""))),"In person",IF(ISNUMBER(SEARCH("online",IFERROR(TRIM(INDEX($A247:$T247,MATCH(Lists!$F$13,$A$1:$T$1,0))&amp;""),""))),"Online","Written only")))</f>
        <v/>
      </c>
      <c r="AE247" s="21">
        <f>IF(Y247="","",IFERROR(TRIM(INDEX($A247:$T247,MATCH(Lists!$F$11,$A$1:$T$1,0))&amp;""),""))</f>
        <v/>
      </c>
      <c r="AF247" s="21">
        <f>IF(Y247="","",IFERROR(TRIM(INDEX($A247:$T247,MATCH(Lists!$F$12,$A$1:$T$1,0))&amp;""),""))</f>
        <v/>
      </c>
      <c r="AG247" s="21">
        <f>IF(Y247="","",IFERROR(TRIM(INDEX($A247:$T247,MATCH(Lists!$F$14,$A$1:$T$1,0))&amp;""),""))</f>
        <v/>
      </c>
      <c r="AH247" s="21">
        <f>IF(Y247="","",LEFT(IFERROR(TRIM(INDEX($A247:$T247,MATCH(Lists!$F$10,$A$1:$T$1,0))&amp;""),""),80))</f>
        <v/>
      </c>
      <c r="AI247" s="21">
        <f>IF(Y247="",0,IF(OR(Tally!$B$5="",AA247=Tally!$B$5),1,0))</f>
        <v/>
      </c>
      <c r="AJ247" s="21">
        <f>IF(AI247=1,IF(COUNTIFS($AB$2:AB247,AB247,$AI$2:AI247,1)=1,1,0),0)</f>
        <v/>
      </c>
      <c r="AK247" s="21">
        <f>IF(AJ247=1,SUM($AJ$2:AJ247),"")</f>
        <v/>
      </c>
      <c r="AL247" s="21">
        <f>IF(AND(AI247=1,OR(AD247="In person",AD247="Online"),OR(Speakers!$B$5="",AB247=Speakers!$B$5)),N(Z247)+ROW()/1000000000,"")</f>
        <v/>
      </c>
    </row>
    <row r="248">
      <c r="U248" s="19" t="n"/>
      <c r="V248" s="24" t="n"/>
      <c r="W248" s="24" t="n"/>
      <c r="X248" s="19" t="n"/>
      <c r="Y248" s="21">
        <f>IFERROR(TRIM(INDEX($A248:$T248,MATCH(Lists!$F$2,$A$1:$T$1,0))&amp;""),"")</f>
        <v/>
      </c>
      <c r="Z248" s="22">
        <f>IF(Y248="","",IFERROR(IF(ISNUMBER(INDEX($A248:$T248,MATCH(Lists!$F$3,$A$1:$T$1,0))),INDEX($A248:$T248,MATCH(Lists!$F$3,$A$1:$T$1,0)),DATE(VALUE(LEFT(IFERROR(TRIM(INDEX($A248:$T248,MATCH(Lists!$F$3,$A$1:$T$1,0))&amp;""),""),4)),VALUE(MID(IFERROR(TRIM(INDEX($A248:$T248,MATCH(Lists!$F$3,$A$1:$T$1,0))&amp;""),""),6,2)),VALUE(MID(IFERROR(TRIM(INDEX($A248:$T248,MATCH(Lists!$F$3,$A$1:$T$1,0))&amp;""),""),9,2)))+TIME(VALUE(MID(IFERROR(TRIM(INDEX($A248:$T248,MATCH(Lists!$F$3,$A$1:$T$1,0))&amp;""),""),12,2)),VALUE(MID(IFERROR(TRIM(INDEX($A248:$T248,MATCH(Lists!$F$3,$A$1:$T$1,0))&amp;""),""),15,2)),VALUE(MID(IFERROR(TRIM(INDEX($A248:$T248,MATCH(Lists!$F$3,$A$1:$T$1,0))&amp;""),""),18,2)))),""))</f>
        <v/>
      </c>
      <c r="AA248" s="23">
        <f>IF(Y248="","",IF(ISNUMBER(IFERROR(IF(TRIM(INDEX($A248:$T248,MATCH(Lists!$F$4,$A$1:$T$1,0))&amp;"")="","",IF(ISNUMBER(INDEX($A248:$T248,MATCH(Lists!$F$4,$A$1:$T$1,0))),INT(INDEX($A248:$T248,MATCH(Lists!$F$4,$A$1:$T$1,0))),DATE(VALUE(LEFT(INDEX($A248:$T248,MATCH(Lists!$F$4,$A$1:$T$1,0)),4)),VALUE(MID(INDEX($A248:$T248,MATCH(Lists!$F$4,$A$1:$T$1,0)),6,2)),VALUE(MID(INDEX($A248:$T248,MATCH(Lists!$F$4,$A$1:$T$1,0)),9,2))))),"")),IFERROR(IF(TRIM(INDEX($A248:$T248,MATCH(Lists!$F$4,$A$1:$T$1,0))&amp;"")="","",IF(ISNUMBER(INDEX($A248:$T248,MATCH(Lists!$F$4,$A$1:$T$1,0))),INT(INDEX($A248:$T248,MATCH(Lists!$F$4,$A$1:$T$1,0))),DATE(VALUE(LEFT(INDEX($A248:$T248,MATCH(Lists!$F$4,$A$1:$T$1,0)),4)),VALUE(MID(INDEX($A248:$T248,MATCH(Lists!$F$4,$A$1:$T$1,0)),6,2)),VALUE(MID(INDEX($A248:$T248,MATCH(Lists!$F$4,$A$1:$T$1,0)),9,2))))),""),IFERROR(IF(TRIM(INDEX($A248:$T248,MATCH(Lists!$F$5,$A$1:$T$1,0))&amp;"")="","",IF(ISNUMBER(INDEX($A248:$T248,MATCH(Lists!$F$5,$A$1:$T$1,0))),INT(INDEX($A248:$T248,MATCH(Lists!$F$5,$A$1:$T$1,0))),DATE(VALUE(LEFT(INDEX($A248:$T248,MATCH(Lists!$F$5,$A$1:$T$1,0)),4)),VALUE(MID(INDEX($A248:$T248,MATCH(Lists!$F$5,$A$1:$T$1,0)),6,2)),VALUE(MID(INDEX($A248:$T248,MATCH(Lists!$F$5,$A$1:$T$1,0)),9,2))))),"")))</f>
        <v/>
      </c>
      <c r="AB248" s="21">
        <f>IF(Y248="","",IF(LEFT(IFERROR(TRIM(INDEX($A248:$T248,MATCH(Lists!$F$6,$A$1:$T$1,0))&amp;""),""),2)="No","General comment",IF(IFERROR(TRIM(INDEX($A248:$T248,MATCH(Lists!$F$7,$A$1:$T$1,0))&amp;""),"")&lt;&gt;"",IFERROR(TRIM(INDEX($A248:$T248,MATCH(Lists!$F$7,$A$1:$T$1,0))&amp;""),""),IF(IFERROR(TRIM(INDEX($A248:$T248,MATCH(Lists!$F$8,$A$1:$T$1,0))&amp;""),"")&lt;&gt;"",IFERROR(TRIM(INDEX($A248:$T248,MATCH(Lists!$F$8,$A$1:$T$1,0))&amp;""),""),"(no item given)"))))</f>
        <v/>
      </c>
      <c r="AC248" s="21">
        <f>IF(Y248="","",IF(ISNUMBER(SEARCH("support",IFERROR(TRIM(INDEX($A248:$T248,MATCH(Lists!$F$9,$A$1:$T$1,0))&amp;""),""))),"Support",IF(ISNUMBER(SEARCH("oppose",IFERROR(TRIM(INDEX($A248:$T248,MATCH(Lists!$F$9,$A$1:$T$1,0))&amp;""),""))),"Oppose",IF(IFERROR(TRIM(INDEX($A248:$T248,MATCH(Lists!$F$9,$A$1:$T$1,0))&amp;""),"")="","No position","Neither"))))</f>
        <v/>
      </c>
      <c r="AD248" s="21">
        <f>IF(Y248="","",IF(ISNUMBER(SEARCH("in person",IFERROR(TRIM(INDEX($A248:$T248,MATCH(Lists!$F$13,$A$1:$T$1,0))&amp;""),""))),"In person",IF(ISNUMBER(SEARCH("online",IFERROR(TRIM(INDEX($A248:$T248,MATCH(Lists!$F$13,$A$1:$T$1,0))&amp;""),""))),"Online","Written only")))</f>
        <v/>
      </c>
      <c r="AE248" s="21">
        <f>IF(Y248="","",IFERROR(TRIM(INDEX($A248:$T248,MATCH(Lists!$F$11,$A$1:$T$1,0))&amp;""),""))</f>
        <v/>
      </c>
      <c r="AF248" s="21">
        <f>IF(Y248="","",IFERROR(TRIM(INDEX($A248:$T248,MATCH(Lists!$F$12,$A$1:$T$1,0))&amp;""),""))</f>
        <v/>
      </c>
      <c r="AG248" s="21">
        <f>IF(Y248="","",IFERROR(TRIM(INDEX($A248:$T248,MATCH(Lists!$F$14,$A$1:$T$1,0))&amp;""),""))</f>
        <v/>
      </c>
      <c r="AH248" s="21">
        <f>IF(Y248="","",LEFT(IFERROR(TRIM(INDEX($A248:$T248,MATCH(Lists!$F$10,$A$1:$T$1,0))&amp;""),""),80))</f>
        <v/>
      </c>
      <c r="AI248" s="21">
        <f>IF(Y248="",0,IF(OR(Tally!$B$5="",AA248=Tally!$B$5),1,0))</f>
        <v/>
      </c>
      <c r="AJ248" s="21">
        <f>IF(AI248=1,IF(COUNTIFS($AB$2:AB248,AB248,$AI$2:AI248,1)=1,1,0),0)</f>
        <v/>
      </c>
      <c r="AK248" s="21">
        <f>IF(AJ248=1,SUM($AJ$2:AJ248),"")</f>
        <v/>
      </c>
      <c r="AL248" s="21">
        <f>IF(AND(AI248=1,OR(AD248="In person",AD248="Online"),OR(Speakers!$B$5="",AB248=Speakers!$B$5)),N(Z248)+ROW()/1000000000,"")</f>
        <v/>
      </c>
    </row>
    <row r="249">
      <c r="U249" s="19" t="n"/>
      <c r="V249" s="24" t="n"/>
      <c r="W249" s="24" t="n"/>
      <c r="X249" s="19" t="n"/>
      <c r="Y249" s="21">
        <f>IFERROR(TRIM(INDEX($A249:$T249,MATCH(Lists!$F$2,$A$1:$T$1,0))&amp;""),"")</f>
        <v/>
      </c>
      <c r="Z249" s="22">
        <f>IF(Y249="","",IFERROR(IF(ISNUMBER(INDEX($A249:$T249,MATCH(Lists!$F$3,$A$1:$T$1,0))),INDEX($A249:$T249,MATCH(Lists!$F$3,$A$1:$T$1,0)),DATE(VALUE(LEFT(IFERROR(TRIM(INDEX($A249:$T249,MATCH(Lists!$F$3,$A$1:$T$1,0))&amp;""),""),4)),VALUE(MID(IFERROR(TRIM(INDEX($A249:$T249,MATCH(Lists!$F$3,$A$1:$T$1,0))&amp;""),""),6,2)),VALUE(MID(IFERROR(TRIM(INDEX($A249:$T249,MATCH(Lists!$F$3,$A$1:$T$1,0))&amp;""),""),9,2)))+TIME(VALUE(MID(IFERROR(TRIM(INDEX($A249:$T249,MATCH(Lists!$F$3,$A$1:$T$1,0))&amp;""),""),12,2)),VALUE(MID(IFERROR(TRIM(INDEX($A249:$T249,MATCH(Lists!$F$3,$A$1:$T$1,0))&amp;""),""),15,2)),VALUE(MID(IFERROR(TRIM(INDEX($A249:$T249,MATCH(Lists!$F$3,$A$1:$T$1,0))&amp;""),""),18,2)))),""))</f>
        <v/>
      </c>
      <c r="AA249" s="23">
        <f>IF(Y249="","",IF(ISNUMBER(IFERROR(IF(TRIM(INDEX($A249:$T249,MATCH(Lists!$F$4,$A$1:$T$1,0))&amp;"")="","",IF(ISNUMBER(INDEX($A249:$T249,MATCH(Lists!$F$4,$A$1:$T$1,0))),INT(INDEX($A249:$T249,MATCH(Lists!$F$4,$A$1:$T$1,0))),DATE(VALUE(LEFT(INDEX($A249:$T249,MATCH(Lists!$F$4,$A$1:$T$1,0)),4)),VALUE(MID(INDEX($A249:$T249,MATCH(Lists!$F$4,$A$1:$T$1,0)),6,2)),VALUE(MID(INDEX($A249:$T249,MATCH(Lists!$F$4,$A$1:$T$1,0)),9,2))))),"")),IFERROR(IF(TRIM(INDEX($A249:$T249,MATCH(Lists!$F$4,$A$1:$T$1,0))&amp;"")="","",IF(ISNUMBER(INDEX($A249:$T249,MATCH(Lists!$F$4,$A$1:$T$1,0))),INT(INDEX($A249:$T249,MATCH(Lists!$F$4,$A$1:$T$1,0))),DATE(VALUE(LEFT(INDEX($A249:$T249,MATCH(Lists!$F$4,$A$1:$T$1,0)),4)),VALUE(MID(INDEX($A249:$T249,MATCH(Lists!$F$4,$A$1:$T$1,0)),6,2)),VALUE(MID(INDEX($A249:$T249,MATCH(Lists!$F$4,$A$1:$T$1,0)),9,2))))),""),IFERROR(IF(TRIM(INDEX($A249:$T249,MATCH(Lists!$F$5,$A$1:$T$1,0))&amp;"")="","",IF(ISNUMBER(INDEX($A249:$T249,MATCH(Lists!$F$5,$A$1:$T$1,0))),INT(INDEX($A249:$T249,MATCH(Lists!$F$5,$A$1:$T$1,0))),DATE(VALUE(LEFT(INDEX($A249:$T249,MATCH(Lists!$F$5,$A$1:$T$1,0)),4)),VALUE(MID(INDEX($A249:$T249,MATCH(Lists!$F$5,$A$1:$T$1,0)),6,2)),VALUE(MID(INDEX($A249:$T249,MATCH(Lists!$F$5,$A$1:$T$1,0)),9,2))))),"")))</f>
        <v/>
      </c>
      <c r="AB249" s="21">
        <f>IF(Y249="","",IF(LEFT(IFERROR(TRIM(INDEX($A249:$T249,MATCH(Lists!$F$6,$A$1:$T$1,0))&amp;""),""),2)="No","General comment",IF(IFERROR(TRIM(INDEX($A249:$T249,MATCH(Lists!$F$7,$A$1:$T$1,0))&amp;""),"")&lt;&gt;"",IFERROR(TRIM(INDEX($A249:$T249,MATCH(Lists!$F$7,$A$1:$T$1,0))&amp;""),""),IF(IFERROR(TRIM(INDEX($A249:$T249,MATCH(Lists!$F$8,$A$1:$T$1,0))&amp;""),"")&lt;&gt;"",IFERROR(TRIM(INDEX($A249:$T249,MATCH(Lists!$F$8,$A$1:$T$1,0))&amp;""),""),"(no item given)"))))</f>
        <v/>
      </c>
      <c r="AC249" s="21">
        <f>IF(Y249="","",IF(ISNUMBER(SEARCH("support",IFERROR(TRIM(INDEX($A249:$T249,MATCH(Lists!$F$9,$A$1:$T$1,0))&amp;""),""))),"Support",IF(ISNUMBER(SEARCH("oppose",IFERROR(TRIM(INDEX($A249:$T249,MATCH(Lists!$F$9,$A$1:$T$1,0))&amp;""),""))),"Oppose",IF(IFERROR(TRIM(INDEX($A249:$T249,MATCH(Lists!$F$9,$A$1:$T$1,0))&amp;""),"")="","No position","Neither"))))</f>
        <v/>
      </c>
      <c r="AD249" s="21">
        <f>IF(Y249="","",IF(ISNUMBER(SEARCH("in person",IFERROR(TRIM(INDEX($A249:$T249,MATCH(Lists!$F$13,$A$1:$T$1,0))&amp;""),""))),"In person",IF(ISNUMBER(SEARCH("online",IFERROR(TRIM(INDEX($A249:$T249,MATCH(Lists!$F$13,$A$1:$T$1,0))&amp;""),""))),"Online","Written only")))</f>
        <v/>
      </c>
      <c r="AE249" s="21">
        <f>IF(Y249="","",IFERROR(TRIM(INDEX($A249:$T249,MATCH(Lists!$F$11,$A$1:$T$1,0))&amp;""),""))</f>
        <v/>
      </c>
      <c r="AF249" s="21">
        <f>IF(Y249="","",IFERROR(TRIM(INDEX($A249:$T249,MATCH(Lists!$F$12,$A$1:$T$1,0))&amp;""),""))</f>
        <v/>
      </c>
      <c r="AG249" s="21">
        <f>IF(Y249="","",IFERROR(TRIM(INDEX($A249:$T249,MATCH(Lists!$F$14,$A$1:$T$1,0))&amp;""),""))</f>
        <v/>
      </c>
      <c r="AH249" s="21">
        <f>IF(Y249="","",LEFT(IFERROR(TRIM(INDEX($A249:$T249,MATCH(Lists!$F$10,$A$1:$T$1,0))&amp;""),""),80))</f>
        <v/>
      </c>
      <c r="AI249" s="21">
        <f>IF(Y249="",0,IF(OR(Tally!$B$5="",AA249=Tally!$B$5),1,0))</f>
        <v/>
      </c>
      <c r="AJ249" s="21">
        <f>IF(AI249=1,IF(COUNTIFS($AB$2:AB249,AB249,$AI$2:AI249,1)=1,1,0),0)</f>
        <v/>
      </c>
      <c r="AK249" s="21">
        <f>IF(AJ249=1,SUM($AJ$2:AJ249),"")</f>
        <v/>
      </c>
      <c r="AL249" s="21">
        <f>IF(AND(AI249=1,OR(AD249="In person",AD249="Online"),OR(Speakers!$B$5="",AB249=Speakers!$B$5)),N(Z249)+ROW()/1000000000,"")</f>
        <v/>
      </c>
    </row>
    <row r="250">
      <c r="U250" s="19" t="n"/>
      <c r="V250" s="24" t="n"/>
      <c r="W250" s="24" t="n"/>
      <c r="X250" s="19" t="n"/>
      <c r="Y250" s="21">
        <f>IFERROR(TRIM(INDEX($A250:$T250,MATCH(Lists!$F$2,$A$1:$T$1,0))&amp;""),"")</f>
        <v/>
      </c>
      <c r="Z250" s="22">
        <f>IF(Y250="","",IFERROR(IF(ISNUMBER(INDEX($A250:$T250,MATCH(Lists!$F$3,$A$1:$T$1,0))),INDEX($A250:$T250,MATCH(Lists!$F$3,$A$1:$T$1,0)),DATE(VALUE(LEFT(IFERROR(TRIM(INDEX($A250:$T250,MATCH(Lists!$F$3,$A$1:$T$1,0))&amp;""),""),4)),VALUE(MID(IFERROR(TRIM(INDEX($A250:$T250,MATCH(Lists!$F$3,$A$1:$T$1,0))&amp;""),""),6,2)),VALUE(MID(IFERROR(TRIM(INDEX($A250:$T250,MATCH(Lists!$F$3,$A$1:$T$1,0))&amp;""),""),9,2)))+TIME(VALUE(MID(IFERROR(TRIM(INDEX($A250:$T250,MATCH(Lists!$F$3,$A$1:$T$1,0))&amp;""),""),12,2)),VALUE(MID(IFERROR(TRIM(INDEX($A250:$T250,MATCH(Lists!$F$3,$A$1:$T$1,0))&amp;""),""),15,2)),VALUE(MID(IFERROR(TRIM(INDEX($A250:$T250,MATCH(Lists!$F$3,$A$1:$T$1,0))&amp;""),""),18,2)))),""))</f>
        <v/>
      </c>
      <c r="AA250" s="23">
        <f>IF(Y250="","",IF(ISNUMBER(IFERROR(IF(TRIM(INDEX($A250:$T250,MATCH(Lists!$F$4,$A$1:$T$1,0))&amp;"")="","",IF(ISNUMBER(INDEX($A250:$T250,MATCH(Lists!$F$4,$A$1:$T$1,0))),INT(INDEX($A250:$T250,MATCH(Lists!$F$4,$A$1:$T$1,0))),DATE(VALUE(LEFT(INDEX($A250:$T250,MATCH(Lists!$F$4,$A$1:$T$1,0)),4)),VALUE(MID(INDEX($A250:$T250,MATCH(Lists!$F$4,$A$1:$T$1,0)),6,2)),VALUE(MID(INDEX($A250:$T250,MATCH(Lists!$F$4,$A$1:$T$1,0)),9,2))))),"")),IFERROR(IF(TRIM(INDEX($A250:$T250,MATCH(Lists!$F$4,$A$1:$T$1,0))&amp;"")="","",IF(ISNUMBER(INDEX($A250:$T250,MATCH(Lists!$F$4,$A$1:$T$1,0))),INT(INDEX($A250:$T250,MATCH(Lists!$F$4,$A$1:$T$1,0))),DATE(VALUE(LEFT(INDEX($A250:$T250,MATCH(Lists!$F$4,$A$1:$T$1,0)),4)),VALUE(MID(INDEX($A250:$T250,MATCH(Lists!$F$4,$A$1:$T$1,0)),6,2)),VALUE(MID(INDEX($A250:$T250,MATCH(Lists!$F$4,$A$1:$T$1,0)),9,2))))),""),IFERROR(IF(TRIM(INDEX($A250:$T250,MATCH(Lists!$F$5,$A$1:$T$1,0))&amp;"")="","",IF(ISNUMBER(INDEX($A250:$T250,MATCH(Lists!$F$5,$A$1:$T$1,0))),INT(INDEX($A250:$T250,MATCH(Lists!$F$5,$A$1:$T$1,0))),DATE(VALUE(LEFT(INDEX($A250:$T250,MATCH(Lists!$F$5,$A$1:$T$1,0)),4)),VALUE(MID(INDEX($A250:$T250,MATCH(Lists!$F$5,$A$1:$T$1,0)),6,2)),VALUE(MID(INDEX($A250:$T250,MATCH(Lists!$F$5,$A$1:$T$1,0)),9,2))))),"")))</f>
        <v/>
      </c>
      <c r="AB250" s="21">
        <f>IF(Y250="","",IF(LEFT(IFERROR(TRIM(INDEX($A250:$T250,MATCH(Lists!$F$6,$A$1:$T$1,0))&amp;""),""),2)="No","General comment",IF(IFERROR(TRIM(INDEX($A250:$T250,MATCH(Lists!$F$7,$A$1:$T$1,0))&amp;""),"")&lt;&gt;"",IFERROR(TRIM(INDEX($A250:$T250,MATCH(Lists!$F$7,$A$1:$T$1,0))&amp;""),""),IF(IFERROR(TRIM(INDEX($A250:$T250,MATCH(Lists!$F$8,$A$1:$T$1,0))&amp;""),"")&lt;&gt;"",IFERROR(TRIM(INDEX($A250:$T250,MATCH(Lists!$F$8,$A$1:$T$1,0))&amp;""),""),"(no item given)"))))</f>
        <v/>
      </c>
      <c r="AC250" s="21">
        <f>IF(Y250="","",IF(ISNUMBER(SEARCH("support",IFERROR(TRIM(INDEX($A250:$T250,MATCH(Lists!$F$9,$A$1:$T$1,0))&amp;""),""))),"Support",IF(ISNUMBER(SEARCH("oppose",IFERROR(TRIM(INDEX($A250:$T250,MATCH(Lists!$F$9,$A$1:$T$1,0))&amp;""),""))),"Oppose",IF(IFERROR(TRIM(INDEX($A250:$T250,MATCH(Lists!$F$9,$A$1:$T$1,0))&amp;""),"")="","No position","Neither"))))</f>
        <v/>
      </c>
      <c r="AD250" s="21">
        <f>IF(Y250="","",IF(ISNUMBER(SEARCH("in person",IFERROR(TRIM(INDEX($A250:$T250,MATCH(Lists!$F$13,$A$1:$T$1,0))&amp;""),""))),"In person",IF(ISNUMBER(SEARCH("online",IFERROR(TRIM(INDEX($A250:$T250,MATCH(Lists!$F$13,$A$1:$T$1,0))&amp;""),""))),"Online","Written only")))</f>
        <v/>
      </c>
      <c r="AE250" s="21">
        <f>IF(Y250="","",IFERROR(TRIM(INDEX($A250:$T250,MATCH(Lists!$F$11,$A$1:$T$1,0))&amp;""),""))</f>
        <v/>
      </c>
      <c r="AF250" s="21">
        <f>IF(Y250="","",IFERROR(TRIM(INDEX($A250:$T250,MATCH(Lists!$F$12,$A$1:$T$1,0))&amp;""),""))</f>
        <v/>
      </c>
      <c r="AG250" s="21">
        <f>IF(Y250="","",IFERROR(TRIM(INDEX($A250:$T250,MATCH(Lists!$F$14,$A$1:$T$1,0))&amp;""),""))</f>
        <v/>
      </c>
      <c r="AH250" s="21">
        <f>IF(Y250="","",LEFT(IFERROR(TRIM(INDEX($A250:$T250,MATCH(Lists!$F$10,$A$1:$T$1,0))&amp;""),""),80))</f>
        <v/>
      </c>
      <c r="AI250" s="21">
        <f>IF(Y250="",0,IF(OR(Tally!$B$5="",AA250=Tally!$B$5),1,0))</f>
        <v/>
      </c>
      <c r="AJ250" s="21">
        <f>IF(AI250=1,IF(COUNTIFS($AB$2:AB250,AB250,$AI$2:AI250,1)=1,1,0),0)</f>
        <v/>
      </c>
      <c r="AK250" s="21">
        <f>IF(AJ250=1,SUM($AJ$2:AJ250),"")</f>
        <v/>
      </c>
      <c r="AL250" s="21">
        <f>IF(AND(AI250=1,OR(AD250="In person",AD250="Online"),OR(Speakers!$B$5="",AB250=Speakers!$B$5)),N(Z250)+ROW()/1000000000,"")</f>
        <v/>
      </c>
    </row>
    <row r="251">
      <c r="U251" s="19" t="n"/>
      <c r="V251" s="24" t="n"/>
      <c r="W251" s="24" t="n"/>
      <c r="X251" s="19" t="n"/>
      <c r="Y251" s="21">
        <f>IFERROR(TRIM(INDEX($A251:$T251,MATCH(Lists!$F$2,$A$1:$T$1,0))&amp;""),"")</f>
        <v/>
      </c>
      <c r="Z251" s="22">
        <f>IF(Y251="","",IFERROR(IF(ISNUMBER(INDEX($A251:$T251,MATCH(Lists!$F$3,$A$1:$T$1,0))),INDEX($A251:$T251,MATCH(Lists!$F$3,$A$1:$T$1,0)),DATE(VALUE(LEFT(IFERROR(TRIM(INDEX($A251:$T251,MATCH(Lists!$F$3,$A$1:$T$1,0))&amp;""),""),4)),VALUE(MID(IFERROR(TRIM(INDEX($A251:$T251,MATCH(Lists!$F$3,$A$1:$T$1,0))&amp;""),""),6,2)),VALUE(MID(IFERROR(TRIM(INDEX($A251:$T251,MATCH(Lists!$F$3,$A$1:$T$1,0))&amp;""),""),9,2)))+TIME(VALUE(MID(IFERROR(TRIM(INDEX($A251:$T251,MATCH(Lists!$F$3,$A$1:$T$1,0))&amp;""),""),12,2)),VALUE(MID(IFERROR(TRIM(INDEX($A251:$T251,MATCH(Lists!$F$3,$A$1:$T$1,0))&amp;""),""),15,2)),VALUE(MID(IFERROR(TRIM(INDEX($A251:$T251,MATCH(Lists!$F$3,$A$1:$T$1,0))&amp;""),""),18,2)))),""))</f>
        <v/>
      </c>
      <c r="AA251" s="23">
        <f>IF(Y251="","",IF(ISNUMBER(IFERROR(IF(TRIM(INDEX($A251:$T251,MATCH(Lists!$F$4,$A$1:$T$1,0))&amp;"")="","",IF(ISNUMBER(INDEX($A251:$T251,MATCH(Lists!$F$4,$A$1:$T$1,0))),INT(INDEX($A251:$T251,MATCH(Lists!$F$4,$A$1:$T$1,0))),DATE(VALUE(LEFT(INDEX($A251:$T251,MATCH(Lists!$F$4,$A$1:$T$1,0)),4)),VALUE(MID(INDEX($A251:$T251,MATCH(Lists!$F$4,$A$1:$T$1,0)),6,2)),VALUE(MID(INDEX($A251:$T251,MATCH(Lists!$F$4,$A$1:$T$1,0)),9,2))))),"")),IFERROR(IF(TRIM(INDEX($A251:$T251,MATCH(Lists!$F$4,$A$1:$T$1,0))&amp;"")="","",IF(ISNUMBER(INDEX($A251:$T251,MATCH(Lists!$F$4,$A$1:$T$1,0))),INT(INDEX($A251:$T251,MATCH(Lists!$F$4,$A$1:$T$1,0))),DATE(VALUE(LEFT(INDEX($A251:$T251,MATCH(Lists!$F$4,$A$1:$T$1,0)),4)),VALUE(MID(INDEX($A251:$T251,MATCH(Lists!$F$4,$A$1:$T$1,0)),6,2)),VALUE(MID(INDEX($A251:$T251,MATCH(Lists!$F$4,$A$1:$T$1,0)),9,2))))),""),IFERROR(IF(TRIM(INDEX($A251:$T251,MATCH(Lists!$F$5,$A$1:$T$1,0))&amp;"")="","",IF(ISNUMBER(INDEX($A251:$T251,MATCH(Lists!$F$5,$A$1:$T$1,0))),INT(INDEX($A251:$T251,MATCH(Lists!$F$5,$A$1:$T$1,0))),DATE(VALUE(LEFT(INDEX($A251:$T251,MATCH(Lists!$F$5,$A$1:$T$1,0)),4)),VALUE(MID(INDEX($A251:$T251,MATCH(Lists!$F$5,$A$1:$T$1,0)),6,2)),VALUE(MID(INDEX($A251:$T251,MATCH(Lists!$F$5,$A$1:$T$1,0)),9,2))))),"")))</f>
        <v/>
      </c>
      <c r="AB251" s="21">
        <f>IF(Y251="","",IF(LEFT(IFERROR(TRIM(INDEX($A251:$T251,MATCH(Lists!$F$6,$A$1:$T$1,0))&amp;""),""),2)="No","General comment",IF(IFERROR(TRIM(INDEX($A251:$T251,MATCH(Lists!$F$7,$A$1:$T$1,0))&amp;""),"")&lt;&gt;"",IFERROR(TRIM(INDEX($A251:$T251,MATCH(Lists!$F$7,$A$1:$T$1,0))&amp;""),""),IF(IFERROR(TRIM(INDEX($A251:$T251,MATCH(Lists!$F$8,$A$1:$T$1,0))&amp;""),"")&lt;&gt;"",IFERROR(TRIM(INDEX($A251:$T251,MATCH(Lists!$F$8,$A$1:$T$1,0))&amp;""),""),"(no item given)"))))</f>
        <v/>
      </c>
      <c r="AC251" s="21">
        <f>IF(Y251="","",IF(ISNUMBER(SEARCH("support",IFERROR(TRIM(INDEX($A251:$T251,MATCH(Lists!$F$9,$A$1:$T$1,0))&amp;""),""))),"Support",IF(ISNUMBER(SEARCH("oppose",IFERROR(TRIM(INDEX($A251:$T251,MATCH(Lists!$F$9,$A$1:$T$1,0))&amp;""),""))),"Oppose",IF(IFERROR(TRIM(INDEX($A251:$T251,MATCH(Lists!$F$9,$A$1:$T$1,0))&amp;""),"")="","No position","Neither"))))</f>
        <v/>
      </c>
      <c r="AD251" s="21">
        <f>IF(Y251="","",IF(ISNUMBER(SEARCH("in person",IFERROR(TRIM(INDEX($A251:$T251,MATCH(Lists!$F$13,$A$1:$T$1,0))&amp;""),""))),"In person",IF(ISNUMBER(SEARCH("online",IFERROR(TRIM(INDEX($A251:$T251,MATCH(Lists!$F$13,$A$1:$T$1,0))&amp;""),""))),"Online","Written only")))</f>
        <v/>
      </c>
      <c r="AE251" s="21">
        <f>IF(Y251="","",IFERROR(TRIM(INDEX($A251:$T251,MATCH(Lists!$F$11,$A$1:$T$1,0))&amp;""),""))</f>
        <v/>
      </c>
      <c r="AF251" s="21">
        <f>IF(Y251="","",IFERROR(TRIM(INDEX($A251:$T251,MATCH(Lists!$F$12,$A$1:$T$1,0))&amp;""),""))</f>
        <v/>
      </c>
      <c r="AG251" s="21">
        <f>IF(Y251="","",IFERROR(TRIM(INDEX($A251:$T251,MATCH(Lists!$F$14,$A$1:$T$1,0))&amp;""),""))</f>
        <v/>
      </c>
      <c r="AH251" s="21">
        <f>IF(Y251="","",LEFT(IFERROR(TRIM(INDEX($A251:$T251,MATCH(Lists!$F$10,$A$1:$T$1,0))&amp;""),""),80))</f>
        <v/>
      </c>
      <c r="AI251" s="21">
        <f>IF(Y251="",0,IF(OR(Tally!$B$5="",AA251=Tally!$B$5),1,0))</f>
        <v/>
      </c>
      <c r="AJ251" s="21">
        <f>IF(AI251=1,IF(COUNTIFS($AB$2:AB251,AB251,$AI$2:AI251,1)=1,1,0),0)</f>
        <v/>
      </c>
      <c r="AK251" s="21">
        <f>IF(AJ251=1,SUM($AJ$2:AJ251),"")</f>
        <v/>
      </c>
      <c r="AL251" s="21">
        <f>IF(AND(AI251=1,OR(AD251="In person",AD251="Online"),OR(Speakers!$B$5="",AB251=Speakers!$B$5)),N(Z251)+ROW()/1000000000,"")</f>
        <v/>
      </c>
    </row>
    <row r="252">
      <c r="U252" s="19" t="n"/>
      <c r="V252" s="24" t="n"/>
      <c r="W252" s="24" t="n"/>
      <c r="X252" s="19" t="n"/>
      <c r="Y252" s="21">
        <f>IFERROR(TRIM(INDEX($A252:$T252,MATCH(Lists!$F$2,$A$1:$T$1,0))&amp;""),"")</f>
        <v/>
      </c>
      <c r="Z252" s="22">
        <f>IF(Y252="","",IFERROR(IF(ISNUMBER(INDEX($A252:$T252,MATCH(Lists!$F$3,$A$1:$T$1,0))),INDEX($A252:$T252,MATCH(Lists!$F$3,$A$1:$T$1,0)),DATE(VALUE(LEFT(IFERROR(TRIM(INDEX($A252:$T252,MATCH(Lists!$F$3,$A$1:$T$1,0))&amp;""),""),4)),VALUE(MID(IFERROR(TRIM(INDEX($A252:$T252,MATCH(Lists!$F$3,$A$1:$T$1,0))&amp;""),""),6,2)),VALUE(MID(IFERROR(TRIM(INDEX($A252:$T252,MATCH(Lists!$F$3,$A$1:$T$1,0))&amp;""),""),9,2)))+TIME(VALUE(MID(IFERROR(TRIM(INDEX($A252:$T252,MATCH(Lists!$F$3,$A$1:$T$1,0))&amp;""),""),12,2)),VALUE(MID(IFERROR(TRIM(INDEX($A252:$T252,MATCH(Lists!$F$3,$A$1:$T$1,0))&amp;""),""),15,2)),VALUE(MID(IFERROR(TRIM(INDEX($A252:$T252,MATCH(Lists!$F$3,$A$1:$T$1,0))&amp;""),""),18,2)))),""))</f>
        <v/>
      </c>
      <c r="AA252" s="23">
        <f>IF(Y252="","",IF(ISNUMBER(IFERROR(IF(TRIM(INDEX($A252:$T252,MATCH(Lists!$F$4,$A$1:$T$1,0))&amp;"")="","",IF(ISNUMBER(INDEX($A252:$T252,MATCH(Lists!$F$4,$A$1:$T$1,0))),INT(INDEX($A252:$T252,MATCH(Lists!$F$4,$A$1:$T$1,0))),DATE(VALUE(LEFT(INDEX($A252:$T252,MATCH(Lists!$F$4,$A$1:$T$1,0)),4)),VALUE(MID(INDEX($A252:$T252,MATCH(Lists!$F$4,$A$1:$T$1,0)),6,2)),VALUE(MID(INDEX($A252:$T252,MATCH(Lists!$F$4,$A$1:$T$1,0)),9,2))))),"")),IFERROR(IF(TRIM(INDEX($A252:$T252,MATCH(Lists!$F$4,$A$1:$T$1,0))&amp;"")="","",IF(ISNUMBER(INDEX($A252:$T252,MATCH(Lists!$F$4,$A$1:$T$1,0))),INT(INDEX($A252:$T252,MATCH(Lists!$F$4,$A$1:$T$1,0))),DATE(VALUE(LEFT(INDEX($A252:$T252,MATCH(Lists!$F$4,$A$1:$T$1,0)),4)),VALUE(MID(INDEX($A252:$T252,MATCH(Lists!$F$4,$A$1:$T$1,0)),6,2)),VALUE(MID(INDEX($A252:$T252,MATCH(Lists!$F$4,$A$1:$T$1,0)),9,2))))),""),IFERROR(IF(TRIM(INDEX($A252:$T252,MATCH(Lists!$F$5,$A$1:$T$1,0))&amp;"")="","",IF(ISNUMBER(INDEX($A252:$T252,MATCH(Lists!$F$5,$A$1:$T$1,0))),INT(INDEX($A252:$T252,MATCH(Lists!$F$5,$A$1:$T$1,0))),DATE(VALUE(LEFT(INDEX($A252:$T252,MATCH(Lists!$F$5,$A$1:$T$1,0)),4)),VALUE(MID(INDEX($A252:$T252,MATCH(Lists!$F$5,$A$1:$T$1,0)),6,2)),VALUE(MID(INDEX($A252:$T252,MATCH(Lists!$F$5,$A$1:$T$1,0)),9,2))))),"")))</f>
        <v/>
      </c>
      <c r="AB252" s="21">
        <f>IF(Y252="","",IF(LEFT(IFERROR(TRIM(INDEX($A252:$T252,MATCH(Lists!$F$6,$A$1:$T$1,0))&amp;""),""),2)="No","General comment",IF(IFERROR(TRIM(INDEX($A252:$T252,MATCH(Lists!$F$7,$A$1:$T$1,0))&amp;""),"")&lt;&gt;"",IFERROR(TRIM(INDEX($A252:$T252,MATCH(Lists!$F$7,$A$1:$T$1,0))&amp;""),""),IF(IFERROR(TRIM(INDEX($A252:$T252,MATCH(Lists!$F$8,$A$1:$T$1,0))&amp;""),"")&lt;&gt;"",IFERROR(TRIM(INDEX($A252:$T252,MATCH(Lists!$F$8,$A$1:$T$1,0))&amp;""),""),"(no item given)"))))</f>
        <v/>
      </c>
      <c r="AC252" s="21">
        <f>IF(Y252="","",IF(ISNUMBER(SEARCH("support",IFERROR(TRIM(INDEX($A252:$T252,MATCH(Lists!$F$9,$A$1:$T$1,0))&amp;""),""))),"Support",IF(ISNUMBER(SEARCH("oppose",IFERROR(TRIM(INDEX($A252:$T252,MATCH(Lists!$F$9,$A$1:$T$1,0))&amp;""),""))),"Oppose",IF(IFERROR(TRIM(INDEX($A252:$T252,MATCH(Lists!$F$9,$A$1:$T$1,0))&amp;""),"")="","No position","Neither"))))</f>
        <v/>
      </c>
      <c r="AD252" s="21">
        <f>IF(Y252="","",IF(ISNUMBER(SEARCH("in person",IFERROR(TRIM(INDEX($A252:$T252,MATCH(Lists!$F$13,$A$1:$T$1,0))&amp;""),""))),"In person",IF(ISNUMBER(SEARCH("online",IFERROR(TRIM(INDEX($A252:$T252,MATCH(Lists!$F$13,$A$1:$T$1,0))&amp;""),""))),"Online","Written only")))</f>
        <v/>
      </c>
      <c r="AE252" s="21">
        <f>IF(Y252="","",IFERROR(TRIM(INDEX($A252:$T252,MATCH(Lists!$F$11,$A$1:$T$1,0))&amp;""),""))</f>
        <v/>
      </c>
      <c r="AF252" s="21">
        <f>IF(Y252="","",IFERROR(TRIM(INDEX($A252:$T252,MATCH(Lists!$F$12,$A$1:$T$1,0))&amp;""),""))</f>
        <v/>
      </c>
      <c r="AG252" s="21">
        <f>IF(Y252="","",IFERROR(TRIM(INDEX($A252:$T252,MATCH(Lists!$F$14,$A$1:$T$1,0))&amp;""),""))</f>
        <v/>
      </c>
      <c r="AH252" s="21">
        <f>IF(Y252="","",LEFT(IFERROR(TRIM(INDEX($A252:$T252,MATCH(Lists!$F$10,$A$1:$T$1,0))&amp;""),""),80))</f>
        <v/>
      </c>
      <c r="AI252" s="21">
        <f>IF(Y252="",0,IF(OR(Tally!$B$5="",AA252=Tally!$B$5),1,0))</f>
        <v/>
      </c>
      <c r="AJ252" s="21">
        <f>IF(AI252=1,IF(COUNTIFS($AB$2:AB252,AB252,$AI$2:AI252,1)=1,1,0),0)</f>
        <v/>
      </c>
      <c r="AK252" s="21">
        <f>IF(AJ252=1,SUM($AJ$2:AJ252),"")</f>
        <v/>
      </c>
      <c r="AL252" s="21">
        <f>IF(AND(AI252=1,OR(AD252="In person",AD252="Online"),OR(Speakers!$B$5="",AB252=Speakers!$B$5)),N(Z252)+ROW()/1000000000,"")</f>
        <v/>
      </c>
    </row>
    <row r="253">
      <c r="U253" s="19" t="n"/>
      <c r="V253" s="24" t="n"/>
      <c r="W253" s="24" t="n"/>
      <c r="X253" s="19" t="n"/>
      <c r="Y253" s="21">
        <f>IFERROR(TRIM(INDEX($A253:$T253,MATCH(Lists!$F$2,$A$1:$T$1,0))&amp;""),"")</f>
        <v/>
      </c>
      <c r="Z253" s="22">
        <f>IF(Y253="","",IFERROR(IF(ISNUMBER(INDEX($A253:$T253,MATCH(Lists!$F$3,$A$1:$T$1,0))),INDEX($A253:$T253,MATCH(Lists!$F$3,$A$1:$T$1,0)),DATE(VALUE(LEFT(IFERROR(TRIM(INDEX($A253:$T253,MATCH(Lists!$F$3,$A$1:$T$1,0))&amp;""),""),4)),VALUE(MID(IFERROR(TRIM(INDEX($A253:$T253,MATCH(Lists!$F$3,$A$1:$T$1,0))&amp;""),""),6,2)),VALUE(MID(IFERROR(TRIM(INDEX($A253:$T253,MATCH(Lists!$F$3,$A$1:$T$1,0))&amp;""),""),9,2)))+TIME(VALUE(MID(IFERROR(TRIM(INDEX($A253:$T253,MATCH(Lists!$F$3,$A$1:$T$1,0))&amp;""),""),12,2)),VALUE(MID(IFERROR(TRIM(INDEX($A253:$T253,MATCH(Lists!$F$3,$A$1:$T$1,0))&amp;""),""),15,2)),VALUE(MID(IFERROR(TRIM(INDEX($A253:$T253,MATCH(Lists!$F$3,$A$1:$T$1,0))&amp;""),""),18,2)))),""))</f>
        <v/>
      </c>
      <c r="AA253" s="23">
        <f>IF(Y253="","",IF(ISNUMBER(IFERROR(IF(TRIM(INDEX($A253:$T253,MATCH(Lists!$F$4,$A$1:$T$1,0))&amp;"")="","",IF(ISNUMBER(INDEX($A253:$T253,MATCH(Lists!$F$4,$A$1:$T$1,0))),INT(INDEX($A253:$T253,MATCH(Lists!$F$4,$A$1:$T$1,0))),DATE(VALUE(LEFT(INDEX($A253:$T253,MATCH(Lists!$F$4,$A$1:$T$1,0)),4)),VALUE(MID(INDEX($A253:$T253,MATCH(Lists!$F$4,$A$1:$T$1,0)),6,2)),VALUE(MID(INDEX($A253:$T253,MATCH(Lists!$F$4,$A$1:$T$1,0)),9,2))))),"")),IFERROR(IF(TRIM(INDEX($A253:$T253,MATCH(Lists!$F$4,$A$1:$T$1,0))&amp;"")="","",IF(ISNUMBER(INDEX($A253:$T253,MATCH(Lists!$F$4,$A$1:$T$1,0))),INT(INDEX($A253:$T253,MATCH(Lists!$F$4,$A$1:$T$1,0))),DATE(VALUE(LEFT(INDEX($A253:$T253,MATCH(Lists!$F$4,$A$1:$T$1,0)),4)),VALUE(MID(INDEX($A253:$T253,MATCH(Lists!$F$4,$A$1:$T$1,0)),6,2)),VALUE(MID(INDEX($A253:$T253,MATCH(Lists!$F$4,$A$1:$T$1,0)),9,2))))),""),IFERROR(IF(TRIM(INDEX($A253:$T253,MATCH(Lists!$F$5,$A$1:$T$1,0))&amp;"")="","",IF(ISNUMBER(INDEX($A253:$T253,MATCH(Lists!$F$5,$A$1:$T$1,0))),INT(INDEX($A253:$T253,MATCH(Lists!$F$5,$A$1:$T$1,0))),DATE(VALUE(LEFT(INDEX($A253:$T253,MATCH(Lists!$F$5,$A$1:$T$1,0)),4)),VALUE(MID(INDEX($A253:$T253,MATCH(Lists!$F$5,$A$1:$T$1,0)),6,2)),VALUE(MID(INDEX($A253:$T253,MATCH(Lists!$F$5,$A$1:$T$1,0)),9,2))))),"")))</f>
        <v/>
      </c>
      <c r="AB253" s="21">
        <f>IF(Y253="","",IF(LEFT(IFERROR(TRIM(INDEX($A253:$T253,MATCH(Lists!$F$6,$A$1:$T$1,0))&amp;""),""),2)="No","General comment",IF(IFERROR(TRIM(INDEX($A253:$T253,MATCH(Lists!$F$7,$A$1:$T$1,0))&amp;""),"")&lt;&gt;"",IFERROR(TRIM(INDEX($A253:$T253,MATCH(Lists!$F$7,$A$1:$T$1,0))&amp;""),""),IF(IFERROR(TRIM(INDEX($A253:$T253,MATCH(Lists!$F$8,$A$1:$T$1,0))&amp;""),"")&lt;&gt;"",IFERROR(TRIM(INDEX($A253:$T253,MATCH(Lists!$F$8,$A$1:$T$1,0))&amp;""),""),"(no item given)"))))</f>
        <v/>
      </c>
      <c r="AC253" s="21">
        <f>IF(Y253="","",IF(ISNUMBER(SEARCH("support",IFERROR(TRIM(INDEX($A253:$T253,MATCH(Lists!$F$9,$A$1:$T$1,0))&amp;""),""))),"Support",IF(ISNUMBER(SEARCH("oppose",IFERROR(TRIM(INDEX($A253:$T253,MATCH(Lists!$F$9,$A$1:$T$1,0))&amp;""),""))),"Oppose",IF(IFERROR(TRIM(INDEX($A253:$T253,MATCH(Lists!$F$9,$A$1:$T$1,0))&amp;""),"")="","No position","Neither"))))</f>
        <v/>
      </c>
      <c r="AD253" s="21">
        <f>IF(Y253="","",IF(ISNUMBER(SEARCH("in person",IFERROR(TRIM(INDEX($A253:$T253,MATCH(Lists!$F$13,$A$1:$T$1,0))&amp;""),""))),"In person",IF(ISNUMBER(SEARCH("online",IFERROR(TRIM(INDEX($A253:$T253,MATCH(Lists!$F$13,$A$1:$T$1,0))&amp;""),""))),"Online","Written only")))</f>
        <v/>
      </c>
      <c r="AE253" s="21">
        <f>IF(Y253="","",IFERROR(TRIM(INDEX($A253:$T253,MATCH(Lists!$F$11,$A$1:$T$1,0))&amp;""),""))</f>
        <v/>
      </c>
      <c r="AF253" s="21">
        <f>IF(Y253="","",IFERROR(TRIM(INDEX($A253:$T253,MATCH(Lists!$F$12,$A$1:$T$1,0))&amp;""),""))</f>
        <v/>
      </c>
      <c r="AG253" s="21">
        <f>IF(Y253="","",IFERROR(TRIM(INDEX($A253:$T253,MATCH(Lists!$F$14,$A$1:$T$1,0))&amp;""),""))</f>
        <v/>
      </c>
      <c r="AH253" s="21">
        <f>IF(Y253="","",LEFT(IFERROR(TRIM(INDEX($A253:$T253,MATCH(Lists!$F$10,$A$1:$T$1,0))&amp;""),""),80))</f>
        <v/>
      </c>
      <c r="AI253" s="21">
        <f>IF(Y253="",0,IF(OR(Tally!$B$5="",AA253=Tally!$B$5),1,0))</f>
        <v/>
      </c>
      <c r="AJ253" s="21">
        <f>IF(AI253=1,IF(COUNTIFS($AB$2:AB253,AB253,$AI$2:AI253,1)=1,1,0),0)</f>
        <v/>
      </c>
      <c r="AK253" s="21">
        <f>IF(AJ253=1,SUM($AJ$2:AJ253),"")</f>
        <v/>
      </c>
      <c r="AL253" s="21">
        <f>IF(AND(AI253=1,OR(AD253="In person",AD253="Online"),OR(Speakers!$B$5="",AB253=Speakers!$B$5)),N(Z253)+ROW()/1000000000,"")</f>
        <v/>
      </c>
    </row>
    <row r="254">
      <c r="U254" s="19" t="n"/>
      <c r="V254" s="24" t="n"/>
      <c r="W254" s="24" t="n"/>
      <c r="X254" s="19" t="n"/>
      <c r="Y254" s="21">
        <f>IFERROR(TRIM(INDEX($A254:$T254,MATCH(Lists!$F$2,$A$1:$T$1,0))&amp;""),"")</f>
        <v/>
      </c>
      <c r="Z254" s="22">
        <f>IF(Y254="","",IFERROR(IF(ISNUMBER(INDEX($A254:$T254,MATCH(Lists!$F$3,$A$1:$T$1,0))),INDEX($A254:$T254,MATCH(Lists!$F$3,$A$1:$T$1,0)),DATE(VALUE(LEFT(IFERROR(TRIM(INDEX($A254:$T254,MATCH(Lists!$F$3,$A$1:$T$1,0))&amp;""),""),4)),VALUE(MID(IFERROR(TRIM(INDEX($A254:$T254,MATCH(Lists!$F$3,$A$1:$T$1,0))&amp;""),""),6,2)),VALUE(MID(IFERROR(TRIM(INDEX($A254:$T254,MATCH(Lists!$F$3,$A$1:$T$1,0))&amp;""),""),9,2)))+TIME(VALUE(MID(IFERROR(TRIM(INDEX($A254:$T254,MATCH(Lists!$F$3,$A$1:$T$1,0))&amp;""),""),12,2)),VALUE(MID(IFERROR(TRIM(INDEX($A254:$T254,MATCH(Lists!$F$3,$A$1:$T$1,0))&amp;""),""),15,2)),VALUE(MID(IFERROR(TRIM(INDEX($A254:$T254,MATCH(Lists!$F$3,$A$1:$T$1,0))&amp;""),""),18,2)))),""))</f>
        <v/>
      </c>
      <c r="AA254" s="23">
        <f>IF(Y254="","",IF(ISNUMBER(IFERROR(IF(TRIM(INDEX($A254:$T254,MATCH(Lists!$F$4,$A$1:$T$1,0))&amp;"")="","",IF(ISNUMBER(INDEX($A254:$T254,MATCH(Lists!$F$4,$A$1:$T$1,0))),INT(INDEX($A254:$T254,MATCH(Lists!$F$4,$A$1:$T$1,0))),DATE(VALUE(LEFT(INDEX($A254:$T254,MATCH(Lists!$F$4,$A$1:$T$1,0)),4)),VALUE(MID(INDEX($A254:$T254,MATCH(Lists!$F$4,$A$1:$T$1,0)),6,2)),VALUE(MID(INDEX($A254:$T254,MATCH(Lists!$F$4,$A$1:$T$1,0)),9,2))))),"")),IFERROR(IF(TRIM(INDEX($A254:$T254,MATCH(Lists!$F$4,$A$1:$T$1,0))&amp;"")="","",IF(ISNUMBER(INDEX($A254:$T254,MATCH(Lists!$F$4,$A$1:$T$1,0))),INT(INDEX($A254:$T254,MATCH(Lists!$F$4,$A$1:$T$1,0))),DATE(VALUE(LEFT(INDEX($A254:$T254,MATCH(Lists!$F$4,$A$1:$T$1,0)),4)),VALUE(MID(INDEX($A254:$T254,MATCH(Lists!$F$4,$A$1:$T$1,0)),6,2)),VALUE(MID(INDEX($A254:$T254,MATCH(Lists!$F$4,$A$1:$T$1,0)),9,2))))),""),IFERROR(IF(TRIM(INDEX($A254:$T254,MATCH(Lists!$F$5,$A$1:$T$1,0))&amp;"")="","",IF(ISNUMBER(INDEX($A254:$T254,MATCH(Lists!$F$5,$A$1:$T$1,0))),INT(INDEX($A254:$T254,MATCH(Lists!$F$5,$A$1:$T$1,0))),DATE(VALUE(LEFT(INDEX($A254:$T254,MATCH(Lists!$F$5,$A$1:$T$1,0)),4)),VALUE(MID(INDEX($A254:$T254,MATCH(Lists!$F$5,$A$1:$T$1,0)),6,2)),VALUE(MID(INDEX($A254:$T254,MATCH(Lists!$F$5,$A$1:$T$1,0)),9,2))))),"")))</f>
        <v/>
      </c>
      <c r="AB254" s="21">
        <f>IF(Y254="","",IF(LEFT(IFERROR(TRIM(INDEX($A254:$T254,MATCH(Lists!$F$6,$A$1:$T$1,0))&amp;""),""),2)="No","General comment",IF(IFERROR(TRIM(INDEX($A254:$T254,MATCH(Lists!$F$7,$A$1:$T$1,0))&amp;""),"")&lt;&gt;"",IFERROR(TRIM(INDEX($A254:$T254,MATCH(Lists!$F$7,$A$1:$T$1,0))&amp;""),""),IF(IFERROR(TRIM(INDEX($A254:$T254,MATCH(Lists!$F$8,$A$1:$T$1,0))&amp;""),"")&lt;&gt;"",IFERROR(TRIM(INDEX($A254:$T254,MATCH(Lists!$F$8,$A$1:$T$1,0))&amp;""),""),"(no item given)"))))</f>
        <v/>
      </c>
      <c r="AC254" s="21">
        <f>IF(Y254="","",IF(ISNUMBER(SEARCH("support",IFERROR(TRIM(INDEX($A254:$T254,MATCH(Lists!$F$9,$A$1:$T$1,0))&amp;""),""))),"Support",IF(ISNUMBER(SEARCH("oppose",IFERROR(TRIM(INDEX($A254:$T254,MATCH(Lists!$F$9,$A$1:$T$1,0))&amp;""),""))),"Oppose",IF(IFERROR(TRIM(INDEX($A254:$T254,MATCH(Lists!$F$9,$A$1:$T$1,0))&amp;""),"")="","No position","Neither"))))</f>
        <v/>
      </c>
      <c r="AD254" s="21">
        <f>IF(Y254="","",IF(ISNUMBER(SEARCH("in person",IFERROR(TRIM(INDEX($A254:$T254,MATCH(Lists!$F$13,$A$1:$T$1,0))&amp;""),""))),"In person",IF(ISNUMBER(SEARCH("online",IFERROR(TRIM(INDEX($A254:$T254,MATCH(Lists!$F$13,$A$1:$T$1,0))&amp;""),""))),"Online","Written only")))</f>
        <v/>
      </c>
      <c r="AE254" s="21">
        <f>IF(Y254="","",IFERROR(TRIM(INDEX($A254:$T254,MATCH(Lists!$F$11,$A$1:$T$1,0))&amp;""),""))</f>
        <v/>
      </c>
      <c r="AF254" s="21">
        <f>IF(Y254="","",IFERROR(TRIM(INDEX($A254:$T254,MATCH(Lists!$F$12,$A$1:$T$1,0))&amp;""),""))</f>
        <v/>
      </c>
      <c r="AG254" s="21">
        <f>IF(Y254="","",IFERROR(TRIM(INDEX($A254:$T254,MATCH(Lists!$F$14,$A$1:$T$1,0))&amp;""),""))</f>
        <v/>
      </c>
      <c r="AH254" s="21">
        <f>IF(Y254="","",LEFT(IFERROR(TRIM(INDEX($A254:$T254,MATCH(Lists!$F$10,$A$1:$T$1,0))&amp;""),""),80))</f>
        <v/>
      </c>
      <c r="AI254" s="21">
        <f>IF(Y254="",0,IF(OR(Tally!$B$5="",AA254=Tally!$B$5),1,0))</f>
        <v/>
      </c>
      <c r="AJ254" s="21">
        <f>IF(AI254=1,IF(COUNTIFS($AB$2:AB254,AB254,$AI$2:AI254,1)=1,1,0),0)</f>
        <v/>
      </c>
      <c r="AK254" s="21">
        <f>IF(AJ254=1,SUM($AJ$2:AJ254),"")</f>
        <v/>
      </c>
      <c r="AL254" s="21">
        <f>IF(AND(AI254=1,OR(AD254="In person",AD254="Online"),OR(Speakers!$B$5="",AB254=Speakers!$B$5)),N(Z254)+ROW()/1000000000,"")</f>
        <v/>
      </c>
    </row>
    <row r="255">
      <c r="U255" s="19" t="n"/>
      <c r="V255" s="24" t="n"/>
      <c r="W255" s="24" t="n"/>
      <c r="X255" s="19" t="n"/>
      <c r="Y255" s="21">
        <f>IFERROR(TRIM(INDEX($A255:$T255,MATCH(Lists!$F$2,$A$1:$T$1,0))&amp;""),"")</f>
        <v/>
      </c>
      <c r="Z255" s="22">
        <f>IF(Y255="","",IFERROR(IF(ISNUMBER(INDEX($A255:$T255,MATCH(Lists!$F$3,$A$1:$T$1,0))),INDEX($A255:$T255,MATCH(Lists!$F$3,$A$1:$T$1,0)),DATE(VALUE(LEFT(IFERROR(TRIM(INDEX($A255:$T255,MATCH(Lists!$F$3,$A$1:$T$1,0))&amp;""),""),4)),VALUE(MID(IFERROR(TRIM(INDEX($A255:$T255,MATCH(Lists!$F$3,$A$1:$T$1,0))&amp;""),""),6,2)),VALUE(MID(IFERROR(TRIM(INDEX($A255:$T255,MATCH(Lists!$F$3,$A$1:$T$1,0))&amp;""),""),9,2)))+TIME(VALUE(MID(IFERROR(TRIM(INDEX($A255:$T255,MATCH(Lists!$F$3,$A$1:$T$1,0))&amp;""),""),12,2)),VALUE(MID(IFERROR(TRIM(INDEX($A255:$T255,MATCH(Lists!$F$3,$A$1:$T$1,0))&amp;""),""),15,2)),VALUE(MID(IFERROR(TRIM(INDEX($A255:$T255,MATCH(Lists!$F$3,$A$1:$T$1,0))&amp;""),""),18,2)))),""))</f>
        <v/>
      </c>
      <c r="AA255" s="23">
        <f>IF(Y255="","",IF(ISNUMBER(IFERROR(IF(TRIM(INDEX($A255:$T255,MATCH(Lists!$F$4,$A$1:$T$1,0))&amp;"")="","",IF(ISNUMBER(INDEX($A255:$T255,MATCH(Lists!$F$4,$A$1:$T$1,0))),INT(INDEX($A255:$T255,MATCH(Lists!$F$4,$A$1:$T$1,0))),DATE(VALUE(LEFT(INDEX($A255:$T255,MATCH(Lists!$F$4,$A$1:$T$1,0)),4)),VALUE(MID(INDEX($A255:$T255,MATCH(Lists!$F$4,$A$1:$T$1,0)),6,2)),VALUE(MID(INDEX($A255:$T255,MATCH(Lists!$F$4,$A$1:$T$1,0)),9,2))))),"")),IFERROR(IF(TRIM(INDEX($A255:$T255,MATCH(Lists!$F$4,$A$1:$T$1,0))&amp;"")="","",IF(ISNUMBER(INDEX($A255:$T255,MATCH(Lists!$F$4,$A$1:$T$1,0))),INT(INDEX($A255:$T255,MATCH(Lists!$F$4,$A$1:$T$1,0))),DATE(VALUE(LEFT(INDEX($A255:$T255,MATCH(Lists!$F$4,$A$1:$T$1,0)),4)),VALUE(MID(INDEX($A255:$T255,MATCH(Lists!$F$4,$A$1:$T$1,0)),6,2)),VALUE(MID(INDEX($A255:$T255,MATCH(Lists!$F$4,$A$1:$T$1,0)),9,2))))),""),IFERROR(IF(TRIM(INDEX($A255:$T255,MATCH(Lists!$F$5,$A$1:$T$1,0))&amp;"")="","",IF(ISNUMBER(INDEX($A255:$T255,MATCH(Lists!$F$5,$A$1:$T$1,0))),INT(INDEX($A255:$T255,MATCH(Lists!$F$5,$A$1:$T$1,0))),DATE(VALUE(LEFT(INDEX($A255:$T255,MATCH(Lists!$F$5,$A$1:$T$1,0)),4)),VALUE(MID(INDEX($A255:$T255,MATCH(Lists!$F$5,$A$1:$T$1,0)),6,2)),VALUE(MID(INDEX($A255:$T255,MATCH(Lists!$F$5,$A$1:$T$1,0)),9,2))))),"")))</f>
        <v/>
      </c>
      <c r="AB255" s="21">
        <f>IF(Y255="","",IF(LEFT(IFERROR(TRIM(INDEX($A255:$T255,MATCH(Lists!$F$6,$A$1:$T$1,0))&amp;""),""),2)="No","General comment",IF(IFERROR(TRIM(INDEX($A255:$T255,MATCH(Lists!$F$7,$A$1:$T$1,0))&amp;""),"")&lt;&gt;"",IFERROR(TRIM(INDEX($A255:$T255,MATCH(Lists!$F$7,$A$1:$T$1,0))&amp;""),""),IF(IFERROR(TRIM(INDEX($A255:$T255,MATCH(Lists!$F$8,$A$1:$T$1,0))&amp;""),"")&lt;&gt;"",IFERROR(TRIM(INDEX($A255:$T255,MATCH(Lists!$F$8,$A$1:$T$1,0))&amp;""),""),"(no item given)"))))</f>
        <v/>
      </c>
      <c r="AC255" s="21">
        <f>IF(Y255="","",IF(ISNUMBER(SEARCH("support",IFERROR(TRIM(INDEX($A255:$T255,MATCH(Lists!$F$9,$A$1:$T$1,0))&amp;""),""))),"Support",IF(ISNUMBER(SEARCH("oppose",IFERROR(TRIM(INDEX($A255:$T255,MATCH(Lists!$F$9,$A$1:$T$1,0))&amp;""),""))),"Oppose",IF(IFERROR(TRIM(INDEX($A255:$T255,MATCH(Lists!$F$9,$A$1:$T$1,0))&amp;""),"")="","No position","Neither"))))</f>
        <v/>
      </c>
      <c r="AD255" s="21">
        <f>IF(Y255="","",IF(ISNUMBER(SEARCH("in person",IFERROR(TRIM(INDEX($A255:$T255,MATCH(Lists!$F$13,$A$1:$T$1,0))&amp;""),""))),"In person",IF(ISNUMBER(SEARCH("online",IFERROR(TRIM(INDEX($A255:$T255,MATCH(Lists!$F$13,$A$1:$T$1,0))&amp;""),""))),"Online","Written only")))</f>
        <v/>
      </c>
      <c r="AE255" s="21">
        <f>IF(Y255="","",IFERROR(TRIM(INDEX($A255:$T255,MATCH(Lists!$F$11,$A$1:$T$1,0))&amp;""),""))</f>
        <v/>
      </c>
      <c r="AF255" s="21">
        <f>IF(Y255="","",IFERROR(TRIM(INDEX($A255:$T255,MATCH(Lists!$F$12,$A$1:$T$1,0))&amp;""),""))</f>
        <v/>
      </c>
      <c r="AG255" s="21">
        <f>IF(Y255="","",IFERROR(TRIM(INDEX($A255:$T255,MATCH(Lists!$F$14,$A$1:$T$1,0))&amp;""),""))</f>
        <v/>
      </c>
      <c r="AH255" s="21">
        <f>IF(Y255="","",LEFT(IFERROR(TRIM(INDEX($A255:$T255,MATCH(Lists!$F$10,$A$1:$T$1,0))&amp;""),""),80))</f>
        <v/>
      </c>
      <c r="AI255" s="21">
        <f>IF(Y255="",0,IF(OR(Tally!$B$5="",AA255=Tally!$B$5),1,0))</f>
        <v/>
      </c>
      <c r="AJ255" s="21">
        <f>IF(AI255=1,IF(COUNTIFS($AB$2:AB255,AB255,$AI$2:AI255,1)=1,1,0),0)</f>
        <v/>
      </c>
      <c r="AK255" s="21">
        <f>IF(AJ255=1,SUM($AJ$2:AJ255),"")</f>
        <v/>
      </c>
      <c r="AL255" s="21">
        <f>IF(AND(AI255=1,OR(AD255="In person",AD255="Online"),OR(Speakers!$B$5="",AB255=Speakers!$B$5)),N(Z255)+ROW()/1000000000,"")</f>
        <v/>
      </c>
    </row>
    <row r="256">
      <c r="U256" s="19" t="n"/>
      <c r="V256" s="24" t="n"/>
      <c r="W256" s="24" t="n"/>
      <c r="X256" s="19" t="n"/>
      <c r="Y256" s="21">
        <f>IFERROR(TRIM(INDEX($A256:$T256,MATCH(Lists!$F$2,$A$1:$T$1,0))&amp;""),"")</f>
        <v/>
      </c>
      <c r="Z256" s="22">
        <f>IF(Y256="","",IFERROR(IF(ISNUMBER(INDEX($A256:$T256,MATCH(Lists!$F$3,$A$1:$T$1,0))),INDEX($A256:$T256,MATCH(Lists!$F$3,$A$1:$T$1,0)),DATE(VALUE(LEFT(IFERROR(TRIM(INDEX($A256:$T256,MATCH(Lists!$F$3,$A$1:$T$1,0))&amp;""),""),4)),VALUE(MID(IFERROR(TRIM(INDEX($A256:$T256,MATCH(Lists!$F$3,$A$1:$T$1,0))&amp;""),""),6,2)),VALUE(MID(IFERROR(TRIM(INDEX($A256:$T256,MATCH(Lists!$F$3,$A$1:$T$1,0))&amp;""),""),9,2)))+TIME(VALUE(MID(IFERROR(TRIM(INDEX($A256:$T256,MATCH(Lists!$F$3,$A$1:$T$1,0))&amp;""),""),12,2)),VALUE(MID(IFERROR(TRIM(INDEX($A256:$T256,MATCH(Lists!$F$3,$A$1:$T$1,0))&amp;""),""),15,2)),VALUE(MID(IFERROR(TRIM(INDEX($A256:$T256,MATCH(Lists!$F$3,$A$1:$T$1,0))&amp;""),""),18,2)))),""))</f>
        <v/>
      </c>
      <c r="AA256" s="23">
        <f>IF(Y256="","",IF(ISNUMBER(IFERROR(IF(TRIM(INDEX($A256:$T256,MATCH(Lists!$F$4,$A$1:$T$1,0))&amp;"")="","",IF(ISNUMBER(INDEX($A256:$T256,MATCH(Lists!$F$4,$A$1:$T$1,0))),INT(INDEX($A256:$T256,MATCH(Lists!$F$4,$A$1:$T$1,0))),DATE(VALUE(LEFT(INDEX($A256:$T256,MATCH(Lists!$F$4,$A$1:$T$1,0)),4)),VALUE(MID(INDEX($A256:$T256,MATCH(Lists!$F$4,$A$1:$T$1,0)),6,2)),VALUE(MID(INDEX($A256:$T256,MATCH(Lists!$F$4,$A$1:$T$1,0)),9,2))))),"")),IFERROR(IF(TRIM(INDEX($A256:$T256,MATCH(Lists!$F$4,$A$1:$T$1,0))&amp;"")="","",IF(ISNUMBER(INDEX($A256:$T256,MATCH(Lists!$F$4,$A$1:$T$1,0))),INT(INDEX($A256:$T256,MATCH(Lists!$F$4,$A$1:$T$1,0))),DATE(VALUE(LEFT(INDEX($A256:$T256,MATCH(Lists!$F$4,$A$1:$T$1,0)),4)),VALUE(MID(INDEX($A256:$T256,MATCH(Lists!$F$4,$A$1:$T$1,0)),6,2)),VALUE(MID(INDEX($A256:$T256,MATCH(Lists!$F$4,$A$1:$T$1,0)),9,2))))),""),IFERROR(IF(TRIM(INDEX($A256:$T256,MATCH(Lists!$F$5,$A$1:$T$1,0))&amp;"")="","",IF(ISNUMBER(INDEX($A256:$T256,MATCH(Lists!$F$5,$A$1:$T$1,0))),INT(INDEX($A256:$T256,MATCH(Lists!$F$5,$A$1:$T$1,0))),DATE(VALUE(LEFT(INDEX($A256:$T256,MATCH(Lists!$F$5,$A$1:$T$1,0)),4)),VALUE(MID(INDEX($A256:$T256,MATCH(Lists!$F$5,$A$1:$T$1,0)),6,2)),VALUE(MID(INDEX($A256:$T256,MATCH(Lists!$F$5,$A$1:$T$1,0)),9,2))))),"")))</f>
        <v/>
      </c>
      <c r="AB256" s="21">
        <f>IF(Y256="","",IF(LEFT(IFERROR(TRIM(INDEX($A256:$T256,MATCH(Lists!$F$6,$A$1:$T$1,0))&amp;""),""),2)="No","General comment",IF(IFERROR(TRIM(INDEX($A256:$T256,MATCH(Lists!$F$7,$A$1:$T$1,0))&amp;""),"")&lt;&gt;"",IFERROR(TRIM(INDEX($A256:$T256,MATCH(Lists!$F$7,$A$1:$T$1,0))&amp;""),""),IF(IFERROR(TRIM(INDEX($A256:$T256,MATCH(Lists!$F$8,$A$1:$T$1,0))&amp;""),"")&lt;&gt;"",IFERROR(TRIM(INDEX($A256:$T256,MATCH(Lists!$F$8,$A$1:$T$1,0))&amp;""),""),"(no item given)"))))</f>
        <v/>
      </c>
      <c r="AC256" s="21">
        <f>IF(Y256="","",IF(ISNUMBER(SEARCH("support",IFERROR(TRIM(INDEX($A256:$T256,MATCH(Lists!$F$9,$A$1:$T$1,0))&amp;""),""))),"Support",IF(ISNUMBER(SEARCH("oppose",IFERROR(TRIM(INDEX($A256:$T256,MATCH(Lists!$F$9,$A$1:$T$1,0))&amp;""),""))),"Oppose",IF(IFERROR(TRIM(INDEX($A256:$T256,MATCH(Lists!$F$9,$A$1:$T$1,0))&amp;""),"")="","No position","Neither"))))</f>
        <v/>
      </c>
      <c r="AD256" s="21">
        <f>IF(Y256="","",IF(ISNUMBER(SEARCH("in person",IFERROR(TRIM(INDEX($A256:$T256,MATCH(Lists!$F$13,$A$1:$T$1,0))&amp;""),""))),"In person",IF(ISNUMBER(SEARCH("online",IFERROR(TRIM(INDEX($A256:$T256,MATCH(Lists!$F$13,$A$1:$T$1,0))&amp;""),""))),"Online","Written only")))</f>
        <v/>
      </c>
      <c r="AE256" s="21">
        <f>IF(Y256="","",IFERROR(TRIM(INDEX($A256:$T256,MATCH(Lists!$F$11,$A$1:$T$1,0))&amp;""),""))</f>
        <v/>
      </c>
      <c r="AF256" s="21">
        <f>IF(Y256="","",IFERROR(TRIM(INDEX($A256:$T256,MATCH(Lists!$F$12,$A$1:$T$1,0))&amp;""),""))</f>
        <v/>
      </c>
      <c r="AG256" s="21">
        <f>IF(Y256="","",IFERROR(TRIM(INDEX($A256:$T256,MATCH(Lists!$F$14,$A$1:$T$1,0))&amp;""),""))</f>
        <v/>
      </c>
      <c r="AH256" s="21">
        <f>IF(Y256="","",LEFT(IFERROR(TRIM(INDEX($A256:$T256,MATCH(Lists!$F$10,$A$1:$T$1,0))&amp;""),""),80))</f>
        <v/>
      </c>
      <c r="AI256" s="21">
        <f>IF(Y256="",0,IF(OR(Tally!$B$5="",AA256=Tally!$B$5),1,0))</f>
        <v/>
      </c>
      <c r="AJ256" s="21">
        <f>IF(AI256=1,IF(COUNTIFS($AB$2:AB256,AB256,$AI$2:AI256,1)=1,1,0),0)</f>
        <v/>
      </c>
      <c r="AK256" s="21">
        <f>IF(AJ256=1,SUM($AJ$2:AJ256),"")</f>
        <v/>
      </c>
      <c r="AL256" s="21">
        <f>IF(AND(AI256=1,OR(AD256="In person",AD256="Online"),OR(Speakers!$B$5="",AB256=Speakers!$B$5)),N(Z256)+ROW()/1000000000,"")</f>
        <v/>
      </c>
    </row>
    <row r="257">
      <c r="U257" s="19" t="n"/>
      <c r="V257" s="24" t="n"/>
      <c r="W257" s="24" t="n"/>
      <c r="X257" s="19" t="n"/>
      <c r="Y257" s="21">
        <f>IFERROR(TRIM(INDEX($A257:$T257,MATCH(Lists!$F$2,$A$1:$T$1,0))&amp;""),"")</f>
        <v/>
      </c>
      <c r="Z257" s="22">
        <f>IF(Y257="","",IFERROR(IF(ISNUMBER(INDEX($A257:$T257,MATCH(Lists!$F$3,$A$1:$T$1,0))),INDEX($A257:$T257,MATCH(Lists!$F$3,$A$1:$T$1,0)),DATE(VALUE(LEFT(IFERROR(TRIM(INDEX($A257:$T257,MATCH(Lists!$F$3,$A$1:$T$1,0))&amp;""),""),4)),VALUE(MID(IFERROR(TRIM(INDEX($A257:$T257,MATCH(Lists!$F$3,$A$1:$T$1,0))&amp;""),""),6,2)),VALUE(MID(IFERROR(TRIM(INDEX($A257:$T257,MATCH(Lists!$F$3,$A$1:$T$1,0))&amp;""),""),9,2)))+TIME(VALUE(MID(IFERROR(TRIM(INDEX($A257:$T257,MATCH(Lists!$F$3,$A$1:$T$1,0))&amp;""),""),12,2)),VALUE(MID(IFERROR(TRIM(INDEX($A257:$T257,MATCH(Lists!$F$3,$A$1:$T$1,0))&amp;""),""),15,2)),VALUE(MID(IFERROR(TRIM(INDEX($A257:$T257,MATCH(Lists!$F$3,$A$1:$T$1,0))&amp;""),""),18,2)))),""))</f>
        <v/>
      </c>
      <c r="AA257" s="23">
        <f>IF(Y257="","",IF(ISNUMBER(IFERROR(IF(TRIM(INDEX($A257:$T257,MATCH(Lists!$F$4,$A$1:$T$1,0))&amp;"")="","",IF(ISNUMBER(INDEX($A257:$T257,MATCH(Lists!$F$4,$A$1:$T$1,0))),INT(INDEX($A257:$T257,MATCH(Lists!$F$4,$A$1:$T$1,0))),DATE(VALUE(LEFT(INDEX($A257:$T257,MATCH(Lists!$F$4,$A$1:$T$1,0)),4)),VALUE(MID(INDEX($A257:$T257,MATCH(Lists!$F$4,$A$1:$T$1,0)),6,2)),VALUE(MID(INDEX($A257:$T257,MATCH(Lists!$F$4,$A$1:$T$1,0)),9,2))))),"")),IFERROR(IF(TRIM(INDEX($A257:$T257,MATCH(Lists!$F$4,$A$1:$T$1,0))&amp;"")="","",IF(ISNUMBER(INDEX($A257:$T257,MATCH(Lists!$F$4,$A$1:$T$1,0))),INT(INDEX($A257:$T257,MATCH(Lists!$F$4,$A$1:$T$1,0))),DATE(VALUE(LEFT(INDEX($A257:$T257,MATCH(Lists!$F$4,$A$1:$T$1,0)),4)),VALUE(MID(INDEX($A257:$T257,MATCH(Lists!$F$4,$A$1:$T$1,0)),6,2)),VALUE(MID(INDEX($A257:$T257,MATCH(Lists!$F$4,$A$1:$T$1,0)),9,2))))),""),IFERROR(IF(TRIM(INDEX($A257:$T257,MATCH(Lists!$F$5,$A$1:$T$1,0))&amp;"")="","",IF(ISNUMBER(INDEX($A257:$T257,MATCH(Lists!$F$5,$A$1:$T$1,0))),INT(INDEX($A257:$T257,MATCH(Lists!$F$5,$A$1:$T$1,0))),DATE(VALUE(LEFT(INDEX($A257:$T257,MATCH(Lists!$F$5,$A$1:$T$1,0)),4)),VALUE(MID(INDEX($A257:$T257,MATCH(Lists!$F$5,$A$1:$T$1,0)),6,2)),VALUE(MID(INDEX($A257:$T257,MATCH(Lists!$F$5,$A$1:$T$1,0)),9,2))))),"")))</f>
        <v/>
      </c>
      <c r="AB257" s="21">
        <f>IF(Y257="","",IF(LEFT(IFERROR(TRIM(INDEX($A257:$T257,MATCH(Lists!$F$6,$A$1:$T$1,0))&amp;""),""),2)="No","General comment",IF(IFERROR(TRIM(INDEX($A257:$T257,MATCH(Lists!$F$7,$A$1:$T$1,0))&amp;""),"")&lt;&gt;"",IFERROR(TRIM(INDEX($A257:$T257,MATCH(Lists!$F$7,$A$1:$T$1,0))&amp;""),""),IF(IFERROR(TRIM(INDEX($A257:$T257,MATCH(Lists!$F$8,$A$1:$T$1,0))&amp;""),"")&lt;&gt;"",IFERROR(TRIM(INDEX($A257:$T257,MATCH(Lists!$F$8,$A$1:$T$1,0))&amp;""),""),"(no item given)"))))</f>
        <v/>
      </c>
      <c r="AC257" s="21">
        <f>IF(Y257="","",IF(ISNUMBER(SEARCH("support",IFERROR(TRIM(INDEX($A257:$T257,MATCH(Lists!$F$9,$A$1:$T$1,0))&amp;""),""))),"Support",IF(ISNUMBER(SEARCH("oppose",IFERROR(TRIM(INDEX($A257:$T257,MATCH(Lists!$F$9,$A$1:$T$1,0))&amp;""),""))),"Oppose",IF(IFERROR(TRIM(INDEX($A257:$T257,MATCH(Lists!$F$9,$A$1:$T$1,0))&amp;""),"")="","No position","Neither"))))</f>
        <v/>
      </c>
      <c r="AD257" s="21">
        <f>IF(Y257="","",IF(ISNUMBER(SEARCH("in person",IFERROR(TRIM(INDEX($A257:$T257,MATCH(Lists!$F$13,$A$1:$T$1,0))&amp;""),""))),"In person",IF(ISNUMBER(SEARCH("online",IFERROR(TRIM(INDEX($A257:$T257,MATCH(Lists!$F$13,$A$1:$T$1,0))&amp;""),""))),"Online","Written only")))</f>
        <v/>
      </c>
      <c r="AE257" s="21">
        <f>IF(Y257="","",IFERROR(TRIM(INDEX($A257:$T257,MATCH(Lists!$F$11,$A$1:$T$1,0))&amp;""),""))</f>
        <v/>
      </c>
      <c r="AF257" s="21">
        <f>IF(Y257="","",IFERROR(TRIM(INDEX($A257:$T257,MATCH(Lists!$F$12,$A$1:$T$1,0))&amp;""),""))</f>
        <v/>
      </c>
      <c r="AG257" s="21">
        <f>IF(Y257="","",IFERROR(TRIM(INDEX($A257:$T257,MATCH(Lists!$F$14,$A$1:$T$1,0))&amp;""),""))</f>
        <v/>
      </c>
      <c r="AH257" s="21">
        <f>IF(Y257="","",LEFT(IFERROR(TRIM(INDEX($A257:$T257,MATCH(Lists!$F$10,$A$1:$T$1,0))&amp;""),""),80))</f>
        <v/>
      </c>
      <c r="AI257" s="21">
        <f>IF(Y257="",0,IF(OR(Tally!$B$5="",AA257=Tally!$B$5),1,0))</f>
        <v/>
      </c>
      <c r="AJ257" s="21">
        <f>IF(AI257=1,IF(COUNTIFS($AB$2:AB257,AB257,$AI$2:AI257,1)=1,1,0),0)</f>
        <v/>
      </c>
      <c r="AK257" s="21">
        <f>IF(AJ257=1,SUM($AJ$2:AJ257),"")</f>
        <v/>
      </c>
      <c r="AL257" s="21">
        <f>IF(AND(AI257=1,OR(AD257="In person",AD257="Online"),OR(Speakers!$B$5="",AB257=Speakers!$B$5)),N(Z257)+ROW()/1000000000,"")</f>
        <v/>
      </c>
    </row>
    <row r="258">
      <c r="U258" s="19" t="n"/>
      <c r="V258" s="24" t="n"/>
      <c r="W258" s="24" t="n"/>
      <c r="X258" s="19" t="n"/>
      <c r="Y258" s="21">
        <f>IFERROR(TRIM(INDEX($A258:$T258,MATCH(Lists!$F$2,$A$1:$T$1,0))&amp;""),"")</f>
        <v/>
      </c>
      <c r="Z258" s="22">
        <f>IF(Y258="","",IFERROR(IF(ISNUMBER(INDEX($A258:$T258,MATCH(Lists!$F$3,$A$1:$T$1,0))),INDEX($A258:$T258,MATCH(Lists!$F$3,$A$1:$T$1,0)),DATE(VALUE(LEFT(IFERROR(TRIM(INDEX($A258:$T258,MATCH(Lists!$F$3,$A$1:$T$1,0))&amp;""),""),4)),VALUE(MID(IFERROR(TRIM(INDEX($A258:$T258,MATCH(Lists!$F$3,$A$1:$T$1,0))&amp;""),""),6,2)),VALUE(MID(IFERROR(TRIM(INDEX($A258:$T258,MATCH(Lists!$F$3,$A$1:$T$1,0))&amp;""),""),9,2)))+TIME(VALUE(MID(IFERROR(TRIM(INDEX($A258:$T258,MATCH(Lists!$F$3,$A$1:$T$1,0))&amp;""),""),12,2)),VALUE(MID(IFERROR(TRIM(INDEX($A258:$T258,MATCH(Lists!$F$3,$A$1:$T$1,0))&amp;""),""),15,2)),VALUE(MID(IFERROR(TRIM(INDEX($A258:$T258,MATCH(Lists!$F$3,$A$1:$T$1,0))&amp;""),""),18,2)))),""))</f>
        <v/>
      </c>
      <c r="AA258" s="23">
        <f>IF(Y258="","",IF(ISNUMBER(IFERROR(IF(TRIM(INDEX($A258:$T258,MATCH(Lists!$F$4,$A$1:$T$1,0))&amp;"")="","",IF(ISNUMBER(INDEX($A258:$T258,MATCH(Lists!$F$4,$A$1:$T$1,0))),INT(INDEX($A258:$T258,MATCH(Lists!$F$4,$A$1:$T$1,0))),DATE(VALUE(LEFT(INDEX($A258:$T258,MATCH(Lists!$F$4,$A$1:$T$1,0)),4)),VALUE(MID(INDEX($A258:$T258,MATCH(Lists!$F$4,$A$1:$T$1,0)),6,2)),VALUE(MID(INDEX($A258:$T258,MATCH(Lists!$F$4,$A$1:$T$1,0)),9,2))))),"")),IFERROR(IF(TRIM(INDEX($A258:$T258,MATCH(Lists!$F$4,$A$1:$T$1,0))&amp;"")="","",IF(ISNUMBER(INDEX($A258:$T258,MATCH(Lists!$F$4,$A$1:$T$1,0))),INT(INDEX($A258:$T258,MATCH(Lists!$F$4,$A$1:$T$1,0))),DATE(VALUE(LEFT(INDEX($A258:$T258,MATCH(Lists!$F$4,$A$1:$T$1,0)),4)),VALUE(MID(INDEX($A258:$T258,MATCH(Lists!$F$4,$A$1:$T$1,0)),6,2)),VALUE(MID(INDEX($A258:$T258,MATCH(Lists!$F$4,$A$1:$T$1,0)),9,2))))),""),IFERROR(IF(TRIM(INDEX($A258:$T258,MATCH(Lists!$F$5,$A$1:$T$1,0))&amp;"")="","",IF(ISNUMBER(INDEX($A258:$T258,MATCH(Lists!$F$5,$A$1:$T$1,0))),INT(INDEX($A258:$T258,MATCH(Lists!$F$5,$A$1:$T$1,0))),DATE(VALUE(LEFT(INDEX($A258:$T258,MATCH(Lists!$F$5,$A$1:$T$1,0)),4)),VALUE(MID(INDEX($A258:$T258,MATCH(Lists!$F$5,$A$1:$T$1,0)),6,2)),VALUE(MID(INDEX($A258:$T258,MATCH(Lists!$F$5,$A$1:$T$1,0)),9,2))))),"")))</f>
        <v/>
      </c>
      <c r="AB258" s="21">
        <f>IF(Y258="","",IF(LEFT(IFERROR(TRIM(INDEX($A258:$T258,MATCH(Lists!$F$6,$A$1:$T$1,0))&amp;""),""),2)="No","General comment",IF(IFERROR(TRIM(INDEX($A258:$T258,MATCH(Lists!$F$7,$A$1:$T$1,0))&amp;""),"")&lt;&gt;"",IFERROR(TRIM(INDEX($A258:$T258,MATCH(Lists!$F$7,$A$1:$T$1,0))&amp;""),""),IF(IFERROR(TRIM(INDEX($A258:$T258,MATCH(Lists!$F$8,$A$1:$T$1,0))&amp;""),"")&lt;&gt;"",IFERROR(TRIM(INDEX($A258:$T258,MATCH(Lists!$F$8,$A$1:$T$1,0))&amp;""),""),"(no item given)"))))</f>
        <v/>
      </c>
      <c r="AC258" s="21">
        <f>IF(Y258="","",IF(ISNUMBER(SEARCH("support",IFERROR(TRIM(INDEX($A258:$T258,MATCH(Lists!$F$9,$A$1:$T$1,0))&amp;""),""))),"Support",IF(ISNUMBER(SEARCH("oppose",IFERROR(TRIM(INDEX($A258:$T258,MATCH(Lists!$F$9,$A$1:$T$1,0))&amp;""),""))),"Oppose",IF(IFERROR(TRIM(INDEX($A258:$T258,MATCH(Lists!$F$9,$A$1:$T$1,0))&amp;""),"")="","No position","Neither"))))</f>
        <v/>
      </c>
      <c r="AD258" s="21">
        <f>IF(Y258="","",IF(ISNUMBER(SEARCH("in person",IFERROR(TRIM(INDEX($A258:$T258,MATCH(Lists!$F$13,$A$1:$T$1,0))&amp;""),""))),"In person",IF(ISNUMBER(SEARCH("online",IFERROR(TRIM(INDEX($A258:$T258,MATCH(Lists!$F$13,$A$1:$T$1,0))&amp;""),""))),"Online","Written only")))</f>
        <v/>
      </c>
      <c r="AE258" s="21">
        <f>IF(Y258="","",IFERROR(TRIM(INDEX($A258:$T258,MATCH(Lists!$F$11,$A$1:$T$1,0))&amp;""),""))</f>
        <v/>
      </c>
      <c r="AF258" s="21">
        <f>IF(Y258="","",IFERROR(TRIM(INDEX($A258:$T258,MATCH(Lists!$F$12,$A$1:$T$1,0))&amp;""),""))</f>
        <v/>
      </c>
      <c r="AG258" s="21">
        <f>IF(Y258="","",IFERROR(TRIM(INDEX($A258:$T258,MATCH(Lists!$F$14,$A$1:$T$1,0))&amp;""),""))</f>
        <v/>
      </c>
      <c r="AH258" s="21">
        <f>IF(Y258="","",LEFT(IFERROR(TRIM(INDEX($A258:$T258,MATCH(Lists!$F$10,$A$1:$T$1,0))&amp;""),""),80))</f>
        <v/>
      </c>
      <c r="AI258" s="21">
        <f>IF(Y258="",0,IF(OR(Tally!$B$5="",AA258=Tally!$B$5),1,0))</f>
        <v/>
      </c>
      <c r="AJ258" s="21">
        <f>IF(AI258=1,IF(COUNTIFS($AB$2:AB258,AB258,$AI$2:AI258,1)=1,1,0),0)</f>
        <v/>
      </c>
      <c r="AK258" s="21">
        <f>IF(AJ258=1,SUM($AJ$2:AJ258),"")</f>
        <v/>
      </c>
      <c r="AL258" s="21">
        <f>IF(AND(AI258=1,OR(AD258="In person",AD258="Online"),OR(Speakers!$B$5="",AB258=Speakers!$B$5)),N(Z258)+ROW()/1000000000,"")</f>
        <v/>
      </c>
    </row>
    <row r="259">
      <c r="U259" s="19" t="n"/>
      <c r="V259" s="24" t="n"/>
      <c r="W259" s="24" t="n"/>
      <c r="X259" s="19" t="n"/>
      <c r="Y259" s="21">
        <f>IFERROR(TRIM(INDEX($A259:$T259,MATCH(Lists!$F$2,$A$1:$T$1,0))&amp;""),"")</f>
        <v/>
      </c>
      <c r="Z259" s="22">
        <f>IF(Y259="","",IFERROR(IF(ISNUMBER(INDEX($A259:$T259,MATCH(Lists!$F$3,$A$1:$T$1,0))),INDEX($A259:$T259,MATCH(Lists!$F$3,$A$1:$T$1,0)),DATE(VALUE(LEFT(IFERROR(TRIM(INDEX($A259:$T259,MATCH(Lists!$F$3,$A$1:$T$1,0))&amp;""),""),4)),VALUE(MID(IFERROR(TRIM(INDEX($A259:$T259,MATCH(Lists!$F$3,$A$1:$T$1,0))&amp;""),""),6,2)),VALUE(MID(IFERROR(TRIM(INDEX($A259:$T259,MATCH(Lists!$F$3,$A$1:$T$1,0))&amp;""),""),9,2)))+TIME(VALUE(MID(IFERROR(TRIM(INDEX($A259:$T259,MATCH(Lists!$F$3,$A$1:$T$1,0))&amp;""),""),12,2)),VALUE(MID(IFERROR(TRIM(INDEX($A259:$T259,MATCH(Lists!$F$3,$A$1:$T$1,0))&amp;""),""),15,2)),VALUE(MID(IFERROR(TRIM(INDEX($A259:$T259,MATCH(Lists!$F$3,$A$1:$T$1,0))&amp;""),""),18,2)))),""))</f>
        <v/>
      </c>
      <c r="AA259" s="23">
        <f>IF(Y259="","",IF(ISNUMBER(IFERROR(IF(TRIM(INDEX($A259:$T259,MATCH(Lists!$F$4,$A$1:$T$1,0))&amp;"")="","",IF(ISNUMBER(INDEX($A259:$T259,MATCH(Lists!$F$4,$A$1:$T$1,0))),INT(INDEX($A259:$T259,MATCH(Lists!$F$4,$A$1:$T$1,0))),DATE(VALUE(LEFT(INDEX($A259:$T259,MATCH(Lists!$F$4,$A$1:$T$1,0)),4)),VALUE(MID(INDEX($A259:$T259,MATCH(Lists!$F$4,$A$1:$T$1,0)),6,2)),VALUE(MID(INDEX($A259:$T259,MATCH(Lists!$F$4,$A$1:$T$1,0)),9,2))))),"")),IFERROR(IF(TRIM(INDEX($A259:$T259,MATCH(Lists!$F$4,$A$1:$T$1,0))&amp;"")="","",IF(ISNUMBER(INDEX($A259:$T259,MATCH(Lists!$F$4,$A$1:$T$1,0))),INT(INDEX($A259:$T259,MATCH(Lists!$F$4,$A$1:$T$1,0))),DATE(VALUE(LEFT(INDEX($A259:$T259,MATCH(Lists!$F$4,$A$1:$T$1,0)),4)),VALUE(MID(INDEX($A259:$T259,MATCH(Lists!$F$4,$A$1:$T$1,0)),6,2)),VALUE(MID(INDEX($A259:$T259,MATCH(Lists!$F$4,$A$1:$T$1,0)),9,2))))),""),IFERROR(IF(TRIM(INDEX($A259:$T259,MATCH(Lists!$F$5,$A$1:$T$1,0))&amp;"")="","",IF(ISNUMBER(INDEX($A259:$T259,MATCH(Lists!$F$5,$A$1:$T$1,0))),INT(INDEX($A259:$T259,MATCH(Lists!$F$5,$A$1:$T$1,0))),DATE(VALUE(LEFT(INDEX($A259:$T259,MATCH(Lists!$F$5,$A$1:$T$1,0)),4)),VALUE(MID(INDEX($A259:$T259,MATCH(Lists!$F$5,$A$1:$T$1,0)),6,2)),VALUE(MID(INDEX($A259:$T259,MATCH(Lists!$F$5,$A$1:$T$1,0)),9,2))))),"")))</f>
        <v/>
      </c>
      <c r="AB259" s="21">
        <f>IF(Y259="","",IF(LEFT(IFERROR(TRIM(INDEX($A259:$T259,MATCH(Lists!$F$6,$A$1:$T$1,0))&amp;""),""),2)="No","General comment",IF(IFERROR(TRIM(INDEX($A259:$T259,MATCH(Lists!$F$7,$A$1:$T$1,0))&amp;""),"")&lt;&gt;"",IFERROR(TRIM(INDEX($A259:$T259,MATCH(Lists!$F$7,$A$1:$T$1,0))&amp;""),""),IF(IFERROR(TRIM(INDEX($A259:$T259,MATCH(Lists!$F$8,$A$1:$T$1,0))&amp;""),"")&lt;&gt;"",IFERROR(TRIM(INDEX($A259:$T259,MATCH(Lists!$F$8,$A$1:$T$1,0))&amp;""),""),"(no item given)"))))</f>
        <v/>
      </c>
      <c r="AC259" s="21">
        <f>IF(Y259="","",IF(ISNUMBER(SEARCH("support",IFERROR(TRIM(INDEX($A259:$T259,MATCH(Lists!$F$9,$A$1:$T$1,0))&amp;""),""))),"Support",IF(ISNUMBER(SEARCH("oppose",IFERROR(TRIM(INDEX($A259:$T259,MATCH(Lists!$F$9,$A$1:$T$1,0))&amp;""),""))),"Oppose",IF(IFERROR(TRIM(INDEX($A259:$T259,MATCH(Lists!$F$9,$A$1:$T$1,0))&amp;""),"")="","No position","Neither"))))</f>
        <v/>
      </c>
      <c r="AD259" s="21">
        <f>IF(Y259="","",IF(ISNUMBER(SEARCH("in person",IFERROR(TRIM(INDEX($A259:$T259,MATCH(Lists!$F$13,$A$1:$T$1,0))&amp;""),""))),"In person",IF(ISNUMBER(SEARCH("online",IFERROR(TRIM(INDEX($A259:$T259,MATCH(Lists!$F$13,$A$1:$T$1,0))&amp;""),""))),"Online","Written only")))</f>
        <v/>
      </c>
      <c r="AE259" s="21">
        <f>IF(Y259="","",IFERROR(TRIM(INDEX($A259:$T259,MATCH(Lists!$F$11,$A$1:$T$1,0))&amp;""),""))</f>
        <v/>
      </c>
      <c r="AF259" s="21">
        <f>IF(Y259="","",IFERROR(TRIM(INDEX($A259:$T259,MATCH(Lists!$F$12,$A$1:$T$1,0))&amp;""),""))</f>
        <v/>
      </c>
      <c r="AG259" s="21">
        <f>IF(Y259="","",IFERROR(TRIM(INDEX($A259:$T259,MATCH(Lists!$F$14,$A$1:$T$1,0))&amp;""),""))</f>
        <v/>
      </c>
      <c r="AH259" s="21">
        <f>IF(Y259="","",LEFT(IFERROR(TRIM(INDEX($A259:$T259,MATCH(Lists!$F$10,$A$1:$T$1,0))&amp;""),""),80))</f>
        <v/>
      </c>
      <c r="AI259" s="21">
        <f>IF(Y259="",0,IF(OR(Tally!$B$5="",AA259=Tally!$B$5),1,0))</f>
        <v/>
      </c>
      <c r="AJ259" s="21">
        <f>IF(AI259=1,IF(COUNTIFS($AB$2:AB259,AB259,$AI$2:AI259,1)=1,1,0),0)</f>
        <v/>
      </c>
      <c r="AK259" s="21">
        <f>IF(AJ259=1,SUM($AJ$2:AJ259),"")</f>
        <v/>
      </c>
      <c r="AL259" s="21">
        <f>IF(AND(AI259=1,OR(AD259="In person",AD259="Online"),OR(Speakers!$B$5="",AB259=Speakers!$B$5)),N(Z259)+ROW()/1000000000,"")</f>
        <v/>
      </c>
    </row>
    <row r="260">
      <c r="U260" s="19" t="n"/>
      <c r="V260" s="24" t="n"/>
      <c r="W260" s="24" t="n"/>
      <c r="X260" s="19" t="n"/>
      <c r="Y260" s="21">
        <f>IFERROR(TRIM(INDEX($A260:$T260,MATCH(Lists!$F$2,$A$1:$T$1,0))&amp;""),"")</f>
        <v/>
      </c>
      <c r="Z260" s="22">
        <f>IF(Y260="","",IFERROR(IF(ISNUMBER(INDEX($A260:$T260,MATCH(Lists!$F$3,$A$1:$T$1,0))),INDEX($A260:$T260,MATCH(Lists!$F$3,$A$1:$T$1,0)),DATE(VALUE(LEFT(IFERROR(TRIM(INDEX($A260:$T260,MATCH(Lists!$F$3,$A$1:$T$1,0))&amp;""),""),4)),VALUE(MID(IFERROR(TRIM(INDEX($A260:$T260,MATCH(Lists!$F$3,$A$1:$T$1,0))&amp;""),""),6,2)),VALUE(MID(IFERROR(TRIM(INDEX($A260:$T260,MATCH(Lists!$F$3,$A$1:$T$1,0))&amp;""),""),9,2)))+TIME(VALUE(MID(IFERROR(TRIM(INDEX($A260:$T260,MATCH(Lists!$F$3,$A$1:$T$1,0))&amp;""),""),12,2)),VALUE(MID(IFERROR(TRIM(INDEX($A260:$T260,MATCH(Lists!$F$3,$A$1:$T$1,0))&amp;""),""),15,2)),VALUE(MID(IFERROR(TRIM(INDEX($A260:$T260,MATCH(Lists!$F$3,$A$1:$T$1,0))&amp;""),""),18,2)))),""))</f>
        <v/>
      </c>
      <c r="AA260" s="23">
        <f>IF(Y260="","",IF(ISNUMBER(IFERROR(IF(TRIM(INDEX($A260:$T260,MATCH(Lists!$F$4,$A$1:$T$1,0))&amp;"")="","",IF(ISNUMBER(INDEX($A260:$T260,MATCH(Lists!$F$4,$A$1:$T$1,0))),INT(INDEX($A260:$T260,MATCH(Lists!$F$4,$A$1:$T$1,0))),DATE(VALUE(LEFT(INDEX($A260:$T260,MATCH(Lists!$F$4,$A$1:$T$1,0)),4)),VALUE(MID(INDEX($A260:$T260,MATCH(Lists!$F$4,$A$1:$T$1,0)),6,2)),VALUE(MID(INDEX($A260:$T260,MATCH(Lists!$F$4,$A$1:$T$1,0)),9,2))))),"")),IFERROR(IF(TRIM(INDEX($A260:$T260,MATCH(Lists!$F$4,$A$1:$T$1,0))&amp;"")="","",IF(ISNUMBER(INDEX($A260:$T260,MATCH(Lists!$F$4,$A$1:$T$1,0))),INT(INDEX($A260:$T260,MATCH(Lists!$F$4,$A$1:$T$1,0))),DATE(VALUE(LEFT(INDEX($A260:$T260,MATCH(Lists!$F$4,$A$1:$T$1,0)),4)),VALUE(MID(INDEX($A260:$T260,MATCH(Lists!$F$4,$A$1:$T$1,0)),6,2)),VALUE(MID(INDEX($A260:$T260,MATCH(Lists!$F$4,$A$1:$T$1,0)),9,2))))),""),IFERROR(IF(TRIM(INDEX($A260:$T260,MATCH(Lists!$F$5,$A$1:$T$1,0))&amp;"")="","",IF(ISNUMBER(INDEX($A260:$T260,MATCH(Lists!$F$5,$A$1:$T$1,0))),INT(INDEX($A260:$T260,MATCH(Lists!$F$5,$A$1:$T$1,0))),DATE(VALUE(LEFT(INDEX($A260:$T260,MATCH(Lists!$F$5,$A$1:$T$1,0)),4)),VALUE(MID(INDEX($A260:$T260,MATCH(Lists!$F$5,$A$1:$T$1,0)),6,2)),VALUE(MID(INDEX($A260:$T260,MATCH(Lists!$F$5,$A$1:$T$1,0)),9,2))))),"")))</f>
        <v/>
      </c>
      <c r="AB260" s="21">
        <f>IF(Y260="","",IF(LEFT(IFERROR(TRIM(INDEX($A260:$T260,MATCH(Lists!$F$6,$A$1:$T$1,0))&amp;""),""),2)="No","General comment",IF(IFERROR(TRIM(INDEX($A260:$T260,MATCH(Lists!$F$7,$A$1:$T$1,0))&amp;""),"")&lt;&gt;"",IFERROR(TRIM(INDEX($A260:$T260,MATCH(Lists!$F$7,$A$1:$T$1,0))&amp;""),""),IF(IFERROR(TRIM(INDEX($A260:$T260,MATCH(Lists!$F$8,$A$1:$T$1,0))&amp;""),"")&lt;&gt;"",IFERROR(TRIM(INDEX($A260:$T260,MATCH(Lists!$F$8,$A$1:$T$1,0))&amp;""),""),"(no item given)"))))</f>
        <v/>
      </c>
      <c r="AC260" s="21">
        <f>IF(Y260="","",IF(ISNUMBER(SEARCH("support",IFERROR(TRIM(INDEX($A260:$T260,MATCH(Lists!$F$9,$A$1:$T$1,0))&amp;""),""))),"Support",IF(ISNUMBER(SEARCH("oppose",IFERROR(TRIM(INDEX($A260:$T260,MATCH(Lists!$F$9,$A$1:$T$1,0))&amp;""),""))),"Oppose",IF(IFERROR(TRIM(INDEX($A260:$T260,MATCH(Lists!$F$9,$A$1:$T$1,0))&amp;""),"")="","No position","Neither"))))</f>
        <v/>
      </c>
      <c r="AD260" s="21">
        <f>IF(Y260="","",IF(ISNUMBER(SEARCH("in person",IFERROR(TRIM(INDEX($A260:$T260,MATCH(Lists!$F$13,$A$1:$T$1,0))&amp;""),""))),"In person",IF(ISNUMBER(SEARCH("online",IFERROR(TRIM(INDEX($A260:$T260,MATCH(Lists!$F$13,$A$1:$T$1,0))&amp;""),""))),"Online","Written only")))</f>
        <v/>
      </c>
      <c r="AE260" s="21">
        <f>IF(Y260="","",IFERROR(TRIM(INDEX($A260:$T260,MATCH(Lists!$F$11,$A$1:$T$1,0))&amp;""),""))</f>
        <v/>
      </c>
      <c r="AF260" s="21">
        <f>IF(Y260="","",IFERROR(TRIM(INDEX($A260:$T260,MATCH(Lists!$F$12,$A$1:$T$1,0))&amp;""),""))</f>
        <v/>
      </c>
      <c r="AG260" s="21">
        <f>IF(Y260="","",IFERROR(TRIM(INDEX($A260:$T260,MATCH(Lists!$F$14,$A$1:$T$1,0))&amp;""),""))</f>
        <v/>
      </c>
      <c r="AH260" s="21">
        <f>IF(Y260="","",LEFT(IFERROR(TRIM(INDEX($A260:$T260,MATCH(Lists!$F$10,$A$1:$T$1,0))&amp;""),""),80))</f>
        <v/>
      </c>
      <c r="AI260" s="21">
        <f>IF(Y260="",0,IF(OR(Tally!$B$5="",AA260=Tally!$B$5),1,0))</f>
        <v/>
      </c>
      <c r="AJ260" s="21">
        <f>IF(AI260=1,IF(COUNTIFS($AB$2:AB260,AB260,$AI$2:AI260,1)=1,1,0),0)</f>
        <v/>
      </c>
      <c r="AK260" s="21">
        <f>IF(AJ260=1,SUM($AJ$2:AJ260),"")</f>
        <v/>
      </c>
      <c r="AL260" s="21">
        <f>IF(AND(AI260=1,OR(AD260="In person",AD260="Online"),OR(Speakers!$B$5="",AB260=Speakers!$B$5)),N(Z260)+ROW()/1000000000,"")</f>
        <v/>
      </c>
    </row>
    <row r="261">
      <c r="U261" s="19" t="n"/>
      <c r="V261" s="24" t="n"/>
      <c r="W261" s="24" t="n"/>
      <c r="X261" s="19" t="n"/>
      <c r="Y261" s="21">
        <f>IFERROR(TRIM(INDEX($A261:$T261,MATCH(Lists!$F$2,$A$1:$T$1,0))&amp;""),"")</f>
        <v/>
      </c>
      <c r="Z261" s="22">
        <f>IF(Y261="","",IFERROR(IF(ISNUMBER(INDEX($A261:$T261,MATCH(Lists!$F$3,$A$1:$T$1,0))),INDEX($A261:$T261,MATCH(Lists!$F$3,$A$1:$T$1,0)),DATE(VALUE(LEFT(IFERROR(TRIM(INDEX($A261:$T261,MATCH(Lists!$F$3,$A$1:$T$1,0))&amp;""),""),4)),VALUE(MID(IFERROR(TRIM(INDEX($A261:$T261,MATCH(Lists!$F$3,$A$1:$T$1,0))&amp;""),""),6,2)),VALUE(MID(IFERROR(TRIM(INDEX($A261:$T261,MATCH(Lists!$F$3,$A$1:$T$1,0))&amp;""),""),9,2)))+TIME(VALUE(MID(IFERROR(TRIM(INDEX($A261:$T261,MATCH(Lists!$F$3,$A$1:$T$1,0))&amp;""),""),12,2)),VALUE(MID(IFERROR(TRIM(INDEX($A261:$T261,MATCH(Lists!$F$3,$A$1:$T$1,0))&amp;""),""),15,2)),VALUE(MID(IFERROR(TRIM(INDEX($A261:$T261,MATCH(Lists!$F$3,$A$1:$T$1,0))&amp;""),""),18,2)))),""))</f>
        <v/>
      </c>
      <c r="AA261" s="23">
        <f>IF(Y261="","",IF(ISNUMBER(IFERROR(IF(TRIM(INDEX($A261:$T261,MATCH(Lists!$F$4,$A$1:$T$1,0))&amp;"")="","",IF(ISNUMBER(INDEX($A261:$T261,MATCH(Lists!$F$4,$A$1:$T$1,0))),INT(INDEX($A261:$T261,MATCH(Lists!$F$4,$A$1:$T$1,0))),DATE(VALUE(LEFT(INDEX($A261:$T261,MATCH(Lists!$F$4,$A$1:$T$1,0)),4)),VALUE(MID(INDEX($A261:$T261,MATCH(Lists!$F$4,$A$1:$T$1,0)),6,2)),VALUE(MID(INDEX($A261:$T261,MATCH(Lists!$F$4,$A$1:$T$1,0)),9,2))))),"")),IFERROR(IF(TRIM(INDEX($A261:$T261,MATCH(Lists!$F$4,$A$1:$T$1,0))&amp;"")="","",IF(ISNUMBER(INDEX($A261:$T261,MATCH(Lists!$F$4,$A$1:$T$1,0))),INT(INDEX($A261:$T261,MATCH(Lists!$F$4,$A$1:$T$1,0))),DATE(VALUE(LEFT(INDEX($A261:$T261,MATCH(Lists!$F$4,$A$1:$T$1,0)),4)),VALUE(MID(INDEX($A261:$T261,MATCH(Lists!$F$4,$A$1:$T$1,0)),6,2)),VALUE(MID(INDEX($A261:$T261,MATCH(Lists!$F$4,$A$1:$T$1,0)),9,2))))),""),IFERROR(IF(TRIM(INDEX($A261:$T261,MATCH(Lists!$F$5,$A$1:$T$1,0))&amp;"")="","",IF(ISNUMBER(INDEX($A261:$T261,MATCH(Lists!$F$5,$A$1:$T$1,0))),INT(INDEX($A261:$T261,MATCH(Lists!$F$5,$A$1:$T$1,0))),DATE(VALUE(LEFT(INDEX($A261:$T261,MATCH(Lists!$F$5,$A$1:$T$1,0)),4)),VALUE(MID(INDEX($A261:$T261,MATCH(Lists!$F$5,$A$1:$T$1,0)),6,2)),VALUE(MID(INDEX($A261:$T261,MATCH(Lists!$F$5,$A$1:$T$1,0)),9,2))))),"")))</f>
        <v/>
      </c>
      <c r="AB261" s="21">
        <f>IF(Y261="","",IF(LEFT(IFERROR(TRIM(INDEX($A261:$T261,MATCH(Lists!$F$6,$A$1:$T$1,0))&amp;""),""),2)="No","General comment",IF(IFERROR(TRIM(INDEX($A261:$T261,MATCH(Lists!$F$7,$A$1:$T$1,0))&amp;""),"")&lt;&gt;"",IFERROR(TRIM(INDEX($A261:$T261,MATCH(Lists!$F$7,$A$1:$T$1,0))&amp;""),""),IF(IFERROR(TRIM(INDEX($A261:$T261,MATCH(Lists!$F$8,$A$1:$T$1,0))&amp;""),"")&lt;&gt;"",IFERROR(TRIM(INDEX($A261:$T261,MATCH(Lists!$F$8,$A$1:$T$1,0))&amp;""),""),"(no item given)"))))</f>
        <v/>
      </c>
      <c r="AC261" s="21">
        <f>IF(Y261="","",IF(ISNUMBER(SEARCH("support",IFERROR(TRIM(INDEX($A261:$T261,MATCH(Lists!$F$9,$A$1:$T$1,0))&amp;""),""))),"Support",IF(ISNUMBER(SEARCH("oppose",IFERROR(TRIM(INDEX($A261:$T261,MATCH(Lists!$F$9,$A$1:$T$1,0))&amp;""),""))),"Oppose",IF(IFERROR(TRIM(INDEX($A261:$T261,MATCH(Lists!$F$9,$A$1:$T$1,0))&amp;""),"")="","No position","Neither"))))</f>
        <v/>
      </c>
      <c r="AD261" s="21">
        <f>IF(Y261="","",IF(ISNUMBER(SEARCH("in person",IFERROR(TRIM(INDEX($A261:$T261,MATCH(Lists!$F$13,$A$1:$T$1,0))&amp;""),""))),"In person",IF(ISNUMBER(SEARCH("online",IFERROR(TRIM(INDEX($A261:$T261,MATCH(Lists!$F$13,$A$1:$T$1,0))&amp;""),""))),"Online","Written only")))</f>
        <v/>
      </c>
      <c r="AE261" s="21">
        <f>IF(Y261="","",IFERROR(TRIM(INDEX($A261:$T261,MATCH(Lists!$F$11,$A$1:$T$1,0))&amp;""),""))</f>
        <v/>
      </c>
      <c r="AF261" s="21">
        <f>IF(Y261="","",IFERROR(TRIM(INDEX($A261:$T261,MATCH(Lists!$F$12,$A$1:$T$1,0))&amp;""),""))</f>
        <v/>
      </c>
      <c r="AG261" s="21">
        <f>IF(Y261="","",IFERROR(TRIM(INDEX($A261:$T261,MATCH(Lists!$F$14,$A$1:$T$1,0))&amp;""),""))</f>
        <v/>
      </c>
      <c r="AH261" s="21">
        <f>IF(Y261="","",LEFT(IFERROR(TRIM(INDEX($A261:$T261,MATCH(Lists!$F$10,$A$1:$T$1,0))&amp;""),""),80))</f>
        <v/>
      </c>
      <c r="AI261" s="21">
        <f>IF(Y261="",0,IF(OR(Tally!$B$5="",AA261=Tally!$B$5),1,0))</f>
        <v/>
      </c>
      <c r="AJ261" s="21">
        <f>IF(AI261=1,IF(COUNTIFS($AB$2:AB261,AB261,$AI$2:AI261,1)=1,1,0),0)</f>
        <v/>
      </c>
      <c r="AK261" s="21">
        <f>IF(AJ261=1,SUM($AJ$2:AJ261),"")</f>
        <v/>
      </c>
      <c r="AL261" s="21">
        <f>IF(AND(AI261=1,OR(AD261="In person",AD261="Online"),OR(Speakers!$B$5="",AB261=Speakers!$B$5)),N(Z261)+ROW()/1000000000,"")</f>
        <v/>
      </c>
    </row>
    <row r="262">
      <c r="U262" s="19" t="n"/>
      <c r="V262" s="24" t="n"/>
      <c r="W262" s="24" t="n"/>
      <c r="X262" s="19" t="n"/>
      <c r="Y262" s="21">
        <f>IFERROR(TRIM(INDEX($A262:$T262,MATCH(Lists!$F$2,$A$1:$T$1,0))&amp;""),"")</f>
        <v/>
      </c>
      <c r="Z262" s="22">
        <f>IF(Y262="","",IFERROR(IF(ISNUMBER(INDEX($A262:$T262,MATCH(Lists!$F$3,$A$1:$T$1,0))),INDEX($A262:$T262,MATCH(Lists!$F$3,$A$1:$T$1,0)),DATE(VALUE(LEFT(IFERROR(TRIM(INDEX($A262:$T262,MATCH(Lists!$F$3,$A$1:$T$1,0))&amp;""),""),4)),VALUE(MID(IFERROR(TRIM(INDEX($A262:$T262,MATCH(Lists!$F$3,$A$1:$T$1,0))&amp;""),""),6,2)),VALUE(MID(IFERROR(TRIM(INDEX($A262:$T262,MATCH(Lists!$F$3,$A$1:$T$1,0))&amp;""),""),9,2)))+TIME(VALUE(MID(IFERROR(TRIM(INDEX($A262:$T262,MATCH(Lists!$F$3,$A$1:$T$1,0))&amp;""),""),12,2)),VALUE(MID(IFERROR(TRIM(INDEX($A262:$T262,MATCH(Lists!$F$3,$A$1:$T$1,0))&amp;""),""),15,2)),VALUE(MID(IFERROR(TRIM(INDEX($A262:$T262,MATCH(Lists!$F$3,$A$1:$T$1,0))&amp;""),""),18,2)))),""))</f>
        <v/>
      </c>
      <c r="AA262" s="23">
        <f>IF(Y262="","",IF(ISNUMBER(IFERROR(IF(TRIM(INDEX($A262:$T262,MATCH(Lists!$F$4,$A$1:$T$1,0))&amp;"")="","",IF(ISNUMBER(INDEX($A262:$T262,MATCH(Lists!$F$4,$A$1:$T$1,0))),INT(INDEX($A262:$T262,MATCH(Lists!$F$4,$A$1:$T$1,0))),DATE(VALUE(LEFT(INDEX($A262:$T262,MATCH(Lists!$F$4,$A$1:$T$1,0)),4)),VALUE(MID(INDEX($A262:$T262,MATCH(Lists!$F$4,$A$1:$T$1,0)),6,2)),VALUE(MID(INDEX($A262:$T262,MATCH(Lists!$F$4,$A$1:$T$1,0)),9,2))))),"")),IFERROR(IF(TRIM(INDEX($A262:$T262,MATCH(Lists!$F$4,$A$1:$T$1,0))&amp;"")="","",IF(ISNUMBER(INDEX($A262:$T262,MATCH(Lists!$F$4,$A$1:$T$1,0))),INT(INDEX($A262:$T262,MATCH(Lists!$F$4,$A$1:$T$1,0))),DATE(VALUE(LEFT(INDEX($A262:$T262,MATCH(Lists!$F$4,$A$1:$T$1,0)),4)),VALUE(MID(INDEX($A262:$T262,MATCH(Lists!$F$4,$A$1:$T$1,0)),6,2)),VALUE(MID(INDEX($A262:$T262,MATCH(Lists!$F$4,$A$1:$T$1,0)),9,2))))),""),IFERROR(IF(TRIM(INDEX($A262:$T262,MATCH(Lists!$F$5,$A$1:$T$1,0))&amp;"")="","",IF(ISNUMBER(INDEX($A262:$T262,MATCH(Lists!$F$5,$A$1:$T$1,0))),INT(INDEX($A262:$T262,MATCH(Lists!$F$5,$A$1:$T$1,0))),DATE(VALUE(LEFT(INDEX($A262:$T262,MATCH(Lists!$F$5,$A$1:$T$1,0)),4)),VALUE(MID(INDEX($A262:$T262,MATCH(Lists!$F$5,$A$1:$T$1,0)),6,2)),VALUE(MID(INDEX($A262:$T262,MATCH(Lists!$F$5,$A$1:$T$1,0)),9,2))))),"")))</f>
        <v/>
      </c>
      <c r="AB262" s="21">
        <f>IF(Y262="","",IF(LEFT(IFERROR(TRIM(INDEX($A262:$T262,MATCH(Lists!$F$6,$A$1:$T$1,0))&amp;""),""),2)="No","General comment",IF(IFERROR(TRIM(INDEX($A262:$T262,MATCH(Lists!$F$7,$A$1:$T$1,0))&amp;""),"")&lt;&gt;"",IFERROR(TRIM(INDEX($A262:$T262,MATCH(Lists!$F$7,$A$1:$T$1,0))&amp;""),""),IF(IFERROR(TRIM(INDEX($A262:$T262,MATCH(Lists!$F$8,$A$1:$T$1,0))&amp;""),"")&lt;&gt;"",IFERROR(TRIM(INDEX($A262:$T262,MATCH(Lists!$F$8,$A$1:$T$1,0))&amp;""),""),"(no item given)"))))</f>
        <v/>
      </c>
      <c r="AC262" s="21">
        <f>IF(Y262="","",IF(ISNUMBER(SEARCH("support",IFERROR(TRIM(INDEX($A262:$T262,MATCH(Lists!$F$9,$A$1:$T$1,0))&amp;""),""))),"Support",IF(ISNUMBER(SEARCH("oppose",IFERROR(TRIM(INDEX($A262:$T262,MATCH(Lists!$F$9,$A$1:$T$1,0))&amp;""),""))),"Oppose",IF(IFERROR(TRIM(INDEX($A262:$T262,MATCH(Lists!$F$9,$A$1:$T$1,0))&amp;""),"")="","No position","Neither"))))</f>
        <v/>
      </c>
      <c r="AD262" s="21">
        <f>IF(Y262="","",IF(ISNUMBER(SEARCH("in person",IFERROR(TRIM(INDEX($A262:$T262,MATCH(Lists!$F$13,$A$1:$T$1,0))&amp;""),""))),"In person",IF(ISNUMBER(SEARCH("online",IFERROR(TRIM(INDEX($A262:$T262,MATCH(Lists!$F$13,$A$1:$T$1,0))&amp;""),""))),"Online","Written only")))</f>
        <v/>
      </c>
      <c r="AE262" s="21">
        <f>IF(Y262="","",IFERROR(TRIM(INDEX($A262:$T262,MATCH(Lists!$F$11,$A$1:$T$1,0))&amp;""),""))</f>
        <v/>
      </c>
      <c r="AF262" s="21">
        <f>IF(Y262="","",IFERROR(TRIM(INDEX($A262:$T262,MATCH(Lists!$F$12,$A$1:$T$1,0))&amp;""),""))</f>
        <v/>
      </c>
      <c r="AG262" s="21">
        <f>IF(Y262="","",IFERROR(TRIM(INDEX($A262:$T262,MATCH(Lists!$F$14,$A$1:$T$1,0))&amp;""),""))</f>
        <v/>
      </c>
      <c r="AH262" s="21">
        <f>IF(Y262="","",LEFT(IFERROR(TRIM(INDEX($A262:$T262,MATCH(Lists!$F$10,$A$1:$T$1,0))&amp;""),""),80))</f>
        <v/>
      </c>
      <c r="AI262" s="21">
        <f>IF(Y262="",0,IF(OR(Tally!$B$5="",AA262=Tally!$B$5),1,0))</f>
        <v/>
      </c>
      <c r="AJ262" s="21">
        <f>IF(AI262=1,IF(COUNTIFS($AB$2:AB262,AB262,$AI$2:AI262,1)=1,1,0),0)</f>
        <v/>
      </c>
      <c r="AK262" s="21">
        <f>IF(AJ262=1,SUM($AJ$2:AJ262),"")</f>
        <v/>
      </c>
      <c r="AL262" s="21">
        <f>IF(AND(AI262=1,OR(AD262="In person",AD262="Online"),OR(Speakers!$B$5="",AB262=Speakers!$B$5)),N(Z262)+ROW()/1000000000,"")</f>
        <v/>
      </c>
    </row>
    <row r="263">
      <c r="U263" s="19" t="n"/>
      <c r="V263" s="24" t="n"/>
      <c r="W263" s="24" t="n"/>
      <c r="X263" s="19" t="n"/>
      <c r="Y263" s="21">
        <f>IFERROR(TRIM(INDEX($A263:$T263,MATCH(Lists!$F$2,$A$1:$T$1,0))&amp;""),"")</f>
        <v/>
      </c>
      <c r="Z263" s="22">
        <f>IF(Y263="","",IFERROR(IF(ISNUMBER(INDEX($A263:$T263,MATCH(Lists!$F$3,$A$1:$T$1,0))),INDEX($A263:$T263,MATCH(Lists!$F$3,$A$1:$T$1,0)),DATE(VALUE(LEFT(IFERROR(TRIM(INDEX($A263:$T263,MATCH(Lists!$F$3,$A$1:$T$1,0))&amp;""),""),4)),VALUE(MID(IFERROR(TRIM(INDEX($A263:$T263,MATCH(Lists!$F$3,$A$1:$T$1,0))&amp;""),""),6,2)),VALUE(MID(IFERROR(TRIM(INDEX($A263:$T263,MATCH(Lists!$F$3,$A$1:$T$1,0))&amp;""),""),9,2)))+TIME(VALUE(MID(IFERROR(TRIM(INDEX($A263:$T263,MATCH(Lists!$F$3,$A$1:$T$1,0))&amp;""),""),12,2)),VALUE(MID(IFERROR(TRIM(INDEX($A263:$T263,MATCH(Lists!$F$3,$A$1:$T$1,0))&amp;""),""),15,2)),VALUE(MID(IFERROR(TRIM(INDEX($A263:$T263,MATCH(Lists!$F$3,$A$1:$T$1,0))&amp;""),""),18,2)))),""))</f>
        <v/>
      </c>
      <c r="AA263" s="23">
        <f>IF(Y263="","",IF(ISNUMBER(IFERROR(IF(TRIM(INDEX($A263:$T263,MATCH(Lists!$F$4,$A$1:$T$1,0))&amp;"")="","",IF(ISNUMBER(INDEX($A263:$T263,MATCH(Lists!$F$4,$A$1:$T$1,0))),INT(INDEX($A263:$T263,MATCH(Lists!$F$4,$A$1:$T$1,0))),DATE(VALUE(LEFT(INDEX($A263:$T263,MATCH(Lists!$F$4,$A$1:$T$1,0)),4)),VALUE(MID(INDEX($A263:$T263,MATCH(Lists!$F$4,$A$1:$T$1,0)),6,2)),VALUE(MID(INDEX($A263:$T263,MATCH(Lists!$F$4,$A$1:$T$1,0)),9,2))))),"")),IFERROR(IF(TRIM(INDEX($A263:$T263,MATCH(Lists!$F$4,$A$1:$T$1,0))&amp;"")="","",IF(ISNUMBER(INDEX($A263:$T263,MATCH(Lists!$F$4,$A$1:$T$1,0))),INT(INDEX($A263:$T263,MATCH(Lists!$F$4,$A$1:$T$1,0))),DATE(VALUE(LEFT(INDEX($A263:$T263,MATCH(Lists!$F$4,$A$1:$T$1,0)),4)),VALUE(MID(INDEX($A263:$T263,MATCH(Lists!$F$4,$A$1:$T$1,0)),6,2)),VALUE(MID(INDEX($A263:$T263,MATCH(Lists!$F$4,$A$1:$T$1,0)),9,2))))),""),IFERROR(IF(TRIM(INDEX($A263:$T263,MATCH(Lists!$F$5,$A$1:$T$1,0))&amp;"")="","",IF(ISNUMBER(INDEX($A263:$T263,MATCH(Lists!$F$5,$A$1:$T$1,0))),INT(INDEX($A263:$T263,MATCH(Lists!$F$5,$A$1:$T$1,0))),DATE(VALUE(LEFT(INDEX($A263:$T263,MATCH(Lists!$F$5,$A$1:$T$1,0)),4)),VALUE(MID(INDEX($A263:$T263,MATCH(Lists!$F$5,$A$1:$T$1,0)),6,2)),VALUE(MID(INDEX($A263:$T263,MATCH(Lists!$F$5,$A$1:$T$1,0)),9,2))))),"")))</f>
        <v/>
      </c>
      <c r="AB263" s="21">
        <f>IF(Y263="","",IF(LEFT(IFERROR(TRIM(INDEX($A263:$T263,MATCH(Lists!$F$6,$A$1:$T$1,0))&amp;""),""),2)="No","General comment",IF(IFERROR(TRIM(INDEX($A263:$T263,MATCH(Lists!$F$7,$A$1:$T$1,0))&amp;""),"")&lt;&gt;"",IFERROR(TRIM(INDEX($A263:$T263,MATCH(Lists!$F$7,$A$1:$T$1,0))&amp;""),""),IF(IFERROR(TRIM(INDEX($A263:$T263,MATCH(Lists!$F$8,$A$1:$T$1,0))&amp;""),"")&lt;&gt;"",IFERROR(TRIM(INDEX($A263:$T263,MATCH(Lists!$F$8,$A$1:$T$1,0))&amp;""),""),"(no item given)"))))</f>
        <v/>
      </c>
      <c r="AC263" s="21">
        <f>IF(Y263="","",IF(ISNUMBER(SEARCH("support",IFERROR(TRIM(INDEX($A263:$T263,MATCH(Lists!$F$9,$A$1:$T$1,0))&amp;""),""))),"Support",IF(ISNUMBER(SEARCH("oppose",IFERROR(TRIM(INDEX($A263:$T263,MATCH(Lists!$F$9,$A$1:$T$1,0))&amp;""),""))),"Oppose",IF(IFERROR(TRIM(INDEX($A263:$T263,MATCH(Lists!$F$9,$A$1:$T$1,0))&amp;""),"")="","No position","Neither"))))</f>
        <v/>
      </c>
      <c r="AD263" s="21">
        <f>IF(Y263="","",IF(ISNUMBER(SEARCH("in person",IFERROR(TRIM(INDEX($A263:$T263,MATCH(Lists!$F$13,$A$1:$T$1,0))&amp;""),""))),"In person",IF(ISNUMBER(SEARCH("online",IFERROR(TRIM(INDEX($A263:$T263,MATCH(Lists!$F$13,$A$1:$T$1,0))&amp;""),""))),"Online","Written only")))</f>
        <v/>
      </c>
      <c r="AE263" s="21">
        <f>IF(Y263="","",IFERROR(TRIM(INDEX($A263:$T263,MATCH(Lists!$F$11,$A$1:$T$1,0))&amp;""),""))</f>
        <v/>
      </c>
      <c r="AF263" s="21">
        <f>IF(Y263="","",IFERROR(TRIM(INDEX($A263:$T263,MATCH(Lists!$F$12,$A$1:$T$1,0))&amp;""),""))</f>
        <v/>
      </c>
      <c r="AG263" s="21">
        <f>IF(Y263="","",IFERROR(TRIM(INDEX($A263:$T263,MATCH(Lists!$F$14,$A$1:$T$1,0))&amp;""),""))</f>
        <v/>
      </c>
      <c r="AH263" s="21">
        <f>IF(Y263="","",LEFT(IFERROR(TRIM(INDEX($A263:$T263,MATCH(Lists!$F$10,$A$1:$T$1,0))&amp;""),""),80))</f>
        <v/>
      </c>
      <c r="AI263" s="21">
        <f>IF(Y263="",0,IF(OR(Tally!$B$5="",AA263=Tally!$B$5),1,0))</f>
        <v/>
      </c>
      <c r="AJ263" s="21">
        <f>IF(AI263=1,IF(COUNTIFS($AB$2:AB263,AB263,$AI$2:AI263,1)=1,1,0),0)</f>
        <v/>
      </c>
      <c r="AK263" s="21">
        <f>IF(AJ263=1,SUM($AJ$2:AJ263),"")</f>
        <v/>
      </c>
      <c r="AL263" s="21">
        <f>IF(AND(AI263=1,OR(AD263="In person",AD263="Online"),OR(Speakers!$B$5="",AB263=Speakers!$B$5)),N(Z263)+ROW()/1000000000,"")</f>
        <v/>
      </c>
    </row>
    <row r="264">
      <c r="U264" s="19" t="n"/>
      <c r="V264" s="24" t="n"/>
      <c r="W264" s="24" t="n"/>
      <c r="X264" s="19" t="n"/>
      <c r="Y264" s="21">
        <f>IFERROR(TRIM(INDEX($A264:$T264,MATCH(Lists!$F$2,$A$1:$T$1,0))&amp;""),"")</f>
        <v/>
      </c>
      <c r="Z264" s="22">
        <f>IF(Y264="","",IFERROR(IF(ISNUMBER(INDEX($A264:$T264,MATCH(Lists!$F$3,$A$1:$T$1,0))),INDEX($A264:$T264,MATCH(Lists!$F$3,$A$1:$T$1,0)),DATE(VALUE(LEFT(IFERROR(TRIM(INDEX($A264:$T264,MATCH(Lists!$F$3,$A$1:$T$1,0))&amp;""),""),4)),VALUE(MID(IFERROR(TRIM(INDEX($A264:$T264,MATCH(Lists!$F$3,$A$1:$T$1,0))&amp;""),""),6,2)),VALUE(MID(IFERROR(TRIM(INDEX($A264:$T264,MATCH(Lists!$F$3,$A$1:$T$1,0))&amp;""),""),9,2)))+TIME(VALUE(MID(IFERROR(TRIM(INDEX($A264:$T264,MATCH(Lists!$F$3,$A$1:$T$1,0))&amp;""),""),12,2)),VALUE(MID(IFERROR(TRIM(INDEX($A264:$T264,MATCH(Lists!$F$3,$A$1:$T$1,0))&amp;""),""),15,2)),VALUE(MID(IFERROR(TRIM(INDEX($A264:$T264,MATCH(Lists!$F$3,$A$1:$T$1,0))&amp;""),""),18,2)))),""))</f>
        <v/>
      </c>
      <c r="AA264" s="23">
        <f>IF(Y264="","",IF(ISNUMBER(IFERROR(IF(TRIM(INDEX($A264:$T264,MATCH(Lists!$F$4,$A$1:$T$1,0))&amp;"")="","",IF(ISNUMBER(INDEX($A264:$T264,MATCH(Lists!$F$4,$A$1:$T$1,0))),INT(INDEX($A264:$T264,MATCH(Lists!$F$4,$A$1:$T$1,0))),DATE(VALUE(LEFT(INDEX($A264:$T264,MATCH(Lists!$F$4,$A$1:$T$1,0)),4)),VALUE(MID(INDEX($A264:$T264,MATCH(Lists!$F$4,$A$1:$T$1,0)),6,2)),VALUE(MID(INDEX($A264:$T264,MATCH(Lists!$F$4,$A$1:$T$1,0)),9,2))))),"")),IFERROR(IF(TRIM(INDEX($A264:$T264,MATCH(Lists!$F$4,$A$1:$T$1,0))&amp;"")="","",IF(ISNUMBER(INDEX($A264:$T264,MATCH(Lists!$F$4,$A$1:$T$1,0))),INT(INDEX($A264:$T264,MATCH(Lists!$F$4,$A$1:$T$1,0))),DATE(VALUE(LEFT(INDEX($A264:$T264,MATCH(Lists!$F$4,$A$1:$T$1,0)),4)),VALUE(MID(INDEX($A264:$T264,MATCH(Lists!$F$4,$A$1:$T$1,0)),6,2)),VALUE(MID(INDEX($A264:$T264,MATCH(Lists!$F$4,$A$1:$T$1,0)),9,2))))),""),IFERROR(IF(TRIM(INDEX($A264:$T264,MATCH(Lists!$F$5,$A$1:$T$1,0))&amp;"")="","",IF(ISNUMBER(INDEX($A264:$T264,MATCH(Lists!$F$5,$A$1:$T$1,0))),INT(INDEX($A264:$T264,MATCH(Lists!$F$5,$A$1:$T$1,0))),DATE(VALUE(LEFT(INDEX($A264:$T264,MATCH(Lists!$F$5,$A$1:$T$1,0)),4)),VALUE(MID(INDEX($A264:$T264,MATCH(Lists!$F$5,$A$1:$T$1,0)),6,2)),VALUE(MID(INDEX($A264:$T264,MATCH(Lists!$F$5,$A$1:$T$1,0)),9,2))))),"")))</f>
        <v/>
      </c>
      <c r="AB264" s="21">
        <f>IF(Y264="","",IF(LEFT(IFERROR(TRIM(INDEX($A264:$T264,MATCH(Lists!$F$6,$A$1:$T$1,0))&amp;""),""),2)="No","General comment",IF(IFERROR(TRIM(INDEX($A264:$T264,MATCH(Lists!$F$7,$A$1:$T$1,0))&amp;""),"")&lt;&gt;"",IFERROR(TRIM(INDEX($A264:$T264,MATCH(Lists!$F$7,$A$1:$T$1,0))&amp;""),""),IF(IFERROR(TRIM(INDEX($A264:$T264,MATCH(Lists!$F$8,$A$1:$T$1,0))&amp;""),"")&lt;&gt;"",IFERROR(TRIM(INDEX($A264:$T264,MATCH(Lists!$F$8,$A$1:$T$1,0))&amp;""),""),"(no item given)"))))</f>
        <v/>
      </c>
      <c r="AC264" s="21">
        <f>IF(Y264="","",IF(ISNUMBER(SEARCH("support",IFERROR(TRIM(INDEX($A264:$T264,MATCH(Lists!$F$9,$A$1:$T$1,0))&amp;""),""))),"Support",IF(ISNUMBER(SEARCH("oppose",IFERROR(TRIM(INDEX($A264:$T264,MATCH(Lists!$F$9,$A$1:$T$1,0))&amp;""),""))),"Oppose",IF(IFERROR(TRIM(INDEX($A264:$T264,MATCH(Lists!$F$9,$A$1:$T$1,0))&amp;""),"")="","No position","Neither"))))</f>
        <v/>
      </c>
      <c r="AD264" s="21">
        <f>IF(Y264="","",IF(ISNUMBER(SEARCH("in person",IFERROR(TRIM(INDEX($A264:$T264,MATCH(Lists!$F$13,$A$1:$T$1,0))&amp;""),""))),"In person",IF(ISNUMBER(SEARCH("online",IFERROR(TRIM(INDEX($A264:$T264,MATCH(Lists!$F$13,$A$1:$T$1,0))&amp;""),""))),"Online","Written only")))</f>
        <v/>
      </c>
      <c r="AE264" s="21">
        <f>IF(Y264="","",IFERROR(TRIM(INDEX($A264:$T264,MATCH(Lists!$F$11,$A$1:$T$1,0))&amp;""),""))</f>
        <v/>
      </c>
      <c r="AF264" s="21">
        <f>IF(Y264="","",IFERROR(TRIM(INDEX($A264:$T264,MATCH(Lists!$F$12,$A$1:$T$1,0))&amp;""),""))</f>
        <v/>
      </c>
      <c r="AG264" s="21">
        <f>IF(Y264="","",IFERROR(TRIM(INDEX($A264:$T264,MATCH(Lists!$F$14,$A$1:$T$1,0))&amp;""),""))</f>
        <v/>
      </c>
      <c r="AH264" s="21">
        <f>IF(Y264="","",LEFT(IFERROR(TRIM(INDEX($A264:$T264,MATCH(Lists!$F$10,$A$1:$T$1,0))&amp;""),""),80))</f>
        <v/>
      </c>
      <c r="AI264" s="21">
        <f>IF(Y264="",0,IF(OR(Tally!$B$5="",AA264=Tally!$B$5),1,0))</f>
        <v/>
      </c>
      <c r="AJ264" s="21">
        <f>IF(AI264=1,IF(COUNTIFS($AB$2:AB264,AB264,$AI$2:AI264,1)=1,1,0),0)</f>
        <v/>
      </c>
      <c r="AK264" s="21">
        <f>IF(AJ264=1,SUM($AJ$2:AJ264),"")</f>
        <v/>
      </c>
      <c r="AL264" s="21">
        <f>IF(AND(AI264=1,OR(AD264="In person",AD264="Online"),OR(Speakers!$B$5="",AB264=Speakers!$B$5)),N(Z264)+ROW()/1000000000,"")</f>
        <v/>
      </c>
    </row>
    <row r="265">
      <c r="U265" s="19" t="n"/>
      <c r="V265" s="24" t="n"/>
      <c r="W265" s="24" t="n"/>
      <c r="X265" s="19" t="n"/>
      <c r="Y265" s="21">
        <f>IFERROR(TRIM(INDEX($A265:$T265,MATCH(Lists!$F$2,$A$1:$T$1,0))&amp;""),"")</f>
        <v/>
      </c>
      <c r="Z265" s="22">
        <f>IF(Y265="","",IFERROR(IF(ISNUMBER(INDEX($A265:$T265,MATCH(Lists!$F$3,$A$1:$T$1,0))),INDEX($A265:$T265,MATCH(Lists!$F$3,$A$1:$T$1,0)),DATE(VALUE(LEFT(IFERROR(TRIM(INDEX($A265:$T265,MATCH(Lists!$F$3,$A$1:$T$1,0))&amp;""),""),4)),VALUE(MID(IFERROR(TRIM(INDEX($A265:$T265,MATCH(Lists!$F$3,$A$1:$T$1,0))&amp;""),""),6,2)),VALUE(MID(IFERROR(TRIM(INDEX($A265:$T265,MATCH(Lists!$F$3,$A$1:$T$1,0))&amp;""),""),9,2)))+TIME(VALUE(MID(IFERROR(TRIM(INDEX($A265:$T265,MATCH(Lists!$F$3,$A$1:$T$1,0))&amp;""),""),12,2)),VALUE(MID(IFERROR(TRIM(INDEX($A265:$T265,MATCH(Lists!$F$3,$A$1:$T$1,0))&amp;""),""),15,2)),VALUE(MID(IFERROR(TRIM(INDEX($A265:$T265,MATCH(Lists!$F$3,$A$1:$T$1,0))&amp;""),""),18,2)))),""))</f>
        <v/>
      </c>
      <c r="AA265" s="23">
        <f>IF(Y265="","",IF(ISNUMBER(IFERROR(IF(TRIM(INDEX($A265:$T265,MATCH(Lists!$F$4,$A$1:$T$1,0))&amp;"")="","",IF(ISNUMBER(INDEX($A265:$T265,MATCH(Lists!$F$4,$A$1:$T$1,0))),INT(INDEX($A265:$T265,MATCH(Lists!$F$4,$A$1:$T$1,0))),DATE(VALUE(LEFT(INDEX($A265:$T265,MATCH(Lists!$F$4,$A$1:$T$1,0)),4)),VALUE(MID(INDEX($A265:$T265,MATCH(Lists!$F$4,$A$1:$T$1,0)),6,2)),VALUE(MID(INDEX($A265:$T265,MATCH(Lists!$F$4,$A$1:$T$1,0)),9,2))))),"")),IFERROR(IF(TRIM(INDEX($A265:$T265,MATCH(Lists!$F$4,$A$1:$T$1,0))&amp;"")="","",IF(ISNUMBER(INDEX($A265:$T265,MATCH(Lists!$F$4,$A$1:$T$1,0))),INT(INDEX($A265:$T265,MATCH(Lists!$F$4,$A$1:$T$1,0))),DATE(VALUE(LEFT(INDEX($A265:$T265,MATCH(Lists!$F$4,$A$1:$T$1,0)),4)),VALUE(MID(INDEX($A265:$T265,MATCH(Lists!$F$4,$A$1:$T$1,0)),6,2)),VALUE(MID(INDEX($A265:$T265,MATCH(Lists!$F$4,$A$1:$T$1,0)),9,2))))),""),IFERROR(IF(TRIM(INDEX($A265:$T265,MATCH(Lists!$F$5,$A$1:$T$1,0))&amp;"")="","",IF(ISNUMBER(INDEX($A265:$T265,MATCH(Lists!$F$5,$A$1:$T$1,0))),INT(INDEX($A265:$T265,MATCH(Lists!$F$5,$A$1:$T$1,0))),DATE(VALUE(LEFT(INDEX($A265:$T265,MATCH(Lists!$F$5,$A$1:$T$1,0)),4)),VALUE(MID(INDEX($A265:$T265,MATCH(Lists!$F$5,$A$1:$T$1,0)),6,2)),VALUE(MID(INDEX($A265:$T265,MATCH(Lists!$F$5,$A$1:$T$1,0)),9,2))))),"")))</f>
        <v/>
      </c>
      <c r="AB265" s="21">
        <f>IF(Y265="","",IF(LEFT(IFERROR(TRIM(INDEX($A265:$T265,MATCH(Lists!$F$6,$A$1:$T$1,0))&amp;""),""),2)="No","General comment",IF(IFERROR(TRIM(INDEX($A265:$T265,MATCH(Lists!$F$7,$A$1:$T$1,0))&amp;""),"")&lt;&gt;"",IFERROR(TRIM(INDEX($A265:$T265,MATCH(Lists!$F$7,$A$1:$T$1,0))&amp;""),""),IF(IFERROR(TRIM(INDEX($A265:$T265,MATCH(Lists!$F$8,$A$1:$T$1,0))&amp;""),"")&lt;&gt;"",IFERROR(TRIM(INDEX($A265:$T265,MATCH(Lists!$F$8,$A$1:$T$1,0))&amp;""),""),"(no item given)"))))</f>
        <v/>
      </c>
      <c r="AC265" s="21">
        <f>IF(Y265="","",IF(ISNUMBER(SEARCH("support",IFERROR(TRIM(INDEX($A265:$T265,MATCH(Lists!$F$9,$A$1:$T$1,0))&amp;""),""))),"Support",IF(ISNUMBER(SEARCH("oppose",IFERROR(TRIM(INDEX($A265:$T265,MATCH(Lists!$F$9,$A$1:$T$1,0))&amp;""),""))),"Oppose",IF(IFERROR(TRIM(INDEX($A265:$T265,MATCH(Lists!$F$9,$A$1:$T$1,0))&amp;""),"")="","No position","Neither"))))</f>
        <v/>
      </c>
      <c r="AD265" s="21">
        <f>IF(Y265="","",IF(ISNUMBER(SEARCH("in person",IFERROR(TRIM(INDEX($A265:$T265,MATCH(Lists!$F$13,$A$1:$T$1,0))&amp;""),""))),"In person",IF(ISNUMBER(SEARCH("online",IFERROR(TRIM(INDEX($A265:$T265,MATCH(Lists!$F$13,$A$1:$T$1,0))&amp;""),""))),"Online","Written only")))</f>
        <v/>
      </c>
      <c r="AE265" s="21">
        <f>IF(Y265="","",IFERROR(TRIM(INDEX($A265:$T265,MATCH(Lists!$F$11,$A$1:$T$1,0))&amp;""),""))</f>
        <v/>
      </c>
      <c r="AF265" s="21">
        <f>IF(Y265="","",IFERROR(TRIM(INDEX($A265:$T265,MATCH(Lists!$F$12,$A$1:$T$1,0))&amp;""),""))</f>
        <v/>
      </c>
      <c r="AG265" s="21">
        <f>IF(Y265="","",IFERROR(TRIM(INDEX($A265:$T265,MATCH(Lists!$F$14,$A$1:$T$1,0))&amp;""),""))</f>
        <v/>
      </c>
      <c r="AH265" s="21">
        <f>IF(Y265="","",LEFT(IFERROR(TRIM(INDEX($A265:$T265,MATCH(Lists!$F$10,$A$1:$T$1,0))&amp;""),""),80))</f>
        <v/>
      </c>
      <c r="AI265" s="21">
        <f>IF(Y265="",0,IF(OR(Tally!$B$5="",AA265=Tally!$B$5),1,0))</f>
        <v/>
      </c>
      <c r="AJ265" s="21">
        <f>IF(AI265=1,IF(COUNTIFS($AB$2:AB265,AB265,$AI$2:AI265,1)=1,1,0),0)</f>
        <v/>
      </c>
      <c r="AK265" s="21">
        <f>IF(AJ265=1,SUM($AJ$2:AJ265),"")</f>
        <v/>
      </c>
      <c r="AL265" s="21">
        <f>IF(AND(AI265=1,OR(AD265="In person",AD265="Online"),OR(Speakers!$B$5="",AB265=Speakers!$B$5)),N(Z265)+ROW()/1000000000,"")</f>
        <v/>
      </c>
    </row>
    <row r="266">
      <c r="U266" s="19" t="n"/>
      <c r="V266" s="24" t="n"/>
      <c r="W266" s="24" t="n"/>
      <c r="X266" s="19" t="n"/>
      <c r="Y266" s="21">
        <f>IFERROR(TRIM(INDEX($A266:$T266,MATCH(Lists!$F$2,$A$1:$T$1,0))&amp;""),"")</f>
        <v/>
      </c>
      <c r="Z266" s="22">
        <f>IF(Y266="","",IFERROR(IF(ISNUMBER(INDEX($A266:$T266,MATCH(Lists!$F$3,$A$1:$T$1,0))),INDEX($A266:$T266,MATCH(Lists!$F$3,$A$1:$T$1,0)),DATE(VALUE(LEFT(IFERROR(TRIM(INDEX($A266:$T266,MATCH(Lists!$F$3,$A$1:$T$1,0))&amp;""),""),4)),VALUE(MID(IFERROR(TRIM(INDEX($A266:$T266,MATCH(Lists!$F$3,$A$1:$T$1,0))&amp;""),""),6,2)),VALUE(MID(IFERROR(TRIM(INDEX($A266:$T266,MATCH(Lists!$F$3,$A$1:$T$1,0))&amp;""),""),9,2)))+TIME(VALUE(MID(IFERROR(TRIM(INDEX($A266:$T266,MATCH(Lists!$F$3,$A$1:$T$1,0))&amp;""),""),12,2)),VALUE(MID(IFERROR(TRIM(INDEX($A266:$T266,MATCH(Lists!$F$3,$A$1:$T$1,0))&amp;""),""),15,2)),VALUE(MID(IFERROR(TRIM(INDEX($A266:$T266,MATCH(Lists!$F$3,$A$1:$T$1,0))&amp;""),""),18,2)))),""))</f>
        <v/>
      </c>
      <c r="AA266" s="23">
        <f>IF(Y266="","",IF(ISNUMBER(IFERROR(IF(TRIM(INDEX($A266:$T266,MATCH(Lists!$F$4,$A$1:$T$1,0))&amp;"")="","",IF(ISNUMBER(INDEX($A266:$T266,MATCH(Lists!$F$4,$A$1:$T$1,0))),INT(INDEX($A266:$T266,MATCH(Lists!$F$4,$A$1:$T$1,0))),DATE(VALUE(LEFT(INDEX($A266:$T266,MATCH(Lists!$F$4,$A$1:$T$1,0)),4)),VALUE(MID(INDEX($A266:$T266,MATCH(Lists!$F$4,$A$1:$T$1,0)),6,2)),VALUE(MID(INDEX($A266:$T266,MATCH(Lists!$F$4,$A$1:$T$1,0)),9,2))))),"")),IFERROR(IF(TRIM(INDEX($A266:$T266,MATCH(Lists!$F$4,$A$1:$T$1,0))&amp;"")="","",IF(ISNUMBER(INDEX($A266:$T266,MATCH(Lists!$F$4,$A$1:$T$1,0))),INT(INDEX($A266:$T266,MATCH(Lists!$F$4,$A$1:$T$1,0))),DATE(VALUE(LEFT(INDEX($A266:$T266,MATCH(Lists!$F$4,$A$1:$T$1,0)),4)),VALUE(MID(INDEX($A266:$T266,MATCH(Lists!$F$4,$A$1:$T$1,0)),6,2)),VALUE(MID(INDEX($A266:$T266,MATCH(Lists!$F$4,$A$1:$T$1,0)),9,2))))),""),IFERROR(IF(TRIM(INDEX($A266:$T266,MATCH(Lists!$F$5,$A$1:$T$1,0))&amp;"")="","",IF(ISNUMBER(INDEX($A266:$T266,MATCH(Lists!$F$5,$A$1:$T$1,0))),INT(INDEX($A266:$T266,MATCH(Lists!$F$5,$A$1:$T$1,0))),DATE(VALUE(LEFT(INDEX($A266:$T266,MATCH(Lists!$F$5,$A$1:$T$1,0)),4)),VALUE(MID(INDEX($A266:$T266,MATCH(Lists!$F$5,$A$1:$T$1,0)),6,2)),VALUE(MID(INDEX($A266:$T266,MATCH(Lists!$F$5,$A$1:$T$1,0)),9,2))))),"")))</f>
        <v/>
      </c>
      <c r="AB266" s="21">
        <f>IF(Y266="","",IF(LEFT(IFERROR(TRIM(INDEX($A266:$T266,MATCH(Lists!$F$6,$A$1:$T$1,0))&amp;""),""),2)="No","General comment",IF(IFERROR(TRIM(INDEX($A266:$T266,MATCH(Lists!$F$7,$A$1:$T$1,0))&amp;""),"")&lt;&gt;"",IFERROR(TRIM(INDEX($A266:$T266,MATCH(Lists!$F$7,$A$1:$T$1,0))&amp;""),""),IF(IFERROR(TRIM(INDEX($A266:$T266,MATCH(Lists!$F$8,$A$1:$T$1,0))&amp;""),"")&lt;&gt;"",IFERROR(TRIM(INDEX($A266:$T266,MATCH(Lists!$F$8,$A$1:$T$1,0))&amp;""),""),"(no item given)"))))</f>
        <v/>
      </c>
      <c r="AC266" s="21">
        <f>IF(Y266="","",IF(ISNUMBER(SEARCH("support",IFERROR(TRIM(INDEX($A266:$T266,MATCH(Lists!$F$9,$A$1:$T$1,0))&amp;""),""))),"Support",IF(ISNUMBER(SEARCH("oppose",IFERROR(TRIM(INDEX($A266:$T266,MATCH(Lists!$F$9,$A$1:$T$1,0))&amp;""),""))),"Oppose",IF(IFERROR(TRIM(INDEX($A266:$T266,MATCH(Lists!$F$9,$A$1:$T$1,0))&amp;""),"")="","No position","Neither"))))</f>
        <v/>
      </c>
      <c r="AD266" s="21">
        <f>IF(Y266="","",IF(ISNUMBER(SEARCH("in person",IFERROR(TRIM(INDEX($A266:$T266,MATCH(Lists!$F$13,$A$1:$T$1,0))&amp;""),""))),"In person",IF(ISNUMBER(SEARCH("online",IFERROR(TRIM(INDEX($A266:$T266,MATCH(Lists!$F$13,$A$1:$T$1,0))&amp;""),""))),"Online","Written only")))</f>
        <v/>
      </c>
      <c r="AE266" s="21">
        <f>IF(Y266="","",IFERROR(TRIM(INDEX($A266:$T266,MATCH(Lists!$F$11,$A$1:$T$1,0))&amp;""),""))</f>
        <v/>
      </c>
      <c r="AF266" s="21">
        <f>IF(Y266="","",IFERROR(TRIM(INDEX($A266:$T266,MATCH(Lists!$F$12,$A$1:$T$1,0))&amp;""),""))</f>
        <v/>
      </c>
      <c r="AG266" s="21">
        <f>IF(Y266="","",IFERROR(TRIM(INDEX($A266:$T266,MATCH(Lists!$F$14,$A$1:$T$1,0))&amp;""),""))</f>
        <v/>
      </c>
      <c r="AH266" s="21">
        <f>IF(Y266="","",LEFT(IFERROR(TRIM(INDEX($A266:$T266,MATCH(Lists!$F$10,$A$1:$T$1,0))&amp;""),""),80))</f>
        <v/>
      </c>
      <c r="AI266" s="21">
        <f>IF(Y266="",0,IF(OR(Tally!$B$5="",AA266=Tally!$B$5),1,0))</f>
        <v/>
      </c>
      <c r="AJ266" s="21">
        <f>IF(AI266=1,IF(COUNTIFS($AB$2:AB266,AB266,$AI$2:AI266,1)=1,1,0),0)</f>
        <v/>
      </c>
      <c r="AK266" s="21">
        <f>IF(AJ266=1,SUM($AJ$2:AJ266),"")</f>
        <v/>
      </c>
      <c r="AL266" s="21">
        <f>IF(AND(AI266=1,OR(AD266="In person",AD266="Online"),OR(Speakers!$B$5="",AB266=Speakers!$B$5)),N(Z266)+ROW()/1000000000,"")</f>
        <v/>
      </c>
    </row>
    <row r="267">
      <c r="U267" s="19" t="n"/>
      <c r="V267" s="24" t="n"/>
      <c r="W267" s="24" t="n"/>
      <c r="X267" s="19" t="n"/>
      <c r="Y267" s="21">
        <f>IFERROR(TRIM(INDEX($A267:$T267,MATCH(Lists!$F$2,$A$1:$T$1,0))&amp;""),"")</f>
        <v/>
      </c>
      <c r="Z267" s="22">
        <f>IF(Y267="","",IFERROR(IF(ISNUMBER(INDEX($A267:$T267,MATCH(Lists!$F$3,$A$1:$T$1,0))),INDEX($A267:$T267,MATCH(Lists!$F$3,$A$1:$T$1,0)),DATE(VALUE(LEFT(IFERROR(TRIM(INDEX($A267:$T267,MATCH(Lists!$F$3,$A$1:$T$1,0))&amp;""),""),4)),VALUE(MID(IFERROR(TRIM(INDEX($A267:$T267,MATCH(Lists!$F$3,$A$1:$T$1,0))&amp;""),""),6,2)),VALUE(MID(IFERROR(TRIM(INDEX($A267:$T267,MATCH(Lists!$F$3,$A$1:$T$1,0))&amp;""),""),9,2)))+TIME(VALUE(MID(IFERROR(TRIM(INDEX($A267:$T267,MATCH(Lists!$F$3,$A$1:$T$1,0))&amp;""),""),12,2)),VALUE(MID(IFERROR(TRIM(INDEX($A267:$T267,MATCH(Lists!$F$3,$A$1:$T$1,0))&amp;""),""),15,2)),VALUE(MID(IFERROR(TRIM(INDEX($A267:$T267,MATCH(Lists!$F$3,$A$1:$T$1,0))&amp;""),""),18,2)))),""))</f>
        <v/>
      </c>
      <c r="AA267" s="23">
        <f>IF(Y267="","",IF(ISNUMBER(IFERROR(IF(TRIM(INDEX($A267:$T267,MATCH(Lists!$F$4,$A$1:$T$1,0))&amp;"")="","",IF(ISNUMBER(INDEX($A267:$T267,MATCH(Lists!$F$4,$A$1:$T$1,0))),INT(INDEX($A267:$T267,MATCH(Lists!$F$4,$A$1:$T$1,0))),DATE(VALUE(LEFT(INDEX($A267:$T267,MATCH(Lists!$F$4,$A$1:$T$1,0)),4)),VALUE(MID(INDEX($A267:$T267,MATCH(Lists!$F$4,$A$1:$T$1,0)),6,2)),VALUE(MID(INDEX($A267:$T267,MATCH(Lists!$F$4,$A$1:$T$1,0)),9,2))))),"")),IFERROR(IF(TRIM(INDEX($A267:$T267,MATCH(Lists!$F$4,$A$1:$T$1,0))&amp;"")="","",IF(ISNUMBER(INDEX($A267:$T267,MATCH(Lists!$F$4,$A$1:$T$1,0))),INT(INDEX($A267:$T267,MATCH(Lists!$F$4,$A$1:$T$1,0))),DATE(VALUE(LEFT(INDEX($A267:$T267,MATCH(Lists!$F$4,$A$1:$T$1,0)),4)),VALUE(MID(INDEX($A267:$T267,MATCH(Lists!$F$4,$A$1:$T$1,0)),6,2)),VALUE(MID(INDEX($A267:$T267,MATCH(Lists!$F$4,$A$1:$T$1,0)),9,2))))),""),IFERROR(IF(TRIM(INDEX($A267:$T267,MATCH(Lists!$F$5,$A$1:$T$1,0))&amp;"")="","",IF(ISNUMBER(INDEX($A267:$T267,MATCH(Lists!$F$5,$A$1:$T$1,0))),INT(INDEX($A267:$T267,MATCH(Lists!$F$5,$A$1:$T$1,0))),DATE(VALUE(LEFT(INDEX($A267:$T267,MATCH(Lists!$F$5,$A$1:$T$1,0)),4)),VALUE(MID(INDEX($A267:$T267,MATCH(Lists!$F$5,$A$1:$T$1,0)),6,2)),VALUE(MID(INDEX($A267:$T267,MATCH(Lists!$F$5,$A$1:$T$1,0)),9,2))))),"")))</f>
        <v/>
      </c>
      <c r="AB267" s="21">
        <f>IF(Y267="","",IF(LEFT(IFERROR(TRIM(INDEX($A267:$T267,MATCH(Lists!$F$6,$A$1:$T$1,0))&amp;""),""),2)="No","General comment",IF(IFERROR(TRIM(INDEX($A267:$T267,MATCH(Lists!$F$7,$A$1:$T$1,0))&amp;""),"")&lt;&gt;"",IFERROR(TRIM(INDEX($A267:$T267,MATCH(Lists!$F$7,$A$1:$T$1,0))&amp;""),""),IF(IFERROR(TRIM(INDEX($A267:$T267,MATCH(Lists!$F$8,$A$1:$T$1,0))&amp;""),"")&lt;&gt;"",IFERROR(TRIM(INDEX($A267:$T267,MATCH(Lists!$F$8,$A$1:$T$1,0))&amp;""),""),"(no item given)"))))</f>
        <v/>
      </c>
      <c r="AC267" s="21">
        <f>IF(Y267="","",IF(ISNUMBER(SEARCH("support",IFERROR(TRIM(INDEX($A267:$T267,MATCH(Lists!$F$9,$A$1:$T$1,0))&amp;""),""))),"Support",IF(ISNUMBER(SEARCH("oppose",IFERROR(TRIM(INDEX($A267:$T267,MATCH(Lists!$F$9,$A$1:$T$1,0))&amp;""),""))),"Oppose",IF(IFERROR(TRIM(INDEX($A267:$T267,MATCH(Lists!$F$9,$A$1:$T$1,0))&amp;""),"")="","No position","Neither"))))</f>
        <v/>
      </c>
      <c r="AD267" s="21">
        <f>IF(Y267="","",IF(ISNUMBER(SEARCH("in person",IFERROR(TRIM(INDEX($A267:$T267,MATCH(Lists!$F$13,$A$1:$T$1,0))&amp;""),""))),"In person",IF(ISNUMBER(SEARCH("online",IFERROR(TRIM(INDEX($A267:$T267,MATCH(Lists!$F$13,$A$1:$T$1,0))&amp;""),""))),"Online","Written only")))</f>
        <v/>
      </c>
      <c r="AE267" s="21">
        <f>IF(Y267="","",IFERROR(TRIM(INDEX($A267:$T267,MATCH(Lists!$F$11,$A$1:$T$1,0))&amp;""),""))</f>
        <v/>
      </c>
      <c r="AF267" s="21">
        <f>IF(Y267="","",IFERROR(TRIM(INDEX($A267:$T267,MATCH(Lists!$F$12,$A$1:$T$1,0))&amp;""),""))</f>
        <v/>
      </c>
      <c r="AG267" s="21">
        <f>IF(Y267="","",IFERROR(TRIM(INDEX($A267:$T267,MATCH(Lists!$F$14,$A$1:$T$1,0))&amp;""),""))</f>
        <v/>
      </c>
      <c r="AH267" s="21">
        <f>IF(Y267="","",LEFT(IFERROR(TRIM(INDEX($A267:$T267,MATCH(Lists!$F$10,$A$1:$T$1,0))&amp;""),""),80))</f>
        <v/>
      </c>
      <c r="AI267" s="21">
        <f>IF(Y267="",0,IF(OR(Tally!$B$5="",AA267=Tally!$B$5),1,0))</f>
        <v/>
      </c>
      <c r="AJ267" s="21">
        <f>IF(AI267=1,IF(COUNTIFS($AB$2:AB267,AB267,$AI$2:AI267,1)=1,1,0),0)</f>
        <v/>
      </c>
      <c r="AK267" s="21">
        <f>IF(AJ267=1,SUM($AJ$2:AJ267),"")</f>
        <v/>
      </c>
      <c r="AL267" s="21">
        <f>IF(AND(AI267=1,OR(AD267="In person",AD267="Online"),OR(Speakers!$B$5="",AB267=Speakers!$B$5)),N(Z267)+ROW()/1000000000,"")</f>
        <v/>
      </c>
    </row>
    <row r="268">
      <c r="U268" s="19" t="n"/>
      <c r="V268" s="24" t="n"/>
      <c r="W268" s="24" t="n"/>
      <c r="X268" s="19" t="n"/>
      <c r="Y268" s="21">
        <f>IFERROR(TRIM(INDEX($A268:$T268,MATCH(Lists!$F$2,$A$1:$T$1,0))&amp;""),"")</f>
        <v/>
      </c>
      <c r="Z268" s="22">
        <f>IF(Y268="","",IFERROR(IF(ISNUMBER(INDEX($A268:$T268,MATCH(Lists!$F$3,$A$1:$T$1,0))),INDEX($A268:$T268,MATCH(Lists!$F$3,$A$1:$T$1,0)),DATE(VALUE(LEFT(IFERROR(TRIM(INDEX($A268:$T268,MATCH(Lists!$F$3,$A$1:$T$1,0))&amp;""),""),4)),VALUE(MID(IFERROR(TRIM(INDEX($A268:$T268,MATCH(Lists!$F$3,$A$1:$T$1,0))&amp;""),""),6,2)),VALUE(MID(IFERROR(TRIM(INDEX($A268:$T268,MATCH(Lists!$F$3,$A$1:$T$1,0))&amp;""),""),9,2)))+TIME(VALUE(MID(IFERROR(TRIM(INDEX($A268:$T268,MATCH(Lists!$F$3,$A$1:$T$1,0))&amp;""),""),12,2)),VALUE(MID(IFERROR(TRIM(INDEX($A268:$T268,MATCH(Lists!$F$3,$A$1:$T$1,0))&amp;""),""),15,2)),VALUE(MID(IFERROR(TRIM(INDEX($A268:$T268,MATCH(Lists!$F$3,$A$1:$T$1,0))&amp;""),""),18,2)))),""))</f>
        <v/>
      </c>
      <c r="AA268" s="23">
        <f>IF(Y268="","",IF(ISNUMBER(IFERROR(IF(TRIM(INDEX($A268:$T268,MATCH(Lists!$F$4,$A$1:$T$1,0))&amp;"")="","",IF(ISNUMBER(INDEX($A268:$T268,MATCH(Lists!$F$4,$A$1:$T$1,0))),INT(INDEX($A268:$T268,MATCH(Lists!$F$4,$A$1:$T$1,0))),DATE(VALUE(LEFT(INDEX($A268:$T268,MATCH(Lists!$F$4,$A$1:$T$1,0)),4)),VALUE(MID(INDEX($A268:$T268,MATCH(Lists!$F$4,$A$1:$T$1,0)),6,2)),VALUE(MID(INDEX($A268:$T268,MATCH(Lists!$F$4,$A$1:$T$1,0)),9,2))))),"")),IFERROR(IF(TRIM(INDEX($A268:$T268,MATCH(Lists!$F$4,$A$1:$T$1,0))&amp;"")="","",IF(ISNUMBER(INDEX($A268:$T268,MATCH(Lists!$F$4,$A$1:$T$1,0))),INT(INDEX($A268:$T268,MATCH(Lists!$F$4,$A$1:$T$1,0))),DATE(VALUE(LEFT(INDEX($A268:$T268,MATCH(Lists!$F$4,$A$1:$T$1,0)),4)),VALUE(MID(INDEX($A268:$T268,MATCH(Lists!$F$4,$A$1:$T$1,0)),6,2)),VALUE(MID(INDEX($A268:$T268,MATCH(Lists!$F$4,$A$1:$T$1,0)),9,2))))),""),IFERROR(IF(TRIM(INDEX($A268:$T268,MATCH(Lists!$F$5,$A$1:$T$1,0))&amp;"")="","",IF(ISNUMBER(INDEX($A268:$T268,MATCH(Lists!$F$5,$A$1:$T$1,0))),INT(INDEX($A268:$T268,MATCH(Lists!$F$5,$A$1:$T$1,0))),DATE(VALUE(LEFT(INDEX($A268:$T268,MATCH(Lists!$F$5,$A$1:$T$1,0)),4)),VALUE(MID(INDEX($A268:$T268,MATCH(Lists!$F$5,$A$1:$T$1,0)),6,2)),VALUE(MID(INDEX($A268:$T268,MATCH(Lists!$F$5,$A$1:$T$1,0)),9,2))))),"")))</f>
        <v/>
      </c>
      <c r="AB268" s="21">
        <f>IF(Y268="","",IF(LEFT(IFERROR(TRIM(INDEX($A268:$T268,MATCH(Lists!$F$6,$A$1:$T$1,0))&amp;""),""),2)="No","General comment",IF(IFERROR(TRIM(INDEX($A268:$T268,MATCH(Lists!$F$7,$A$1:$T$1,0))&amp;""),"")&lt;&gt;"",IFERROR(TRIM(INDEX($A268:$T268,MATCH(Lists!$F$7,$A$1:$T$1,0))&amp;""),""),IF(IFERROR(TRIM(INDEX($A268:$T268,MATCH(Lists!$F$8,$A$1:$T$1,0))&amp;""),"")&lt;&gt;"",IFERROR(TRIM(INDEX($A268:$T268,MATCH(Lists!$F$8,$A$1:$T$1,0))&amp;""),""),"(no item given)"))))</f>
        <v/>
      </c>
      <c r="AC268" s="21">
        <f>IF(Y268="","",IF(ISNUMBER(SEARCH("support",IFERROR(TRIM(INDEX($A268:$T268,MATCH(Lists!$F$9,$A$1:$T$1,0))&amp;""),""))),"Support",IF(ISNUMBER(SEARCH("oppose",IFERROR(TRIM(INDEX($A268:$T268,MATCH(Lists!$F$9,$A$1:$T$1,0))&amp;""),""))),"Oppose",IF(IFERROR(TRIM(INDEX($A268:$T268,MATCH(Lists!$F$9,$A$1:$T$1,0))&amp;""),"")="","No position","Neither"))))</f>
        <v/>
      </c>
      <c r="AD268" s="21">
        <f>IF(Y268="","",IF(ISNUMBER(SEARCH("in person",IFERROR(TRIM(INDEX($A268:$T268,MATCH(Lists!$F$13,$A$1:$T$1,0))&amp;""),""))),"In person",IF(ISNUMBER(SEARCH("online",IFERROR(TRIM(INDEX($A268:$T268,MATCH(Lists!$F$13,$A$1:$T$1,0))&amp;""),""))),"Online","Written only")))</f>
        <v/>
      </c>
      <c r="AE268" s="21">
        <f>IF(Y268="","",IFERROR(TRIM(INDEX($A268:$T268,MATCH(Lists!$F$11,$A$1:$T$1,0))&amp;""),""))</f>
        <v/>
      </c>
      <c r="AF268" s="21">
        <f>IF(Y268="","",IFERROR(TRIM(INDEX($A268:$T268,MATCH(Lists!$F$12,$A$1:$T$1,0))&amp;""),""))</f>
        <v/>
      </c>
      <c r="AG268" s="21">
        <f>IF(Y268="","",IFERROR(TRIM(INDEX($A268:$T268,MATCH(Lists!$F$14,$A$1:$T$1,0))&amp;""),""))</f>
        <v/>
      </c>
      <c r="AH268" s="21">
        <f>IF(Y268="","",LEFT(IFERROR(TRIM(INDEX($A268:$T268,MATCH(Lists!$F$10,$A$1:$T$1,0))&amp;""),""),80))</f>
        <v/>
      </c>
      <c r="AI268" s="21">
        <f>IF(Y268="",0,IF(OR(Tally!$B$5="",AA268=Tally!$B$5),1,0))</f>
        <v/>
      </c>
      <c r="AJ268" s="21">
        <f>IF(AI268=1,IF(COUNTIFS($AB$2:AB268,AB268,$AI$2:AI268,1)=1,1,0),0)</f>
        <v/>
      </c>
      <c r="AK268" s="21">
        <f>IF(AJ268=1,SUM($AJ$2:AJ268),"")</f>
        <v/>
      </c>
      <c r="AL268" s="21">
        <f>IF(AND(AI268=1,OR(AD268="In person",AD268="Online"),OR(Speakers!$B$5="",AB268=Speakers!$B$5)),N(Z268)+ROW()/1000000000,"")</f>
        <v/>
      </c>
    </row>
    <row r="269">
      <c r="U269" s="19" t="n"/>
      <c r="V269" s="24" t="n"/>
      <c r="W269" s="24" t="n"/>
      <c r="X269" s="19" t="n"/>
      <c r="Y269" s="21">
        <f>IFERROR(TRIM(INDEX($A269:$T269,MATCH(Lists!$F$2,$A$1:$T$1,0))&amp;""),"")</f>
        <v/>
      </c>
      <c r="Z269" s="22">
        <f>IF(Y269="","",IFERROR(IF(ISNUMBER(INDEX($A269:$T269,MATCH(Lists!$F$3,$A$1:$T$1,0))),INDEX($A269:$T269,MATCH(Lists!$F$3,$A$1:$T$1,0)),DATE(VALUE(LEFT(IFERROR(TRIM(INDEX($A269:$T269,MATCH(Lists!$F$3,$A$1:$T$1,0))&amp;""),""),4)),VALUE(MID(IFERROR(TRIM(INDEX($A269:$T269,MATCH(Lists!$F$3,$A$1:$T$1,0))&amp;""),""),6,2)),VALUE(MID(IFERROR(TRIM(INDEX($A269:$T269,MATCH(Lists!$F$3,$A$1:$T$1,0))&amp;""),""),9,2)))+TIME(VALUE(MID(IFERROR(TRIM(INDEX($A269:$T269,MATCH(Lists!$F$3,$A$1:$T$1,0))&amp;""),""),12,2)),VALUE(MID(IFERROR(TRIM(INDEX($A269:$T269,MATCH(Lists!$F$3,$A$1:$T$1,0))&amp;""),""),15,2)),VALUE(MID(IFERROR(TRIM(INDEX($A269:$T269,MATCH(Lists!$F$3,$A$1:$T$1,0))&amp;""),""),18,2)))),""))</f>
        <v/>
      </c>
      <c r="AA269" s="23">
        <f>IF(Y269="","",IF(ISNUMBER(IFERROR(IF(TRIM(INDEX($A269:$T269,MATCH(Lists!$F$4,$A$1:$T$1,0))&amp;"")="","",IF(ISNUMBER(INDEX($A269:$T269,MATCH(Lists!$F$4,$A$1:$T$1,0))),INT(INDEX($A269:$T269,MATCH(Lists!$F$4,$A$1:$T$1,0))),DATE(VALUE(LEFT(INDEX($A269:$T269,MATCH(Lists!$F$4,$A$1:$T$1,0)),4)),VALUE(MID(INDEX($A269:$T269,MATCH(Lists!$F$4,$A$1:$T$1,0)),6,2)),VALUE(MID(INDEX($A269:$T269,MATCH(Lists!$F$4,$A$1:$T$1,0)),9,2))))),"")),IFERROR(IF(TRIM(INDEX($A269:$T269,MATCH(Lists!$F$4,$A$1:$T$1,0))&amp;"")="","",IF(ISNUMBER(INDEX($A269:$T269,MATCH(Lists!$F$4,$A$1:$T$1,0))),INT(INDEX($A269:$T269,MATCH(Lists!$F$4,$A$1:$T$1,0))),DATE(VALUE(LEFT(INDEX($A269:$T269,MATCH(Lists!$F$4,$A$1:$T$1,0)),4)),VALUE(MID(INDEX($A269:$T269,MATCH(Lists!$F$4,$A$1:$T$1,0)),6,2)),VALUE(MID(INDEX($A269:$T269,MATCH(Lists!$F$4,$A$1:$T$1,0)),9,2))))),""),IFERROR(IF(TRIM(INDEX($A269:$T269,MATCH(Lists!$F$5,$A$1:$T$1,0))&amp;"")="","",IF(ISNUMBER(INDEX($A269:$T269,MATCH(Lists!$F$5,$A$1:$T$1,0))),INT(INDEX($A269:$T269,MATCH(Lists!$F$5,$A$1:$T$1,0))),DATE(VALUE(LEFT(INDEX($A269:$T269,MATCH(Lists!$F$5,$A$1:$T$1,0)),4)),VALUE(MID(INDEX($A269:$T269,MATCH(Lists!$F$5,$A$1:$T$1,0)),6,2)),VALUE(MID(INDEX($A269:$T269,MATCH(Lists!$F$5,$A$1:$T$1,0)),9,2))))),"")))</f>
        <v/>
      </c>
      <c r="AB269" s="21">
        <f>IF(Y269="","",IF(LEFT(IFERROR(TRIM(INDEX($A269:$T269,MATCH(Lists!$F$6,$A$1:$T$1,0))&amp;""),""),2)="No","General comment",IF(IFERROR(TRIM(INDEX($A269:$T269,MATCH(Lists!$F$7,$A$1:$T$1,0))&amp;""),"")&lt;&gt;"",IFERROR(TRIM(INDEX($A269:$T269,MATCH(Lists!$F$7,$A$1:$T$1,0))&amp;""),""),IF(IFERROR(TRIM(INDEX($A269:$T269,MATCH(Lists!$F$8,$A$1:$T$1,0))&amp;""),"")&lt;&gt;"",IFERROR(TRIM(INDEX($A269:$T269,MATCH(Lists!$F$8,$A$1:$T$1,0))&amp;""),""),"(no item given)"))))</f>
        <v/>
      </c>
      <c r="AC269" s="21">
        <f>IF(Y269="","",IF(ISNUMBER(SEARCH("support",IFERROR(TRIM(INDEX($A269:$T269,MATCH(Lists!$F$9,$A$1:$T$1,0))&amp;""),""))),"Support",IF(ISNUMBER(SEARCH("oppose",IFERROR(TRIM(INDEX($A269:$T269,MATCH(Lists!$F$9,$A$1:$T$1,0))&amp;""),""))),"Oppose",IF(IFERROR(TRIM(INDEX($A269:$T269,MATCH(Lists!$F$9,$A$1:$T$1,0))&amp;""),"")="","No position","Neither"))))</f>
        <v/>
      </c>
      <c r="AD269" s="21">
        <f>IF(Y269="","",IF(ISNUMBER(SEARCH("in person",IFERROR(TRIM(INDEX($A269:$T269,MATCH(Lists!$F$13,$A$1:$T$1,0))&amp;""),""))),"In person",IF(ISNUMBER(SEARCH("online",IFERROR(TRIM(INDEX($A269:$T269,MATCH(Lists!$F$13,$A$1:$T$1,0))&amp;""),""))),"Online","Written only")))</f>
        <v/>
      </c>
      <c r="AE269" s="21">
        <f>IF(Y269="","",IFERROR(TRIM(INDEX($A269:$T269,MATCH(Lists!$F$11,$A$1:$T$1,0))&amp;""),""))</f>
        <v/>
      </c>
      <c r="AF269" s="21">
        <f>IF(Y269="","",IFERROR(TRIM(INDEX($A269:$T269,MATCH(Lists!$F$12,$A$1:$T$1,0))&amp;""),""))</f>
        <v/>
      </c>
      <c r="AG269" s="21">
        <f>IF(Y269="","",IFERROR(TRIM(INDEX($A269:$T269,MATCH(Lists!$F$14,$A$1:$T$1,0))&amp;""),""))</f>
        <v/>
      </c>
      <c r="AH269" s="21">
        <f>IF(Y269="","",LEFT(IFERROR(TRIM(INDEX($A269:$T269,MATCH(Lists!$F$10,$A$1:$T$1,0))&amp;""),""),80))</f>
        <v/>
      </c>
      <c r="AI269" s="21">
        <f>IF(Y269="",0,IF(OR(Tally!$B$5="",AA269=Tally!$B$5),1,0))</f>
        <v/>
      </c>
      <c r="AJ269" s="21">
        <f>IF(AI269=1,IF(COUNTIFS($AB$2:AB269,AB269,$AI$2:AI269,1)=1,1,0),0)</f>
        <v/>
      </c>
      <c r="AK269" s="21">
        <f>IF(AJ269=1,SUM($AJ$2:AJ269),"")</f>
        <v/>
      </c>
      <c r="AL269" s="21">
        <f>IF(AND(AI269=1,OR(AD269="In person",AD269="Online"),OR(Speakers!$B$5="",AB269=Speakers!$B$5)),N(Z269)+ROW()/1000000000,"")</f>
        <v/>
      </c>
    </row>
    <row r="270">
      <c r="U270" s="19" t="n"/>
      <c r="V270" s="24" t="n"/>
      <c r="W270" s="24" t="n"/>
      <c r="X270" s="19" t="n"/>
      <c r="Y270" s="21">
        <f>IFERROR(TRIM(INDEX($A270:$T270,MATCH(Lists!$F$2,$A$1:$T$1,0))&amp;""),"")</f>
        <v/>
      </c>
      <c r="Z270" s="22">
        <f>IF(Y270="","",IFERROR(IF(ISNUMBER(INDEX($A270:$T270,MATCH(Lists!$F$3,$A$1:$T$1,0))),INDEX($A270:$T270,MATCH(Lists!$F$3,$A$1:$T$1,0)),DATE(VALUE(LEFT(IFERROR(TRIM(INDEX($A270:$T270,MATCH(Lists!$F$3,$A$1:$T$1,0))&amp;""),""),4)),VALUE(MID(IFERROR(TRIM(INDEX($A270:$T270,MATCH(Lists!$F$3,$A$1:$T$1,0))&amp;""),""),6,2)),VALUE(MID(IFERROR(TRIM(INDEX($A270:$T270,MATCH(Lists!$F$3,$A$1:$T$1,0))&amp;""),""),9,2)))+TIME(VALUE(MID(IFERROR(TRIM(INDEX($A270:$T270,MATCH(Lists!$F$3,$A$1:$T$1,0))&amp;""),""),12,2)),VALUE(MID(IFERROR(TRIM(INDEX($A270:$T270,MATCH(Lists!$F$3,$A$1:$T$1,0))&amp;""),""),15,2)),VALUE(MID(IFERROR(TRIM(INDEX($A270:$T270,MATCH(Lists!$F$3,$A$1:$T$1,0))&amp;""),""),18,2)))),""))</f>
        <v/>
      </c>
      <c r="AA270" s="23">
        <f>IF(Y270="","",IF(ISNUMBER(IFERROR(IF(TRIM(INDEX($A270:$T270,MATCH(Lists!$F$4,$A$1:$T$1,0))&amp;"")="","",IF(ISNUMBER(INDEX($A270:$T270,MATCH(Lists!$F$4,$A$1:$T$1,0))),INT(INDEX($A270:$T270,MATCH(Lists!$F$4,$A$1:$T$1,0))),DATE(VALUE(LEFT(INDEX($A270:$T270,MATCH(Lists!$F$4,$A$1:$T$1,0)),4)),VALUE(MID(INDEX($A270:$T270,MATCH(Lists!$F$4,$A$1:$T$1,0)),6,2)),VALUE(MID(INDEX($A270:$T270,MATCH(Lists!$F$4,$A$1:$T$1,0)),9,2))))),"")),IFERROR(IF(TRIM(INDEX($A270:$T270,MATCH(Lists!$F$4,$A$1:$T$1,0))&amp;"")="","",IF(ISNUMBER(INDEX($A270:$T270,MATCH(Lists!$F$4,$A$1:$T$1,0))),INT(INDEX($A270:$T270,MATCH(Lists!$F$4,$A$1:$T$1,0))),DATE(VALUE(LEFT(INDEX($A270:$T270,MATCH(Lists!$F$4,$A$1:$T$1,0)),4)),VALUE(MID(INDEX($A270:$T270,MATCH(Lists!$F$4,$A$1:$T$1,0)),6,2)),VALUE(MID(INDEX($A270:$T270,MATCH(Lists!$F$4,$A$1:$T$1,0)),9,2))))),""),IFERROR(IF(TRIM(INDEX($A270:$T270,MATCH(Lists!$F$5,$A$1:$T$1,0))&amp;"")="","",IF(ISNUMBER(INDEX($A270:$T270,MATCH(Lists!$F$5,$A$1:$T$1,0))),INT(INDEX($A270:$T270,MATCH(Lists!$F$5,$A$1:$T$1,0))),DATE(VALUE(LEFT(INDEX($A270:$T270,MATCH(Lists!$F$5,$A$1:$T$1,0)),4)),VALUE(MID(INDEX($A270:$T270,MATCH(Lists!$F$5,$A$1:$T$1,0)),6,2)),VALUE(MID(INDEX($A270:$T270,MATCH(Lists!$F$5,$A$1:$T$1,0)),9,2))))),"")))</f>
        <v/>
      </c>
      <c r="AB270" s="21">
        <f>IF(Y270="","",IF(LEFT(IFERROR(TRIM(INDEX($A270:$T270,MATCH(Lists!$F$6,$A$1:$T$1,0))&amp;""),""),2)="No","General comment",IF(IFERROR(TRIM(INDEX($A270:$T270,MATCH(Lists!$F$7,$A$1:$T$1,0))&amp;""),"")&lt;&gt;"",IFERROR(TRIM(INDEX($A270:$T270,MATCH(Lists!$F$7,$A$1:$T$1,0))&amp;""),""),IF(IFERROR(TRIM(INDEX($A270:$T270,MATCH(Lists!$F$8,$A$1:$T$1,0))&amp;""),"")&lt;&gt;"",IFERROR(TRIM(INDEX($A270:$T270,MATCH(Lists!$F$8,$A$1:$T$1,0))&amp;""),""),"(no item given)"))))</f>
        <v/>
      </c>
      <c r="AC270" s="21">
        <f>IF(Y270="","",IF(ISNUMBER(SEARCH("support",IFERROR(TRIM(INDEX($A270:$T270,MATCH(Lists!$F$9,$A$1:$T$1,0))&amp;""),""))),"Support",IF(ISNUMBER(SEARCH("oppose",IFERROR(TRIM(INDEX($A270:$T270,MATCH(Lists!$F$9,$A$1:$T$1,0))&amp;""),""))),"Oppose",IF(IFERROR(TRIM(INDEX($A270:$T270,MATCH(Lists!$F$9,$A$1:$T$1,0))&amp;""),"")="","No position","Neither"))))</f>
        <v/>
      </c>
      <c r="AD270" s="21">
        <f>IF(Y270="","",IF(ISNUMBER(SEARCH("in person",IFERROR(TRIM(INDEX($A270:$T270,MATCH(Lists!$F$13,$A$1:$T$1,0))&amp;""),""))),"In person",IF(ISNUMBER(SEARCH("online",IFERROR(TRIM(INDEX($A270:$T270,MATCH(Lists!$F$13,$A$1:$T$1,0))&amp;""),""))),"Online","Written only")))</f>
        <v/>
      </c>
      <c r="AE270" s="21">
        <f>IF(Y270="","",IFERROR(TRIM(INDEX($A270:$T270,MATCH(Lists!$F$11,$A$1:$T$1,0))&amp;""),""))</f>
        <v/>
      </c>
      <c r="AF270" s="21">
        <f>IF(Y270="","",IFERROR(TRIM(INDEX($A270:$T270,MATCH(Lists!$F$12,$A$1:$T$1,0))&amp;""),""))</f>
        <v/>
      </c>
      <c r="AG270" s="21">
        <f>IF(Y270="","",IFERROR(TRIM(INDEX($A270:$T270,MATCH(Lists!$F$14,$A$1:$T$1,0))&amp;""),""))</f>
        <v/>
      </c>
      <c r="AH270" s="21">
        <f>IF(Y270="","",LEFT(IFERROR(TRIM(INDEX($A270:$T270,MATCH(Lists!$F$10,$A$1:$T$1,0))&amp;""),""),80))</f>
        <v/>
      </c>
      <c r="AI270" s="21">
        <f>IF(Y270="",0,IF(OR(Tally!$B$5="",AA270=Tally!$B$5),1,0))</f>
        <v/>
      </c>
      <c r="AJ270" s="21">
        <f>IF(AI270=1,IF(COUNTIFS($AB$2:AB270,AB270,$AI$2:AI270,1)=1,1,0),0)</f>
        <v/>
      </c>
      <c r="AK270" s="21">
        <f>IF(AJ270=1,SUM($AJ$2:AJ270),"")</f>
        <v/>
      </c>
      <c r="AL270" s="21">
        <f>IF(AND(AI270=1,OR(AD270="In person",AD270="Online"),OR(Speakers!$B$5="",AB270=Speakers!$B$5)),N(Z270)+ROW()/1000000000,"")</f>
        <v/>
      </c>
    </row>
    <row r="271">
      <c r="U271" s="19" t="n"/>
      <c r="V271" s="24" t="n"/>
      <c r="W271" s="24" t="n"/>
      <c r="X271" s="19" t="n"/>
      <c r="Y271" s="21">
        <f>IFERROR(TRIM(INDEX($A271:$T271,MATCH(Lists!$F$2,$A$1:$T$1,0))&amp;""),"")</f>
        <v/>
      </c>
      <c r="Z271" s="22">
        <f>IF(Y271="","",IFERROR(IF(ISNUMBER(INDEX($A271:$T271,MATCH(Lists!$F$3,$A$1:$T$1,0))),INDEX($A271:$T271,MATCH(Lists!$F$3,$A$1:$T$1,0)),DATE(VALUE(LEFT(IFERROR(TRIM(INDEX($A271:$T271,MATCH(Lists!$F$3,$A$1:$T$1,0))&amp;""),""),4)),VALUE(MID(IFERROR(TRIM(INDEX($A271:$T271,MATCH(Lists!$F$3,$A$1:$T$1,0))&amp;""),""),6,2)),VALUE(MID(IFERROR(TRIM(INDEX($A271:$T271,MATCH(Lists!$F$3,$A$1:$T$1,0))&amp;""),""),9,2)))+TIME(VALUE(MID(IFERROR(TRIM(INDEX($A271:$T271,MATCH(Lists!$F$3,$A$1:$T$1,0))&amp;""),""),12,2)),VALUE(MID(IFERROR(TRIM(INDEX($A271:$T271,MATCH(Lists!$F$3,$A$1:$T$1,0))&amp;""),""),15,2)),VALUE(MID(IFERROR(TRIM(INDEX($A271:$T271,MATCH(Lists!$F$3,$A$1:$T$1,0))&amp;""),""),18,2)))),""))</f>
        <v/>
      </c>
      <c r="AA271" s="23">
        <f>IF(Y271="","",IF(ISNUMBER(IFERROR(IF(TRIM(INDEX($A271:$T271,MATCH(Lists!$F$4,$A$1:$T$1,0))&amp;"")="","",IF(ISNUMBER(INDEX($A271:$T271,MATCH(Lists!$F$4,$A$1:$T$1,0))),INT(INDEX($A271:$T271,MATCH(Lists!$F$4,$A$1:$T$1,0))),DATE(VALUE(LEFT(INDEX($A271:$T271,MATCH(Lists!$F$4,$A$1:$T$1,0)),4)),VALUE(MID(INDEX($A271:$T271,MATCH(Lists!$F$4,$A$1:$T$1,0)),6,2)),VALUE(MID(INDEX($A271:$T271,MATCH(Lists!$F$4,$A$1:$T$1,0)),9,2))))),"")),IFERROR(IF(TRIM(INDEX($A271:$T271,MATCH(Lists!$F$4,$A$1:$T$1,0))&amp;"")="","",IF(ISNUMBER(INDEX($A271:$T271,MATCH(Lists!$F$4,$A$1:$T$1,0))),INT(INDEX($A271:$T271,MATCH(Lists!$F$4,$A$1:$T$1,0))),DATE(VALUE(LEFT(INDEX($A271:$T271,MATCH(Lists!$F$4,$A$1:$T$1,0)),4)),VALUE(MID(INDEX($A271:$T271,MATCH(Lists!$F$4,$A$1:$T$1,0)),6,2)),VALUE(MID(INDEX($A271:$T271,MATCH(Lists!$F$4,$A$1:$T$1,0)),9,2))))),""),IFERROR(IF(TRIM(INDEX($A271:$T271,MATCH(Lists!$F$5,$A$1:$T$1,0))&amp;"")="","",IF(ISNUMBER(INDEX($A271:$T271,MATCH(Lists!$F$5,$A$1:$T$1,0))),INT(INDEX($A271:$T271,MATCH(Lists!$F$5,$A$1:$T$1,0))),DATE(VALUE(LEFT(INDEX($A271:$T271,MATCH(Lists!$F$5,$A$1:$T$1,0)),4)),VALUE(MID(INDEX($A271:$T271,MATCH(Lists!$F$5,$A$1:$T$1,0)),6,2)),VALUE(MID(INDEX($A271:$T271,MATCH(Lists!$F$5,$A$1:$T$1,0)),9,2))))),"")))</f>
        <v/>
      </c>
      <c r="AB271" s="21">
        <f>IF(Y271="","",IF(LEFT(IFERROR(TRIM(INDEX($A271:$T271,MATCH(Lists!$F$6,$A$1:$T$1,0))&amp;""),""),2)="No","General comment",IF(IFERROR(TRIM(INDEX($A271:$T271,MATCH(Lists!$F$7,$A$1:$T$1,0))&amp;""),"")&lt;&gt;"",IFERROR(TRIM(INDEX($A271:$T271,MATCH(Lists!$F$7,$A$1:$T$1,0))&amp;""),""),IF(IFERROR(TRIM(INDEX($A271:$T271,MATCH(Lists!$F$8,$A$1:$T$1,0))&amp;""),"")&lt;&gt;"",IFERROR(TRIM(INDEX($A271:$T271,MATCH(Lists!$F$8,$A$1:$T$1,0))&amp;""),""),"(no item given)"))))</f>
        <v/>
      </c>
      <c r="AC271" s="21">
        <f>IF(Y271="","",IF(ISNUMBER(SEARCH("support",IFERROR(TRIM(INDEX($A271:$T271,MATCH(Lists!$F$9,$A$1:$T$1,0))&amp;""),""))),"Support",IF(ISNUMBER(SEARCH("oppose",IFERROR(TRIM(INDEX($A271:$T271,MATCH(Lists!$F$9,$A$1:$T$1,0))&amp;""),""))),"Oppose",IF(IFERROR(TRIM(INDEX($A271:$T271,MATCH(Lists!$F$9,$A$1:$T$1,0))&amp;""),"")="","No position","Neither"))))</f>
        <v/>
      </c>
      <c r="AD271" s="21">
        <f>IF(Y271="","",IF(ISNUMBER(SEARCH("in person",IFERROR(TRIM(INDEX($A271:$T271,MATCH(Lists!$F$13,$A$1:$T$1,0))&amp;""),""))),"In person",IF(ISNUMBER(SEARCH("online",IFERROR(TRIM(INDEX($A271:$T271,MATCH(Lists!$F$13,$A$1:$T$1,0))&amp;""),""))),"Online","Written only")))</f>
        <v/>
      </c>
      <c r="AE271" s="21">
        <f>IF(Y271="","",IFERROR(TRIM(INDEX($A271:$T271,MATCH(Lists!$F$11,$A$1:$T$1,0))&amp;""),""))</f>
        <v/>
      </c>
      <c r="AF271" s="21">
        <f>IF(Y271="","",IFERROR(TRIM(INDEX($A271:$T271,MATCH(Lists!$F$12,$A$1:$T$1,0))&amp;""),""))</f>
        <v/>
      </c>
      <c r="AG271" s="21">
        <f>IF(Y271="","",IFERROR(TRIM(INDEX($A271:$T271,MATCH(Lists!$F$14,$A$1:$T$1,0))&amp;""),""))</f>
        <v/>
      </c>
      <c r="AH271" s="21">
        <f>IF(Y271="","",LEFT(IFERROR(TRIM(INDEX($A271:$T271,MATCH(Lists!$F$10,$A$1:$T$1,0))&amp;""),""),80))</f>
        <v/>
      </c>
      <c r="AI271" s="21">
        <f>IF(Y271="",0,IF(OR(Tally!$B$5="",AA271=Tally!$B$5),1,0))</f>
        <v/>
      </c>
      <c r="AJ271" s="21">
        <f>IF(AI271=1,IF(COUNTIFS($AB$2:AB271,AB271,$AI$2:AI271,1)=1,1,0),0)</f>
        <v/>
      </c>
      <c r="AK271" s="21">
        <f>IF(AJ271=1,SUM($AJ$2:AJ271),"")</f>
        <v/>
      </c>
      <c r="AL271" s="21">
        <f>IF(AND(AI271=1,OR(AD271="In person",AD271="Online"),OR(Speakers!$B$5="",AB271=Speakers!$B$5)),N(Z271)+ROW()/1000000000,"")</f>
        <v/>
      </c>
    </row>
    <row r="272">
      <c r="U272" s="19" t="n"/>
      <c r="V272" s="24" t="n"/>
      <c r="W272" s="24" t="n"/>
      <c r="X272" s="19" t="n"/>
      <c r="Y272" s="21">
        <f>IFERROR(TRIM(INDEX($A272:$T272,MATCH(Lists!$F$2,$A$1:$T$1,0))&amp;""),"")</f>
        <v/>
      </c>
      <c r="Z272" s="22">
        <f>IF(Y272="","",IFERROR(IF(ISNUMBER(INDEX($A272:$T272,MATCH(Lists!$F$3,$A$1:$T$1,0))),INDEX($A272:$T272,MATCH(Lists!$F$3,$A$1:$T$1,0)),DATE(VALUE(LEFT(IFERROR(TRIM(INDEX($A272:$T272,MATCH(Lists!$F$3,$A$1:$T$1,0))&amp;""),""),4)),VALUE(MID(IFERROR(TRIM(INDEX($A272:$T272,MATCH(Lists!$F$3,$A$1:$T$1,0))&amp;""),""),6,2)),VALUE(MID(IFERROR(TRIM(INDEX($A272:$T272,MATCH(Lists!$F$3,$A$1:$T$1,0))&amp;""),""),9,2)))+TIME(VALUE(MID(IFERROR(TRIM(INDEX($A272:$T272,MATCH(Lists!$F$3,$A$1:$T$1,0))&amp;""),""),12,2)),VALUE(MID(IFERROR(TRIM(INDEX($A272:$T272,MATCH(Lists!$F$3,$A$1:$T$1,0))&amp;""),""),15,2)),VALUE(MID(IFERROR(TRIM(INDEX($A272:$T272,MATCH(Lists!$F$3,$A$1:$T$1,0))&amp;""),""),18,2)))),""))</f>
        <v/>
      </c>
      <c r="AA272" s="23">
        <f>IF(Y272="","",IF(ISNUMBER(IFERROR(IF(TRIM(INDEX($A272:$T272,MATCH(Lists!$F$4,$A$1:$T$1,0))&amp;"")="","",IF(ISNUMBER(INDEX($A272:$T272,MATCH(Lists!$F$4,$A$1:$T$1,0))),INT(INDEX($A272:$T272,MATCH(Lists!$F$4,$A$1:$T$1,0))),DATE(VALUE(LEFT(INDEX($A272:$T272,MATCH(Lists!$F$4,$A$1:$T$1,0)),4)),VALUE(MID(INDEX($A272:$T272,MATCH(Lists!$F$4,$A$1:$T$1,0)),6,2)),VALUE(MID(INDEX($A272:$T272,MATCH(Lists!$F$4,$A$1:$T$1,0)),9,2))))),"")),IFERROR(IF(TRIM(INDEX($A272:$T272,MATCH(Lists!$F$4,$A$1:$T$1,0))&amp;"")="","",IF(ISNUMBER(INDEX($A272:$T272,MATCH(Lists!$F$4,$A$1:$T$1,0))),INT(INDEX($A272:$T272,MATCH(Lists!$F$4,$A$1:$T$1,0))),DATE(VALUE(LEFT(INDEX($A272:$T272,MATCH(Lists!$F$4,$A$1:$T$1,0)),4)),VALUE(MID(INDEX($A272:$T272,MATCH(Lists!$F$4,$A$1:$T$1,0)),6,2)),VALUE(MID(INDEX($A272:$T272,MATCH(Lists!$F$4,$A$1:$T$1,0)),9,2))))),""),IFERROR(IF(TRIM(INDEX($A272:$T272,MATCH(Lists!$F$5,$A$1:$T$1,0))&amp;"")="","",IF(ISNUMBER(INDEX($A272:$T272,MATCH(Lists!$F$5,$A$1:$T$1,0))),INT(INDEX($A272:$T272,MATCH(Lists!$F$5,$A$1:$T$1,0))),DATE(VALUE(LEFT(INDEX($A272:$T272,MATCH(Lists!$F$5,$A$1:$T$1,0)),4)),VALUE(MID(INDEX($A272:$T272,MATCH(Lists!$F$5,$A$1:$T$1,0)),6,2)),VALUE(MID(INDEX($A272:$T272,MATCH(Lists!$F$5,$A$1:$T$1,0)),9,2))))),"")))</f>
        <v/>
      </c>
      <c r="AB272" s="21">
        <f>IF(Y272="","",IF(LEFT(IFERROR(TRIM(INDEX($A272:$T272,MATCH(Lists!$F$6,$A$1:$T$1,0))&amp;""),""),2)="No","General comment",IF(IFERROR(TRIM(INDEX($A272:$T272,MATCH(Lists!$F$7,$A$1:$T$1,0))&amp;""),"")&lt;&gt;"",IFERROR(TRIM(INDEX($A272:$T272,MATCH(Lists!$F$7,$A$1:$T$1,0))&amp;""),""),IF(IFERROR(TRIM(INDEX($A272:$T272,MATCH(Lists!$F$8,$A$1:$T$1,0))&amp;""),"")&lt;&gt;"",IFERROR(TRIM(INDEX($A272:$T272,MATCH(Lists!$F$8,$A$1:$T$1,0))&amp;""),""),"(no item given)"))))</f>
        <v/>
      </c>
      <c r="AC272" s="21">
        <f>IF(Y272="","",IF(ISNUMBER(SEARCH("support",IFERROR(TRIM(INDEX($A272:$T272,MATCH(Lists!$F$9,$A$1:$T$1,0))&amp;""),""))),"Support",IF(ISNUMBER(SEARCH("oppose",IFERROR(TRIM(INDEX($A272:$T272,MATCH(Lists!$F$9,$A$1:$T$1,0))&amp;""),""))),"Oppose",IF(IFERROR(TRIM(INDEX($A272:$T272,MATCH(Lists!$F$9,$A$1:$T$1,0))&amp;""),"")="","No position","Neither"))))</f>
        <v/>
      </c>
      <c r="AD272" s="21">
        <f>IF(Y272="","",IF(ISNUMBER(SEARCH("in person",IFERROR(TRIM(INDEX($A272:$T272,MATCH(Lists!$F$13,$A$1:$T$1,0))&amp;""),""))),"In person",IF(ISNUMBER(SEARCH("online",IFERROR(TRIM(INDEX($A272:$T272,MATCH(Lists!$F$13,$A$1:$T$1,0))&amp;""),""))),"Online","Written only")))</f>
        <v/>
      </c>
      <c r="AE272" s="21">
        <f>IF(Y272="","",IFERROR(TRIM(INDEX($A272:$T272,MATCH(Lists!$F$11,$A$1:$T$1,0))&amp;""),""))</f>
        <v/>
      </c>
      <c r="AF272" s="21">
        <f>IF(Y272="","",IFERROR(TRIM(INDEX($A272:$T272,MATCH(Lists!$F$12,$A$1:$T$1,0))&amp;""),""))</f>
        <v/>
      </c>
      <c r="AG272" s="21">
        <f>IF(Y272="","",IFERROR(TRIM(INDEX($A272:$T272,MATCH(Lists!$F$14,$A$1:$T$1,0))&amp;""),""))</f>
        <v/>
      </c>
      <c r="AH272" s="21">
        <f>IF(Y272="","",LEFT(IFERROR(TRIM(INDEX($A272:$T272,MATCH(Lists!$F$10,$A$1:$T$1,0))&amp;""),""),80))</f>
        <v/>
      </c>
      <c r="AI272" s="21">
        <f>IF(Y272="",0,IF(OR(Tally!$B$5="",AA272=Tally!$B$5),1,0))</f>
        <v/>
      </c>
      <c r="AJ272" s="21">
        <f>IF(AI272=1,IF(COUNTIFS($AB$2:AB272,AB272,$AI$2:AI272,1)=1,1,0),0)</f>
        <v/>
      </c>
      <c r="AK272" s="21">
        <f>IF(AJ272=1,SUM($AJ$2:AJ272),"")</f>
        <v/>
      </c>
      <c r="AL272" s="21">
        <f>IF(AND(AI272=1,OR(AD272="In person",AD272="Online"),OR(Speakers!$B$5="",AB272=Speakers!$B$5)),N(Z272)+ROW()/1000000000,"")</f>
        <v/>
      </c>
    </row>
    <row r="273">
      <c r="U273" s="19" t="n"/>
      <c r="V273" s="24" t="n"/>
      <c r="W273" s="24" t="n"/>
      <c r="X273" s="19" t="n"/>
      <c r="Y273" s="21">
        <f>IFERROR(TRIM(INDEX($A273:$T273,MATCH(Lists!$F$2,$A$1:$T$1,0))&amp;""),"")</f>
        <v/>
      </c>
      <c r="Z273" s="22">
        <f>IF(Y273="","",IFERROR(IF(ISNUMBER(INDEX($A273:$T273,MATCH(Lists!$F$3,$A$1:$T$1,0))),INDEX($A273:$T273,MATCH(Lists!$F$3,$A$1:$T$1,0)),DATE(VALUE(LEFT(IFERROR(TRIM(INDEX($A273:$T273,MATCH(Lists!$F$3,$A$1:$T$1,0))&amp;""),""),4)),VALUE(MID(IFERROR(TRIM(INDEX($A273:$T273,MATCH(Lists!$F$3,$A$1:$T$1,0))&amp;""),""),6,2)),VALUE(MID(IFERROR(TRIM(INDEX($A273:$T273,MATCH(Lists!$F$3,$A$1:$T$1,0))&amp;""),""),9,2)))+TIME(VALUE(MID(IFERROR(TRIM(INDEX($A273:$T273,MATCH(Lists!$F$3,$A$1:$T$1,0))&amp;""),""),12,2)),VALUE(MID(IFERROR(TRIM(INDEX($A273:$T273,MATCH(Lists!$F$3,$A$1:$T$1,0))&amp;""),""),15,2)),VALUE(MID(IFERROR(TRIM(INDEX($A273:$T273,MATCH(Lists!$F$3,$A$1:$T$1,0))&amp;""),""),18,2)))),""))</f>
        <v/>
      </c>
      <c r="AA273" s="23">
        <f>IF(Y273="","",IF(ISNUMBER(IFERROR(IF(TRIM(INDEX($A273:$T273,MATCH(Lists!$F$4,$A$1:$T$1,0))&amp;"")="","",IF(ISNUMBER(INDEX($A273:$T273,MATCH(Lists!$F$4,$A$1:$T$1,0))),INT(INDEX($A273:$T273,MATCH(Lists!$F$4,$A$1:$T$1,0))),DATE(VALUE(LEFT(INDEX($A273:$T273,MATCH(Lists!$F$4,$A$1:$T$1,0)),4)),VALUE(MID(INDEX($A273:$T273,MATCH(Lists!$F$4,$A$1:$T$1,0)),6,2)),VALUE(MID(INDEX($A273:$T273,MATCH(Lists!$F$4,$A$1:$T$1,0)),9,2))))),"")),IFERROR(IF(TRIM(INDEX($A273:$T273,MATCH(Lists!$F$4,$A$1:$T$1,0))&amp;"")="","",IF(ISNUMBER(INDEX($A273:$T273,MATCH(Lists!$F$4,$A$1:$T$1,0))),INT(INDEX($A273:$T273,MATCH(Lists!$F$4,$A$1:$T$1,0))),DATE(VALUE(LEFT(INDEX($A273:$T273,MATCH(Lists!$F$4,$A$1:$T$1,0)),4)),VALUE(MID(INDEX($A273:$T273,MATCH(Lists!$F$4,$A$1:$T$1,0)),6,2)),VALUE(MID(INDEX($A273:$T273,MATCH(Lists!$F$4,$A$1:$T$1,0)),9,2))))),""),IFERROR(IF(TRIM(INDEX($A273:$T273,MATCH(Lists!$F$5,$A$1:$T$1,0))&amp;"")="","",IF(ISNUMBER(INDEX($A273:$T273,MATCH(Lists!$F$5,$A$1:$T$1,0))),INT(INDEX($A273:$T273,MATCH(Lists!$F$5,$A$1:$T$1,0))),DATE(VALUE(LEFT(INDEX($A273:$T273,MATCH(Lists!$F$5,$A$1:$T$1,0)),4)),VALUE(MID(INDEX($A273:$T273,MATCH(Lists!$F$5,$A$1:$T$1,0)),6,2)),VALUE(MID(INDEX($A273:$T273,MATCH(Lists!$F$5,$A$1:$T$1,0)),9,2))))),"")))</f>
        <v/>
      </c>
      <c r="AB273" s="21">
        <f>IF(Y273="","",IF(LEFT(IFERROR(TRIM(INDEX($A273:$T273,MATCH(Lists!$F$6,$A$1:$T$1,0))&amp;""),""),2)="No","General comment",IF(IFERROR(TRIM(INDEX($A273:$T273,MATCH(Lists!$F$7,$A$1:$T$1,0))&amp;""),"")&lt;&gt;"",IFERROR(TRIM(INDEX($A273:$T273,MATCH(Lists!$F$7,$A$1:$T$1,0))&amp;""),""),IF(IFERROR(TRIM(INDEX($A273:$T273,MATCH(Lists!$F$8,$A$1:$T$1,0))&amp;""),"")&lt;&gt;"",IFERROR(TRIM(INDEX($A273:$T273,MATCH(Lists!$F$8,$A$1:$T$1,0))&amp;""),""),"(no item given)"))))</f>
        <v/>
      </c>
      <c r="AC273" s="21">
        <f>IF(Y273="","",IF(ISNUMBER(SEARCH("support",IFERROR(TRIM(INDEX($A273:$T273,MATCH(Lists!$F$9,$A$1:$T$1,0))&amp;""),""))),"Support",IF(ISNUMBER(SEARCH("oppose",IFERROR(TRIM(INDEX($A273:$T273,MATCH(Lists!$F$9,$A$1:$T$1,0))&amp;""),""))),"Oppose",IF(IFERROR(TRIM(INDEX($A273:$T273,MATCH(Lists!$F$9,$A$1:$T$1,0))&amp;""),"")="","No position","Neither"))))</f>
        <v/>
      </c>
      <c r="AD273" s="21">
        <f>IF(Y273="","",IF(ISNUMBER(SEARCH("in person",IFERROR(TRIM(INDEX($A273:$T273,MATCH(Lists!$F$13,$A$1:$T$1,0))&amp;""),""))),"In person",IF(ISNUMBER(SEARCH("online",IFERROR(TRIM(INDEX($A273:$T273,MATCH(Lists!$F$13,$A$1:$T$1,0))&amp;""),""))),"Online","Written only")))</f>
        <v/>
      </c>
      <c r="AE273" s="21">
        <f>IF(Y273="","",IFERROR(TRIM(INDEX($A273:$T273,MATCH(Lists!$F$11,$A$1:$T$1,0))&amp;""),""))</f>
        <v/>
      </c>
      <c r="AF273" s="21">
        <f>IF(Y273="","",IFERROR(TRIM(INDEX($A273:$T273,MATCH(Lists!$F$12,$A$1:$T$1,0))&amp;""),""))</f>
        <v/>
      </c>
      <c r="AG273" s="21">
        <f>IF(Y273="","",IFERROR(TRIM(INDEX($A273:$T273,MATCH(Lists!$F$14,$A$1:$T$1,0))&amp;""),""))</f>
        <v/>
      </c>
      <c r="AH273" s="21">
        <f>IF(Y273="","",LEFT(IFERROR(TRIM(INDEX($A273:$T273,MATCH(Lists!$F$10,$A$1:$T$1,0))&amp;""),""),80))</f>
        <v/>
      </c>
      <c r="AI273" s="21">
        <f>IF(Y273="",0,IF(OR(Tally!$B$5="",AA273=Tally!$B$5),1,0))</f>
        <v/>
      </c>
      <c r="AJ273" s="21">
        <f>IF(AI273=1,IF(COUNTIFS($AB$2:AB273,AB273,$AI$2:AI273,1)=1,1,0),0)</f>
        <v/>
      </c>
      <c r="AK273" s="21">
        <f>IF(AJ273=1,SUM($AJ$2:AJ273),"")</f>
        <v/>
      </c>
      <c r="AL273" s="21">
        <f>IF(AND(AI273=1,OR(AD273="In person",AD273="Online"),OR(Speakers!$B$5="",AB273=Speakers!$B$5)),N(Z273)+ROW()/1000000000,"")</f>
        <v/>
      </c>
    </row>
    <row r="274">
      <c r="U274" s="19" t="n"/>
      <c r="V274" s="24" t="n"/>
      <c r="W274" s="24" t="n"/>
      <c r="X274" s="19" t="n"/>
      <c r="Y274" s="21">
        <f>IFERROR(TRIM(INDEX($A274:$T274,MATCH(Lists!$F$2,$A$1:$T$1,0))&amp;""),"")</f>
        <v/>
      </c>
      <c r="Z274" s="22">
        <f>IF(Y274="","",IFERROR(IF(ISNUMBER(INDEX($A274:$T274,MATCH(Lists!$F$3,$A$1:$T$1,0))),INDEX($A274:$T274,MATCH(Lists!$F$3,$A$1:$T$1,0)),DATE(VALUE(LEFT(IFERROR(TRIM(INDEX($A274:$T274,MATCH(Lists!$F$3,$A$1:$T$1,0))&amp;""),""),4)),VALUE(MID(IFERROR(TRIM(INDEX($A274:$T274,MATCH(Lists!$F$3,$A$1:$T$1,0))&amp;""),""),6,2)),VALUE(MID(IFERROR(TRIM(INDEX($A274:$T274,MATCH(Lists!$F$3,$A$1:$T$1,0))&amp;""),""),9,2)))+TIME(VALUE(MID(IFERROR(TRIM(INDEX($A274:$T274,MATCH(Lists!$F$3,$A$1:$T$1,0))&amp;""),""),12,2)),VALUE(MID(IFERROR(TRIM(INDEX($A274:$T274,MATCH(Lists!$F$3,$A$1:$T$1,0))&amp;""),""),15,2)),VALUE(MID(IFERROR(TRIM(INDEX($A274:$T274,MATCH(Lists!$F$3,$A$1:$T$1,0))&amp;""),""),18,2)))),""))</f>
        <v/>
      </c>
      <c r="AA274" s="23">
        <f>IF(Y274="","",IF(ISNUMBER(IFERROR(IF(TRIM(INDEX($A274:$T274,MATCH(Lists!$F$4,$A$1:$T$1,0))&amp;"")="","",IF(ISNUMBER(INDEX($A274:$T274,MATCH(Lists!$F$4,$A$1:$T$1,0))),INT(INDEX($A274:$T274,MATCH(Lists!$F$4,$A$1:$T$1,0))),DATE(VALUE(LEFT(INDEX($A274:$T274,MATCH(Lists!$F$4,$A$1:$T$1,0)),4)),VALUE(MID(INDEX($A274:$T274,MATCH(Lists!$F$4,$A$1:$T$1,0)),6,2)),VALUE(MID(INDEX($A274:$T274,MATCH(Lists!$F$4,$A$1:$T$1,0)),9,2))))),"")),IFERROR(IF(TRIM(INDEX($A274:$T274,MATCH(Lists!$F$4,$A$1:$T$1,0))&amp;"")="","",IF(ISNUMBER(INDEX($A274:$T274,MATCH(Lists!$F$4,$A$1:$T$1,0))),INT(INDEX($A274:$T274,MATCH(Lists!$F$4,$A$1:$T$1,0))),DATE(VALUE(LEFT(INDEX($A274:$T274,MATCH(Lists!$F$4,$A$1:$T$1,0)),4)),VALUE(MID(INDEX($A274:$T274,MATCH(Lists!$F$4,$A$1:$T$1,0)),6,2)),VALUE(MID(INDEX($A274:$T274,MATCH(Lists!$F$4,$A$1:$T$1,0)),9,2))))),""),IFERROR(IF(TRIM(INDEX($A274:$T274,MATCH(Lists!$F$5,$A$1:$T$1,0))&amp;"")="","",IF(ISNUMBER(INDEX($A274:$T274,MATCH(Lists!$F$5,$A$1:$T$1,0))),INT(INDEX($A274:$T274,MATCH(Lists!$F$5,$A$1:$T$1,0))),DATE(VALUE(LEFT(INDEX($A274:$T274,MATCH(Lists!$F$5,$A$1:$T$1,0)),4)),VALUE(MID(INDEX($A274:$T274,MATCH(Lists!$F$5,$A$1:$T$1,0)),6,2)),VALUE(MID(INDEX($A274:$T274,MATCH(Lists!$F$5,$A$1:$T$1,0)),9,2))))),"")))</f>
        <v/>
      </c>
      <c r="AB274" s="21">
        <f>IF(Y274="","",IF(LEFT(IFERROR(TRIM(INDEX($A274:$T274,MATCH(Lists!$F$6,$A$1:$T$1,0))&amp;""),""),2)="No","General comment",IF(IFERROR(TRIM(INDEX($A274:$T274,MATCH(Lists!$F$7,$A$1:$T$1,0))&amp;""),"")&lt;&gt;"",IFERROR(TRIM(INDEX($A274:$T274,MATCH(Lists!$F$7,$A$1:$T$1,0))&amp;""),""),IF(IFERROR(TRIM(INDEX($A274:$T274,MATCH(Lists!$F$8,$A$1:$T$1,0))&amp;""),"")&lt;&gt;"",IFERROR(TRIM(INDEX($A274:$T274,MATCH(Lists!$F$8,$A$1:$T$1,0))&amp;""),""),"(no item given)"))))</f>
        <v/>
      </c>
      <c r="AC274" s="21">
        <f>IF(Y274="","",IF(ISNUMBER(SEARCH("support",IFERROR(TRIM(INDEX($A274:$T274,MATCH(Lists!$F$9,$A$1:$T$1,0))&amp;""),""))),"Support",IF(ISNUMBER(SEARCH("oppose",IFERROR(TRIM(INDEX($A274:$T274,MATCH(Lists!$F$9,$A$1:$T$1,0))&amp;""),""))),"Oppose",IF(IFERROR(TRIM(INDEX($A274:$T274,MATCH(Lists!$F$9,$A$1:$T$1,0))&amp;""),"")="","No position","Neither"))))</f>
        <v/>
      </c>
      <c r="AD274" s="21">
        <f>IF(Y274="","",IF(ISNUMBER(SEARCH("in person",IFERROR(TRIM(INDEX($A274:$T274,MATCH(Lists!$F$13,$A$1:$T$1,0))&amp;""),""))),"In person",IF(ISNUMBER(SEARCH("online",IFERROR(TRIM(INDEX($A274:$T274,MATCH(Lists!$F$13,$A$1:$T$1,0))&amp;""),""))),"Online","Written only")))</f>
        <v/>
      </c>
      <c r="AE274" s="21">
        <f>IF(Y274="","",IFERROR(TRIM(INDEX($A274:$T274,MATCH(Lists!$F$11,$A$1:$T$1,0))&amp;""),""))</f>
        <v/>
      </c>
      <c r="AF274" s="21">
        <f>IF(Y274="","",IFERROR(TRIM(INDEX($A274:$T274,MATCH(Lists!$F$12,$A$1:$T$1,0))&amp;""),""))</f>
        <v/>
      </c>
      <c r="AG274" s="21">
        <f>IF(Y274="","",IFERROR(TRIM(INDEX($A274:$T274,MATCH(Lists!$F$14,$A$1:$T$1,0))&amp;""),""))</f>
        <v/>
      </c>
      <c r="AH274" s="21">
        <f>IF(Y274="","",LEFT(IFERROR(TRIM(INDEX($A274:$T274,MATCH(Lists!$F$10,$A$1:$T$1,0))&amp;""),""),80))</f>
        <v/>
      </c>
      <c r="AI274" s="21">
        <f>IF(Y274="",0,IF(OR(Tally!$B$5="",AA274=Tally!$B$5),1,0))</f>
        <v/>
      </c>
      <c r="AJ274" s="21">
        <f>IF(AI274=1,IF(COUNTIFS($AB$2:AB274,AB274,$AI$2:AI274,1)=1,1,0),0)</f>
        <v/>
      </c>
      <c r="AK274" s="21">
        <f>IF(AJ274=1,SUM($AJ$2:AJ274),"")</f>
        <v/>
      </c>
      <c r="AL274" s="21">
        <f>IF(AND(AI274=1,OR(AD274="In person",AD274="Online"),OR(Speakers!$B$5="",AB274=Speakers!$B$5)),N(Z274)+ROW()/1000000000,"")</f>
        <v/>
      </c>
    </row>
    <row r="275">
      <c r="U275" s="19" t="n"/>
      <c r="V275" s="24" t="n"/>
      <c r="W275" s="24" t="n"/>
      <c r="X275" s="19" t="n"/>
      <c r="Y275" s="21">
        <f>IFERROR(TRIM(INDEX($A275:$T275,MATCH(Lists!$F$2,$A$1:$T$1,0))&amp;""),"")</f>
        <v/>
      </c>
      <c r="Z275" s="22">
        <f>IF(Y275="","",IFERROR(IF(ISNUMBER(INDEX($A275:$T275,MATCH(Lists!$F$3,$A$1:$T$1,0))),INDEX($A275:$T275,MATCH(Lists!$F$3,$A$1:$T$1,0)),DATE(VALUE(LEFT(IFERROR(TRIM(INDEX($A275:$T275,MATCH(Lists!$F$3,$A$1:$T$1,0))&amp;""),""),4)),VALUE(MID(IFERROR(TRIM(INDEX($A275:$T275,MATCH(Lists!$F$3,$A$1:$T$1,0))&amp;""),""),6,2)),VALUE(MID(IFERROR(TRIM(INDEX($A275:$T275,MATCH(Lists!$F$3,$A$1:$T$1,0))&amp;""),""),9,2)))+TIME(VALUE(MID(IFERROR(TRIM(INDEX($A275:$T275,MATCH(Lists!$F$3,$A$1:$T$1,0))&amp;""),""),12,2)),VALUE(MID(IFERROR(TRIM(INDEX($A275:$T275,MATCH(Lists!$F$3,$A$1:$T$1,0))&amp;""),""),15,2)),VALUE(MID(IFERROR(TRIM(INDEX($A275:$T275,MATCH(Lists!$F$3,$A$1:$T$1,0))&amp;""),""),18,2)))),""))</f>
        <v/>
      </c>
      <c r="AA275" s="23">
        <f>IF(Y275="","",IF(ISNUMBER(IFERROR(IF(TRIM(INDEX($A275:$T275,MATCH(Lists!$F$4,$A$1:$T$1,0))&amp;"")="","",IF(ISNUMBER(INDEX($A275:$T275,MATCH(Lists!$F$4,$A$1:$T$1,0))),INT(INDEX($A275:$T275,MATCH(Lists!$F$4,$A$1:$T$1,0))),DATE(VALUE(LEFT(INDEX($A275:$T275,MATCH(Lists!$F$4,$A$1:$T$1,0)),4)),VALUE(MID(INDEX($A275:$T275,MATCH(Lists!$F$4,$A$1:$T$1,0)),6,2)),VALUE(MID(INDEX($A275:$T275,MATCH(Lists!$F$4,$A$1:$T$1,0)),9,2))))),"")),IFERROR(IF(TRIM(INDEX($A275:$T275,MATCH(Lists!$F$4,$A$1:$T$1,0))&amp;"")="","",IF(ISNUMBER(INDEX($A275:$T275,MATCH(Lists!$F$4,$A$1:$T$1,0))),INT(INDEX($A275:$T275,MATCH(Lists!$F$4,$A$1:$T$1,0))),DATE(VALUE(LEFT(INDEX($A275:$T275,MATCH(Lists!$F$4,$A$1:$T$1,0)),4)),VALUE(MID(INDEX($A275:$T275,MATCH(Lists!$F$4,$A$1:$T$1,0)),6,2)),VALUE(MID(INDEX($A275:$T275,MATCH(Lists!$F$4,$A$1:$T$1,0)),9,2))))),""),IFERROR(IF(TRIM(INDEX($A275:$T275,MATCH(Lists!$F$5,$A$1:$T$1,0))&amp;"")="","",IF(ISNUMBER(INDEX($A275:$T275,MATCH(Lists!$F$5,$A$1:$T$1,0))),INT(INDEX($A275:$T275,MATCH(Lists!$F$5,$A$1:$T$1,0))),DATE(VALUE(LEFT(INDEX($A275:$T275,MATCH(Lists!$F$5,$A$1:$T$1,0)),4)),VALUE(MID(INDEX($A275:$T275,MATCH(Lists!$F$5,$A$1:$T$1,0)),6,2)),VALUE(MID(INDEX($A275:$T275,MATCH(Lists!$F$5,$A$1:$T$1,0)),9,2))))),"")))</f>
        <v/>
      </c>
      <c r="AB275" s="21">
        <f>IF(Y275="","",IF(LEFT(IFERROR(TRIM(INDEX($A275:$T275,MATCH(Lists!$F$6,$A$1:$T$1,0))&amp;""),""),2)="No","General comment",IF(IFERROR(TRIM(INDEX($A275:$T275,MATCH(Lists!$F$7,$A$1:$T$1,0))&amp;""),"")&lt;&gt;"",IFERROR(TRIM(INDEX($A275:$T275,MATCH(Lists!$F$7,$A$1:$T$1,0))&amp;""),""),IF(IFERROR(TRIM(INDEX($A275:$T275,MATCH(Lists!$F$8,$A$1:$T$1,0))&amp;""),"")&lt;&gt;"",IFERROR(TRIM(INDEX($A275:$T275,MATCH(Lists!$F$8,$A$1:$T$1,0))&amp;""),""),"(no item given)"))))</f>
        <v/>
      </c>
      <c r="AC275" s="21">
        <f>IF(Y275="","",IF(ISNUMBER(SEARCH("support",IFERROR(TRIM(INDEX($A275:$T275,MATCH(Lists!$F$9,$A$1:$T$1,0))&amp;""),""))),"Support",IF(ISNUMBER(SEARCH("oppose",IFERROR(TRIM(INDEX($A275:$T275,MATCH(Lists!$F$9,$A$1:$T$1,0))&amp;""),""))),"Oppose",IF(IFERROR(TRIM(INDEX($A275:$T275,MATCH(Lists!$F$9,$A$1:$T$1,0))&amp;""),"")="","No position","Neither"))))</f>
        <v/>
      </c>
      <c r="AD275" s="21">
        <f>IF(Y275="","",IF(ISNUMBER(SEARCH("in person",IFERROR(TRIM(INDEX($A275:$T275,MATCH(Lists!$F$13,$A$1:$T$1,0))&amp;""),""))),"In person",IF(ISNUMBER(SEARCH("online",IFERROR(TRIM(INDEX($A275:$T275,MATCH(Lists!$F$13,$A$1:$T$1,0))&amp;""),""))),"Online","Written only")))</f>
        <v/>
      </c>
      <c r="AE275" s="21">
        <f>IF(Y275="","",IFERROR(TRIM(INDEX($A275:$T275,MATCH(Lists!$F$11,$A$1:$T$1,0))&amp;""),""))</f>
        <v/>
      </c>
      <c r="AF275" s="21">
        <f>IF(Y275="","",IFERROR(TRIM(INDEX($A275:$T275,MATCH(Lists!$F$12,$A$1:$T$1,0))&amp;""),""))</f>
        <v/>
      </c>
      <c r="AG275" s="21">
        <f>IF(Y275="","",IFERROR(TRIM(INDEX($A275:$T275,MATCH(Lists!$F$14,$A$1:$T$1,0))&amp;""),""))</f>
        <v/>
      </c>
      <c r="AH275" s="21">
        <f>IF(Y275="","",LEFT(IFERROR(TRIM(INDEX($A275:$T275,MATCH(Lists!$F$10,$A$1:$T$1,0))&amp;""),""),80))</f>
        <v/>
      </c>
      <c r="AI275" s="21">
        <f>IF(Y275="",0,IF(OR(Tally!$B$5="",AA275=Tally!$B$5),1,0))</f>
        <v/>
      </c>
      <c r="AJ275" s="21">
        <f>IF(AI275=1,IF(COUNTIFS($AB$2:AB275,AB275,$AI$2:AI275,1)=1,1,0),0)</f>
        <v/>
      </c>
      <c r="AK275" s="21">
        <f>IF(AJ275=1,SUM($AJ$2:AJ275),"")</f>
        <v/>
      </c>
      <c r="AL275" s="21">
        <f>IF(AND(AI275=1,OR(AD275="In person",AD275="Online"),OR(Speakers!$B$5="",AB275=Speakers!$B$5)),N(Z275)+ROW()/1000000000,"")</f>
        <v/>
      </c>
    </row>
    <row r="276">
      <c r="U276" s="19" t="n"/>
      <c r="V276" s="24" t="n"/>
      <c r="W276" s="24" t="n"/>
      <c r="X276" s="19" t="n"/>
      <c r="Y276" s="21">
        <f>IFERROR(TRIM(INDEX($A276:$T276,MATCH(Lists!$F$2,$A$1:$T$1,0))&amp;""),"")</f>
        <v/>
      </c>
      <c r="Z276" s="22">
        <f>IF(Y276="","",IFERROR(IF(ISNUMBER(INDEX($A276:$T276,MATCH(Lists!$F$3,$A$1:$T$1,0))),INDEX($A276:$T276,MATCH(Lists!$F$3,$A$1:$T$1,0)),DATE(VALUE(LEFT(IFERROR(TRIM(INDEX($A276:$T276,MATCH(Lists!$F$3,$A$1:$T$1,0))&amp;""),""),4)),VALUE(MID(IFERROR(TRIM(INDEX($A276:$T276,MATCH(Lists!$F$3,$A$1:$T$1,0))&amp;""),""),6,2)),VALUE(MID(IFERROR(TRIM(INDEX($A276:$T276,MATCH(Lists!$F$3,$A$1:$T$1,0))&amp;""),""),9,2)))+TIME(VALUE(MID(IFERROR(TRIM(INDEX($A276:$T276,MATCH(Lists!$F$3,$A$1:$T$1,0))&amp;""),""),12,2)),VALUE(MID(IFERROR(TRIM(INDEX($A276:$T276,MATCH(Lists!$F$3,$A$1:$T$1,0))&amp;""),""),15,2)),VALUE(MID(IFERROR(TRIM(INDEX($A276:$T276,MATCH(Lists!$F$3,$A$1:$T$1,0))&amp;""),""),18,2)))),""))</f>
        <v/>
      </c>
      <c r="AA276" s="23">
        <f>IF(Y276="","",IF(ISNUMBER(IFERROR(IF(TRIM(INDEX($A276:$T276,MATCH(Lists!$F$4,$A$1:$T$1,0))&amp;"")="","",IF(ISNUMBER(INDEX($A276:$T276,MATCH(Lists!$F$4,$A$1:$T$1,0))),INT(INDEX($A276:$T276,MATCH(Lists!$F$4,$A$1:$T$1,0))),DATE(VALUE(LEFT(INDEX($A276:$T276,MATCH(Lists!$F$4,$A$1:$T$1,0)),4)),VALUE(MID(INDEX($A276:$T276,MATCH(Lists!$F$4,$A$1:$T$1,0)),6,2)),VALUE(MID(INDEX($A276:$T276,MATCH(Lists!$F$4,$A$1:$T$1,0)),9,2))))),"")),IFERROR(IF(TRIM(INDEX($A276:$T276,MATCH(Lists!$F$4,$A$1:$T$1,0))&amp;"")="","",IF(ISNUMBER(INDEX($A276:$T276,MATCH(Lists!$F$4,$A$1:$T$1,0))),INT(INDEX($A276:$T276,MATCH(Lists!$F$4,$A$1:$T$1,0))),DATE(VALUE(LEFT(INDEX($A276:$T276,MATCH(Lists!$F$4,$A$1:$T$1,0)),4)),VALUE(MID(INDEX($A276:$T276,MATCH(Lists!$F$4,$A$1:$T$1,0)),6,2)),VALUE(MID(INDEX($A276:$T276,MATCH(Lists!$F$4,$A$1:$T$1,0)),9,2))))),""),IFERROR(IF(TRIM(INDEX($A276:$T276,MATCH(Lists!$F$5,$A$1:$T$1,0))&amp;"")="","",IF(ISNUMBER(INDEX($A276:$T276,MATCH(Lists!$F$5,$A$1:$T$1,0))),INT(INDEX($A276:$T276,MATCH(Lists!$F$5,$A$1:$T$1,0))),DATE(VALUE(LEFT(INDEX($A276:$T276,MATCH(Lists!$F$5,$A$1:$T$1,0)),4)),VALUE(MID(INDEX($A276:$T276,MATCH(Lists!$F$5,$A$1:$T$1,0)),6,2)),VALUE(MID(INDEX($A276:$T276,MATCH(Lists!$F$5,$A$1:$T$1,0)),9,2))))),"")))</f>
        <v/>
      </c>
      <c r="AB276" s="21">
        <f>IF(Y276="","",IF(LEFT(IFERROR(TRIM(INDEX($A276:$T276,MATCH(Lists!$F$6,$A$1:$T$1,0))&amp;""),""),2)="No","General comment",IF(IFERROR(TRIM(INDEX($A276:$T276,MATCH(Lists!$F$7,$A$1:$T$1,0))&amp;""),"")&lt;&gt;"",IFERROR(TRIM(INDEX($A276:$T276,MATCH(Lists!$F$7,$A$1:$T$1,0))&amp;""),""),IF(IFERROR(TRIM(INDEX($A276:$T276,MATCH(Lists!$F$8,$A$1:$T$1,0))&amp;""),"")&lt;&gt;"",IFERROR(TRIM(INDEX($A276:$T276,MATCH(Lists!$F$8,$A$1:$T$1,0))&amp;""),""),"(no item given)"))))</f>
        <v/>
      </c>
      <c r="AC276" s="21">
        <f>IF(Y276="","",IF(ISNUMBER(SEARCH("support",IFERROR(TRIM(INDEX($A276:$T276,MATCH(Lists!$F$9,$A$1:$T$1,0))&amp;""),""))),"Support",IF(ISNUMBER(SEARCH("oppose",IFERROR(TRIM(INDEX($A276:$T276,MATCH(Lists!$F$9,$A$1:$T$1,0))&amp;""),""))),"Oppose",IF(IFERROR(TRIM(INDEX($A276:$T276,MATCH(Lists!$F$9,$A$1:$T$1,0))&amp;""),"")="","No position","Neither"))))</f>
        <v/>
      </c>
      <c r="AD276" s="21">
        <f>IF(Y276="","",IF(ISNUMBER(SEARCH("in person",IFERROR(TRIM(INDEX($A276:$T276,MATCH(Lists!$F$13,$A$1:$T$1,0))&amp;""),""))),"In person",IF(ISNUMBER(SEARCH("online",IFERROR(TRIM(INDEX($A276:$T276,MATCH(Lists!$F$13,$A$1:$T$1,0))&amp;""),""))),"Online","Written only")))</f>
        <v/>
      </c>
      <c r="AE276" s="21">
        <f>IF(Y276="","",IFERROR(TRIM(INDEX($A276:$T276,MATCH(Lists!$F$11,$A$1:$T$1,0))&amp;""),""))</f>
        <v/>
      </c>
      <c r="AF276" s="21">
        <f>IF(Y276="","",IFERROR(TRIM(INDEX($A276:$T276,MATCH(Lists!$F$12,$A$1:$T$1,0))&amp;""),""))</f>
        <v/>
      </c>
      <c r="AG276" s="21">
        <f>IF(Y276="","",IFERROR(TRIM(INDEX($A276:$T276,MATCH(Lists!$F$14,$A$1:$T$1,0))&amp;""),""))</f>
        <v/>
      </c>
      <c r="AH276" s="21">
        <f>IF(Y276="","",LEFT(IFERROR(TRIM(INDEX($A276:$T276,MATCH(Lists!$F$10,$A$1:$T$1,0))&amp;""),""),80))</f>
        <v/>
      </c>
      <c r="AI276" s="21">
        <f>IF(Y276="",0,IF(OR(Tally!$B$5="",AA276=Tally!$B$5),1,0))</f>
        <v/>
      </c>
      <c r="AJ276" s="21">
        <f>IF(AI276=1,IF(COUNTIFS($AB$2:AB276,AB276,$AI$2:AI276,1)=1,1,0),0)</f>
        <v/>
      </c>
      <c r="AK276" s="21">
        <f>IF(AJ276=1,SUM($AJ$2:AJ276),"")</f>
        <v/>
      </c>
      <c r="AL276" s="21">
        <f>IF(AND(AI276=1,OR(AD276="In person",AD276="Online"),OR(Speakers!$B$5="",AB276=Speakers!$B$5)),N(Z276)+ROW()/1000000000,"")</f>
        <v/>
      </c>
    </row>
    <row r="277">
      <c r="U277" s="19" t="n"/>
      <c r="V277" s="24" t="n"/>
      <c r="W277" s="24" t="n"/>
      <c r="X277" s="19" t="n"/>
      <c r="Y277" s="21">
        <f>IFERROR(TRIM(INDEX($A277:$T277,MATCH(Lists!$F$2,$A$1:$T$1,0))&amp;""),"")</f>
        <v/>
      </c>
      <c r="Z277" s="22">
        <f>IF(Y277="","",IFERROR(IF(ISNUMBER(INDEX($A277:$T277,MATCH(Lists!$F$3,$A$1:$T$1,0))),INDEX($A277:$T277,MATCH(Lists!$F$3,$A$1:$T$1,0)),DATE(VALUE(LEFT(IFERROR(TRIM(INDEX($A277:$T277,MATCH(Lists!$F$3,$A$1:$T$1,0))&amp;""),""),4)),VALUE(MID(IFERROR(TRIM(INDEX($A277:$T277,MATCH(Lists!$F$3,$A$1:$T$1,0))&amp;""),""),6,2)),VALUE(MID(IFERROR(TRIM(INDEX($A277:$T277,MATCH(Lists!$F$3,$A$1:$T$1,0))&amp;""),""),9,2)))+TIME(VALUE(MID(IFERROR(TRIM(INDEX($A277:$T277,MATCH(Lists!$F$3,$A$1:$T$1,0))&amp;""),""),12,2)),VALUE(MID(IFERROR(TRIM(INDEX($A277:$T277,MATCH(Lists!$F$3,$A$1:$T$1,0))&amp;""),""),15,2)),VALUE(MID(IFERROR(TRIM(INDEX($A277:$T277,MATCH(Lists!$F$3,$A$1:$T$1,0))&amp;""),""),18,2)))),""))</f>
        <v/>
      </c>
      <c r="AA277" s="23">
        <f>IF(Y277="","",IF(ISNUMBER(IFERROR(IF(TRIM(INDEX($A277:$T277,MATCH(Lists!$F$4,$A$1:$T$1,0))&amp;"")="","",IF(ISNUMBER(INDEX($A277:$T277,MATCH(Lists!$F$4,$A$1:$T$1,0))),INT(INDEX($A277:$T277,MATCH(Lists!$F$4,$A$1:$T$1,0))),DATE(VALUE(LEFT(INDEX($A277:$T277,MATCH(Lists!$F$4,$A$1:$T$1,0)),4)),VALUE(MID(INDEX($A277:$T277,MATCH(Lists!$F$4,$A$1:$T$1,0)),6,2)),VALUE(MID(INDEX($A277:$T277,MATCH(Lists!$F$4,$A$1:$T$1,0)),9,2))))),"")),IFERROR(IF(TRIM(INDEX($A277:$T277,MATCH(Lists!$F$4,$A$1:$T$1,0))&amp;"")="","",IF(ISNUMBER(INDEX($A277:$T277,MATCH(Lists!$F$4,$A$1:$T$1,0))),INT(INDEX($A277:$T277,MATCH(Lists!$F$4,$A$1:$T$1,0))),DATE(VALUE(LEFT(INDEX($A277:$T277,MATCH(Lists!$F$4,$A$1:$T$1,0)),4)),VALUE(MID(INDEX($A277:$T277,MATCH(Lists!$F$4,$A$1:$T$1,0)),6,2)),VALUE(MID(INDEX($A277:$T277,MATCH(Lists!$F$4,$A$1:$T$1,0)),9,2))))),""),IFERROR(IF(TRIM(INDEX($A277:$T277,MATCH(Lists!$F$5,$A$1:$T$1,0))&amp;"")="","",IF(ISNUMBER(INDEX($A277:$T277,MATCH(Lists!$F$5,$A$1:$T$1,0))),INT(INDEX($A277:$T277,MATCH(Lists!$F$5,$A$1:$T$1,0))),DATE(VALUE(LEFT(INDEX($A277:$T277,MATCH(Lists!$F$5,$A$1:$T$1,0)),4)),VALUE(MID(INDEX($A277:$T277,MATCH(Lists!$F$5,$A$1:$T$1,0)),6,2)),VALUE(MID(INDEX($A277:$T277,MATCH(Lists!$F$5,$A$1:$T$1,0)),9,2))))),"")))</f>
        <v/>
      </c>
      <c r="AB277" s="21">
        <f>IF(Y277="","",IF(LEFT(IFERROR(TRIM(INDEX($A277:$T277,MATCH(Lists!$F$6,$A$1:$T$1,0))&amp;""),""),2)="No","General comment",IF(IFERROR(TRIM(INDEX($A277:$T277,MATCH(Lists!$F$7,$A$1:$T$1,0))&amp;""),"")&lt;&gt;"",IFERROR(TRIM(INDEX($A277:$T277,MATCH(Lists!$F$7,$A$1:$T$1,0))&amp;""),""),IF(IFERROR(TRIM(INDEX($A277:$T277,MATCH(Lists!$F$8,$A$1:$T$1,0))&amp;""),"")&lt;&gt;"",IFERROR(TRIM(INDEX($A277:$T277,MATCH(Lists!$F$8,$A$1:$T$1,0))&amp;""),""),"(no item given)"))))</f>
        <v/>
      </c>
      <c r="AC277" s="21">
        <f>IF(Y277="","",IF(ISNUMBER(SEARCH("support",IFERROR(TRIM(INDEX($A277:$T277,MATCH(Lists!$F$9,$A$1:$T$1,0))&amp;""),""))),"Support",IF(ISNUMBER(SEARCH("oppose",IFERROR(TRIM(INDEX($A277:$T277,MATCH(Lists!$F$9,$A$1:$T$1,0))&amp;""),""))),"Oppose",IF(IFERROR(TRIM(INDEX($A277:$T277,MATCH(Lists!$F$9,$A$1:$T$1,0))&amp;""),"")="","No position","Neither"))))</f>
        <v/>
      </c>
      <c r="AD277" s="21">
        <f>IF(Y277="","",IF(ISNUMBER(SEARCH("in person",IFERROR(TRIM(INDEX($A277:$T277,MATCH(Lists!$F$13,$A$1:$T$1,0))&amp;""),""))),"In person",IF(ISNUMBER(SEARCH("online",IFERROR(TRIM(INDEX($A277:$T277,MATCH(Lists!$F$13,$A$1:$T$1,0))&amp;""),""))),"Online","Written only")))</f>
        <v/>
      </c>
      <c r="AE277" s="21">
        <f>IF(Y277="","",IFERROR(TRIM(INDEX($A277:$T277,MATCH(Lists!$F$11,$A$1:$T$1,0))&amp;""),""))</f>
        <v/>
      </c>
      <c r="AF277" s="21">
        <f>IF(Y277="","",IFERROR(TRIM(INDEX($A277:$T277,MATCH(Lists!$F$12,$A$1:$T$1,0))&amp;""),""))</f>
        <v/>
      </c>
      <c r="AG277" s="21">
        <f>IF(Y277="","",IFERROR(TRIM(INDEX($A277:$T277,MATCH(Lists!$F$14,$A$1:$T$1,0))&amp;""),""))</f>
        <v/>
      </c>
      <c r="AH277" s="21">
        <f>IF(Y277="","",LEFT(IFERROR(TRIM(INDEX($A277:$T277,MATCH(Lists!$F$10,$A$1:$T$1,0))&amp;""),""),80))</f>
        <v/>
      </c>
      <c r="AI277" s="21">
        <f>IF(Y277="",0,IF(OR(Tally!$B$5="",AA277=Tally!$B$5),1,0))</f>
        <v/>
      </c>
      <c r="AJ277" s="21">
        <f>IF(AI277=1,IF(COUNTIFS($AB$2:AB277,AB277,$AI$2:AI277,1)=1,1,0),0)</f>
        <v/>
      </c>
      <c r="AK277" s="21">
        <f>IF(AJ277=1,SUM($AJ$2:AJ277),"")</f>
        <v/>
      </c>
      <c r="AL277" s="21">
        <f>IF(AND(AI277=1,OR(AD277="In person",AD277="Online"),OR(Speakers!$B$5="",AB277=Speakers!$B$5)),N(Z277)+ROW()/1000000000,"")</f>
        <v/>
      </c>
    </row>
    <row r="278">
      <c r="U278" s="19" t="n"/>
      <c r="V278" s="24" t="n"/>
      <c r="W278" s="24" t="n"/>
      <c r="X278" s="19" t="n"/>
      <c r="Y278" s="21">
        <f>IFERROR(TRIM(INDEX($A278:$T278,MATCH(Lists!$F$2,$A$1:$T$1,0))&amp;""),"")</f>
        <v/>
      </c>
      <c r="Z278" s="22">
        <f>IF(Y278="","",IFERROR(IF(ISNUMBER(INDEX($A278:$T278,MATCH(Lists!$F$3,$A$1:$T$1,0))),INDEX($A278:$T278,MATCH(Lists!$F$3,$A$1:$T$1,0)),DATE(VALUE(LEFT(IFERROR(TRIM(INDEX($A278:$T278,MATCH(Lists!$F$3,$A$1:$T$1,0))&amp;""),""),4)),VALUE(MID(IFERROR(TRIM(INDEX($A278:$T278,MATCH(Lists!$F$3,$A$1:$T$1,0))&amp;""),""),6,2)),VALUE(MID(IFERROR(TRIM(INDEX($A278:$T278,MATCH(Lists!$F$3,$A$1:$T$1,0))&amp;""),""),9,2)))+TIME(VALUE(MID(IFERROR(TRIM(INDEX($A278:$T278,MATCH(Lists!$F$3,$A$1:$T$1,0))&amp;""),""),12,2)),VALUE(MID(IFERROR(TRIM(INDEX($A278:$T278,MATCH(Lists!$F$3,$A$1:$T$1,0))&amp;""),""),15,2)),VALUE(MID(IFERROR(TRIM(INDEX($A278:$T278,MATCH(Lists!$F$3,$A$1:$T$1,0))&amp;""),""),18,2)))),""))</f>
        <v/>
      </c>
      <c r="AA278" s="23">
        <f>IF(Y278="","",IF(ISNUMBER(IFERROR(IF(TRIM(INDEX($A278:$T278,MATCH(Lists!$F$4,$A$1:$T$1,0))&amp;"")="","",IF(ISNUMBER(INDEX($A278:$T278,MATCH(Lists!$F$4,$A$1:$T$1,0))),INT(INDEX($A278:$T278,MATCH(Lists!$F$4,$A$1:$T$1,0))),DATE(VALUE(LEFT(INDEX($A278:$T278,MATCH(Lists!$F$4,$A$1:$T$1,0)),4)),VALUE(MID(INDEX($A278:$T278,MATCH(Lists!$F$4,$A$1:$T$1,0)),6,2)),VALUE(MID(INDEX($A278:$T278,MATCH(Lists!$F$4,$A$1:$T$1,0)),9,2))))),"")),IFERROR(IF(TRIM(INDEX($A278:$T278,MATCH(Lists!$F$4,$A$1:$T$1,0))&amp;"")="","",IF(ISNUMBER(INDEX($A278:$T278,MATCH(Lists!$F$4,$A$1:$T$1,0))),INT(INDEX($A278:$T278,MATCH(Lists!$F$4,$A$1:$T$1,0))),DATE(VALUE(LEFT(INDEX($A278:$T278,MATCH(Lists!$F$4,$A$1:$T$1,0)),4)),VALUE(MID(INDEX($A278:$T278,MATCH(Lists!$F$4,$A$1:$T$1,0)),6,2)),VALUE(MID(INDEX($A278:$T278,MATCH(Lists!$F$4,$A$1:$T$1,0)),9,2))))),""),IFERROR(IF(TRIM(INDEX($A278:$T278,MATCH(Lists!$F$5,$A$1:$T$1,0))&amp;"")="","",IF(ISNUMBER(INDEX($A278:$T278,MATCH(Lists!$F$5,$A$1:$T$1,0))),INT(INDEX($A278:$T278,MATCH(Lists!$F$5,$A$1:$T$1,0))),DATE(VALUE(LEFT(INDEX($A278:$T278,MATCH(Lists!$F$5,$A$1:$T$1,0)),4)),VALUE(MID(INDEX($A278:$T278,MATCH(Lists!$F$5,$A$1:$T$1,0)),6,2)),VALUE(MID(INDEX($A278:$T278,MATCH(Lists!$F$5,$A$1:$T$1,0)),9,2))))),"")))</f>
        <v/>
      </c>
      <c r="AB278" s="21">
        <f>IF(Y278="","",IF(LEFT(IFERROR(TRIM(INDEX($A278:$T278,MATCH(Lists!$F$6,$A$1:$T$1,0))&amp;""),""),2)="No","General comment",IF(IFERROR(TRIM(INDEX($A278:$T278,MATCH(Lists!$F$7,$A$1:$T$1,0))&amp;""),"")&lt;&gt;"",IFERROR(TRIM(INDEX($A278:$T278,MATCH(Lists!$F$7,$A$1:$T$1,0))&amp;""),""),IF(IFERROR(TRIM(INDEX($A278:$T278,MATCH(Lists!$F$8,$A$1:$T$1,0))&amp;""),"")&lt;&gt;"",IFERROR(TRIM(INDEX($A278:$T278,MATCH(Lists!$F$8,$A$1:$T$1,0))&amp;""),""),"(no item given)"))))</f>
        <v/>
      </c>
      <c r="AC278" s="21">
        <f>IF(Y278="","",IF(ISNUMBER(SEARCH("support",IFERROR(TRIM(INDEX($A278:$T278,MATCH(Lists!$F$9,$A$1:$T$1,0))&amp;""),""))),"Support",IF(ISNUMBER(SEARCH("oppose",IFERROR(TRIM(INDEX($A278:$T278,MATCH(Lists!$F$9,$A$1:$T$1,0))&amp;""),""))),"Oppose",IF(IFERROR(TRIM(INDEX($A278:$T278,MATCH(Lists!$F$9,$A$1:$T$1,0))&amp;""),"")="","No position","Neither"))))</f>
        <v/>
      </c>
      <c r="AD278" s="21">
        <f>IF(Y278="","",IF(ISNUMBER(SEARCH("in person",IFERROR(TRIM(INDEX($A278:$T278,MATCH(Lists!$F$13,$A$1:$T$1,0))&amp;""),""))),"In person",IF(ISNUMBER(SEARCH("online",IFERROR(TRIM(INDEX($A278:$T278,MATCH(Lists!$F$13,$A$1:$T$1,0))&amp;""),""))),"Online","Written only")))</f>
        <v/>
      </c>
      <c r="AE278" s="21">
        <f>IF(Y278="","",IFERROR(TRIM(INDEX($A278:$T278,MATCH(Lists!$F$11,$A$1:$T$1,0))&amp;""),""))</f>
        <v/>
      </c>
      <c r="AF278" s="21">
        <f>IF(Y278="","",IFERROR(TRIM(INDEX($A278:$T278,MATCH(Lists!$F$12,$A$1:$T$1,0))&amp;""),""))</f>
        <v/>
      </c>
      <c r="AG278" s="21">
        <f>IF(Y278="","",IFERROR(TRIM(INDEX($A278:$T278,MATCH(Lists!$F$14,$A$1:$T$1,0))&amp;""),""))</f>
        <v/>
      </c>
      <c r="AH278" s="21">
        <f>IF(Y278="","",LEFT(IFERROR(TRIM(INDEX($A278:$T278,MATCH(Lists!$F$10,$A$1:$T$1,0))&amp;""),""),80))</f>
        <v/>
      </c>
      <c r="AI278" s="21">
        <f>IF(Y278="",0,IF(OR(Tally!$B$5="",AA278=Tally!$B$5),1,0))</f>
        <v/>
      </c>
      <c r="AJ278" s="21">
        <f>IF(AI278=1,IF(COUNTIFS($AB$2:AB278,AB278,$AI$2:AI278,1)=1,1,0),0)</f>
        <v/>
      </c>
      <c r="AK278" s="21">
        <f>IF(AJ278=1,SUM($AJ$2:AJ278),"")</f>
        <v/>
      </c>
      <c r="AL278" s="21">
        <f>IF(AND(AI278=1,OR(AD278="In person",AD278="Online"),OR(Speakers!$B$5="",AB278=Speakers!$B$5)),N(Z278)+ROW()/1000000000,"")</f>
        <v/>
      </c>
    </row>
    <row r="279">
      <c r="U279" s="19" t="n"/>
      <c r="V279" s="24" t="n"/>
      <c r="W279" s="24" t="n"/>
      <c r="X279" s="19" t="n"/>
      <c r="Y279" s="21">
        <f>IFERROR(TRIM(INDEX($A279:$T279,MATCH(Lists!$F$2,$A$1:$T$1,0))&amp;""),"")</f>
        <v/>
      </c>
      <c r="Z279" s="22">
        <f>IF(Y279="","",IFERROR(IF(ISNUMBER(INDEX($A279:$T279,MATCH(Lists!$F$3,$A$1:$T$1,0))),INDEX($A279:$T279,MATCH(Lists!$F$3,$A$1:$T$1,0)),DATE(VALUE(LEFT(IFERROR(TRIM(INDEX($A279:$T279,MATCH(Lists!$F$3,$A$1:$T$1,0))&amp;""),""),4)),VALUE(MID(IFERROR(TRIM(INDEX($A279:$T279,MATCH(Lists!$F$3,$A$1:$T$1,0))&amp;""),""),6,2)),VALUE(MID(IFERROR(TRIM(INDEX($A279:$T279,MATCH(Lists!$F$3,$A$1:$T$1,0))&amp;""),""),9,2)))+TIME(VALUE(MID(IFERROR(TRIM(INDEX($A279:$T279,MATCH(Lists!$F$3,$A$1:$T$1,0))&amp;""),""),12,2)),VALUE(MID(IFERROR(TRIM(INDEX($A279:$T279,MATCH(Lists!$F$3,$A$1:$T$1,0))&amp;""),""),15,2)),VALUE(MID(IFERROR(TRIM(INDEX($A279:$T279,MATCH(Lists!$F$3,$A$1:$T$1,0))&amp;""),""),18,2)))),""))</f>
        <v/>
      </c>
      <c r="AA279" s="23">
        <f>IF(Y279="","",IF(ISNUMBER(IFERROR(IF(TRIM(INDEX($A279:$T279,MATCH(Lists!$F$4,$A$1:$T$1,0))&amp;"")="","",IF(ISNUMBER(INDEX($A279:$T279,MATCH(Lists!$F$4,$A$1:$T$1,0))),INT(INDEX($A279:$T279,MATCH(Lists!$F$4,$A$1:$T$1,0))),DATE(VALUE(LEFT(INDEX($A279:$T279,MATCH(Lists!$F$4,$A$1:$T$1,0)),4)),VALUE(MID(INDEX($A279:$T279,MATCH(Lists!$F$4,$A$1:$T$1,0)),6,2)),VALUE(MID(INDEX($A279:$T279,MATCH(Lists!$F$4,$A$1:$T$1,0)),9,2))))),"")),IFERROR(IF(TRIM(INDEX($A279:$T279,MATCH(Lists!$F$4,$A$1:$T$1,0))&amp;"")="","",IF(ISNUMBER(INDEX($A279:$T279,MATCH(Lists!$F$4,$A$1:$T$1,0))),INT(INDEX($A279:$T279,MATCH(Lists!$F$4,$A$1:$T$1,0))),DATE(VALUE(LEFT(INDEX($A279:$T279,MATCH(Lists!$F$4,$A$1:$T$1,0)),4)),VALUE(MID(INDEX($A279:$T279,MATCH(Lists!$F$4,$A$1:$T$1,0)),6,2)),VALUE(MID(INDEX($A279:$T279,MATCH(Lists!$F$4,$A$1:$T$1,0)),9,2))))),""),IFERROR(IF(TRIM(INDEX($A279:$T279,MATCH(Lists!$F$5,$A$1:$T$1,0))&amp;"")="","",IF(ISNUMBER(INDEX($A279:$T279,MATCH(Lists!$F$5,$A$1:$T$1,0))),INT(INDEX($A279:$T279,MATCH(Lists!$F$5,$A$1:$T$1,0))),DATE(VALUE(LEFT(INDEX($A279:$T279,MATCH(Lists!$F$5,$A$1:$T$1,0)),4)),VALUE(MID(INDEX($A279:$T279,MATCH(Lists!$F$5,$A$1:$T$1,0)),6,2)),VALUE(MID(INDEX($A279:$T279,MATCH(Lists!$F$5,$A$1:$T$1,0)),9,2))))),"")))</f>
        <v/>
      </c>
      <c r="AB279" s="21">
        <f>IF(Y279="","",IF(LEFT(IFERROR(TRIM(INDEX($A279:$T279,MATCH(Lists!$F$6,$A$1:$T$1,0))&amp;""),""),2)="No","General comment",IF(IFERROR(TRIM(INDEX($A279:$T279,MATCH(Lists!$F$7,$A$1:$T$1,0))&amp;""),"")&lt;&gt;"",IFERROR(TRIM(INDEX($A279:$T279,MATCH(Lists!$F$7,$A$1:$T$1,0))&amp;""),""),IF(IFERROR(TRIM(INDEX($A279:$T279,MATCH(Lists!$F$8,$A$1:$T$1,0))&amp;""),"")&lt;&gt;"",IFERROR(TRIM(INDEX($A279:$T279,MATCH(Lists!$F$8,$A$1:$T$1,0))&amp;""),""),"(no item given)"))))</f>
        <v/>
      </c>
      <c r="AC279" s="21">
        <f>IF(Y279="","",IF(ISNUMBER(SEARCH("support",IFERROR(TRIM(INDEX($A279:$T279,MATCH(Lists!$F$9,$A$1:$T$1,0))&amp;""),""))),"Support",IF(ISNUMBER(SEARCH("oppose",IFERROR(TRIM(INDEX($A279:$T279,MATCH(Lists!$F$9,$A$1:$T$1,0))&amp;""),""))),"Oppose",IF(IFERROR(TRIM(INDEX($A279:$T279,MATCH(Lists!$F$9,$A$1:$T$1,0))&amp;""),"")="","No position","Neither"))))</f>
        <v/>
      </c>
      <c r="AD279" s="21">
        <f>IF(Y279="","",IF(ISNUMBER(SEARCH("in person",IFERROR(TRIM(INDEX($A279:$T279,MATCH(Lists!$F$13,$A$1:$T$1,0))&amp;""),""))),"In person",IF(ISNUMBER(SEARCH("online",IFERROR(TRIM(INDEX($A279:$T279,MATCH(Lists!$F$13,$A$1:$T$1,0))&amp;""),""))),"Online","Written only")))</f>
        <v/>
      </c>
      <c r="AE279" s="21">
        <f>IF(Y279="","",IFERROR(TRIM(INDEX($A279:$T279,MATCH(Lists!$F$11,$A$1:$T$1,0))&amp;""),""))</f>
        <v/>
      </c>
      <c r="AF279" s="21">
        <f>IF(Y279="","",IFERROR(TRIM(INDEX($A279:$T279,MATCH(Lists!$F$12,$A$1:$T$1,0))&amp;""),""))</f>
        <v/>
      </c>
      <c r="AG279" s="21">
        <f>IF(Y279="","",IFERROR(TRIM(INDEX($A279:$T279,MATCH(Lists!$F$14,$A$1:$T$1,0))&amp;""),""))</f>
        <v/>
      </c>
      <c r="AH279" s="21">
        <f>IF(Y279="","",LEFT(IFERROR(TRIM(INDEX($A279:$T279,MATCH(Lists!$F$10,$A$1:$T$1,0))&amp;""),""),80))</f>
        <v/>
      </c>
      <c r="AI279" s="21">
        <f>IF(Y279="",0,IF(OR(Tally!$B$5="",AA279=Tally!$B$5),1,0))</f>
        <v/>
      </c>
      <c r="AJ279" s="21">
        <f>IF(AI279=1,IF(COUNTIFS($AB$2:AB279,AB279,$AI$2:AI279,1)=1,1,0),0)</f>
        <v/>
      </c>
      <c r="AK279" s="21">
        <f>IF(AJ279=1,SUM($AJ$2:AJ279),"")</f>
        <v/>
      </c>
      <c r="AL279" s="21">
        <f>IF(AND(AI279=1,OR(AD279="In person",AD279="Online"),OR(Speakers!$B$5="",AB279=Speakers!$B$5)),N(Z279)+ROW()/1000000000,"")</f>
        <v/>
      </c>
    </row>
    <row r="280">
      <c r="U280" s="19" t="n"/>
      <c r="V280" s="24" t="n"/>
      <c r="W280" s="24" t="n"/>
      <c r="X280" s="19" t="n"/>
      <c r="Y280" s="21">
        <f>IFERROR(TRIM(INDEX($A280:$T280,MATCH(Lists!$F$2,$A$1:$T$1,0))&amp;""),"")</f>
        <v/>
      </c>
      <c r="Z280" s="22">
        <f>IF(Y280="","",IFERROR(IF(ISNUMBER(INDEX($A280:$T280,MATCH(Lists!$F$3,$A$1:$T$1,0))),INDEX($A280:$T280,MATCH(Lists!$F$3,$A$1:$T$1,0)),DATE(VALUE(LEFT(IFERROR(TRIM(INDEX($A280:$T280,MATCH(Lists!$F$3,$A$1:$T$1,0))&amp;""),""),4)),VALUE(MID(IFERROR(TRIM(INDEX($A280:$T280,MATCH(Lists!$F$3,$A$1:$T$1,0))&amp;""),""),6,2)),VALUE(MID(IFERROR(TRIM(INDEX($A280:$T280,MATCH(Lists!$F$3,$A$1:$T$1,0))&amp;""),""),9,2)))+TIME(VALUE(MID(IFERROR(TRIM(INDEX($A280:$T280,MATCH(Lists!$F$3,$A$1:$T$1,0))&amp;""),""),12,2)),VALUE(MID(IFERROR(TRIM(INDEX($A280:$T280,MATCH(Lists!$F$3,$A$1:$T$1,0))&amp;""),""),15,2)),VALUE(MID(IFERROR(TRIM(INDEX($A280:$T280,MATCH(Lists!$F$3,$A$1:$T$1,0))&amp;""),""),18,2)))),""))</f>
        <v/>
      </c>
      <c r="AA280" s="23">
        <f>IF(Y280="","",IF(ISNUMBER(IFERROR(IF(TRIM(INDEX($A280:$T280,MATCH(Lists!$F$4,$A$1:$T$1,0))&amp;"")="","",IF(ISNUMBER(INDEX($A280:$T280,MATCH(Lists!$F$4,$A$1:$T$1,0))),INT(INDEX($A280:$T280,MATCH(Lists!$F$4,$A$1:$T$1,0))),DATE(VALUE(LEFT(INDEX($A280:$T280,MATCH(Lists!$F$4,$A$1:$T$1,0)),4)),VALUE(MID(INDEX($A280:$T280,MATCH(Lists!$F$4,$A$1:$T$1,0)),6,2)),VALUE(MID(INDEX($A280:$T280,MATCH(Lists!$F$4,$A$1:$T$1,0)),9,2))))),"")),IFERROR(IF(TRIM(INDEX($A280:$T280,MATCH(Lists!$F$4,$A$1:$T$1,0))&amp;"")="","",IF(ISNUMBER(INDEX($A280:$T280,MATCH(Lists!$F$4,$A$1:$T$1,0))),INT(INDEX($A280:$T280,MATCH(Lists!$F$4,$A$1:$T$1,0))),DATE(VALUE(LEFT(INDEX($A280:$T280,MATCH(Lists!$F$4,$A$1:$T$1,0)),4)),VALUE(MID(INDEX($A280:$T280,MATCH(Lists!$F$4,$A$1:$T$1,0)),6,2)),VALUE(MID(INDEX($A280:$T280,MATCH(Lists!$F$4,$A$1:$T$1,0)),9,2))))),""),IFERROR(IF(TRIM(INDEX($A280:$T280,MATCH(Lists!$F$5,$A$1:$T$1,0))&amp;"")="","",IF(ISNUMBER(INDEX($A280:$T280,MATCH(Lists!$F$5,$A$1:$T$1,0))),INT(INDEX($A280:$T280,MATCH(Lists!$F$5,$A$1:$T$1,0))),DATE(VALUE(LEFT(INDEX($A280:$T280,MATCH(Lists!$F$5,$A$1:$T$1,0)),4)),VALUE(MID(INDEX($A280:$T280,MATCH(Lists!$F$5,$A$1:$T$1,0)),6,2)),VALUE(MID(INDEX($A280:$T280,MATCH(Lists!$F$5,$A$1:$T$1,0)),9,2))))),"")))</f>
        <v/>
      </c>
      <c r="AB280" s="21">
        <f>IF(Y280="","",IF(LEFT(IFERROR(TRIM(INDEX($A280:$T280,MATCH(Lists!$F$6,$A$1:$T$1,0))&amp;""),""),2)="No","General comment",IF(IFERROR(TRIM(INDEX($A280:$T280,MATCH(Lists!$F$7,$A$1:$T$1,0))&amp;""),"")&lt;&gt;"",IFERROR(TRIM(INDEX($A280:$T280,MATCH(Lists!$F$7,$A$1:$T$1,0))&amp;""),""),IF(IFERROR(TRIM(INDEX($A280:$T280,MATCH(Lists!$F$8,$A$1:$T$1,0))&amp;""),"")&lt;&gt;"",IFERROR(TRIM(INDEX($A280:$T280,MATCH(Lists!$F$8,$A$1:$T$1,0))&amp;""),""),"(no item given)"))))</f>
        <v/>
      </c>
      <c r="AC280" s="21">
        <f>IF(Y280="","",IF(ISNUMBER(SEARCH("support",IFERROR(TRIM(INDEX($A280:$T280,MATCH(Lists!$F$9,$A$1:$T$1,0))&amp;""),""))),"Support",IF(ISNUMBER(SEARCH("oppose",IFERROR(TRIM(INDEX($A280:$T280,MATCH(Lists!$F$9,$A$1:$T$1,0))&amp;""),""))),"Oppose",IF(IFERROR(TRIM(INDEX($A280:$T280,MATCH(Lists!$F$9,$A$1:$T$1,0))&amp;""),"")="","No position","Neither"))))</f>
        <v/>
      </c>
      <c r="AD280" s="21">
        <f>IF(Y280="","",IF(ISNUMBER(SEARCH("in person",IFERROR(TRIM(INDEX($A280:$T280,MATCH(Lists!$F$13,$A$1:$T$1,0))&amp;""),""))),"In person",IF(ISNUMBER(SEARCH("online",IFERROR(TRIM(INDEX($A280:$T280,MATCH(Lists!$F$13,$A$1:$T$1,0))&amp;""),""))),"Online","Written only")))</f>
        <v/>
      </c>
      <c r="AE280" s="21">
        <f>IF(Y280="","",IFERROR(TRIM(INDEX($A280:$T280,MATCH(Lists!$F$11,$A$1:$T$1,0))&amp;""),""))</f>
        <v/>
      </c>
      <c r="AF280" s="21">
        <f>IF(Y280="","",IFERROR(TRIM(INDEX($A280:$T280,MATCH(Lists!$F$12,$A$1:$T$1,0))&amp;""),""))</f>
        <v/>
      </c>
      <c r="AG280" s="21">
        <f>IF(Y280="","",IFERROR(TRIM(INDEX($A280:$T280,MATCH(Lists!$F$14,$A$1:$T$1,0))&amp;""),""))</f>
        <v/>
      </c>
      <c r="AH280" s="21">
        <f>IF(Y280="","",LEFT(IFERROR(TRIM(INDEX($A280:$T280,MATCH(Lists!$F$10,$A$1:$T$1,0))&amp;""),""),80))</f>
        <v/>
      </c>
      <c r="AI280" s="21">
        <f>IF(Y280="",0,IF(OR(Tally!$B$5="",AA280=Tally!$B$5),1,0))</f>
        <v/>
      </c>
      <c r="AJ280" s="21">
        <f>IF(AI280=1,IF(COUNTIFS($AB$2:AB280,AB280,$AI$2:AI280,1)=1,1,0),0)</f>
        <v/>
      </c>
      <c r="AK280" s="21">
        <f>IF(AJ280=1,SUM($AJ$2:AJ280),"")</f>
        <v/>
      </c>
      <c r="AL280" s="21">
        <f>IF(AND(AI280=1,OR(AD280="In person",AD280="Online"),OR(Speakers!$B$5="",AB280=Speakers!$B$5)),N(Z280)+ROW()/1000000000,"")</f>
        <v/>
      </c>
    </row>
    <row r="281">
      <c r="U281" s="19" t="n"/>
      <c r="V281" s="24" t="n"/>
      <c r="W281" s="24" t="n"/>
      <c r="X281" s="19" t="n"/>
      <c r="Y281" s="21">
        <f>IFERROR(TRIM(INDEX($A281:$T281,MATCH(Lists!$F$2,$A$1:$T$1,0))&amp;""),"")</f>
        <v/>
      </c>
      <c r="Z281" s="22">
        <f>IF(Y281="","",IFERROR(IF(ISNUMBER(INDEX($A281:$T281,MATCH(Lists!$F$3,$A$1:$T$1,0))),INDEX($A281:$T281,MATCH(Lists!$F$3,$A$1:$T$1,0)),DATE(VALUE(LEFT(IFERROR(TRIM(INDEX($A281:$T281,MATCH(Lists!$F$3,$A$1:$T$1,0))&amp;""),""),4)),VALUE(MID(IFERROR(TRIM(INDEX($A281:$T281,MATCH(Lists!$F$3,$A$1:$T$1,0))&amp;""),""),6,2)),VALUE(MID(IFERROR(TRIM(INDEX($A281:$T281,MATCH(Lists!$F$3,$A$1:$T$1,0))&amp;""),""),9,2)))+TIME(VALUE(MID(IFERROR(TRIM(INDEX($A281:$T281,MATCH(Lists!$F$3,$A$1:$T$1,0))&amp;""),""),12,2)),VALUE(MID(IFERROR(TRIM(INDEX($A281:$T281,MATCH(Lists!$F$3,$A$1:$T$1,0))&amp;""),""),15,2)),VALUE(MID(IFERROR(TRIM(INDEX($A281:$T281,MATCH(Lists!$F$3,$A$1:$T$1,0))&amp;""),""),18,2)))),""))</f>
        <v/>
      </c>
      <c r="AA281" s="23">
        <f>IF(Y281="","",IF(ISNUMBER(IFERROR(IF(TRIM(INDEX($A281:$T281,MATCH(Lists!$F$4,$A$1:$T$1,0))&amp;"")="","",IF(ISNUMBER(INDEX($A281:$T281,MATCH(Lists!$F$4,$A$1:$T$1,0))),INT(INDEX($A281:$T281,MATCH(Lists!$F$4,$A$1:$T$1,0))),DATE(VALUE(LEFT(INDEX($A281:$T281,MATCH(Lists!$F$4,$A$1:$T$1,0)),4)),VALUE(MID(INDEX($A281:$T281,MATCH(Lists!$F$4,$A$1:$T$1,0)),6,2)),VALUE(MID(INDEX($A281:$T281,MATCH(Lists!$F$4,$A$1:$T$1,0)),9,2))))),"")),IFERROR(IF(TRIM(INDEX($A281:$T281,MATCH(Lists!$F$4,$A$1:$T$1,0))&amp;"")="","",IF(ISNUMBER(INDEX($A281:$T281,MATCH(Lists!$F$4,$A$1:$T$1,0))),INT(INDEX($A281:$T281,MATCH(Lists!$F$4,$A$1:$T$1,0))),DATE(VALUE(LEFT(INDEX($A281:$T281,MATCH(Lists!$F$4,$A$1:$T$1,0)),4)),VALUE(MID(INDEX($A281:$T281,MATCH(Lists!$F$4,$A$1:$T$1,0)),6,2)),VALUE(MID(INDEX($A281:$T281,MATCH(Lists!$F$4,$A$1:$T$1,0)),9,2))))),""),IFERROR(IF(TRIM(INDEX($A281:$T281,MATCH(Lists!$F$5,$A$1:$T$1,0))&amp;"")="","",IF(ISNUMBER(INDEX($A281:$T281,MATCH(Lists!$F$5,$A$1:$T$1,0))),INT(INDEX($A281:$T281,MATCH(Lists!$F$5,$A$1:$T$1,0))),DATE(VALUE(LEFT(INDEX($A281:$T281,MATCH(Lists!$F$5,$A$1:$T$1,0)),4)),VALUE(MID(INDEX($A281:$T281,MATCH(Lists!$F$5,$A$1:$T$1,0)),6,2)),VALUE(MID(INDEX($A281:$T281,MATCH(Lists!$F$5,$A$1:$T$1,0)),9,2))))),"")))</f>
        <v/>
      </c>
      <c r="AB281" s="21">
        <f>IF(Y281="","",IF(LEFT(IFERROR(TRIM(INDEX($A281:$T281,MATCH(Lists!$F$6,$A$1:$T$1,0))&amp;""),""),2)="No","General comment",IF(IFERROR(TRIM(INDEX($A281:$T281,MATCH(Lists!$F$7,$A$1:$T$1,0))&amp;""),"")&lt;&gt;"",IFERROR(TRIM(INDEX($A281:$T281,MATCH(Lists!$F$7,$A$1:$T$1,0))&amp;""),""),IF(IFERROR(TRIM(INDEX($A281:$T281,MATCH(Lists!$F$8,$A$1:$T$1,0))&amp;""),"")&lt;&gt;"",IFERROR(TRIM(INDEX($A281:$T281,MATCH(Lists!$F$8,$A$1:$T$1,0))&amp;""),""),"(no item given)"))))</f>
        <v/>
      </c>
      <c r="AC281" s="21">
        <f>IF(Y281="","",IF(ISNUMBER(SEARCH("support",IFERROR(TRIM(INDEX($A281:$T281,MATCH(Lists!$F$9,$A$1:$T$1,0))&amp;""),""))),"Support",IF(ISNUMBER(SEARCH("oppose",IFERROR(TRIM(INDEX($A281:$T281,MATCH(Lists!$F$9,$A$1:$T$1,0))&amp;""),""))),"Oppose",IF(IFERROR(TRIM(INDEX($A281:$T281,MATCH(Lists!$F$9,$A$1:$T$1,0))&amp;""),"")="","No position","Neither"))))</f>
        <v/>
      </c>
      <c r="AD281" s="21">
        <f>IF(Y281="","",IF(ISNUMBER(SEARCH("in person",IFERROR(TRIM(INDEX($A281:$T281,MATCH(Lists!$F$13,$A$1:$T$1,0))&amp;""),""))),"In person",IF(ISNUMBER(SEARCH("online",IFERROR(TRIM(INDEX($A281:$T281,MATCH(Lists!$F$13,$A$1:$T$1,0))&amp;""),""))),"Online","Written only")))</f>
        <v/>
      </c>
      <c r="AE281" s="21">
        <f>IF(Y281="","",IFERROR(TRIM(INDEX($A281:$T281,MATCH(Lists!$F$11,$A$1:$T$1,0))&amp;""),""))</f>
        <v/>
      </c>
      <c r="AF281" s="21">
        <f>IF(Y281="","",IFERROR(TRIM(INDEX($A281:$T281,MATCH(Lists!$F$12,$A$1:$T$1,0))&amp;""),""))</f>
        <v/>
      </c>
      <c r="AG281" s="21">
        <f>IF(Y281="","",IFERROR(TRIM(INDEX($A281:$T281,MATCH(Lists!$F$14,$A$1:$T$1,0))&amp;""),""))</f>
        <v/>
      </c>
      <c r="AH281" s="21">
        <f>IF(Y281="","",LEFT(IFERROR(TRIM(INDEX($A281:$T281,MATCH(Lists!$F$10,$A$1:$T$1,0))&amp;""),""),80))</f>
        <v/>
      </c>
      <c r="AI281" s="21">
        <f>IF(Y281="",0,IF(OR(Tally!$B$5="",AA281=Tally!$B$5),1,0))</f>
        <v/>
      </c>
      <c r="AJ281" s="21">
        <f>IF(AI281=1,IF(COUNTIFS($AB$2:AB281,AB281,$AI$2:AI281,1)=1,1,0),0)</f>
        <v/>
      </c>
      <c r="AK281" s="21">
        <f>IF(AJ281=1,SUM($AJ$2:AJ281),"")</f>
        <v/>
      </c>
      <c r="AL281" s="21">
        <f>IF(AND(AI281=1,OR(AD281="In person",AD281="Online"),OR(Speakers!$B$5="",AB281=Speakers!$B$5)),N(Z281)+ROW()/1000000000,"")</f>
        <v/>
      </c>
    </row>
    <row r="282">
      <c r="U282" s="19" t="n"/>
      <c r="V282" s="24" t="n"/>
      <c r="W282" s="24" t="n"/>
      <c r="X282" s="19" t="n"/>
      <c r="Y282" s="21">
        <f>IFERROR(TRIM(INDEX($A282:$T282,MATCH(Lists!$F$2,$A$1:$T$1,0))&amp;""),"")</f>
        <v/>
      </c>
      <c r="Z282" s="22">
        <f>IF(Y282="","",IFERROR(IF(ISNUMBER(INDEX($A282:$T282,MATCH(Lists!$F$3,$A$1:$T$1,0))),INDEX($A282:$T282,MATCH(Lists!$F$3,$A$1:$T$1,0)),DATE(VALUE(LEFT(IFERROR(TRIM(INDEX($A282:$T282,MATCH(Lists!$F$3,$A$1:$T$1,0))&amp;""),""),4)),VALUE(MID(IFERROR(TRIM(INDEX($A282:$T282,MATCH(Lists!$F$3,$A$1:$T$1,0))&amp;""),""),6,2)),VALUE(MID(IFERROR(TRIM(INDEX($A282:$T282,MATCH(Lists!$F$3,$A$1:$T$1,0))&amp;""),""),9,2)))+TIME(VALUE(MID(IFERROR(TRIM(INDEX($A282:$T282,MATCH(Lists!$F$3,$A$1:$T$1,0))&amp;""),""),12,2)),VALUE(MID(IFERROR(TRIM(INDEX($A282:$T282,MATCH(Lists!$F$3,$A$1:$T$1,0))&amp;""),""),15,2)),VALUE(MID(IFERROR(TRIM(INDEX($A282:$T282,MATCH(Lists!$F$3,$A$1:$T$1,0))&amp;""),""),18,2)))),""))</f>
        <v/>
      </c>
      <c r="AA282" s="23">
        <f>IF(Y282="","",IF(ISNUMBER(IFERROR(IF(TRIM(INDEX($A282:$T282,MATCH(Lists!$F$4,$A$1:$T$1,0))&amp;"")="","",IF(ISNUMBER(INDEX($A282:$T282,MATCH(Lists!$F$4,$A$1:$T$1,0))),INT(INDEX($A282:$T282,MATCH(Lists!$F$4,$A$1:$T$1,0))),DATE(VALUE(LEFT(INDEX($A282:$T282,MATCH(Lists!$F$4,$A$1:$T$1,0)),4)),VALUE(MID(INDEX($A282:$T282,MATCH(Lists!$F$4,$A$1:$T$1,0)),6,2)),VALUE(MID(INDEX($A282:$T282,MATCH(Lists!$F$4,$A$1:$T$1,0)),9,2))))),"")),IFERROR(IF(TRIM(INDEX($A282:$T282,MATCH(Lists!$F$4,$A$1:$T$1,0))&amp;"")="","",IF(ISNUMBER(INDEX($A282:$T282,MATCH(Lists!$F$4,$A$1:$T$1,0))),INT(INDEX($A282:$T282,MATCH(Lists!$F$4,$A$1:$T$1,0))),DATE(VALUE(LEFT(INDEX($A282:$T282,MATCH(Lists!$F$4,$A$1:$T$1,0)),4)),VALUE(MID(INDEX($A282:$T282,MATCH(Lists!$F$4,$A$1:$T$1,0)),6,2)),VALUE(MID(INDEX($A282:$T282,MATCH(Lists!$F$4,$A$1:$T$1,0)),9,2))))),""),IFERROR(IF(TRIM(INDEX($A282:$T282,MATCH(Lists!$F$5,$A$1:$T$1,0))&amp;"")="","",IF(ISNUMBER(INDEX($A282:$T282,MATCH(Lists!$F$5,$A$1:$T$1,0))),INT(INDEX($A282:$T282,MATCH(Lists!$F$5,$A$1:$T$1,0))),DATE(VALUE(LEFT(INDEX($A282:$T282,MATCH(Lists!$F$5,$A$1:$T$1,0)),4)),VALUE(MID(INDEX($A282:$T282,MATCH(Lists!$F$5,$A$1:$T$1,0)),6,2)),VALUE(MID(INDEX($A282:$T282,MATCH(Lists!$F$5,$A$1:$T$1,0)),9,2))))),"")))</f>
        <v/>
      </c>
      <c r="AB282" s="21">
        <f>IF(Y282="","",IF(LEFT(IFERROR(TRIM(INDEX($A282:$T282,MATCH(Lists!$F$6,$A$1:$T$1,0))&amp;""),""),2)="No","General comment",IF(IFERROR(TRIM(INDEX($A282:$T282,MATCH(Lists!$F$7,$A$1:$T$1,0))&amp;""),"")&lt;&gt;"",IFERROR(TRIM(INDEX($A282:$T282,MATCH(Lists!$F$7,$A$1:$T$1,0))&amp;""),""),IF(IFERROR(TRIM(INDEX($A282:$T282,MATCH(Lists!$F$8,$A$1:$T$1,0))&amp;""),"")&lt;&gt;"",IFERROR(TRIM(INDEX($A282:$T282,MATCH(Lists!$F$8,$A$1:$T$1,0))&amp;""),""),"(no item given)"))))</f>
        <v/>
      </c>
      <c r="AC282" s="21">
        <f>IF(Y282="","",IF(ISNUMBER(SEARCH("support",IFERROR(TRIM(INDEX($A282:$T282,MATCH(Lists!$F$9,$A$1:$T$1,0))&amp;""),""))),"Support",IF(ISNUMBER(SEARCH("oppose",IFERROR(TRIM(INDEX($A282:$T282,MATCH(Lists!$F$9,$A$1:$T$1,0))&amp;""),""))),"Oppose",IF(IFERROR(TRIM(INDEX($A282:$T282,MATCH(Lists!$F$9,$A$1:$T$1,0))&amp;""),"")="","No position","Neither"))))</f>
        <v/>
      </c>
      <c r="AD282" s="21">
        <f>IF(Y282="","",IF(ISNUMBER(SEARCH("in person",IFERROR(TRIM(INDEX($A282:$T282,MATCH(Lists!$F$13,$A$1:$T$1,0))&amp;""),""))),"In person",IF(ISNUMBER(SEARCH("online",IFERROR(TRIM(INDEX($A282:$T282,MATCH(Lists!$F$13,$A$1:$T$1,0))&amp;""),""))),"Online","Written only")))</f>
        <v/>
      </c>
      <c r="AE282" s="21">
        <f>IF(Y282="","",IFERROR(TRIM(INDEX($A282:$T282,MATCH(Lists!$F$11,$A$1:$T$1,0))&amp;""),""))</f>
        <v/>
      </c>
      <c r="AF282" s="21">
        <f>IF(Y282="","",IFERROR(TRIM(INDEX($A282:$T282,MATCH(Lists!$F$12,$A$1:$T$1,0))&amp;""),""))</f>
        <v/>
      </c>
      <c r="AG282" s="21">
        <f>IF(Y282="","",IFERROR(TRIM(INDEX($A282:$T282,MATCH(Lists!$F$14,$A$1:$T$1,0))&amp;""),""))</f>
        <v/>
      </c>
      <c r="AH282" s="21">
        <f>IF(Y282="","",LEFT(IFERROR(TRIM(INDEX($A282:$T282,MATCH(Lists!$F$10,$A$1:$T$1,0))&amp;""),""),80))</f>
        <v/>
      </c>
      <c r="AI282" s="21">
        <f>IF(Y282="",0,IF(OR(Tally!$B$5="",AA282=Tally!$B$5),1,0))</f>
        <v/>
      </c>
      <c r="AJ282" s="21">
        <f>IF(AI282=1,IF(COUNTIFS($AB$2:AB282,AB282,$AI$2:AI282,1)=1,1,0),0)</f>
        <v/>
      </c>
      <c r="AK282" s="21">
        <f>IF(AJ282=1,SUM($AJ$2:AJ282),"")</f>
        <v/>
      </c>
      <c r="AL282" s="21">
        <f>IF(AND(AI282=1,OR(AD282="In person",AD282="Online"),OR(Speakers!$B$5="",AB282=Speakers!$B$5)),N(Z282)+ROW()/1000000000,"")</f>
        <v/>
      </c>
    </row>
    <row r="283">
      <c r="U283" s="19" t="n"/>
      <c r="V283" s="24" t="n"/>
      <c r="W283" s="24" t="n"/>
      <c r="X283" s="19" t="n"/>
      <c r="Y283" s="21">
        <f>IFERROR(TRIM(INDEX($A283:$T283,MATCH(Lists!$F$2,$A$1:$T$1,0))&amp;""),"")</f>
        <v/>
      </c>
      <c r="Z283" s="22">
        <f>IF(Y283="","",IFERROR(IF(ISNUMBER(INDEX($A283:$T283,MATCH(Lists!$F$3,$A$1:$T$1,0))),INDEX($A283:$T283,MATCH(Lists!$F$3,$A$1:$T$1,0)),DATE(VALUE(LEFT(IFERROR(TRIM(INDEX($A283:$T283,MATCH(Lists!$F$3,$A$1:$T$1,0))&amp;""),""),4)),VALUE(MID(IFERROR(TRIM(INDEX($A283:$T283,MATCH(Lists!$F$3,$A$1:$T$1,0))&amp;""),""),6,2)),VALUE(MID(IFERROR(TRIM(INDEX($A283:$T283,MATCH(Lists!$F$3,$A$1:$T$1,0))&amp;""),""),9,2)))+TIME(VALUE(MID(IFERROR(TRIM(INDEX($A283:$T283,MATCH(Lists!$F$3,$A$1:$T$1,0))&amp;""),""),12,2)),VALUE(MID(IFERROR(TRIM(INDEX($A283:$T283,MATCH(Lists!$F$3,$A$1:$T$1,0))&amp;""),""),15,2)),VALUE(MID(IFERROR(TRIM(INDEX($A283:$T283,MATCH(Lists!$F$3,$A$1:$T$1,0))&amp;""),""),18,2)))),""))</f>
        <v/>
      </c>
      <c r="AA283" s="23">
        <f>IF(Y283="","",IF(ISNUMBER(IFERROR(IF(TRIM(INDEX($A283:$T283,MATCH(Lists!$F$4,$A$1:$T$1,0))&amp;"")="","",IF(ISNUMBER(INDEX($A283:$T283,MATCH(Lists!$F$4,$A$1:$T$1,0))),INT(INDEX($A283:$T283,MATCH(Lists!$F$4,$A$1:$T$1,0))),DATE(VALUE(LEFT(INDEX($A283:$T283,MATCH(Lists!$F$4,$A$1:$T$1,0)),4)),VALUE(MID(INDEX($A283:$T283,MATCH(Lists!$F$4,$A$1:$T$1,0)),6,2)),VALUE(MID(INDEX($A283:$T283,MATCH(Lists!$F$4,$A$1:$T$1,0)),9,2))))),"")),IFERROR(IF(TRIM(INDEX($A283:$T283,MATCH(Lists!$F$4,$A$1:$T$1,0))&amp;"")="","",IF(ISNUMBER(INDEX($A283:$T283,MATCH(Lists!$F$4,$A$1:$T$1,0))),INT(INDEX($A283:$T283,MATCH(Lists!$F$4,$A$1:$T$1,0))),DATE(VALUE(LEFT(INDEX($A283:$T283,MATCH(Lists!$F$4,$A$1:$T$1,0)),4)),VALUE(MID(INDEX($A283:$T283,MATCH(Lists!$F$4,$A$1:$T$1,0)),6,2)),VALUE(MID(INDEX($A283:$T283,MATCH(Lists!$F$4,$A$1:$T$1,0)),9,2))))),""),IFERROR(IF(TRIM(INDEX($A283:$T283,MATCH(Lists!$F$5,$A$1:$T$1,0))&amp;"")="","",IF(ISNUMBER(INDEX($A283:$T283,MATCH(Lists!$F$5,$A$1:$T$1,0))),INT(INDEX($A283:$T283,MATCH(Lists!$F$5,$A$1:$T$1,0))),DATE(VALUE(LEFT(INDEX($A283:$T283,MATCH(Lists!$F$5,$A$1:$T$1,0)),4)),VALUE(MID(INDEX($A283:$T283,MATCH(Lists!$F$5,$A$1:$T$1,0)),6,2)),VALUE(MID(INDEX($A283:$T283,MATCH(Lists!$F$5,$A$1:$T$1,0)),9,2))))),"")))</f>
        <v/>
      </c>
      <c r="AB283" s="21">
        <f>IF(Y283="","",IF(LEFT(IFERROR(TRIM(INDEX($A283:$T283,MATCH(Lists!$F$6,$A$1:$T$1,0))&amp;""),""),2)="No","General comment",IF(IFERROR(TRIM(INDEX($A283:$T283,MATCH(Lists!$F$7,$A$1:$T$1,0))&amp;""),"")&lt;&gt;"",IFERROR(TRIM(INDEX($A283:$T283,MATCH(Lists!$F$7,$A$1:$T$1,0))&amp;""),""),IF(IFERROR(TRIM(INDEX($A283:$T283,MATCH(Lists!$F$8,$A$1:$T$1,0))&amp;""),"")&lt;&gt;"",IFERROR(TRIM(INDEX($A283:$T283,MATCH(Lists!$F$8,$A$1:$T$1,0))&amp;""),""),"(no item given)"))))</f>
        <v/>
      </c>
      <c r="AC283" s="21">
        <f>IF(Y283="","",IF(ISNUMBER(SEARCH("support",IFERROR(TRIM(INDEX($A283:$T283,MATCH(Lists!$F$9,$A$1:$T$1,0))&amp;""),""))),"Support",IF(ISNUMBER(SEARCH("oppose",IFERROR(TRIM(INDEX($A283:$T283,MATCH(Lists!$F$9,$A$1:$T$1,0))&amp;""),""))),"Oppose",IF(IFERROR(TRIM(INDEX($A283:$T283,MATCH(Lists!$F$9,$A$1:$T$1,0))&amp;""),"")="","No position","Neither"))))</f>
        <v/>
      </c>
      <c r="AD283" s="21">
        <f>IF(Y283="","",IF(ISNUMBER(SEARCH("in person",IFERROR(TRIM(INDEX($A283:$T283,MATCH(Lists!$F$13,$A$1:$T$1,0))&amp;""),""))),"In person",IF(ISNUMBER(SEARCH("online",IFERROR(TRIM(INDEX($A283:$T283,MATCH(Lists!$F$13,$A$1:$T$1,0))&amp;""),""))),"Online","Written only")))</f>
        <v/>
      </c>
      <c r="AE283" s="21">
        <f>IF(Y283="","",IFERROR(TRIM(INDEX($A283:$T283,MATCH(Lists!$F$11,$A$1:$T$1,0))&amp;""),""))</f>
        <v/>
      </c>
      <c r="AF283" s="21">
        <f>IF(Y283="","",IFERROR(TRIM(INDEX($A283:$T283,MATCH(Lists!$F$12,$A$1:$T$1,0))&amp;""),""))</f>
        <v/>
      </c>
      <c r="AG283" s="21">
        <f>IF(Y283="","",IFERROR(TRIM(INDEX($A283:$T283,MATCH(Lists!$F$14,$A$1:$T$1,0))&amp;""),""))</f>
        <v/>
      </c>
      <c r="AH283" s="21">
        <f>IF(Y283="","",LEFT(IFERROR(TRIM(INDEX($A283:$T283,MATCH(Lists!$F$10,$A$1:$T$1,0))&amp;""),""),80))</f>
        <v/>
      </c>
      <c r="AI283" s="21">
        <f>IF(Y283="",0,IF(OR(Tally!$B$5="",AA283=Tally!$B$5),1,0))</f>
        <v/>
      </c>
      <c r="AJ283" s="21">
        <f>IF(AI283=1,IF(COUNTIFS($AB$2:AB283,AB283,$AI$2:AI283,1)=1,1,0),0)</f>
        <v/>
      </c>
      <c r="AK283" s="21">
        <f>IF(AJ283=1,SUM($AJ$2:AJ283),"")</f>
        <v/>
      </c>
      <c r="AL283" s="21">
        <f>IF(AND(AI283=1,OR(AD283="In person",AD283="Online"),OR(Speakers!$B$5="",AB283=Speakers!$B$5)),N(Z283)+ROW()/1000000000,"")</f>
        <v/>
      </c>
    </row>
    <row r="284">
      <c r="U284" s="19" t="n"/>
      <c r="V284" s="24" t="n"/>
      <c r="W284" s="24" t="n"/>
      <c r="X284" s="19" t="n"/>
      <c r="Y284" s="21">
        <f>IFERROR(TRIM(INDEX($A284:$T284,MATCH(Lists!$F$2,$A$1:$T$1,0))&amp;""),"")</f>
        <v/>
      </c>
      <c r="Z284" s="22">
        <f>IF(Y284="","",IFERROR(IF(ISNUMBER(INDEX($A284:$T284,MATCH(Lists!$F$3,$A$1:$T$1,0))),INDEX($A284:$T284,MATCH(Lists!$F$3,$A$1:$T$1,0)),DATE(VALUE(LEFT(IFERROR(TRIM(INDEX($A284:$T284,MATCH(Lists!$F$3,$A$1:$T$1,0))&amp;""),""),4)),VALUE(MID(IFERROR(TRIM(INDEX($A284:$T284,MATCH(Lists!$F$3,$A$1:$T$1,0))&amp;""),""),6,2)),VALUE(MID(IFERROR(TRIM(INDEX($A284:$T284,MATCH(Lists!$F$3,$A$1:$T$1,0))&amp;""),""),9,2)))+TIME(VALUE(MID(IFERROR(TRIM(INDEX($A284:$T284,MATCH(Lists!$F$3,$A$1:$T$1,0))&amp;""),""),12,2)),VALUE(MID(IFERROR(TRIM(INDEX($A284:$T284,MATCH(Lists!$F$3,$A$1:$T$1,0))&amp;""),""),15,2)),VALUE(MID(IFERROR(TRIM(INDEX($A284:$T284,MATCH(Lists!$F$3,$A$1:$T$1,0))&amp;""),""),18,2)))),""))</f>
        <v/>
      </c>
      <c r="AA284" s="23">
        <f>IF(Y284="","",IF(ISNUMBER(IFERROR(IF(TRIM(INDEX($A284:$T284,MATCH(Lists!$F$4,$A$1:$T$1,0))&amp;"")="","",IF(ISNUMBER(INDEX($A284:$T284,MATCH(Lists!$F$4,$A$1:$T$1,0))),INT(INDEX($A284:$T284,MATCH(Lists!$F$4,$A$1:$T$1,0))),DATE(VALUE(LEFT(INDEX($A284:$T284,MATCH(Lists!$F$4,$A$1:$T$1,0)),4)),VALUE(MID(INDEX($A284:$T284,MATCH(Lists!$F$4,$A$1:$T$1,0)),6,2)),VALUE(MID(INDEX($A284:$T284,MATCH(Lists!$F$4,$A$1:$T$1,0)),9,2))))),"")),IFERROR(IF(TRIM(INDEX($A284:$T284,MATCH(Lists!$F$4,$A$1:$T$1,0))&amp;"")="","",IF(ISNUMBER(INDEX($A284:$T284,MATCH(Lists!$F$4,$A$1:$T$1,0))),INT(INDEX($A284:$T284,MATCH(Lists!$F$4,$A$1:$T$1,0))),DATE(VALUE(LEFT(INDEX($A284:$T284,MATCH(Lists!$F$4,$A$1:$T$1,0)),4)),VALUE(MID(INDEX($A284:$T284,MATCH(Lists!$F$4,$A$1:$T$1,0)),6,2)),VALUE(MID(INDEX($A284:$T284,MATCH(Lists!$F$4,$A$1:$T$1,0)),9,2))))),""),IFERROR(IF(TRIM(INDEX($A284:$T284,MATCH(Lists!$F$5,$A$1:$T$1,0))&amp;"")="","",IF(ISNUMBER(INDEX($A284:$T284,MATCH(Lists!$F$5,$A$1:$T$1,0))),INT(INDEX($A284:$T284,MATCH(Lists!$F$5,$A$1:$T$1,0))),DATE(VALUE(LEFT(INDEX($A284:$T284,MATCH(Lists!$F$5,$A$1:$T$1,0)),4)),VALUE(MID(INDEX($A284:$T284,MATCH(Lists!$F$5,$A$1:$T$1,0)),6,2)),VALUE(MID(INDEX($A284:$T284,MATCH(Lists!$F$5,$A$1:$T$1,0)),9,2))))),"")))</f>
        <v/>
      </c>
      <c r="AB284" s="21">
        <f>IF(Y284="","",IF(LEFT(IFERROR(TRIM(INDEX($A284:$T284,MATCH(Lists!$F$6,$A$1:$T$1,0))&amp;""),""),2)="No","General comment",IF(IFERROR(TRIM(INDEX($A284:$T284,MATCH(Lists!$F$7,$A$1:$T$1,0))&amp;""),"")&lt;&gt;"",IFERROR(TRIM(INDEX($A284:$T284,MATCH(Lists!$F$7,$A$1:$T$1,0))&amp;""),""),IF(IFERROR(TRIM(INDEX($A284:$T284,MATCH(Lists!$F$8,$A$1:$T$1,0))&amp;""),"")&lt;&gt;"",IFERROR(TRIM(INDEX($A284:$T284,MATCH(Lists!$F$8,$A$1:$T$1,0))&amp;""),""),"(no item given)"))))</f>
        <v/>
      </c>
      <c r="AC284" s="21">
        <f>IF(Y284="","",IF(ISNUMBER(SEARCH("support",IFERROR(TRIM(INDEX($A284:$T284,MATCH(Lists!$F$9,$A$1:$T$1,0))&amp;""),""))),"Support",IF(ISNUMBER(SEARCH("oppose",IFERROR(TRIM(INDEX($A284:$T284,MATCH(Lists!$F$9,$A$1:$T$1,0))&amp;""),""))),"Oppose",IF(IFERROR(TRIM(INDEX($A284:$T284,MATCH(Lists!$F$9,$A$1:$T$1,0))&amp;""),"")="","No position","Neither"))))</f>
        <v/>
      </c>
      <c r="AD284" s="21">
        <f>IF(Y284="","",IF(ISNUMBER(SEARCH("in person",IFERROR(TRIM(INDEX($A284:$T284,MATCH(Lists!$F$13,$A$1:$T$1,0))&amp;""),""))),"In person",IF(ISNUMBER(SEARCH("online",IFERROR(TRIM(INDEX($A284:$T284,MATCH(Lists!$F$13,$A$1:$T$1,0))&amp;""),""))),"Online","Written only")))</f>
        <v/>
      </c>
      <c r="AE284" s="21">
        <f>IF(Y284="","",IFERROR(TRIM(INDEX($A284:$T284,MATCH(Lists!$F$11,$A$1:$T$1,0))&amp;""),""))</f>
        <v/>
      </c>
      <c r="AF284" s="21">
        <f>IF(Y284="","",IFERROR(TRIM(INDEX($A284:$T284,MATCH(Lists!$F$12,$A$1:$T$1,0))&amp;""),""))</f>
        <v/>
      </c>
      <c r="AG284" s="21">
        <f>IF(Y284="","",IFERROR(TRIM(INDEX($A284:$T284,MATCH(Lists!$F$14,$A$1:$T$1,0))&amp;""),""))</f>
        <v/>
      </c>
      <c r="AH284" s="21">
        <f>IF(Y284="","",LEFT(IFERROR(TRIM(INDEX($A284:$T284,MATCH(Lists!$F$10,$A$1:$T$1,0))&amp;""),""),80))</f>
        <v/>
      </c>
      <c r="AI284" s="21">
        <f>IF(Y284="",0,IF(OR(Tally!$B$5="",AA284=Tally!$B$5),1,0))</f>
        <v/>
      </c>
      <c r="AJ284" s="21">
        <f>IF(AI284=1,IF(COUNTIFS($AB$2:AB284,AB284,$AI$2:AI284,1)=1,1,0),0)</f>
        <v/>
      </c>
      <c r="AK284" s="21">
        <f>IF(AJ284=1,SUM($AJ$2:AJ284),"")</f>
        <v/>
      </c>
      <c r="AL284" s="21">
        <f>IF(AND(AI284=1,OR(AD284="In person",AD284="Online"),OR(Speakers!$B$5="",AB284=Speakers!$B$5)),N(Z284)+ROW()/1000000000,"")</f>
        <v/>
      </c>
    </row>
    <row r="285">
      <c r="U285" s="19" t="n"/>
      <c r="V285" s="24" t="n"/>
      <c r="W285" s="24" t="n"/>
      <c r="X285" s="19" t="n"/>
      <c r="Y285" s="21">
        <f>IFERROR(TRIM(INDEX($A285:$T285,MATCH(Lists!$F$2,$A$1:$T$1,0))&amp;""),"")</f>
        <v/>
      </c>
      <c r="Z285" s="22">
        <f>IF(Y285="","",IFERROR(IF(ISNUMBER(INDEX($A285:$T285,MATCH(Lists!$F$3,$A$1:$T$1,0))),INDEX($A285:$T285,MATCH(Lists!$F$3,$A$1:$T$1,0)),DATE(VALUE(LEFT(IFERROR(TRIM(INDEX($A285:$T285,MATCH(Lists!$F$3,$A$1:$T$1,0))&amp;""),""),4)),VALUE(MID(IFERROR(TRIM(INDEX($A285:$T285,MATCH(Lists!$F$3,$A$1:$T$1,0))&amp;""),""),6,2)),VALUE(MID(IFERROR(TRIM(INDEX($A285:$T285,MATCH(Lists!$F$3,$A$1:$T$1,0))&amp;""),""),9,2)))+TIME(VALUE(MID(IFERROR(TRIM(INDEX($A285:$T285,MATCH(Lists!$F$3,$A$1:$T$1,0))&amp;""),""),12,2)),VALUE(MID(IFERROR(TRIM(INDEX($A285:$T285,MATCH(Lists!$F$3,$A$1:$T$1,0))&amp;""),""),15,2)),VALUE(MID(IFERROR(TRIM(INDEX($A285:$T285,MATCH(Lists!$F$3,$A$1:$T$1,0))&amp;""),""),18,2)))),""))</f>
        <v/>
      </c>
      <c r="AA285" s="23">
        <f>IF(Y285="","",IF(ISNUMBER(IFERROR(IF(TRIM(INDEX($A285:$T285,MATCH(Lists!$F$4,$A$1:$T$1,0))&amp;"")="","",IF(ISNUMBER(INDEX($A285:$T285,MATCH(Lists!$F$4,$A$1:$T$1,0))),INT(INDEX($A285:$T285,MATCH(Lists!$F$4,$A$1:$T$1,0))),DATE(VALUE(LEFT(INDEX($A285:$T285,MATCH(Lists!$F$4,$A$1:$T$1,0)),4)),VALUE(MID(INDEX($A285:$T285,MATCH(Lists!$F$4,$A$1:$T$1,0)),6,2)),VALUE(MID(INDEX($A285:$T285,MATCH(Lists!$F$4,$A$1:$T$1,0)),9,2))))),"")),IFERROR(IF(TRIM(INDEX($A285:$T285,MATCH(Lists!$F$4,$A$1:$T$1,0))&amp;"")="","",IF(ISNUMBER(INDEX($A285:$T285,MATCH(Lists!$F$4,$A$1:$T$1,0))),INT(INDEX($A285:$T285,MATCH(Lists!$F$4,$A$1:$T$1,0))),DATE(VALUE(LEFT(INDEX($A285:$T285,MATCH(Lists!$F$4,$A$1:$T$1,0)),4)),VALUE(MID(INDEX($A285:$T285,MATCH(Lists!$F$4,$A$1:$T$1,0)),6,2)),VALUE(MID(INDEX($A285:$T285,MATCH(Lists!$F$4,$A$1:$T$1,0)),9,2))))),""),IFERROR(IF(TRIM(INDEX($A285:$T285,MATCH(Lists!$F$5,$A$1:$T$1,0))&amp;"")="","",IF(ISNUMBER(INDEX($A285:$T285,MATCH(Lists!$F$5,$A$1:$T$1,0))),INT(INDEX($A285:$T285,MATCH(Lists!$F$5,$A$1:$T$1,0))),DATE(VALUE(LEFT(INDEX($A285:$T285,MATCH(Lists!$F$5,$A$1:$T$1,0)),4)),VALUE(MID(INDEX($A285:$T285,MATCH(Lists!$F$5,$A$1:$T$1,0)),6,2)),VALUE(MID(INDEX($A285:$T285,MATCH(Lists!$F$5,$A$1:$T$1,0)),9,2))))),"")))</f>
        <v/>
      </c>
      <c r="AB285" s="21">
        <f>IF(Y285="","",IF(LEFT(IFERROR(TRIM(INDEX($A285:$T285,MATCH(Lists!$F$6,$A$1:$T$1,0))&amp;""),""),2)="No","General comment",IF(IFERROR(TRIM(INDEX($A285:$T285,MATCH(Lists!$F$7,$A$1:$T$1,0))&amp;""),"")&lt;&gt;"",IFERROR(TRIM(INDEX($A285:$T285,MATCH(Lists!$F$7,$A$1:$T$1,0))&amp;""),""),IF(IFERROR(TRIM(INDEX($A285:$T285,MATCH(Lists!$F$8,$A$1:$T$1,0))&amp;""),"")&lt;&gt;"",IFERROR(TRIM(INDEX($A285:$T285,MATCH(Lists!$F$8,$A$1:$T$1,0))&amp;""),""),"(no item given)"))))</f>
        <v/>
      </c>
      <c r="AC285" s="21">
        <f>IF(Y285="","",IF(ISNUMBER(SEARCH("support",IFERROR(TRIM(INDEX($A285:$T285,MATCH(Lists!$F$9,$A$1:$T$1,0))&amp;""),""))),"Support",IF(ISNUMBER(SEARCH("oppose",IFERROR(TRIM(INDEX($A285:$T285,MATCH(Lists!$F$9,$A$1:$T$1,0))&amp;""),""))),"Oppose",IF(IFERROR(TRIM(INDEX($A285:$T285,MATCH(Lists!$F$9,$A$1:$T$1,0))&amp;""),"")="","No position","Neither"))))</f>
        <v/>
      </c>
      <c r="AD285" s="21">
        <f>IF(Y285="","",IF(ISNUMBER(SEARCH("in person",IFERROR(TRIM(INDEX($A285:$T285,MATCH(Lists!$F$13,$A$1:$T$1,0))&amp;""),""))),"In person",IF(ISNUMBER(SEARCH("online",IFERROR(TRIM(INDEX($A285:$T285,MATCH(Lists!$F$13,$A$1:$T$1,0))&amp;""),""))),"Online","Written only")))</f>
        <v/>
      </c>
      <c r="AE285" s="21">
        <f>IF(Y285="","",IFERROR(TRIM(INDEX($A285:$T285,MATCH(Lists!$F$11,$A$1:$T$1,0))&amp;""),""))</f>
        <v/>
      </c>
      <c r="AF285" s="21">
        <f>IF(Y285="","",IFERROR(TRIM(INDEX($A285:$T285,MATCH(Lists!$F$12,$A$1:$T$1,0))&amp;""),""))</f>
        <v/>
      </c>
      <c r="AG285" s="21">
        <f>IF(Y285="","",IFERROR(TRIM(INDEX($A285:$T285,MATCH(Lists!$F$14,$A$1:$T$1,0))&amp;""),""))</f>
        <v/>
      </c>
      <c r="AH285" s="21">
        <f>IF(Y285="","",LEFT(IFERROR(TRIM(INDEX($A285:$T285,MATCH(Lists!$F$10,$A$1:$T$1,0))&amp;""),""),80))</f>
        <v/>
      </c>
      <c r="AI285" s="21">
        <f>IF(Y285="",0,IF(OR(Tally!$B$5="",AA285=Tally!$B$5),1,0))</f>
        <v/>
      </c>
      <c r="AJ285" s="21">
        <f>IF(AI285=1,IF(COUNTIFS($AB$2:AB285,AB285,$AI$2:AI285,1)=1,1,0),0)</f>
        <v/>
      </c>
      <c r="AK285" s="21">
        <f>IF(AJ285=1,SUM($AJ$2:AJ285),"")</f>
        <v/>
      </c>
      <c r="AL285" s="21">
        <f>IF(AND(AI285=1,OR(AD285="In person",AD285="Online"),OR(Speakers!$B$5="",AB285=Speakers!$B$5)),N(Z285)+ROW()/1000000000,"")</f>
        <v/>
      </c>
    </row>
    <row r="286">
      <c r="U286" s="19" t="n"/>
      <c r="V286" s="24" t="n"/>
      <c r="W286" s="24" t="n"/>
      <c r="X286" s="19" t="n"/>
      <c r="Y286" s="21">
        <f>IFERROR(TRIM(INDEX($A286:$T286,MATCH(Lists!$F$2,$A$1:$T$1,0))&amp;""),"")</f>
        <v/>
      </c>
      <c r="Z286" s="22">
        <f>IF(Y286="","",IFERROR(IF(ISNUMBER(INDEX($A286:$T286,MATCH(Lists!$F$3,$A$1:$T$1,0))),INDEX($A286:$T286,MATCH(Lists!$F$3,$A$1:$T$1,0)),DATE(VALUE(LEFT(IFERROR(TRIM(INDEX($A286:$T286,MATCH(Lists!$F$3,$A$1:$T$1,0))&amp;""),""),4)),VALUE(MID(IFERROR(TRIM(INDEX($A286:$T286,MATCH(Lists!$F$3,$A$1:$T$1,0))&amp;""),""),6,2)),VALUE(MID(IFERROR(TRIM(INDEX($A286:$T286,MATCH(Lists!$F$3,$A$1:$T$1,0))&amp;""),""),9,2)))+TIME(VALUE(MID(IFERROR(TRIM(INDEX($A286:$T286,MATCH(Lists!$F$3,$A$1:$T$1,0))&amp;""),""),12,2)),VALUE(MID(IFERROR(TRIM(INDEX($A286:$T286,MATCH(Lists!$F$3,$A$1:$T$1,0))&amp;""),""),15,2)),VALUE(MID(IFERROR(TRIM(INDEX($A286:$T286,MATCH(Lists!$F$3,$A$1:$T$1,0))&amp;""),""),18,2)))),""))</f>
        <v/>
      </c>
      <c r="AA286" s="23">
        <f>IF(Y286="","",IF(ISNUMBER(IFERROR(IF(TRIM(INDEX($A286:$T286,MATCH(Lists!$F$4,$A$1:$T$1,0))&amp;"")="","",IF(ISNUMBER(INDEX($A286:$T286,MATCH(Lists!$F$4,$A$1:$T$1,0))),INT(INDEX($A286:$T286,MATCH(Lists!$F$4,$A$1:$T$1,0))),DATE(VALUE(LEFT(INDEX($A286:$T286,MATCH(Lists!$F$4,$A$1:$T$1,0)),4)),VALUE(MID(INDEX($A286:$T286,MATCH(Lists!$F$4,$A$1:$T$1,0)),6,2)),VALUE(MID(INDEX($A286:$T286,MATCH(Lists!$F$4,$A$1:$T$1,0)),9,2))))),"")),IFERROR(IF(TRIM(INDEX($A286:$T286,MATCH(Lists!$F$4,$A$1:$T$1,0))&amp;"")="","",IF(ISNUMBER(INDEX($A286:$T286,MATCH(Lists!$F$4,$A$1:$T$1,0))),INT(INDEX($A286:$T286,MATCH(Lists!$F$4,$A$1:$T$1,0))),DATE(VALUE(LEFT(INDEX($A286:$T286,MATCH(Lists!$F$4,$A$1:$T$1,0)),4)),VALUE(MID(INDEX($A286:$T286,MATCH(Lists!$F$4,$A$1:$T$1,0)),6,2)),VALUE(MID(INDEX($A286:$T286,MATCH(Lists!$F$4,$A$1:$T$1,0)),9,2))))),""),IFERROR(IF(TRIM(INDEX($A286:$T286,MATCH(Lists!$F$5,$A$1:$T$1,0))&amp;"")="","",IF(ISNUMBER(INDEX($A286:$T286,MATCH(Lists!$F$5,$A$1:$T$1,0))),INT(INDEX($A286:$T286,MATCH(Lists!$F$5,$A$1:$T$1,0))),DATE(VALUE(LEFT(INDEX($A286:$T286,MATCH(Lists!$F$5,$A$1:$T$1,0)),4)),VALUE(MID(INDEX($A286:$T286,MATCH(Lists!$F$5,$A$1:$T$1,0)),6,2)),VALUE(MID(INDEX($A286:$T286,MATCH(Lists!$F$5,$A$1:$T$1,0)),9,2))))),"")))</f>
        <v/>
      </c>
      <c r="AB286" s="21">
        <f>IF(Y286="","",IF(LEFT(IFERROR(TRIM(INDEX($A286:$T286,MATCH(Lists!$F$6,$A$1:$T$1,0))&amp;""),""),2)="No","General comment",IF(IFERROR(TRIM(INDEX($A286:$T286,MATCH(Lists!$F$7,$A$1:$T$1,0))&amp;""),"")&lt;&gt;"",IFERROR(TRIM(INDEX($A286:$T286,MATCH(Lists!$F$7,$A$1:$T$1,0))&amp;""),""),IF(IFERROR(TRIM(INDEX($A286:$T286,MATCH(Lists!$F$8,$A$1:$T$1,0))&amp;""),"")&lt;&gt;"",IFERROR(TRIM(INDEX($A286:$T286,MATCH(Lists!$F$8,$A$1:$T$1,0))&amp;""),""),"(no item given)"))))</f>
        <v/>
      </c>
      <c r="AC286" s="21">
        <f>IF(Y286="","",IF(ISNUMBER(SEARCH("support",IFERROR(TRIM(INDEX($A286:$T286,MATCH(Lists!$F$9,$A$1:$T$1,0))&amp;""),""))),"Support",IF(ISNUMBER(SEARCH("oppose",IFERROR(TRIM(INDEX($A286:$T286,MATCH(Lists!$F$9,$A$1:$T$1,0))&amp;""),""))),"Oppose",IF(IFERROR(TRIM(INDEX($A286:$T286,MATCH(Lists!$F$9,$A$1:$T$1,0))&amp;""),"")="","No position","Neither"))))</f>
        <v/>
      </c>
      <c r="AD286" s="21">
        <f>IF(Y286="","",IF(ISNUMBER(SEARCH("in person",IFERROR(TRIM(INDEX($A286:$T286,MATCH(Lists!$F$13,$A$1:$T$1,0))&amp;""),""))),"In person",IF(ISNUMBER(SEARCH("online",IFERROR(TRIM(INDEX($A286:$T286,MATCH(Lists!$F$13,$A$1:$T$1,0))&amp;""),""))),"Online","Written only")))</f>
        <v/>
      </c>
      <c r="AE286" s="21">
        <f>IF(Y286="","",IFERROR(TRIM(INDEX($A286:$T286,MATCH(Lists!$F$11,$A$1:$T$1,0))&amp;""),""))</f>
        <v/>
      </c>
      <c r="AF286" s="21">
        <f>IF(Y286="","",IFERROR(TRIM(INDEX($A286:$T286,MATCH(Lists!$F$12,$A$1:$T$1,0))&amp;""),""))</f>
        <v/>
      </c>
      <c r="AG286" s="21">
        <f>IF(Y286="","",IFERROR(TRIM(INDEX($A286:$T286,MATCH(Lists!$F$14,$A$1:$T$1,0))&amp;""),""))</f>
        <v/>
      </c>
      <c r="AH286" s="21">
        <f>IF(Y286="","",LEFT(IFERROR(TRIM(INDEX($A286:$T286,MATCH(Lists!$F$10,$A$1:$T$1,0))&amp;""),""),80))</f>
        <v/>
      </c>
      <c r="AI286" s="21">
        <f>IF(Y286="",0,IF(OR(Tally!$B$5="",AA286=Tally!$B$5),1,0))</f>
        <v/>
      </c>
      <c r="AJ286" s="21">
        <f>IF(AI286=1,IF(COUNTIFS($AB$2:AB286,AB286,$AI$2:AI286,1)=1,1,0),0)</f>
        <v/>
      </c>
      <c r="AK286" s="21">
        <f>IF(AJ286=1,SUM($AJ$2:AJ286),"")</f>
        <v/>
      </c>
      <c r="AL286" s="21">
        <f>IF(AND(AI286=1,OR(AD286="In person",AD286="Online"),OR(Speakers!$B$5="",AB286=Speakers!$B$5)),N(Z286)+ROW()/1000000000,"")</f>
        <v/>
      </c>
    </row>
    <row r="287">
      <c r="U287" s="19" t="n"/>
      <c r="V287" s="24" t="n"/>
      <c r="W287" s="24" t="n"/>
      <c r="X287" s="19" t="n"/>
      <c r="Y287" s="21">
        <f>IFERROR(TRIM(INDEX($A287:$T287,MATCH(Lists!$F$2,$A$1:$T$1,0))&amp;""),"")</f>
        <v/>
      </c>
      <c r="Z287" s="22">
        <f>IF(Y287="","",IFERROR(IF(ISNUMBER(INDEX($A287:$T287,MATCH(Lists!$F$3,$A$1:$T$1,0))),INDEX($A287:$T287,MATCH(Lists!$F$3,$A$1:$T$1,0)),DATE(VALUE(LEFT(IFERROR(TRIM(INDEX($A287:$T287,MATCH(Lists!$F$3,$A$1:$T$1,0))&amp;""),""),4)),VALUE(MID(IFERROR(TRIM(INDEX($A287:$T287,MATCH(Lists!$F$3,$A$1:$T$1,0))&amp;""),""),6,2)),VALUE(MID(IFERROR(TRIM(INDEX($A287:$T287,MATCH(Lists!$F$3,$A$1:$T$1,0))&amp;""),""),9,2)))+TIME(VALUE(MID(IFERROR(TRIM(INDEX($A287:$T287,MATCH(Lists!$F$3,$A$1:$T$1,0))&amp;""),""),12,2)),VALUE(MID(IFERROR(TRIM(INDEX($A287:$T287,MATCH(Lists!$F$3,$A$1:$T$1,0))&amp;""),""),15,2)),VALUE(MID(IFERROR(TRIM(INDEX($A287:$T287,MATCH(Lists!$F$3,$A$1:$T$1,0))&amp;""),""),18,2)))),""))</f>
        <v/>
      </c>
      <c r="AA287" s="23">
        <f>IF(Y287="","",IF(ISNUMBER(IFERROR(IF(TRIM(INDEX($A287:$T287,MATCH(Lists!$F$4,$A$1:$T$1,0))&amp;"")="","",IF(ISNUMBER(INDEX($A287:$T287,MATCH(Lists!$F$4,$A$1:$T$1,0))),INT(INDEX($A287:$T287,MATCH(Lists!$F$4,$A$1:$T$1,0))),DATE(VALUE(LEFT(INDEX($A287:$T287,MATCH(Lists!$F$4,$A$1:$T$1,0)),4)),VALUE(MID(INDEX($A287:$T287,MATCH(Lists!$F$4,$A$1:$T$1,0)),6,2)),VALUE(MID(INDEX($A287:$T287,MATCH(Lists!$F$4,$A$1:$T$1,0)),9,2))))),"")),IFERROR(IF(TRIM(INDEX($A287:$T287,MATCH(Lists!$F$4,$A$1:$T$1,0))&amp;"")="","",IF(ISNUMBER(INDEX($A287:$T287,MATCH(Lists!$F$4,$A$1:$T$1,0))),INT(INDEX($A287:$T287,MATCH(Lists!$F$4,$A$1:$T$1,0))),DATE(VALUE(LEFT(INDEX($A287:$T287,MATCH(Lists!$F$4,$A$1:$T$1,0)),4)),VALUE(MID(INDEX($A287:$T287,MATCH(Lists!$F$4,$A$1:$T$1,0)),6,2)),VALUE(MID(INDEX($A287:$T287,MATCH(Lists!$F$4,$A$1:$T$1,0)),9,2))))),""),IFERROR(IF(TRIM(INDEX($A287:$T287,MATCH(Lists!$F$5,$A$1:$T$1,0))&amp;"")="","",IF(ISNUMBER(INDEX($A287:$T287,MATCH(Lists!$F$5,$A$1:$T$1,0))),INT(INDEX($A287:$T287,MATCH(Lists!$F$5,$A$1:$T$1,0))),DATE(VALUE(LEFT(INDEX($A287:$T287,MATCH(Lists!$F$5,$A$1:$T$1,0)),4)),VALUE(MID(INDEX($A287:$T287,MATCH(Lists!$F$5,$A$1:$T$1,0)),6,2)),VALUE(MID(INDEX($A287:$T287,MATCH(Lists!$F$5,$A$1:$T$1,0)),9,2))))),"")))</f>
        <v/>
      </c>
      <c r="AB287" s="21">
        <f>IF(Y287="","",IF(LEFT(IFERROR(TRIM(INDEX($A287:$T287,MATCH(Lists!$F$6,$A$1:$T$1,0))&amp;""),""),2)="No","General comment",IF(IFERROR(TRIM(INDEX($A287:$T287,MATCH(Lists!$F$7,$A$1:$T$1,0))&amp;""),"")&lt;&gt;"",IFERROR(TRIM(INDEX($A287:$T287,MATCH(Lists!$F$7,$A$1:$T$1,0))&amp;""),""),IF(IFERROR(TRIM(INDEX($A287:$T287,MATCH(Lists!$F$8,$A$1:$T$1,0))&amp;""),"")&lt;&gt;"",IFERROR(TRIM(INDEX($A287:$T287,MATCH(Lists!$F$8,$A$1:$T$1,0))&amp;""),""),"(no item given)"))))</f>
        <v/>
      </c>
      <c r="AC287" s="21">
        <f>IF(Y287="","",IF(ISNUMBER(SEARCH("support",IFERROR(TRIM(INDEX($A287:$T287,MATCH(Lists!$F$9,$A$1:$T$1,0))&amp;""),""))),"Support",IF(ISNUMBER(SEARCH("oppose",IFERROR(TRIM(INDEX($A287:$T287,MATCH(Lists!$F$9,$A$1:$T$1,0))&amp;""),""))),"Oppose",IF(IFERROR(TRIM(INDEX($A287:$T287,MATCH(Lists!$F$9,$A$1:$T$1,0))&amp;""),"")="","No position","Neither"))))</f>
        <v/>
      </c>
      <c r="AD287" s="21">
        <f>IF(Y287="","",IF(ISNUMBER(SEARCH("in person",IFERROR(TRIM(INDEX($A287:$T287,MATCH(Lists!$F$13,$A$1:$T$1,0))&amp;""),""))),"In person",IF(ISNUMBER(SEARCH("online",IFERROR(TRIM(INDEX($A287:$T287,MATCH(Lists!$F$13,$A$1:$T$1,0))&amp;""),""))),"Online","Written only")))</f>
        <v/>
      </c>
      <c r="AE287" s="21">
        <f>IF(Y287="","",IFERROR(TRIM(INDEX($A287:$T287,MATCH(Lists!$F$11,$A$1:$T$1,0))&amp;""),""))</f>
        <v/>
      </c>
      <c r="AF287" s="21">
        <f>IF(Y287="","",IFERROR(TRIM(INDEX($A287:$T287,MATCH(Lists!$F$12,$A$1:$T$1,0))&amp;""),""))</f>
        <v/>
      </c>
      <c r="AG287" s="21">
        <f>IF(Y287="","",IFERROR(TRIM(INDEX($A287:$T287,MATCH(Lists!$F$14,$A$1:$T$1,0))&amp;""),""))</f>
        <v/>
      </c>
      <c r="AH287" s="21">
        <f>IF(Y287="","",LEFT(IFERROR(TRIM(INDEX($A287:$T287,MATCH(Lists!$F$10,$A$1:$T$1,0))&amp;""),""),80))</f>
        <v/>
      </c>
      <c r="AI287" s="21">
        <f>IF(Y287="",0,IF(OR(Tally!$B$5="",AA287=Tally!$B$5),1,0))</f>
        <v/>
      </c>
      <c r="AJ287" s="21">
        <f>IF(AI287=1,IF(COUNTIFS($AB$2:AB287,AB287,$AI$2:AI287,1)=1,1,0),0)</f>
        <v/>
      </c>
      <c r="AK287" s="21">
        <f>IF(AJ287=1,SUM($AJ$2:AJ287),"")</f>
        <v/>
      </c>
      <c r="AL287" s="21">
        <f>IF(AND(AI287=1,OR(AD287="In person",AD287="Online"),OR(Speakers!$B$5="",AB287=Speakers!$B$5)),N(Z287)+ROW()/1000000000,"")</f>
        <v/>
      </c>
    </row>
    <row r="288">
      <c r="U288" s="19" t="n"/>
      <c r="V288" s="24" t="n"/>
      <c r="W288" s="24" t="n"/>
      <c r="X288" s="19" t="n"/>
      <c r="Y288" s="21">
        <f>IFERROR(TRIM(INDEX($A288:$T288,MATCH(Lists!$F$2,$A$1:$T$1,0))&amp;""),"")</f>
        <v/>
      </c>
      <c r="Z288" s="22">
        <f>IF(Y288="","",IFERROR(IF(ISNUMBER(INDEX($A288:$T288,MATCH(Lists!$F$3,$A$1:$T$1,0))),INDEX($A288:$T288,MATCH(Lists!$F$3,$A$1:$T$1,0)),DATE(VALUE(LEFT(IFERROR(TRIM(INDEX($A288:$T288,MATCH(Lists!$F$3,$A$1:$T$1,0))&amp;""),""),4)),VALUE(MID(IFERROR(TRIM(INDEX($A288:$T288,MATCH(Lists!$F$3,$A$1:$T$1,0))&amp;""),""),6,2)),VALUE(MID(IFERROR(TRIM(INDEX($A288:$T288,MATCH(Lists!$F$3,$A$1:$T$1,0))&amp;""),""),9,2)))+TIME(VALUE(MID(IFERROR(TRIM(INDEX($A288:$T288,MATCH(Lists!$F$3,$A$1:$T$1,0))&amp;""),""),12,2)),VALUE(MID(IFERROR(TRIM(INDEX($A288:$T288,MATCH(Lists!$F$3,$A$1:$T$1,0))&amp;""),""),15,2)),VALUE(MID(IFERROR(TRIM(INDEX($A288:$T288,MATCH(Lists!$F$3,$A$1:$T$1,0))&amp;""),""),18,2)))),""))</f>
        <v/>
      </c>
      <c r="AA288" s="23">
        <f>IF(Y288="","",IF(ISNUMBER(IFERROR(IF(TRIM(INDEX($A288:$T288,MATCH(Lists!$F$4,$A$1:$T$1,0))&amp;"")="","",IF(ISNUMBER(INDEX($A288:$T288,MATCH(Lists!$F$4,$A$1:$T$1,0))),INT(INDEX($A288:$T288,MATCH(Lists!$F$4,$A$1:$T$1,0))),DATE(VALUE(LEFT(INDEX($A288:$T288,MATCH(Lists!$F$4,$A$1:$T$1,0)),4)),VALUE(MID(INDEX($A288:$T288,MATCH(Lists!$F$4,$A$1:$T$1,0)),6,2)),VALUE(MID(INDEX($A288:$T288,MATCH(Lists!$F$4,$A$1:$T$1,0)),9,2))))),"")),IFERROR(IF(TRIM(INDEX($A288:$T288,MATCH(Lists!$F$4,$A$1:$T$1,0))&amp;"")="","",IF(ISNUMBER(INDEX($A288:$T288,MATCH(Lists!$F$4,$A$1:$T$1,0))),INT(INDEX($A288:$T288,MATCH(Lists!$F$4,$A$1:$T$1,0))),DATE(VALUE(LEFT(INDEX($A288:$T288,MATCH(Lists!$F$4,$A$1:$T$1,0)),4)),VALUE(MID(INDEX($A288:$T288,MATCH(Lists!$F$4,$A$1:$T$1,0)),6,2)),VALUE(MID(INDEX($A288:$T288,MATCH(Lists!$F$4,$A$1:$T$1,0)),9,2))))),""),IFERROR(IF(TRIM(INDEX($A288:$T288,MATCH(Lists!$F$5,$A$1:$T$1,0))&amp;"")="","",IF(ISNUMBER(INDEX($A288:$T288,MATCH(Lists!$F$5,$A$1:$T$1,0))),INT(INDEX($A288:$T288,MATCH(Lists!$F$5,$A$1:$T$1,0))),DATE(VALUE(LEFT(INDEX($A288:$T288,MATCH(Lists!$F$5,$A$1:$T$1,0)),4)),VALUE(MID(INDEX($A288:$T288,MATCH(Lists!$F$5,$A$1:$T$1,0)),6,2)),VALUE(MID(INDEX($A288:$T288,MATCH(Lists!$F$5,$A$1:$T$1,0)),9,2))))),"")))</f>
        <v/>
      </c>
      <c r="AB288" s="21">
        <f>IF(Y288="","",IF(LEFT(IFERROR(TRIM(INDEX($A288:$T288,MATCH(Lists!$F$6,$A$1:$T$1,0))&amp;""),""),2)="No","General comment",IF(IFERROR(TRIM(INDEX($A288:$T288,MATCH(Lists!$F$7,$A$1:$T$1,0))&amp;""),"")&lt;&gt;"",IFERROR(TRIM(INDEX($A288:$T288,MATCH(Lists!$F$7,$A$1:$T$1,0))&amp;""),""),IF(IFERROR(TRIM(INDEX($A288:$T288,MATCH(Lists!$F$8,$A$1:$T$1,0))&amp;""),"")&lt;&gt;"",IFERROR(TRIM(INDEX($A288:$T288,MATCH(Lists!$F$8,$A$1:$T$1,0))&amp;""),""),"(no item given)"))))</f>
        <v/>
      </c>
      <c r="AC288" s="21">
        <f>IF(Y288="","",IF(ISNUMBER(SEARCH("support",IFERROR(TRIM(INDEX($A288:$T288,MATCH(Lists!$F$9,$A$1:$T$1,0))&amp;""),""))),"Support",IF(ISNUMBER(SEARCH("oppose",IFERROR(TRIM(INDEX($A288:$T288,MATCH(Lists!$F$9,$A$1:$T$1,0))&amp;""),""))),"Oppose",IF(IFERROR(TRIM(INDEX($A288:$T288,MATCH(Lists!$F$9,$A$1:$T$1,0))&amp;""),"")="","No position","Neither"))))</f>
        <v/>
      </c>
      <c r="AD288" s="21">
        <f>IF(Y288="","",IF(ISNUMBER(SEARCH("in person",IFERROR(TRIM(INDEX($A288:$T288,MATCH(Lists!$F$13,$A$1:$T$1,0))&amp;""),""))),"In person",IF(ISNUMBER(SEARCH("online",IFERROR(TRIM(INDEX($A288:$T288,MATCH(Lists!$F$13,$A$1:$T$1,0))&amp;""),""))),"Online","Written only")))</f>
        <v/>
      </c>
      <c r="AE288" s="21">
        <f>IF(Y288="","",IFERROR(TRIM(INDEX($A288:$T288,MATCH(Lists!$F$11,$A$1:$T$1,0))&amp;""),""))</f>
        <v/>
      </c>
      <c r="AF288" s="21">
        <f>IF(Y288="","",IFERROR(TRIM(INDEX($A288:$T288,MATCH(Lists!$F$12,$A$1:$T$1,0))&amp;""),""))</f>
        <v/>
      </c>
      <c r="AG288" s="21">
        <f>IF(Y288="","",IFERROR(TRIM(INDEX($A288:$T288,MATCH(Lists!$F$14,$A$1:$T$1,0))&amp;""),""))</f>
        <v/>
      </c>
      <c r="AH288" s="21">
        <f>IF(Y288="","",LEFT(IFERROR(TRIM(INDEX($A288:$T288,MATCH(Lists!$F$10,$A$1:$T$1,0))&amp;""),""),80))</f>
        <v/>
      </c>
      <c r="AI288" s="21">
        <f>IF(Y288="",0,IF(OR(Tally!$B$5="",AA288=Tally!$B$5),1,0))</f>
        <v/>
      </c>
      <c r="AJ288" s="21">
        <f>IF(AI288=1,IF(COUNTIFS($AB$2:AB288,AB288,$AI$2:AI288,1)=1,1,0),0)</f>
        <v/>
      </c>
      <c r="AK288" s="21">
        <f>IF(AJ288=1,SUM($AJ$2:AJ288),"")</f>
        <v/>
      </c>
      <c r="AL288" s="21">
        <f>IF(AND(AI288=1,OR(AD288="In person",AD288="Online"),OR(Speakers!$B$5="",AB288=Speakers!$B$5)),N(Z288)+ROW()/1000000000,"")</f>
        <v/>
      </c>
    </row>
    <row r="289">
      <c r="U289" s="19" t="n"/>
      <c r="V289" s="24" t="n"/>
      <c r="W289" s="24" t="n"/>
      <c r="X289" s="19" t="n"/>
      <c r="Y289" s="21">
        <f>IFERROR(TRIM(INDEX($A289:$T289,MATCH(Lists!$F$2,$A$1:$T$1,0))&amp;""),"")</f>
        <v/>
      </c>
      <c r="Z289" s="22">
        <f>IF(Y289="","",IFERROR(IF(ISNUMBER(INDEX($A289:$T289,MATCH(Lists!$F$3,$A$1:$T$1,0))),INDEX($A289:$T289,MATCH(Lists!$F$3,$A$1:$T$1,0)),DATE(VALUE(LEFT(IFERROR(TRIM(INDEX($A289:$T289,MATCH(Lists!$F$3,$A$1:$T$1,0))&amp;""),""),4)),VALUE(MID(IFERROR(TRIM(INDEX($A289:$T289,MATCH(Lists!$F$3,$A$1:$T$1,0))&amp;""),""),6,2)),VALUE(MID(IFERROR(TRIM(INDEX($A289:$T289,MATCH(Lists!$F$3,$A$1:$T$1,0))&amp;""),""),9,2)))+TIME(VALUE(MID(IFERROR(TRIM(INDEX($A289:$T289,MATCH(Lists!$F$3,$A$1:$T$1,0))&amp;""),""),12,2)),VALUE(MID(IFERROR(TRIM(INDEX($A289:$T289,MATCH(Lists!$F$3,$A$1:$T$1,0))&amp;""),""),15,2)),VALUE(MID(IFERROR(TRIM(INDEX($A289:$T289,MATCH(Lists!$F$3,$A$1:$T$1,0))&amp;""),""),18,2)))),""))</f>
        <v/>
      </c>
      <c r="AA289" s="23">
        <f>IF(Y289="","",IF(ISNUMBER(IFERROR(IF(TRIM(INDEX($A289:$T289,MATCH(Lists!$F$4,$A$1:$T$1,0))&amp;"")="","",IF(ISNUMBER(INDEX($A289:$T289,MATCH(Lists!$F$4,$A$1:$T$1,0))),INT(INDEX($A289:$T289,MATCH(Lists!$F$4,$A$1:$T$1,0))),DATE(VALUE(LEFT(INDEX($A289:$T289,MATCH(Lists!$F$4,$A$1:$T$1,0)),4)),VALUE(MID(INDEX($A289:$T289,MATCH(Lists!$F$4,$A$1:$T$1,0)),6,2)),VALUE(MID(INDEX($A289:$T289,MATCH(Lists!$F$4,$A$1:$T$1,0)),9,2))))),"")),IFERROR(IF(TRIM(INDEX($A289:$T289,MATCH(Lists!$F$4,$A$1:$T$1,0))&amp;"")="","",IF(ISNUMBER(INDEX($A289:$T289,MATCH(Lists!$F$4,$A$1:$T$1,0))),INT(INDEX($A289:$T289,MATCH(Lists!$F$4,$A$1:$T$1,0))),DATE(VALUE(LEFT(INDEX($A289:$T289,MATCH(Lists!$F$4,$A$1:$T$1,0)),4)),VALUE(MID(INDEX($A289:$T289,MATCH(Lists!$F$4,$A$1:$T$1,0)),6,2)),VALUE(MID(INDEX($A289:$T289,MATCH(Lists!$F$4,$A$1:$T$1,0)),9,2))))),""),IFERROR(IF(TRIM(INDEX($A289:$T289,MATCH(Lists!$F$5,$A$1:$T$1,0))&amp;"")="","",IF(ISNUMBER(INDEX($A289:$T289,MATCH(Lists!$F$5,$A$1:$T$1,0))),INT(INDEX($A289:$T289,MATCH(Lists!$F$5,$A$1:$T$1,0))),DATE(VALUE(LEFT(INDEX($A289:$T289,MATCH(Lists!$F$5,$A$1:$T$1,0)),4)),VALUE(MID(INDEX($A289:$T289,MATCH(Lists!$F$5,$A$1:$T$1,0)),6,2)),VALUE(MID(INDEX($A289:$T289,MATCH(Lists!$F$5,$A$1:$T$1,0)),9,2))))),"")))</f>
        <v/>
      </c>
      <c r="AB289" s="21">
        <f>IF(Y289="","",IF(LEFT(IFERROR(TRIM(INDEX($A289:$T289,MATCH(Lists!$F$6,$A$1:$T$1,0))&amp;""),""),2)="No","General comment",IF(IFERROR(TRIM(INDEX($A289:$T289,MATCH(Lists!$F$7,$A$1:$T$1,0))&amp;""),"")&lt;&gt;"",IFERROR(TRIM(INDEX($A289:$T289,MATCH(Lists!$F$7,$A$1:$T$1,0))&amp;""),""),IF(IFERROR(TRIM(INDEX($A289:$T289,MATCH(Lists!$F$8,$A$1:$T$1,0))&amp;""),"")&lt;&gt;"",IFERROR(TRIM(INDEX($A289:$T289,MATCH(Lists!$F$8,$A$1:$T$1,0))&amp;""),""),"(no item given)"))))</f>
        <v/>
      </c>
      <c r="AC289" s="21">
        <f>IF(Y289="","",IF(ISNUMBER(SEARCH("support",IFERROR(TRIM(INDEX($A289:$T289,MATCH(Lists!$F$9,$A$1:$T$1,0))&amp;""),""))),"Support",IF(ISNUMBER(SEARCH("oppose",IFERROR(TRIM(INDEX($A289:$T289,MATCH(Lists!$F$9,$A$1:$T$1,0))&amp;""),""))),"Oppose",IF(IFERROR(TRIM(INDEX($A289:$T289,MATCH(Lists!$F$9,$A$1:$T$1,0))&amp;""),"")="","No position","Neither"))))</f>
        <v/>
      </c>
      <c r="AD289" s="21">
        <f>IF(Y289="","",IF(ISNUMBER(SEARCH("in person",IFERROR(TRIM(INDEX($A289:$T289,MATCH(Lists!$F$13,$A$1:$T$1,0))&amp;""),""))),"In person",IF(ISNUMBER(SEARCH("online",IFERROR(TRIM(INDEX($A289:$T289,MATCH(Lists!$F$13,$A$1:$T$1,0))&amp;""),""))),"Online","Written only")))</f>
        <v/>
      </c>
      <c r="AE289" s="21">
        <f>IF(Y289="","",IFERROR(TRIM(INDEX($A289:$T289,MATCH(Lists!$F$11,$A$1:$T$1,0))&amp;""),""))</f>
        <v/>
      </c>
      <c r="AF289" s="21">
        <f>IF(Y289="","",IFERROR(TRIM(INDEX($A289:$T289,MATCH(Lists!$F$12,$A$1:$T$1,0))&amp;""),""))</f>
        <v/>
      </c>
      <c r="AG289" s="21">
        <f>IF(Y289="","",IFERROR(TRIM(INDEX($A289:$T289,MATCH(Lists!$F$14,$A$1:$T$1,0))&amp;""),""))</f>
        <v/>
      </c>
      <c r="AH289" s="21">
        <f>IF(Y289="","",LEFT(IFERROR(TRIM(INDEX($A289:$T289,MATCH(Lists!$F$10,$A$1:$T$1,0))&amp;""),""),80))</f>
        <v/>
      </c>
      <c r="AI289" s="21">
        <f>IF(Y289="",0,IF(OR(Tally!$B$5="",AA289=Tally!$B$5),1,0))</f>
        <v/>
      </c>
      <c r="AJ289" s="21">
        <f>IF(AI289=1,IF(COUNTIFS($AB$2:AB289,AB289,$AI$2:AI289,1)=1,1,0),0)</f>
        <v/>
      </c>
      <c r="AK289" s="21">
        <f>IF(AJ289=1,SUM($AJ$2:AJ289),"")</f>
        <v/>
      </c>
      <c r="AL289" s="21">
        <f>IF(AND(AI289=1,OR(AD289="In person",AD289="Online"),OR(Speakers!$B$5="",AB289=Speakers!$B$5)),N(Z289)+ROW()/1000000000,"")</f>
        <v/>
      </c>
    </row>
    <row r="290">
      <c r="U290" s="19" t="n"/>
      <c r="V290" s="24" t="n"/>
      <c r="W290" s="24" t="n"/>
      <c r="X290" s="19" t="n"/>
      <c r="Y290" s="21">
        <f>IFERROR(TRIM(INDEX($A290:$T290,MATCH(Lists!$F$2,$A$1:$T$1,0))&amp;""),"")</f>
        <v/>
      </c>
      <c r="Z290" s="22">
        <f>IF(Y290="","",IFERROR(IF(ISNUMBER(INDEX($A290:$T290,MATCH(Lists!$F$3,$A$1:$T$1,0))),INDEX($A290:$T290,MATCH(Lists!$F$3,$A$1:$T$1,0)),DATE(VALUE(LEFT(IFERROR(TRIM(INDEX($A290:$T290,MATCH(Lists!$F$3,$A$1:$T$1,0))&amp;""),""),4)),VALUE(MID(IFERROR(TRIM(INDEX($A290:$T290,MATCH(Lists!$F$3,$A$1:$T$1,0))&amp;""),""),6,2)),VALUE(MID(IFERROR(TRIM(INDEX($A290:$T290,MATCH(Lists!$F$3,$A$1:$T$1,0))&amp;""),""),9,2)))+TIME(VALUE(MID(IFERROR(TRIM(INDEX($A290:$T290,MATCH(Lists!$F$3,$A$1:$T$1,0))&amp;""),""),12,2)),VALUE(MID(IFERROR(TRIM(INDEX($A290:$T290,MATCH(Lists!$F$3,$A$1:$T$1,0))&amp;""),""),15,2)),VALUE(MID(IFERROR(TRIM(INDEX($A290:$T290,MATCH(Lists!$F$3,$A$1:$T$1,0))&amp;""),""),18,2)))),""))</f>
        <v/>
      </c>
      <c r="AA290" s="23">
        <f>IF(Y290="","",IF(ISNUMBER(IFERROR(IF(TRIM(INDEX($A290:$T290,MATCH(Lists!$F$4,$A$1:$T$1,0))&amp;"")="","",IF(ISNUMBER(INDEX($A290:$T290,MATCH(Lists!$F$4,$A$1:$T$1,0))),INT(INDEX($A290:$T290,MATCH(Lists!$F$4,$A$1:$T$1,0))),DATE(VALUE(LEFT(INDEX($A290:$T290,MATCH(Lists!$F$4,$A$1:$T$1,0)),4)),VALUE(MID(INDEX($A290:$T290,MATCH(Lists!$F$4,$A$1:$T$1,0)),6,2)),VALUE(MID(INDEX($A290:$T290,MATCH(Lists!$F$4,$A$1:$T$1,0)),9,2))))),"")),IFERROR(IF(TRIM(INDEX($A290:$T290,MATCH(Lists!$F$4,$A$1:$T$1,0))&amp;"")="","",IF(ISNUMBER(INDEX($A290:$T290,MATCH(Lists!$F$4,$A$1:$T$1,0))),INT(INDEX($A290:$T290,MATCH(Lists!$F$4,$A$1:$T$1,0))),DATE(VALUE(LEFT(INDEX($A290:$T290,MATCH(Lists!$F$4,$A$1:$T$1,0)),4)),VALUE(MID(INDEX($A290:$T290,MATCH(Lists!$F$4,$A$1:$T$1,0)),6,2)),VALUE(MID(INDEX($A290:$T290,MATCH(Lists!$F$4,$A$1:$T$1,0)),9,2))))),""),IFERROR(IF(TRIM(INDEX($A290:$T290,MATCH(Lists!$F$5,$A$1:$T$1,0))&amp;"")="","",IF(ISNUMBER(INDEX($A290:$T290,MATCH(Lists!$F$5,$A$1:$T$1,0))),INT(INDEX($A290:$T290,MATCH(Lists!$F$5,$A$1:$T$1,0))),DATE(VALUE(LEFT(INDEX($A290:$T290,MATCH(Lists!$F$5,$A$1:$T$1,0)),4)),VALUE(MID(INDEX($A290:$T290,MATCH(Lists!$F$5,$A$1:$T$1,0)),6,2)),VALUE(MID(INDEX($A290:$T290,MATCH(Lists!$F$5,$A$1:$T$1,0)),9,2))))),"")))</f>
        <v/>
      </c>
      <c r="AB290" s="21">
        <f>IF(Y290="","",IF(LEFT(IFERROR(TRIM(INDEX($A290:$T290,MATCH(Lists!$F$6,$A$1:$T$1,0))&amp;""),""),2)="No","General comment",IF(IFERROR(TRIM(INDEX($A290:$T290,MATCH(Lists!$F$7,$A$1:$T$1,0))&amp;""),"")&lt;&gt;"",IFERROR(TRIM(INDEX($A290:$T290,MATCH(Lists!$F$7,$A$1:$T$1,0))&amp;""),""),IF(IFERROR(TRIM(INDEX($A290:$T290,MATCH(Lists!$F$8,$A$1:$T$1,0))&amp;""),"")&lt;&gt;"",IFERROR(TRIM(INDEX($A290:$T290,MATCH(Lists!$F$8,$A$1:$T$1,0))&amp;""),""),"(no item given)"))))</f>
        <v/>
      </c>
      <c r="AC290" s="21">
        <f>IF(Y290="","",IF(ISNUMBER(SEARCH("support",IFERROR(TRIM(INDEX($A290:$T290,MATCH(Lists!$F$9,$A$1:$T$1,0))&amp;""),""))),"Support",IF(ISNUMBER(SEARCH("oppose",IFERROR(TRIM(INDEX($A290:$T290,MATCH(Lists!$F$9,$A$1:$T$1,0))&amp;""),""))),"Oppose",IF(IFERROR(TRIM(INDEX($A290:$T290,MATCH(Lists!$F$9,$A$1:$T$1,0))&amp;""),"")="","No position","Neither"))))</f>
        <v/>
      </c>
      <c r="AD290" s="21">
        <f>IF(Y290="","",IF(ISNUMBER(SEARCH("in person",IFERROR(TRIM(INDEX($A290:$T290,MATCH(Lists!$F$13,$A$1:$T$1,0))&amp;""),""))),"In person",IF(ISNUMBER(SEARCH("online",IFERROR(TRIM(INDEX($A290:$T290,MATCH(Lists!$F$13,$A$1:$T$1,0))&amp;""),""))),"Online","Written only")))</f>
        <v/>
      </c>
      <c r="AE290" s="21">
        <f>IF(Y290="","",IFERROR(TRIM(INDEX($A290:$T290,MATCH(Lists!$F$11,$A$1:$T$1,0))&amp;""),""))</f>
        <v/>
      </c>
      <c r="AF290" s="21">
        <f>IF(Y290="","",IFERROR(TRIM(INDEX($A290:$T290,MATCH(Lists!$F$12,$A$1:$T$1,0))&amp;""),""))</f>
        <v/>
      </c>
      <c r="AG290" s="21">
        <f>IF(Y290="","",IFERROR(TRIM(INDEX($A290:$T290,MATCH(Lists!$F$14,$A$1:$T$1,0))&amp;""),""))</f>
        <v/>
      </c>
      <c r="AH290" s="21">
        <f>IF(Y290="","",LEFT(IFERROR(TRIM(INDEX($A290:$T290,MATCH(Lists!$F$10,$A$1:$T$1,0))&amp;""),""),80))</f>
        <v/>
      </c>
      <c r="AI290" s="21">
        <f>IF(Y290="",0,IF(OR(Tally!$B$5="",AA290=Tally!$B$5),1,0))</f>
        <v/>
      </c>
      <c r="AJ290" s="21">
        <f>IF(AI290=1,IF(COUNTIFS($AB$2:AB290,AB290,$AI$2:AI290,1)=1,1,0),0)</f>
        <v/>
      </c>
      <c r="AK290" s="21">
        <f>IF(AJ290=1,SUM($AJ$2:AJ290),"")</f>
        <v/>
      </c>
      <c r="AL290" s="21">
        <f>IF(AND(AI290=1,OR(AD290="In person",AD290="Online"),OR(Speakers!$B$5="",AB290=Speakers!$B$5)),N(Z290)+ROW()/1000000000,"")</f>
        <v/>
      </c>
    </row>
    <row r="291">
      <c r="U291" s="19" t="n"/>
      <c r="V291" s="24" t="n"/>
      <c r="W291" s="24" t="n"/>
      <c r="X291" s="19" t="n"/>
      <c r="Y291" s="21">
        <f>IFERROR(TRIM(INDEX($A291:$T291,MATCH(Lists!$F$2,$A$1:$T$1,0))&amp;""),"")</f>
        <v/>
      </c>
      <c r="Z291" s="22">
        <f>IF(Y291="","",IFERROR(IF(ISNUMBER(INDEX($A291:$T291,MATCH(Lists!$F$3,$A$1:$T$1,0))),INDEX($A291:$T291,MATCH(Lists!$F$3,$A$1:$T$1,0)),DATE(VALUE(LEFT(IFERROR(TRIM(INDEX($A291:$T291,MATCH(Lists!$F$3,$A$1:$T$1,0))&amp;""),""),4)),VALUE(MID(IFERROR(TRIM(INDEX($A291:$T291,MATCH(Lists!$F$3,$A$1:$T$1,0))&amp;""),""),6,2)),VALUE(MID(IFERROR(TRIM(INDEX($A291:$T291,MATCH(Lists!$F$3,$A$1:$T$1,0))&amp;""),""),9,2)))+TIME(VALUE(MID(IFERROR(TRIM(INDEX($A291:$T291,MATCH(Lists!$F$3,$A$1:$T$1,0))&amp;""),""),12,2)),VALUE(MID(IFERROR(TRIM(INDEX($A291:$T291,MATCH(Lists!$F$3,$A$1:$T$1,0))&amp;""),""),15,2)),VALUE(MID(IFERROR(TRIM(INDEX($A291:$T291,MATCH(Lists!$F$3,$A$1:$T$1,0))&amp;""),""),18,2)))),""))</f>
        <v/>
      </c>
      <c r="AA291" s="23">
        <f>IF(Y291="","",IF(ISNUMBER(IFERROR(IF(TRIM(INDEX($A291:$T291,MATCH(Lists!$F$4,$A$1:$T$1,0))&amp;"")="","",IF(ISNUMBER(INDEX($A291:$T291,MATCH(Lists!$F$4,$A$1:$T$1,0))),INT(INDEX($A291:$T291,MATCH(Lists!$F$4,$A$1:$T$1,0))),DATE(VALUE(LEFT(INDEX($A291:$T291,MATCH(Lists!$F$4,$A$1:$T$1,0)),4)),VALUE(MID(INDEX($A291:$T291,MATCH(Lists!$F$4,$A$1:$T$1,0)),6,2)),VALUE(MID(INDEX($A291:$T291,MATCH(Lists!$F$4,$A$1:$T$1,0)),9,2))))),"")),IFERROR(IF(TRIM(INDEX($A291:$T291,MATCH(Lists!$F$4,$A$1:$T$1,0))&amp;"")="","",IF(ISNUMBER(INDEX($A291:$T291,MATCH(Lists!$F$4,$A$1:$T$1,0))),INT(INDEX($A291:$T291,MATCH(Lists!$F$4,$A$1:$T$1,0))),DATE(VALUE(LEFT(INDEX($A291:$T291,MATCH(Lists!$F$4,$A$1:$T$1,0)),4)),VALUE(MID(INDEX($A291:$T291,MATCH(Lists!$F$4,$A$1:$T$1,0)),6,2)),VALUE(MID(INDEX($A291:$T291,MATCH(Lists!$F$4,$A$1:$T$1,0)),9,2))))),""),IFERROR(IF(TRIM(INDEX($A291:$T291,MATCH(Lists!$F$5,$A$1:$T$1,0))&amp;"")="","",IF(ISNUMBER(INDEX($A291:$T291,MATCH(Lists!$F$5,$A$1:$T$1,0))),INT(INDEX($A291:$T291,MATCH(Lists!$F$5,$A$1:$T$1,0))),DATE(VALUE(LEFT(INDEX($A291:$T291,MATCH(Lists!$F$5,$A$1:$T$1,0)),4)),VALUE(MID(INDEX($A291:$T291,MATCH(Lists!$F$5,$A$1:$T$1,0)),6,2)),VALUE(MID(INDEX($A291:$T291,MATCH(Lists!$F$5,$A$1:$T$1,0)),9,2))))),"")))</f>
        <v/>
      </c>
      <c r="AB291" s="21">
        <f>IF(Y291="","",IF(LEFT(IFERROR(TRIM(INDEX($A291:$T291,MATCH(Lists!$F$6,$A$1:$T$1,0))&amp;""),""),2)="No","General comment",IF(IFERROR(TRIM(INDEX($A291:$T291,MATCH(Lists!$F$7,$A$1:$T$1,0))&amp;""),"")&lt;&gt;"",IFERROR(TRIM(INDEX($A291:$T291,MATCH(Lists!$F$7,$A$1:$T$1,0))&amp;""),""),IF(IFERROR(TRIM(INDEX($A291:$T291,MATCH(Lists!$F$8,$A$1:$T$1,0))&amp;""),"")&lt;&gt;"",IFERROR(TRIM(INDEX($A291:$T291,MATCH(Lists!$F$8,$A$1:$T$1,0))&amp;""),""),"(no item given)"))))</f>
        <v/>
      </c>
      <c r="AC291" s="21">
        <f>IF(Y291="","",IF(ISNUMBER(SEARCH("support",IFERROR(TRIM(INDEX($A291:$T291,MATCH(Lists!$F$9,$A$1:$T$1,0))&amp;""),""))),"Support",IF(ISNUMBER(SEARCH("oppose",IFERROR(TRIM(INDEX($A291:$T291,MATCH(Lists!$F$9,$A$1:$T$1,0))&amp;""),""))),"Oppose",IF(IFERROR(TRIM(INDEX($A291:$T291,MATCH(Lists!$F$9,$A$1:$T$1,0))&amp;""),"")="","No position","Neither"))))</f>
        <v/>
      </c>
      <c r="AD291" s="21">
        <f>IF(Y291="","",IF(ISNUMBER(SEARCH("in person",IFERROR(TRIM(INDEX($A291:$T291,MATCH(Lists!$F$13,$A$1:$T$1,0))&amp;""),""))),"In person",IF(ISNUMBER(SEARCH("online",IFERROR(TRIM(INDEX($A291:$T291,MATCH(Lists!$F$13,$A$1:$T$1,0))&amp;""),""))),"Online","Written only")))</f>
        <v/>
      </c>
      <c r="AE291" s="21">
        <f>IF(Y291="","",IFERROR(TRIM(INDEX($A291:$T291,MATCH(Lists!$F$11,$A$1:$T$1,0))&amp;""),""))</f>
        <v/>
      </c>
      <c r="AF291" s="21">
        <f>IF(Y291="","",IFERROR(TRIM(INDEX($A291:$T291,MATCH(Lists!$F$12,$A$1:$T$1,0))&amp;""),""))</f>
        <v/>
      </c>
      <c r="AG291" s="21">
        <f>IF(Y291="","",IFERROR(TRIM(INDEX($A291:$T291,MATCH(Lists!$F$14,$A$1:$T$1,0))&amp;""),""))</f>
        <v/>
      </c>
      <c r="AH291" s="21">
        <f>IF(Y291="","",LEFT(IFERROR(TRIM(INDEX($A291:$T291,MATCH(Lists!$F$10,$A$1:$T$1,0))&amp;""),""),80))</f>
        <v/>
      </c>
      <c r="AI291" s="21">
        <f>IF(Y291="",0,IF(OR(Tally!$B$5="",AA291=Tally!$B$5),1,0))</f>
        <v/>
      </c>
      <c r="AJ291" s="21">
        <f>IF(AI291=1,IF(COUNTIFS($AB$2:AB291,AB291,$AI$2:AI291,1)=1,1,0),0)</f>
        <v/>
      </c>
      <c r="AK291" s="21">
        <f>IF(AJ291=1,SUM($AJ$2:AJ291),"")</f>
        <v/>
      </c>
      <c r="AL291" s="21">
        <f>IF(AND(AI291=1,OR(AD291="In person",AD291="Online"),OR(Speakers!$B$5="",AB291=Speakers!$B$5)),N(Z291)+ROW()/1000000000,"")</f>
        <v/>
      </c>
    </row>
    <row r="292">
      <c r="U292" s="19" t="n"/>
      <c r="V292" s="24" t="n"/>
      <c r="W292" s="24" t="n"/>
      <c r="X292" s="19" t="n"/>
      <c r="Y292" s="21">
        <f>IFERROR(TRIM(INDEX($A292:$T292,MATCH(Lists!$F$2,$A$1:$T$1,0))&amp;""),"")</f>
        <v/>
      </c>
      <c r="Z292" s="22">
        <f>IF(Y292="","",IFERROR(IF(ISNUMBER(INDEX($A292:$T292,MATCH(Lists!$F$3,$A$1:$T$1,0))),INDEX($A292:$T292,MATCH(Lists!$F$3,$A$1:$T$1,0)),DATE(VALUE(LEFT(IFERROR(TRIM(INDEX($A292:$T292,MATCH(Lists!$F$3,$A$1:$T$1,0))&amp;""),""),4)),VALUE(MID(IFERROR(TRIM(INDEX($A292:$T292,MATCH(Lists!$F$3,$A$1:$T$1,0))&amp;""),""),6,2)),VALUE(MID(IFERROR(TRIM(INDEX($A292:$T292,MATCH(Lists!$F$3,$A$1:$T$1,0))&amp;""),""),9,2)))+TIME(VALUE(MID(IFERROR(TRIM(INDEX($A292:$T292,MATCH(Lists!$F$3,$A$1:$T$1,0))&amp;""),""),12,2)),VALUE(MID(IFERROR(TRIM(INDEX($A292:$T292,MATCH(Lists!$F$3,$A$1:$T$1,0))&amp;""),""),15,2)),VALUE(MID(IFERROR(TRIM(INDEX($A292:$T292,MATCH(Lists!$F$3,$A$1:$T$1,0))&amp;""),""),18,2)))),""))</f>
        <v/>
      </c>
      <c r="AA292" s="23">
        <f>IF(Y292="","",IF(ISNUMBER(IFERROR(IF(TRIM(INDEX($A292:$T292,MATCH(Lists!$F$4,$A$1:$T$1,0))&amp;"")="","",IF(ISNUMBER(INDEX($A292:$T292,MATCH(Lists!$F$4,$A$1:$T$1,0))),INT(INDEX($A292:$T292,MATCH(Lists!$F$4,$A$1:$T$1,0))),DATE(VALUE(LEFT(INDEX($A292:$T292,MATCH(Lists!$F$4,$A$1:$T$1,0)),4)),VALUE(MID(INDEX($A292:$T292,MATCH(Lists!$F$4,$A$1:$T$1,0)),6,2)),VALUE(MID(INDEX($A292:$T292,MATCH(Lists!$F$4,$A$1:$T$1,0)),9,2))))),"")),IFERROR(IF(TRIM(INDEX($A292:$T292,MATCH(Lists!$F$4,$A$1:$T$1,0))&amp;"")="","",IF(ISNUMBER(INDEX($A292:$T292,MATCH(Lists!$F$4,$A$1:$T$1,0))),INT(INDEX($A292:$T292,MATCH(Lists!$F$4,$A$1:$T$1,0))),DATE(VALUE(LEFT(INDEX($A292:$T292,MATCH(Lists!$F$4,$A$1:$T$1,0)),4)),VALUE(MID(INDEX($A292:$T292,MATCH(Lists!$F$4,$A$1:$T$1,0)),6,2)),VALUE(MID(INDEX($A292:$T292,MATCH(Lists!$F$4,$A$1:$T$1,0)),9,2))))),""),IFERROR(IF(TRIM(INDEX($A292:$T292,MATCH(Lists!$F$5,$A$1:$T$1,0))&amp;"")="","",IF(ISNUMBER(INDEX($A292:$T292,MATCH(Lists!$F$5,$A$1:$T$1,0))),INT(INDEX($A292:$T292,MATCH(Lists!$F$5,$A$1:$T$1,0))),DATE(VALUE(LEFT(INDEX($A292:$T292,MATCH(Lists!$F$5,$A$1:$T$1,0)),4)),VALUE(MID(INDEX($A292:$T292,MATCH(Lists!$F$5,$A$1:$T$1,0)),6,2)),VALUE(MID(INDEX($A292:$T292,MATCH(Lists!$F$5,$A$1:$T$1,0)),9,2))))),"")))</f>
        <v/>
      </c>
      <c r="AB292" s="21">
        <f>IF(Y292="","",IF(LEFT(IFERROR(TRIM(INDEX($A292:$T292,MATCH(Lists!$F$6,$A$1:$T$1,0))&amp;""),""),2)="No","General comment",IF(IFERROR(TRIM(INDEX($A292:$T292,MATCH(Lists!$F$7,$A$1:$T$1,0))&amp;""),"")&lt;&gt;"",IFERROR(TRIM(INDEX($A292:$T292,MATCH(Lists!$F$7,$A$1:$T$1,0))&amp;""),""),IF(IFERROR(TRIM(INDEX($A292:$T292,MATCH(Lists!$F$8,$A$1:$T$1,0))&amp;""),"")&lt;&gt;"",IFERROR(TRIM(INDEX($A292:$T292,MATCH(Lists!$F$8,$A$1:$T$1,0))&amp;""),""),"(no item given)"))))</f>
        <v/>
      </c>
      <c r="AC292" s="21">
        <f>IF(Y292="","",IF(ISNUMBER(SEARCH("support",IFERROR(TRIM(INDEX($A292:$T292,MATCH(Lists!$F$9,$A$1:$T$1,0))&amp;""),""))),"Support",IF(ISNUMBER(SEARCH("oppose",IFERROR(TRIM(INDEX($A292:$T292,MATCH(Lists!$F$9,$A$1:$T$1,0))&amp;""),""))),"Oppose",IF(IFERROR(TRIM(INDEX($A292:$T292,MATCH(Lists!$F$9,$A$1:$T$1,0))&amp;""),"")="","No position","Neither"))))</f>
        <v/>
      </c>
      <c r="AD292" s="21">
        <f>IF(Y292="","",IF(ISNUMBER(SEARCH("in person",IFERROR(TRIM(INDEX($A292:$T292,MATCH(Lists!$F$13,$A$1:$T$1,0))&amp;""),""))),"In person",IF(ISNUMBER(SEARCH("online",IFERROR(TRIM(INDEX($A292:$T292,MATCH(Lists!$F$13,$A$1:$T$1,0))&amp;""),""))),"Online","Written only")))</f>
        <v/>
      </c>
      <c r="AE292" s="21">
        <f>IF(Y292="","",IFERROR(TRIM(INDEX($A292:$T292,MATCH(Lists!$F$11,$A$1:$T$1,0))&amp;""),""))</f>
        <v/>
      </c>
      <c r="AF292" s="21">
        <f>IF(Y292="","",IFERROR(TRIM(INDEX($A292:$T292,MATCH(Lists!$F$12,$A$1:$T$1,0))&amp;""),""))</f>
        <v/>
      </c>
      <c r="AG292" s="21">
        <f>IF(Y292="","",IFERROR(TRIM(INDEX($A292:$T292,MATCH(Lists!$F$14,$A$1:$T$1,0))&amp;""),""))</f>
        <v/>
      </c>
      <c r="AH292" s="21">
        <f>IF(Y292="","",LEFT(IFERROR(TRIM(INDEX($A292:$T292,MATCH(Lists!$F$10,$A$1:$T$1,0))&amp;""),""),80))</f>
        <v/>
      </c>
      <c r="AI292" s="21">
        <f>IF(Y292="",0,IF(OR(Tally!$B$5="",AA292=Tally!$B$5),1,0))</f>
        <v/>
      </c>
      <c r="AJ292" s="21">
        <f>IF(AI292=1,IF(COUNTIFS($AB$2:AB292,AB292,$AI$2:AI292,1)=1,1,0),0)</f>
        <v/>
      </c>
      <c r="AK292" s="21">
        <f>IF(AJ292=1,SUM($AJ$2:AJ292),"")</f>
        <v/>
      </c>
      <c r="AL292" s="21">
        <f>IF(AND(AI292=1,OR(AD292="In person",AD292="Online"),OR(Speakers!$B$5="",AB292=Speakers!$B$5)),N(Z292)+ROW()/1000000000,"")</f>
        <v/>
      </c>
    </row>
    <row r="293">
      <c r="U293" s="19" t="n"/>
      <c r="V293" s="24" t="n"/>
      <c r="W293" s="24" t="n"/>
      <c r="X293" s="19" t="n"/>
      <c r="Y293" s="21">
        <f>IFERROR(TRIM(INDEX($A293:$T293,MATCH(Lists!$F$2,$A$1:$T$1,0))&amp;""),"")</f>
        <v/>
      </c>
      <c r="Z293" s="22">
        <f>IF(Y293="","",IFERROR(IF(ISNUMBER(INDEX($A293:$T293,MATCH(Lists!$F$3,$A$1:$T$1,0))),INDEX($A293:$T293,MATCH(Lists!$F$3,$A$1:$T$1,0)),DATE(VALUE(LEFT(IFERROR(TRIM(INDEX($A293:$T293,MATCH(Lists!$F$3,$A$1:$T$1,0))&amp;""),""),4)),VALUE(MID(IFERROR(TRIM(INDEX($A293:$T293,MATCH(Lists!$F$3,$A$1:$T$1,0))&amp;""),""),6,2)),VALUE(MID(IFERROR(TRIM(INDEX($A293:$T293,MATCH(Lists!$F$3,$A$1:$T$1,0))&amp;""),""),9,2)))+TIME(VALUE(MID(IFERROR(TRIM(INDEX($A293:$T293,MATCH(Lists!$F$3,$A$1:$T$1,0))&amp;""),""),12,2)),VALUE(MID(IFERROR(TRIM(INDEX($A293:$T293,MATCH(Lists!$F$3,$A$1:$T$1,0))&amp;""),""),15,2)),VALUE(MID(IFERROR(TRIM(INDEX($A293:$T293,MATCH(Lists!$F$3,$A$1:$T$1,0))&amp;""),""),18,2)))),""))</f>
        <v/>
      </c>
      <c r="AA293" s="23">
        <f>IF(Y293="","",IF(ISNUMBER(IFERROR(IF(TRIM(INDEX($A293:$T293,MATCH(Lists!$F$4,$A$1:$T$1,0))&amp;"")="","",IF(ISNUMBER(INDEX($A293:$T293,MATCH(Lists!$F$4,$A$1:$T$1,0))),INT(INDEX($A293:$T293,MATCH(Lists!$F$4,$A$1:$T$1,0))),DATE(VALUE(LEFT(INDEX($A293:$T293,MATCH(Lists!$F$4,$A$1:$T$1,0)),4)),VALUE(MID(INDEX($A293:$T293,MATCH(Lists!$F$4,$A$1:$T$1,0)),6,2)),VALUE(MID(INDEX($A293:$T293,MATCH(Lists!$F$4,$A$1:$T$1,0)),9,2))))),"")),IFERROR(IF(TRIM(INDEX($A293:$T293,MATCH(Lists!$F$4,$A$1:$T$1,0))&amp;"")="","",IF(ISNUMBER(INDEX($A293:$T293,MATCH(Lists!$F$4,$A$1:$T$1,0))),INT(INDEX($A293:$T293,MATCH(Lists!$F$4,$A$1:$T$1,0))),DATE(VALUE(LEFT(INDEX($A293:$T293,MATCH(Lists!$F$4,$A$1:$T$1,0)),4)),VALUE(MID(INDEX($A293:$T293,MATCH(Lists!$F$4,$A$1:$T$1,0)),6,2)),VALUE(MID(INDEX($A293:$T293,MATCH(Lists!$F$4,$A$1:$T$1,0)),9,2))))),""),IFERROR(IF(TRIM(INDEX($A293:$T293,MATCH(Lists!$F$5,$A$1:$T$1,0))&amp;"")="","",IF(ISNUMBER(INDEX($A293:$T293,MATCH(Lists!$F$5,$A$1:$T$1,0))),INT(INDEX($A293:$T293,MATCH(Lists!$F$5,$A$1:$T$1,0))),DATE(VALUE(LEFT(INDEX($A293:$T293,MATCH(Lists!$F$5,$A$1:$T$1,0)),4)),VALUE(MID(INDEX($A293:$T293,MATCH(Lists!$F$5,$A$1:$T$1,0)),6,2)),VALUE(MID(INDEX($A293:$T293,MATCH(Lists!$F$5,$A$1:$T$1,0)),9,2))))),"")))</f>
        <v/>
      </c>
      <c r="AB293" s="21">
        <f>IF(Y293="","",IF(LEFT(IFERROR(TRIM(INDEX($A293:$T293,MATCH(Lists!$F$6,$A$1:$T$1,0))&amp;""),""),2)="No","General comment",IF(IFERROR(TRIM(INDEX($A293:$T293,MATCH(Lists!$F$7,$A$1:$T$1,0))&amp;""),"")&lt;&gt;"",IFERROR(TRIM(INDEX($A293:$T293,MATCH(Lists!$F$7,$A$1:$T$1,0))&amp;""),""),IF(IFERROR(TRIM(INDEX($A293:$T293,MATCH(Lists!$F$8,$A$1:$T$1,0))&amp;""),"")&lt;&gt;"",IFERROR(TRIM(INDEX($A293:$T293,MATCH(Lists!$F$8,$A$1:$T$1,0))&amp;""),""),"(no item given)"))))</f>
        <v/>
      </c>
      <c r="AC293" s="21">
        <f>IF(Y293="","",IF(ISNUMBER(SEARCH("support",IFERROR(TRIM(INDEX($A293:$T293,MATCH(Lists!$F$9,$A$1:$T$1,0))&amp;""),""))),"Support",IF(ISNUMBER(SEARCH("oppose",IFERROR(TRIM(INDEX($A293:$T293,MATCH(Lists!$F$9,$A$1:$T$1,0))&amp;""),""))),"Oppose",IF(IFERROR(TRIM(INDEX($A293:$T293,MATCH(Lists!$F$9,$A$1:$T$1,0))&amp;""),"")="","No position","Neither"))))</f>
        <v/>
      </c>
      <c r="AD293" s="21">
        <f>IF(Y293="","",IF(ISNUMBER(SEARCH("in person",IFERROR(TRIM(INDEX($A293:$T293,MATCH(Lists!$F$13,$A$1:$T$1,0))&amp;""),""))),"In person",IF(ISNUMBER(SEARCH("online",IFERROR(TRIM(INDEX($A293:$T293,MATCH(Lists!$F$13,$A$1:$T$1,0))&amp;""),""))),"Online","Written only")))</f>
        <v/>
      </c>
      <c r="AE293" s="21">
        <f>IF(Y293="","",IFERROR(TRIM(INDEX($A293:$T293,MATCH(Lists!$F$11,$A$1:$T$1,0))&amp;""),""))</f>
        <v/>
      </c>
      <c r="AF293" s="21">
        <f>IF(Y293="","",IFERROR(TRIM(INDEX($A293:$T293,MATCH(Lists!$F$12,$A$1:$T$1,0))&amp;""),""))</f>
        <v/>
      </c>
      <c r="AG293" s="21">
        <f>IF(Y293="","",IFERROR(TRIM(INDEX($A293:$T293,MATCH(Lists!$F$14,$A$1:$T$1,0))&amp;""),""))</f>
        <v/>
      </c>
      <c r="AH293" s="21">
        <f>IF(Y293="","",LEFT(IFERROR(TRIM(INDEX($A293:$T293,MATCH(Lists!$F$10,$A$1:$T$1,0))&amp;""),""),80))</f>
        <v/>
      </c>
      <c r="AI293" s="21">
        <f>IF(Y293="",0,IF(OR(Tally!$B$5="",AA293=Tally!$B$5),1,0))</f>
        <v/>
      </c>
      <c r="AJ293" s="21">
        <f>IF(AI293=1,IF(COUNTIFS($AB$2:AB293,AB293,$AI$2:AI293,1)=1,1,0),0)</f>
        <v/>
      </c>
      <c r="AK293" s="21">
        <f>IF(AJ293=1,SUM($AJ$2:AJ293),"")</f>
        <v/>
      </c>
      <c r="AL293" s="21">
        <f>IF(AND(AI293=1,OR(AD293="In person",AD293="Online"),OR(Speakers!$B$5="",AB293=Speakers!$B$5)),N(Z293)+ROW()/1000000000,"")</f>
        <v/>
      </c>
    </row>
    <row r="294">
      <c r="U294" s="19" t="n"/>
      <c r="V294" s="24" t="n"/>
      <c r="W294" s="24" t="n"/>
      <c r="X294" s="19" t="n"/>
      <c r="Y294" s="21">
        <f>IFERROR(TRIM(INDEX($A294:$T294,MATCH(Lists!$F$2,$A$1:$T$1,0))&amp;""),"")</f>
        <v/>
      </c>
      <c r="Z294" s="22">
        <f>IF(Y294="","",IFERROR(IF(ISNUMBER(INDEX($A294:$T294,MATCH(Lists!$F$3,$A$1:$T$1,0))),INDEX($A294:$T294,MATCH(Lists!$F$3,$A$1:$T$1,0)),DATE(VALUE(LEFT(IFERROR(TRIM(INDEX($A294:$T294,MATCH(Lists!$F$3,$A$1:$T$1,0))&amp;""),""),4)),VALUE(MID(IFERROR(TRIM(INDEX($A294:$T294,MATCH(Lists!$F$3,$A$1:$T$1,0))&amp;""),""),6,2)),VALUE(MID(IFERROR(TRIM(INDEX($A294:$T294,MATCH(Lists!$F$3,$A$1:$T$1,0))&amp;""),""),9,2)))+TIME(VALUE(MID(IFERROR(TRIM(INDEX($A294:$T294,MATCH(Lists!$F$3,$A$1:$T$1,0))&amp;""),""),12,2)),VALUE(MID(IFERROR(TRIM(INDEX($A294:$T294,MATCH(Lists!$F$3,$A$1:$T$1,0))&amp;""),""),15,2)),VALUE(MID(IFERROR(TRIM(INDEX($A294:$T294,MATCH(Lists!$F$3,$A$1:$T$1,0))&amp;""),""),18,2)))),""))</f>
        <v/>
      </c>
      <c r="AA294" s="23">
        <f>IF(Y294="","",IF(ISNUMBER(IFERROR(IF(TRIM(INDEX($A294:$T294,MATCH(Lists!$F$4,$A$1:$T$1,0))&amp;"")="","",IF(ISNUMBER(INDEX($A294:$T294,MATCH(Lists!$F$4,$A$1:$T$1,0))),INT(INDEX($A294:$T294,MATCH(Lists!$F$4,$A$1:$T$1,0))),DATE(VALUE(LEFT(INDEX($A294:$T294,MATCH(Lists!$F$4,$A$1:$T$1,0)),4)),VALUE(MID(INDEX($A294:$T294,MATCH(Lists!$F$4,$A$1:$T$1,0)),6,2)),VALUE(MID(INDEX($A294:$T294,MATCH(Lists!$F$4,$A$1:$T$1,0)),9,2))))),"")),IFERROR(IF(TRIM(INDEX($A294:$T294,MATCH(Lists!$F$4,$A$1:$T$1,0))&amp;"")="","",IF(ISNUMBER(INDEX($A294:$T294,MATCH(Lists!$F$4,$A$1:$T$1,0))),INT(INDEX($A294:$T294,MATCH(Lists!$F$4,$A$1:$T$1,0))),DATE(VALUE(LEFT(INDEX($A294:$T294,MATCH(Lists!$F$4,$A$1:$T$1,0)),4)),VALUE(MID(INDEX($A294:$T294,MATCH(Lists!$F$4,$A$1:$T$1,0)),6,2)),VALUE(MID(INDEX($A294:$T294,MATCH(Lists!$F$4,$A$1:$T$1,0)),9,2))))),""),IFERROR(IF(TRIM(INDEX($A294:$T294,MATCH(Lists!$F$5,$A$1:$T$1,0))&amp;"")="","",IF(ISNUMBER(INDEX($A294:$T294,MATCH(Lists!$F$5,$A$1:$T$1,0))),INT(INDEX($A294:$T294,MATCH(Lists!$F$5,$A$1:$T$1,0))),DATE(VALUE(LEFT(INDEX($A294:$T294,MATCH(Lists!$F$5,$A$1:$T$1,0)),4)),VALUE(MID(INDEX($A294:$T294,MATCH(Lists!$F$5,$A$1:$T$1,0)),6,2)),VALUE(MID(INDEX($A294:$T294,MATCH(Lists!$F$5,$A$1:$T$1,0)),9,2))))),"")))</f>
        <v/>
      </c>
      <c r="AB294" s="21">
        <f>IF(Y294="","",IF(LEFT(IFERROR(TRIM(INDEX($A294:$T294,MATCH(Lists!$F$6,$A$1:$T$1,0))&amp;""),""),2)="No","General comment",IF(IFERROR(TRIM(INDEX($A294:$T294,MATCH(Lists!$F$7,$A$1:$T$1,0))&amp;""),"")&lt;&gt;"",IFERROR(TRIM(INDEX($A294:$T294,MATCH(Lists!$F$7,$A$1:$T$1,0))&amp;""),""),IF(IFERROR(TRIM(INDEX($A294:$T294,MATCH(Lists!$F$8,$A$1:$T$1,0))&amp;""),"")&lt;&gt;"",IFERROR(TRIM(INDEX($A294:$T294,MATCH(Lists!$F$8,$A$1:$T$1,0))&amp;""),""),"(no item given)"))))</f>
        <v/>
      </c>
      <c r="AC294" s="21">
        <f>IF(Y294="","",IF(ISNUMBER(SEARCH("support",IFERROR(TRIM(INDEX($A294:$T294,MATCH(Lists!$F$9,$A$1:$T$1,0))&amp;""),""))),"Support",IF(ISNUMBER(SEARCH("oppose",IFERROR(TRIM(INDEX($A294:$T294,MATCH(Lists!$F$9,$A$1:$T$1,0))&amp;""),""))),"Oppose",IF(IFERROR(TRIM(INDEX($A294:$T294,MATCH(Lists!$F$9,$A$1:$T$1,0))&amp;""),"")="","No position","Neither"))))</f>
        <v/>
      </c>
      <c r="AD294" s="21">
        <f>IF(Y294="","",IF(ISNUMBER(SEARCH("in person",IFERROR(TRIM(INDEX($A294:$T294,MATCH(Lists!$F$13,$A$1:$T$1,0))&amp;""),""))),"In person",IF(ISNUMBER(SEARCH("online",IFERROR(TRIM(INDEX($A294:$T294,MATCH(Lists!$F$13,$A$1:$T$1,0))&amp;""),""))),"Online","Written only")))</f>
        <v/>
      </c>
      <c r="AE294" s="21">
        <f>IF(Y294="","",IFERROR(TRIM(INDEX($A294:$T294,MATCH(Lists!$F$11,$A$1:$T$1,0))&amp;""),""))</f>
        <v/>
      </c>
      <c r="AF294" s="21">
        <f>IF(Y294="","",IFERROR(TRIM(INDEX($A294:$T294,MATCH(Lists!$F$12,$A$1:$T$1,0))&amp;""),""))</f>
        <v/>
      </c>
      <c r="AG294" s="21">
        <f>IF(Y294="","",IFERROR(TRIM(INDEX($A294:$T294,MATCH(Lists!$F$14,$A$1:$T$1,0))&amp;""),""))</f>
        <v/>
      </c>
      <c r="AH294" s="21">
        <f>IF(Y294="","",LEFT(IFERROR(TRIM(INDEX($A294:$T294,MATCH(Lists!$F$10,$A$1:$T$1,0))&amp;""),""),80))</f>
        <v/>
      </c>
      <c r="AI294" s="21">
        <f>IF(Y294="",0,IF(OR(Tally!$B$5="",AA294=Tally!$B$5),1,0))</f>
        <v/>
      </c>
      <c r="AJ294" s="21">
        <f>IF(AI294=1,IF(COUNTIFS($AB$2:AB294,AB294,$AI$2:AI294,1)=1,1,0),0)</f>
        <v/>
      </c>
      <c r="AK294" s="21">
        <f>IF(AJ294=1,SUM($AJ$2:AJ294),"")</f>
        <v/>
      </c>
      <c r="AL294" s="21">
        <f>IF(AND(AI294=1,OR(AD294="In person",AD294="Online"),OR(Speakers!$B$5="",AB294=Speakers!$B$5)),N(Z294)+ROW()/1000000000,"")</f>
        <v/>
      </c>
    </row>
    <row r="295">
      <c r="U295" s="19" t="n"/>
      <c r="V295" s="24" t="n"/>
      <c r="W295" s="24" t="n"/>
      <c r="X295" s="19" t="n"/>
      <c r="Y295" s="21">
        <f>IFERROR(TRIM(INDEX($A295:$T295,MATCH(Lists!$F$2,$A$1:$T$1,0))&amp;""),"")</f>
        <v/>
      </c>
      <c r="Z295" s="22">
        <f>IF(Y295="","",IFERROR(IF(ISNUMBER(INDEX($A295:$T295,MATCH(Lists!$F$3,$A$1:$T$1,0))),INDEX($A295:$T295,MATCH(Lists!$F$3,$A$1:$T$1,0)),DATE(VALUE(LEFT(IFERROR(TRIM(INDEX($A295:$T295,MATCH(Lists!$F$3,$A$1:$T$1,0))&amp;""),""),4)),VALUE(MID(IFERROR(TRIM(INDEX($A295:$T295,MATCH(Lists!$F$3,$A$1:$T$1,0))&amp;""),""),6,2)),VALUE(MID(IFERROR(TRIM(INDEX($A295:$T295,MATCH(Lists!$F$3,$A$1:$T$1,0))&amp;""),""),9,2)))+TIME(VALUE(MID(IFERROR(TRIM(INDEX($A295:$T295,MATCH(Lists!$F$3,$A$1:$T$1,0))&amp;""),""),12,2)),VALUE(MID(IFERROR(TRIM(INDEX($A295:$T295,MATCH(Lists!$F$3,$A$1:$T$1,0))&amp;""),""),15,2)),VALUE(MID(IFERROR(TRIM(INDEX($A295:$T295,MATCH(Lists!$F$3,$A$1:$T$1,0))&amp;""),""),18,2)))),""))</f>
        <v/>
      </c>
      <c r="AA295" s="23">
        <f>IF(Y295="","",IF(ISNUMBER(IFERROR(IF(TRIM(INDEX($A295:$T295,MATCH(Lists!$F$4,$A$1:$T$1,0))&amp;"")="","",IF(ISNUMBER(INDEX($A295:$T295,MATCH(Lists!$F$4,$A$1:$T$1,0))),INT(INDEX($A295:$T295,MATCH(Lists!$F$4,$A$1:$T$1,0))),DATE(VALUE(LEFT(INDEX($A295:$T295,MATCH(Lists!$F$4,$A$1:$T$1,0)),4)),VALUE(MID(INDEX($A295:$T295,MATCH(Lists!$F$4,$A$1:$T$1,0)),6,2)),VALUE(MID(INDEX($A295:$T295,MATCH(Lists!$F$4,$A$1:$T$1,0)),9,2))))),"")),IFERROR(IF(TRIM(INDEX($A295:$T295,MATCH(Lists!$F$4,$A$1:$T$1,0))&amp;"")="","",IF(ISNUMBER(INDEX($A295:$T295,MATCH(Lists!$F$4,$A$1:$T$1,0))),INT(INDEX($A295:$T295,MATCH(Lists!$F$4,$A$1:$T$1,0))),DATE(VALUE(LEFT(INDEX($A295:$T295,MATCH(Lists!$F$4,$A$1:$T$1,0)),4)),VALUE(MID(INDEX($A295:$T295,MATCH(Lists!$F$4,$A$1:$T$1,0)),6,2)),VALUE(MID(INDEX($A295:$T295,MATCH(Lists!$F$4,$A$1:$T$1,0)),9,2))))),""),IFERROR(IF(TRIM(INDEX($A295:$T295,MATCH(Lists!$F$5,$A$1:$T$1,0))&amp;"")="","",IF(ISNUMBER(INDEX($A295:$T295,MATCH(Lists!$F$5,$A$1:$T$1,0))),INT(INDEX($A295:$T295,MATCH(Lists!$F$5,$A$1:$T$1,0))),DATE(VALUE(LEFT(INDEX($A295:$T295,MATCH(Lists!$F$5,$A$1:$T$1,0)),4)),VALUE(MID(INDEX($A295:$T295,MATCH(Lists!$F$5,$A$1:$T$1,0)),6,2)),VALUE(MID(INDEX($A295:$T295,MATCH(Lists!$F$5,$A$1:$T$1,0)),9,2))))),"")))</f>
        <v/>
      </c>
      <c r="AB295" s="21">
        <f>IF(Y295="","",IF(LEFT(IFERROR(TRIM(INDEX($A295:$T295,MATCH(Lists!$F$6,$A$1:$T$1,0))&amp;""),""),2)="No","General comment",IF(IFERROR(TRIM(INDEX($A295:$T295,MATCH(Lists!$F$7,$A$1:$T$1,0))&amp;""),"")&lt;&gt;"",IFERROR(TRIM(INDEX($A295:$T295,MATCH(Lists!$F$7,$A$1:$T$1,0))&amp;""),""),IF(IFERROR(TRIM(INDEX($A295:$T295,MATCH(Lists!$F$8,$A$1:$T$1,0))&amp;""),"")&lt;&gt;"",IFERROR(TRIM(INDEX($A295:$T295,MATCH(Lists!$F$8,$A$1:$T$1,0))&amp;""),""),"(no item given)"))))</f>
        <v/>
      </c>
      <c r="AC295" s="21">
        <f>IF(Y295="","",IF(ISNUMBER(SEARCH("support",IFERROR(TRIM(INDEX($A295:$T295,MATCH(Lists!$F$9,$A$1:$T$1,0))&amp;""),""))),"Support",IF(ISNUMBER(SEARCH("oppose",IFERROR(TRIM(INDEX($A295:$T295,MATCH(Lists!$F$9,$A$1:$T$1,0))&amp;""),""))),"Oppose",IF(IFERROR(TRIM(INDEX($A295:$T295,MATCH(Lists!$F$9,$A$1:$T$1,0))&amp;""),"")="","No position","Neither"))))</f>
        <v/>
      </c>
      <c r="AD295" s="21">
        <f>IF(Y295="","",IF(ISNUMBER(SEARCH("in person",IFERROR(TRIM(INDEX($A295:$T295,MATCH(Lists!$F$13,$A$1:$T$1,0))&amp;""),""))),"In person",IF(ISNUMBER(SEARCH("online",IFERROR(TRIM(INDEX($A295:$T295,MATCH(Lists!$F$13,$A$1:$T$1,0))&amp;""),""))),"Online","Written only")))</f>
        <v/>
      </c>
      <c r="AE295" s="21">
        <f>IF(Y295="","",IFERROR(TRIM(INDEX($A295:$T295,MATCH(Lists!$F$11,$A$1:$T$1,0))&amp;""),""))</f>
        <v/>
      </c>
      <c r="AF295" s="21">
        <f>IF(Y295="","",IFERROR(TRIM(INDEX($A295:$T295,MATCH(Lists!$F$12,$A$1:$T$1,0))&amp;""),""))</f>
        <v/>
      </c>
      <c r="AG295" s="21">
        <f>IF(Y295="","",IFERROR(TRIM(INDEX($A295:$T295,MATCH(Lists!$F$14,$A$1:$T$1,0))&amp;""),""))</f>
        <v/>
      </c>
      <c r="AH295" s="21">
        <f>IF(Y295="","",LEFT(IFERROR(TRIM(INDEX($A295:$T295,MATCH(Lists!$F$10,$A$1:$T$1,0))&amp;""),""),80))</f>
        <v/>
      </c>
      <c r="AI295" s="21">
        <f>IF(Y295="",0,IF(OR(Tally!$B$5="",AA295=Tally!$B$5),1,0))</f>
        <v/>
      </c>
      <c r="AJ295" s="21">
        <f>IF(AI295=1,IF(COUNTIFS($AB$2:AB295,AB295,$AI$2:AI295,1)=1,1,0),0)</f>
        <v/>
      </c>
      <c r="AK295" s="21">
        <f>IF(AJ295=1,SUM($AJ$2:AJ295),"")</f>
        <v/>
      </c>
      <c r="AL295" s="21">
        <f>IF(AND(AI295=1,OR(AD295="In person",AD295="Online"),OR(Speakers!$B$5="",AB295=Speakers!$B$5)),N(Z295)+ROW()/1000000000,"")</f>
        <v/>
      </c>
    </row>
    <row r="296">
      <c r="U296" s="19" t="n"/>
      <c r="V296" s="24" t="n"/>
      <c r="W296" s="24" t="n"/>
      <c r="X296" s="19" t="n"/>
      <c r="Y296" s="21">
        <f>IFERROR(TRIM(INDEX($A296:$T296,MATCH(Lists!$F$2,$A$1:$T$1,0))&amp;""),"")</f>
        <v/>
      </c>
      <c r="Z296" s="22">
        <f>IF(Y296="","",IFERROR(IF(ISNUMBER(INDEX($A296:$T296,MATCH(Lists!$F$3,$A$1:$T$1,0))),INDEX($A296:$T296,MATCH(Lists!$F$3,$A$1:$T$1,0)),DATE(VALUE(LEFT(IFERROR(TRIM(INDEX($A296:$T296,MATCH(Lists!$F$3,$A$1:$T$1,0))&amp;""),""),4)),VALUE(MID(IFERROR(TRIM(INDEX($A296:$T296,MATCH(Lists!$F$3,$A$1:$T$1,0))&amp;""),""),6,2)),VALUE(MID(IFERROR(TRIM(INDEX($A296:$T296,MATCH(Lists!$F$3,$A$1:$T$1,0))&amp;""),""),9,2)))+TIME(VALUE(MID(IFERROR(TRIM(INDEX($A296:$T296,MATCH(Lists!$F$3,$A$1:$T$1,0))&amp;""),""),12,2)),VALUE(MID(IFERROR(TRIM(INDEX($A296:$T296,MATCH(Lists!$F$3,$A$1:$T$1,0))&amp;""),""),15,2)),VALUE(MID(IFERROR(TRIM(INDEX($A296:$T296,MATCH(Lists!$F$3,$A$1:$T$1,0))&amp;""),""),18,2)))),""))</f>
        <v/>
      </c>
      <c r="AA296" s="23">
        <f>IF(Y296="","",IF(ISNUMBER(IFERROR(IF(TRIM(INDEX($A296:$T296,MATCH(Lists!$F$4,$A$1:$T$1,0))&amp;"")="","",IF(ISNUMBER(INDEX($A296:$T296,MATCH(Lists!$F$4,$A$1:$T$1,0))),INT(INDEX($A296:$T296,MATCH(Lists!$F$4,$A$1:$T$1,0))),DATE(VALUE(LEFT(INDEX($A296:$T296,MATCH(Lists!$F$4,$A$1:$T$1,0)),4)),VALUE(MID(INDEX($A296:$T296,MATCH(Lists!$F$4,$A$1:$T$1,0)),6,2)),VALUE(MID(INDEX($A296:$T296,MATCH(Lists!$F$4,$A$1:$T$1,0)),9,2))))),"")),IFERROR(IF(TRIM(INDEX($A296:$T296,MATCH(Lists!$F$4,$A$1:$T$1,0))&amp;"")="","",IF(ISNUMBER(INDEX($A296:$T296,MATCH(Lists!$F$4,$A$1:$T$1,0))),INT(INDEX($A296:$T296,MATCH(Lists!$F$4,$A$1:$T$1,0))),DATE(VALUE(LEFT(INDEX($A296:$T296,MATCH(Lists!$F$4,$A$1:$T$1,0)),4)),VALUE(MID(INDEX($A296:$T296,MATCH(Lists!$F$4,$A$1:$T$1,0)),6,2)),VALUE(MID(INDEX($A296:$T296,MATCH(Lists!$F$4,$A$1:$T$1,0)),9,2))))),""),IFERROR(IF(TRIM(INDEX($A296:$T296,MATCH(Lists!$F$5,$A$1:$T$1,0))&amp;"")="","",IF(ISNUMBER(INDEX($A296:$T296,MATCH(Lists!$F$5,$A$1:$T$1,0))),INT(INDEX($A296:$T296,MATCH(Lists!$F$5,$A$1:$T$1,0))),DATE(VALUE(LEFT(INDEX($A296:$T296,MATCH(Lists!$F$5,$A$1:$T$1,0)),4)),VALUE(MID(INDEX($A296:$T296,MATCH(Lists!$F$5,$A$1:$T$1,0)),6,2)),VALUE(MID(INDEX($A296:$T296,MATCH(Lists!$F$5,$A$1:$T$1,0)),9,2))))),"")))</f>
        <v/>
      </c>
      <c r="AB296" s="21">
        <f>IF(Y296="","",IF(LEFT(IFERROR(TRIM(INDEX($A296:$T296,MATCH(Lists!$F$6,$A$1:$T$1,0))&amp;""),""),2)="No","General comment",IF(IFERROR(TRIM(INDEX($A296:$T296,MATCH(Lists!$F$7,$A$1:$T$1,0))&amp;""),"")&lt;&gt;"",IFERROR(TRIM(INDEX($A296:$T296,MATCH(Lists!$F$7,$A$1:$T$1,0))&amp;""),""),IF(IFERROR(TRIM(INDEX($A296:$T296,MATCH(Lists!$F$8,$A$1:$T$1,0))&amp;""),"")&lt;&gt;"",IFERROR(TRIM(INDEX($A296:$T296,MATCH(Lists!$F$8,$A$1:$T$1,0))&amp;""),""),"(no item given)"))))</f>
        <v/>
      </c>
      <c r="AC296" s="21">
        <f>IF(Y296="","",IF(ISNUMBER(SEARCH("support",IFERROR(TRIM(INDEX($A296:$T296,MATCH(Lists!$F$9,$A$1:$T$1,0))&amp;""),""))),"Support",IF(ISNUMBER(SEARCH("oppose",IFERROR(TRIM(INDEX($A296:$T296,MATCH(Lists!$F$9,$A$1:$T$1,0))&amp;""),""))),"Oppose",IF(IFERROR(TRIM(INDEX($A296:$T296,MATCH(Lists!$F$9,$A$1:$T$1,0))&amp;""),"")="","No position","Neither"))))</f>
        <v/>
      </c>
      <c r="AD296" s="21">
        <f>IF(Y296="","",IF(ISNUMBER(SEARCH("in person",IFERROR(TRIM(INDEX($A296:$T296,MATCH(Lists!$F$13,$A$1:$T$1,0))&amp;""),""))),"In person",IF(ISNUMBER(SEARCH("online",IFERROR(TRIM(INDEX($A296:$T296,MATCH(Lists!$F$13,$A$1:$T$1,0))&amp;""),""))),"Online","Written only")))</f>
        <v/>
      </c>
      <c r="AE296" s="21">
        <f>IF(Y296="","",IFERROR(TRIM(INDEX($A296:$T296,MATCH(Lists!$F$11,$A$1:$T$1,0))&amp;""),""))</f>
        <v/>
      </c>
      <c r="AF296" s="21">
        <f>IF(Y296="","",IFERROR(TRIM(INDEX($A296:$T296,MATCH(Lists!$F$12,$A$1:$T$1,0))&amp;""),""))</f>
        <v/>
      </c>
      <c r="AG296" s="21">
        <f>IF(Y296="","",IFERROR(TRIM(INDEX($A296:$T296,MATCH(Lists!$F$14,$A$1:$T$1,0))&amp;""),""))</f>
        <v/>
      </c>
      <c r="AH296" s="21">
        <f>IF(Y296="","",LEFT(IFERROR(TRIM(INDEX($A296:$T296,MATCH(Lists!$F$10,$A$1:$T$1,0))&amp;""),""),80))</f>
        <v/>
      </c>
      <c r="AI296" s="21">
        <f>IF(Y296="",0,IF(OR(Tally!$B$5="",AA296=Tally!$B$5),1,0))</f>
        <v/>
      </c>
      <c r="AJ296" s="21">
        <f>IF(AI296=1,IF(COUNTIFS($AB$2:AB296,AB296,$AI$2:AI296,1)=1,1,0),0)</f>
        <v/>
      </c>
      <c r="AK296" s="21">
        <f>IF(AJ296=1,SUM($AJ$2:AJ296),"")</f>
        <v/>
      </c>
      <c r="AL296" s="21">
        <f>IF(AND(AI296=1,OR(AD296="In person",AD296="Online"),OR(Speakers!$B$5="",AB296=Speakers!$B$5)),N(Z296)+ROW()/1000000000,"")</f>
        <v/>
      </c>
    </row>
    <row r="297">
      <c r="U297" s="19" t="n"/>
      <c r="V297" s="24" t="n"/>
      <c r="W297" s="24" t="n"/>
      <c r="X297" s="19" t="n"/>
      <c r="Y297" s="21">
        <f>IFERROR(TRIM(INDEX($A297:$T297,MATCH(Lists!$F$2,$A$1:$T$1,0))&amp;""),"")</f>
        <v/>
      </c>
      <c r="Z297" s="22">
        <f>IF(Y297="","",IFERROR(IF(ISNUMBER(INDEX($A297:$T297,MATCH(Lists!$F$3,$A$1:$T$1,0))),INDEX($A297:$T297,MATCH(Lists!$F$3,$A$1:$T$1,0)),DATE(VALUE(LEFT(IFERROR(TRIM(INDEX($A297:$T297,MATCH(Lists!$F$3,$A$1:$T$1,0))&amp;""),""),4)),VALUE(MID(IFERROR(TRIM(INDEX($A297:$T297,MATCH(Lists!$F$3,$A$1:$T$1,0))&amp;""),""),6,2)),VALUE(MID(IFERROR(TRIM(INDEX($A297:$T297,MATCH(Lists!$F$3,$A$1:$T$1,0))&amp;""),""),9,2)))+TIME(VALUE(MID(IFERROR(TRIM(INDEX($A297:$T297,MATCH(Lists!$F$3,$A$1:$T$1,0))&amp;""),""),12,2)),VALUE(MID(IFERROR(TRIM(INDEX($A297:$T297,MATCH(Lists!$F$3,$A$1:$T$1,0))&amp;""),""),15,2)),VALUE(MID(IFERROR(TRIM(INDEX($A297:$T297,MATCH(Lists!$F$3,$A$1:$T$1,0))&amp;""),""),18,2)))),""))</f>
        <v/>
      </c>
      <c r="AA297" s="23">
        <f>IF(Y297="","",IF(ISNUMBER(IFERROR(IF(TRIM(INDEX($A297:$T297,MATCH(Lists!$F$4,$A$1:$T$1,0))&amp;"")="","",IF(ISNUMBER(INDEX($A297:$T297,MATCH(Lists!$F$4,$A$1:$T$1,0))),INT(INDEX($A297:$T297,MATCH(Lists!$F$4,$A$1:$T$1,0))),DATE(VALUE(LEFT(INDEX($A297:$T297,MATCH(Lists!$F$4,$A$1:$T$1,0)),4)),VALUE(MID(INDEX($A297:$T297,MATCH(Lists!$F$4,$A$1:$T$1,0)),6,2)),VALUE(MID(INDEX($A297:$T297,MATCH(Lists!$F$4,$A$1:$T$1,0)),9,2))))),"")),IFERROR(IF(TRIM(INDEX($A297:$T297,MATCH(Lists!$F$4,$A$1:$T$1,0))&amp;"")="","",IF(ISNUMBER(INDEX($A297:$T297,MATCH(Lists!$F$4,$A$1:$T$1,0))),INT(INDEX($A297:$T297,MATCH(Lists!$F$4,$A$1:$T$1,0))),DATE(VALUE(LEFT(INDEX($A297:$T297,MATCH(Lists!$F$4,$A$1:$T$1,0)),4)),VALUE(MID(INDEX($A297:$T297,MATCH(Lists!$F$4,$A$1:$T$1,0)),6,2)),VALUE(MID(INDEX($A297:$T297,MATCH(Lists!$F$4,$A$1:$T$1,0)),9,2))))),""),IFERROR(IF(TRIM(INDEX($A297:$T297,MATCH(Lists!$F$5,$A$1:$T$1,0))&amp;"")="","",IF(ISNUMBER(INDEX($A297:$T297,MATCH(Lists!$F$5,$A$1:$T$1,0))),INT(INDEX($A297:$T297,MATCH(Lists!$F$5,$A$1:$T$1,0))),DATE(VALUE(LEFT(INDEX($A297:$T297,MATCH(Lists!$F$5,$A$1:$T$1,0)),4)),VALUE(MID(INDEX($A297:$T297,MATCH(Lists!$F$5,$A$1:$T$1,0)),6,2)),VALUE(MID(INDEX($A297:$T297,MATCH(Lists!$F$5,$A$1:$T$1,0)),9,2))))),"")))</f>
        <v/>
      </c>
      <c r="AB297" s="21">
        <f>IF(Y297="","",IF(LEFT(IFERROR(TRIM(INDEX($A297:$T297,MATCH(Lists!$F$6,$A$1:$T$1,0))&amp;""),""),2)="No","General comment",IF(IFERROR(TRIM(INDEX($A297:$T297,MATCH(Lists!$F$7,$A$1:$T$1,0))&amp;""),"")&lt;&gt;"",IFERROR(TRIM(INDEX($A297:$T297,MATCH(Lists!$F$7,$A$1:$T$1,0))&amp;""),""),IF(IFERROR(TRIM(INDEX($A297:$T297,MATCH(Lists!$F$8,$A$1:$T$1,0))&amp;""),"")&lt;&gt;"",IFERROR(TRIM(INDEX($A297:$T297,MATCH(Lists!$F$8,$A$1:$T$1,0))&amp;""),""),"(no item given)"))))</f>
        <v/>
      </c>
      <c r="AC297" s="21">
        <f>IF(Y297="","",IF(ISNUMBER(SEARCH("support",IFERROR(TRIM(INDEX($A297:$T297,MATCH(Lists!$F$9,$A$1:$T$1,0))&amp;""),""))),"Support",IF(ISNUMBER(SEARCH("oppose",IFERROR(TRIM(INDEX($A297:$T297,MATCH(Lists!$F$9,$A$1:$T$1,0))&amp;""),""))),"Oppose",IF(IFERROR(TRIM(INDEX($A297:$T297,MATCH(Lists!$F$9,$A$1:$T$1,0))&amp;""),"")="","No position","Neither"))))</f>
        <v/>
      </c>
      <c r="AD297" s="21">
        <f>IF(Y297="","",IF(ISNUMBER(SEARCH("in person",IFERROR(TRIM(INDEX($A297:$T297,MATCH(Lists!$F$13,$A$1:$T$1,0))&amp;""),""))),"In person",IF(ISNUMBER(SEARCH("online",IFERROR(TRIM(INDEX($A297:$T297,MATCH(Lists!$F$13,$A$1:$T$1,0))&amp;""),""))),"Online","Written only")))</f>
        <v/>
      </c>
      <c r="AE297" s="21">
        <f>IF(Y297="","",IFERROR(TRIM(INDEX($A297:$T297,MATCH(Lists!$F$11,$A$1:$T$1,0))&amp;""),""))</f>
        <v/>
      </c>
      <c r="AF297" s="21">
        <f>IF(Y297="","",IFERROR(TRIM(INDEX($A297:$T297,MATCH(Lists!$F$12,$A$1:$T$1,0))&amp;""),""))</f>
        <v/>
      </c>
      <c r="AG297" s="21">
        <f>IF(Y297="","",IFERROR(TRIM(INDEX($A297:$T297,MATCH(Lists!$F$14,$A$1:$T$1,0))&amp;""),""))</f>
        <v/>
      </c>
      <c r="AH297" s="21">
        <f>IF(Y297="","",LEFT(IFERROR(TRIM(INDEX($A297:$T297,MATCH(Lists!$F$10,$A$1:$T$1,0))&amp;""),""),80))</f>
        <v/>
      </c>
      <c r="AI297" s="21">
        <f>IF(Y297="",0,IF(OR(Tally!$B$5="",AA297=Tally!$B$5),1,0))</f>
        <v/>
      </c>
      <c r="AJ297" s="21">
        <f>IF(AI297=1,IF(COUNTIFS($AB$2:AB297,AB297,$AI$2:AI297,1)=1,1,0),0)</f>
        <v/>
      </c>
      <c r="AK297" s="21">
        <f>IF(AJ297=1,SUM($AJ$2:AJ297),"")</f>
        <v/>
      </c>
      <c r="AL297" s="21">
        <f>IF(AND(AI297=1,OR(AD297="In person",AD297="Online"),OR(Speakers!$B$5="",AB297=Speakers!$B$5)),N(Z297)+ROW()/1000000000,"")</f>
        <v/>
      </c>
    </row>
    <row r="298">
      <c r="U298" s="19" t="n"/>
      <c r="V298" s="24" t="n"/>
      <c r="W298" s="24" t="n"/>
      <c r="X298" s="19" t="n"/>
      <c r="Y298" s="21">
        <f>IFERROR(TRIM(INDEX($A298:$T298,MATCH(Lists!$F$2,$A$1:$T$1,0))&amp;""),"")</f>
        <v/>
      </c>
      <c r="Z298" s="22">
        <f>IF(Y298="","",IFERROR(IF(ISNUMBER(INDEX($A298:$T298,MATCH(Lists!$F$3,$A$1:$T$1,0))),INDEX($A298:$T298,MATCH(Lists!$F$3,$A$1:$T$1,0)),DATE(VALUE(LEFT(IFERROR(TRIM(INDEX($A298:$T298,MATCH(Lists!$F$3,$A$1:$T$1,0))&amp;""),""),4)),VALUE(MID(IFERROR(TRIM(INDEX($A298:$T298,MATCH(Lists!$F$3,$A$1:$T$1,0))&amp;""),""),6,2)),VALUE(MID(IFERROR(TRIM(INDEX($A298:$T298,MATCH(Lists!$F$3,$A$1:$T$1,0))&amp;""),""),9,2)))+TIME(VALUE(MID(IFERROR(TRIM(INDEX($A298:$T298,MATCH(Lists!$F$3,$A$1:$T$1,0))&amp;""),""),12,2)),VALUE(MID(IFERROR(TRIM(INDEX($A298:$T298,MATCH(Lists!$F$3,$A$1:$T$1,0))&amp;""),""),15,2)),VALUE(MID(IFERROR(TRIM(INDEX($A298:$T298,MATCH(Lists!$F$3,$A$1:$T$1,0))&amp;""),""),18,2)))),""))</f>
        <v/>
      </c>
      <c r="AA298" s="23">
        <f>IF(Y298="","",IF(ISNUMBER(IFERROR(IF(TRIM(INDEX($A298:$T298,MATCH(Lists!$F$4,$A$1:$T$1,0))&amp;"")="","",IF(ISNUMBER(INDEX($A298:$T298,MATCH(Lists!$F$4,$A$1:$T$1,0))),INT(INDEX($A298:$T298,MATCH(Lists!$F$4,$A$1:$T$1,0))),DATE(VALUE(LEFT(INDEX($A298:$T298,MATCH(Lists!$F$4,$A$1:$T$1,0)),4)),VALUE(MID(INDEX($A298:$T298,MATCH(Lists!$F$4,$A$1:$T$1,0)),6,2)),VALUE(MID(INDEX($A298:$T298,MATCH(Lists!$F$4,$A$1:$T$1,0)),9,2))))),"")),IFERROR(IF(TRIM(INDEX($A298:$T298,MATCH(Lists!$F$4,$A$1:$T$1,0))&amp;"")="","",IF(ISNUMBER(INDEX($A298:$T298,MATCH(Lists!$F$4,$A$1:$T$1,0))),INT(INDEX($A298:$T298,MATCH(Lists!$F$4,$A$1:$T$1,0))),DATE(VALUE(LEFT(INDEX($A298:$T298,MATCH(Lists!$F$4,$A$1:$T$1,0)),4)),VALUE(MID(INDEX($A298:$T298,MATCH(Lists!$F$4,$A$1:$T$1,0)),6,2)),VALUE(MID(INDEX($A298:$T298,MATCH(Lists!$F$4,$A$1:$T$1,0)),9,2))))),""),IFERROR(IF(TRIM(INDEX($A298:$T298,MATCH(Lists!$F$5,$A$1:$T$1,0))&amp;"")="","",IF(ISNUMBER(INDEX($A298:$T298,MATCH(Lists!$F$5,$A$1:$T$1,0))),INT(INDEX($A298:$T298,MATCH(Lists!$F$5,$A$1:$T$1,0))),DATE(VALUE(LEFT(INDEX($A298:$T298,MATCH(Lists!$F$5,$A$1:$T$1,0)),4)),VALUE(MID(INDEX($A298:$T298,MATCH(Lists!$F$5,$A$1:$T$1,0)),6,2)),VALUE(MID(INDEX($A298:$T298,MATCH(Lists!$F$5,$A$1:$T$1,0)),9,2))))),"")))</f>
        <v/>
      </c>
      <c r="AB298" s="21">
        <f>IF(Y298="","",IF(LEFT(IFERROR(TRIM(INDEX($A298:$T298,MATCH(Lists!$F$6,$A$1:$T$1,0))&amp;""),""),2)="No","General comment",IF(IFERROR(TRIM(INDEX($A298:$T298,MATCH(Lists!$F$7,$A$1:$T$1,0))&amp;""),"")&lt;&gt;"",IFERROR(TRIM(INDEX($A298:$T298,MATCH(Lists!$F$7,$A$1:$T$1,0))&amp;""),""),IF(IFERROR(TRIM(INDEX($A298:$T298,MATCH(Lists!$F$8,$A$1:$T$1,0))&amp;""),"")&lt;&gt;"",IFERROR(TRIM(INDEX($A298:$T298,MATCH(Lists!$F$8,$A$1:$T$1,0))&amp;""),""),"(no item given)"))))</f>
        <v/>
      </c>
      <c r="AC298" s="21">
        <f>IF(Y298="","",IF(ISNUMBER(SEARCH("support",IFERROR(TRIM(INDEX($A298:$T298,MATCH(Lists!$F$9,$A$1:$T$1,0))&amp;""),""))),"Support",IF(ISNUMBER(SEARCH("oppose",IFERROR(TRIM(INDEX($A298:$T298,MATCH(Lists!$F$9,$A$1:$T$1,0))&amp;""),""))),"Oppose",IF(IFERROR(TRIM(INDEX($A298:$T298,MATCH(Lists!$F$9,$A$1:$T$1,0))&amp;""),"")="","No position","Neither"))))</f>
        <v/>
      </c>
      <c r="AD298" s="21">
        <f>IF(Y298="","",IF(ISNUMBER(SEARCH("in person",IFERROR(TRIM(INDEX($A298:$T298,MATCH(Lists!$F$13,$A$1:$T$1,0))&amp;""),""))),"In person",IF(ISNUMBER(SEARCH("online",IFERROR(TRIM(INDEX($A298:$T298,MATCH(Lists!$F$13,$A$1:$T$1,0))&amp;""),""))),"Online","Written only")))</f>
        <v/>
      </c>
      <c r="AE298" s="21">
        <f>IF(Y298="","",IFERROR(TRIM(INDEX($A298:$T298,MATCH(Lists!$F$11,$A$1:$T$1,0))&amp;""),""))</f>
        <v/>
      </c>
      <c r="AF298" s="21">
        <f>IF(Y298="","",IFERROR(TRIM(INDEX($A298:$T298,MATCH(Lists!$F$12,$A$1:$T$1,0))&amp;""),""))</f>
        <v/>
      </c>
      <c r="AG298" s="21">
        <f>IF(Y298="","",IFERROR(TRIM(INDEX($A298:$T298,MATCH(Lists!$F$14,$A$1:$T$1,0))&amp;""),""))</f>
        <v/>
      </c>
      <c r="AH298" s="21">
        <f>IF(Y298="","",LEFT(IFERROR(TRIM(INDEX($A298:$T298,MATCH(Lists!$F$10,$A$1:$T$1,0))&amp;""),""),80))</f>
        <v/>
      </c>
      <c r="AI298" s="21">
        <f>IF(Y298="",0,IF(OR(Tally!$B$5="",AA298=Tally!$B$5),1,0))</f>
        <v/>
      </c>
      <c r="AJ298" s="21">
        <f>IF(AI298=1,IF(COUNTIFS($AB$2:AB298,AB298,$AI$2:AI298,1)=1,1,0),0)</f>
        <v/>
      </c>
      <c r="AK298" s="21">
        <f>IF(AJ298=1,SUM($AJ$2:AJ298),"")</f>
        <v/>
      </c>
      <c r="AL298" s="21">
        <f>IF(AND(AI298=1,OR(AD298="In person",AD298="Online"),OR(Speakers!$B$5="",AB298=Speakers!$B$5)),N(Z298)+ROW()/1000000000,"")</f>
        <v/>
      </c>
    </row>
    <row r="299">
      <c r="U299" s="19" t="n"/>
      <c r="V299" s="24" t="n"/>
      <c r="W299" s="24" t="n"/>
      <c r="X299" s="19" t="n"/>
      <c r="Y299" s="21">
        <f>IFERROR(TRIM(INDEX($A299:$T299,MATCH(Lists!$F$2,$A$1:$T$1,0))&amp;""),"")</f>
        <v/>
      </c>
      <c r="Z299" s="22">
        <f>IF(Y299="","",IFERROR(IF(ISNUMBER(INDEX($A299:$T299,MATCH(Lists!$F$3,$A$1:$T$1,0))),INDEX($A299:$T299,MATCH(Lists!$F$3,$A$1:$T$1,0)),DATE(VALUE(LEFT(IFERROR(TRIM(INDEX($A299:$T299,MATCH(Lists!$F$3,$A$1:$T$1,0))&amp;""),""),4)),VALUE(MID(IFERROR(TRIM(INDEX($A299:$T299,MATCH(Lists!$F$3,$A$1:$T$1,0))&amp;""),""),6,2)),VALUE(MID(IFERROR(TRIM(INDEX($A299:$T299,MATCH(Lists!$F$3,$A$1:$T$1,0))&amp;""),""),9,2)))+TIME(VALUE(MID(IFERROR(TRIM(INDEX($A299:$T299,MATCH(Lists!$F$3,$A$1:$T$1,0))&amp;""),""),12,2)),VALUE(MID(IFERROR(TRIM(INDEX($A299:$T299,MATCH(Lists!$F$3,$A$1:$T$1,0))&amp;""),""),15,2)),VALUE(MID(IFERROR(TRIM(INDEX($A299:$T299,MATCH(Lists!$F$3,$A$1:$T$1,0))&amp;""),""),18,2)))),""))</f>
        <v/>
      </c>
      <c r="AA299" s="23">
        <f>IF(Y299="","",IF(ISNUMBER(IFERROR(IF(TRIM(INDEX($A299:$T299,MATCH(Lists!$F$4,$A$1:$T$1,0))&amp;"")="","",IF(ISNUMBER(INDEX($A299:$T299,MATCH(Lists!$F$4,$A$1:$T$1,0))),INT(INDEX($A299:$T299,MATCH(Lists!$F$4,$A$1:$T$1,0))),DATE(VALUE(LEFT(INDEX($A299:$T299,MATCH(Lists!$F$4,$A$1:$T$1,0)),4)),VALUE(MID(INDEX($A299:$T299,MATCH(Lists!$F$4,$A$1:$T$1,0)),6,2)),VALUE(MID(INDEX($A299:$T299,MATCH(Lists!$F$4,$A$1:$T$1,0)),9,2))))),"")),IFERROR(IF(TRIM(INDEX($A299:$T299,MATCH(Lists!$F$4,$A$1:$T$1,0))&amp;"")="","",IF(ISNUMBER(INDEX($A299:$T299,MATCH(Lists!$F$4,$A$1:$T$1,0))),INT(INDEX($A299:$T299,MATCH(Lists!$F$4,$A$1:$T$1,0))),DATE(VALUE(LEFT(INDEX($A299:$T299,MATCH(Lists!$F$4,$A$1:$T$1,0)),4)),VALUE(MID(INDEX($A299:$T299,MATCH(Lists!$F$4,$A$1:$T$1,0)),6,2)),VALUE(MID(INDEX($A299:$T299,MATCH(Lists!$F$4,$A$1:$T$1,0)),9,2))))),""),IFERROR(IF(TRIM(INDEX($A299:$T299,MATCH(Lists!$F$5,$A$1:$T$1,0))&amp;"")="","",IF(ISNUMBER(INDEX($A299:$T299,MATCH(Lists!$F$5,$A$1:$T$1,0))),INT(INDEX($A299:$T299,MATCH(Lists!$F$5,$A$1:$T$1,0))),DATE(VALUE(LEFT(INDEX($A299:$T299,MATCH(Lists!$F$5,$A$1:$T$1,0)),4)),VALUE(MID(INDEX($A299:$T299,MATCH(Lists!$F$5,$A$1:$T$1,0)),6,2)),VALUE(MID(INDEX($A299:$T299,MATCH(Lists!$F$5,$A$1:$T$1,0)),9,2))))),"")))</f>
        <v/>
      </c>
      <c r="AB299" s="21">
        <f>IF(Y299="","",IF(LEFT(IFERROR(TRIM(INDEX($A299:$T299,MATCH(Lists!$F$6,$A$1:$T$1,0))&amp;""),""),2)="No","General comment",IF(IFERROR(TRIM(INDEX($A299:$T299,MATCH(Lists!$F$7,$A$1:$T$1,0))&amp;""),"")&lt;&gt;"",IFERROR(TRIM(INDEX($A299:$T299,MATCH(Lists!$F$7,$A$1:$T$1,0))&amp;""),""),IF(IFERROR(TRIM(INDEX($A299:$T299,MATCH(Lists!$F$8,$A$1:$T$1,0))&amp;""),"")&lt;&gt;"",IFERROR(TRIM(INDEX($A299:$T299,MATCH(Lists!$F$8,$A$1:$T$1,0))&amp;""),""),"(no item given)"))))</f>
        <v/>
      </c>
      <c r="AC299" s="21">
        <f>IF(Y299="","",IF(ISNUMBER(SEARCH("support",IFERROR(TRIM(INDEX($A299:$T299,MATCH(Lists!$F$9,$A$1:$T$1,0))&amp;""),""))),"Support",IF(ISNUMBER(SEARCH("oppose",IFERROR(TRIM(INDEX($A299:$T299,MATCH(Lists!$F$9,$A$1:$T$1,0))&amp;""),""))),"Oppose",IF(IFERROR(TRIM(INDEX($A299:$T299,MATCH(Lists!$F$9,$A$1:$T$1,0))&amp;""),"")="","No position","Neither"))))</f>
        <v/>
      </c>
      <c r="AD299" s="21">
        <f>IF(Y299="","",IF(ISNUMBER(SEARCH("in person",IFERROR(TRIM(INDEX($A299:$T299,MATCH(Lists!$F$13,$A$1:$T$1,0))&amp;""),""))),"In person",IF(ISNUMBER(SEARCH("online",IFERROR(TRIM(INDEX($A299:$T299,MATCH(Lists!$F$13,$A$1:$T$1,0))&amp;""),""))),"Online","Written only")))</f>
        <v/>
      </c>
      <c r="AE299" s="21">
        <f>IF(Y299="","",IFERROR(TRIM(INDEX($A299:$T299,MATCH(Lists!$F$11,$A$1:$T$1,0))&amp;""),""))</f>
        <v/>
      </c>
      <c r="AF299" s="21">
        <f>IF(Y299="","",IFERROR(TRIM(INDEX($A299:$T299,MATCH(Lists!$F$12,$A$1:$T$1,0))&amp;""),""))</f>
        <v/>
      </c>
      <c r="AG299" s="21">
        <f>IF(Y299="","",IFERROR(TRIM(INDEX($A299:$T299,MATCH(Lists!$F$14,$A$1:$T$1,0))&amp;""),""))</f>
        <v/>
      </c>
      <c r="AH299" s="21">
        <f>IF(Y299="","",LEFT(IFERROR(TRIM(INDEX($A299:$T299,MATCH(Lists!$F$10,$A$1:$T$1,0))&amp;""),""),80))</f>
        <v/>
      </c>
      <c r="AI299" s="21">
        <f>IF(Y299="",0,IF(OR(Tally!$B$5="",AA299=Tally!$B$5),1,0))</f>
        <v/>
      </c>
      <c r="AJ299" s="21">
        <f>IF(AI299=1,IF(COUNTIFS($AB$2:AB299,AB299,$AI$2:AI299,1)=1,1,0),0)</f>
        <v/>
      </c>
      <c r="AK299" s="21">
        <f>IF(AJ299=1,SUM($AJ$2:AJ299),"")</f>
        <v/>
      </c>
      <c r="AL299" s="21">
        <f>IF(AND(AI299=1,OR(AD299="In person",AD299="Online"),OR(Speakers!$B$5="",AB299=Speakers!$B$5)),N(Z299)+ROW()/1000000000,"")</f>
        <v/>
      </c>
    </row>
    <row r="300">
      <c r="U300" s="19" t="n"/>
      <c r="V300" s="24" t="n"/>
      <c r="W300" s="24" t="n"/>
      <c r="X300" s="19" t="n"/>
      <c r="Y300" s="21">
        <f>IFERROR(TRIM(INDEX($A300:$T300,MATCH(Lists!$F$2,$A$1:$T$1,0))&amp;""),"")</f>
        <v/>
      </c>
      <c r="Z300" s="22">
        <f>IF(Y300="","",IFERROR(IF(ISNUMBER(INDEX($A300:$T300,MATCH(Lists!$F$3,$A$1:$T$1,0))),INDEX($A300:$T300,MATCH(Lists!$F$3,$A$1:$T$1,0)),DATE(VALUE(LEFT(IFERROR(TRIM(INDEX($A300:$T300,MATCH(Lists!$F$3,$A$1:$T$1,0))&amp;""),""),4)),VALUE(MID(IFERROR(TRIM(INDEX($A300:$T300,MATCH(Lists!$F$3,$A$1:$T$1,0))&amp;""),""),6,2)),VALUE(MID(IFERROR(TRIM(INDEX($A300:$T300,MATCH(Lists!$F$3,$A$1:$T$1,0))&amp;""),""),9,2)))+TIME(VALUE(MID(IFERROR(TRIM(INDEX($A300:$T300,MATCH(Lists!$F$3,$A$1:$T$1,0))&amp;""),""),12,2)),VALUE(MID(IFERROR(TRIM(INDEX($A300:$T300,MATCH(Lists!$F$3,$A$1:$T$1,0))&amp;""),""),15,2)),VALUE(MID(IFERROR(TRIM(INDEX($A300:$T300,MATCH(Lists!$F$3,$A$1:$T$1,0))&amp;""),""),18,2)))),""))</f>
        <v/>
      </c>
      <c r="AA300" s="23">
        <f>IF(Y300="","",IF(ISNUMBER(IFERROR(IF(TRIM(INDEX($A300:$T300,MATCH(Lists!$F$4,$A$1:$T$1,0))&amp;"")="","",IF(ISNUMBER(INDEX($A300:$T300,MATCH(Lists!$F$4,$A$1:$T$1,0))),INT(INDEX($A300:$T300,MATCH(Lists!$F$4,$A$1:$T$1,0))),DATE(VALUE(LEFT(INDEX($A300:$T300,MATCH(Lists!$F$4,$A$1:$T$1,0)),4)),VALUE(MID(INDEX($A300:$T300,MATCH(Lists!$F$4,$A$1:$T$1,0)),6,2)),VALUE(MID(INDEX($A300:$T300,MATCH(Lists!$F$4,$A$1:$T$1,0)),9,2))))),"")),IFERROR(IF(TRIM(INDEX($A300:$T300,MATCH(Lists!$F$4,$A$1:$T$1,0))&amp;"")="","",IF(ISNUMBER(INDEX($A300:$T300,MATCH(Lists!$F$4,$A$1:$T$1,0))),INT(INDEX($A300:$T300,MATCH(Lists!$F$4,$A$1:$T$1,0))),DATE(VALUE(LEFT(INDEX($A300:$T300,MATCH(Lists!$F$4,$A$1:$T$1,0)),4)),VALUE(MID(INDEX($A300:$T300,MATCH(Lists!$F$4,$A$1:$T$1,0)),6,2)),VALUE(MID(INDEX($A300:$T300,MATCH(Lists!$F$4,$A$1:$T$1,0)),9,2))))),""),IFERROR(IF(TRIM(INDEX($A300:$T300,MATCH(Lists!$F$5,$A$1:$T$1,0))&amp;"")="","",IF(ISNUMBER(INDEX($A300:$T300,MATCH(Lists!$F$5,$A$1:$T$1,0))),INT(INDEX($A300:$T300,MATCH(Lists!$F$5,$A$1:$T$1,0))),DATE(VALUE(LEFT(INDEX($A300:$T300,MATCH(Lists!$F$5,$A$1:$T$1,0)),4)),VALUE(MID(INDEX($A300:$T300,MATCH(Lists!$F$5,$A$1:$T$1,0)),6,2)),VALUE(MID(INDEX($A300:$T300,MATCH(Lists!$F$5,$A$1:$T$1,0)),9,2))))),"")))</f>
        <v/>
      </c>
      <c r="AB300" s="21">
        <f>IF(Y300="","",IF(LEFT(IFERROR(TRIM(INDEX($A300:$T300,MATCH(Lists!$F$6,$A$1:$T$1,0))&amp;""),""),2)="No","General comment",IF(IFERROR(TRIM(INDEX($A300:$T300,MATCH(Lists!$F$7,$A$1:$T$1,0))&amp;""),"")&lt;&gt;"",IFERROR(TRIM(INDEX($A300:$T300,MATCH(Lists!$F$7,$A$1:$T$1,0))&amp;""),""),IF(IFERROR(TRIM(INDEX($A300:$T300,MATCH(Lists!$F$8,$A$1:$T$1,0))&amp;""),"")&lt;&gt;"",IFERROR(TRIM(INDEX($A300:$T300,MATCH(Lists!$F$8,$A$1:$T$1,0))&amp;""),""),"(no item given)"))))</f>
        <v/>
      </c>
      <c r="AC300" s="21">
        <f>IF(Y300="","",IF(ISNUMBER(SEARCH("support",IFERROR(TRIM(INDEX($A300:$T300,MATCH(Lists!$F$9,$A$1:$T$1,0))&amp;""),""))),"Support",IF(ISNUMBER(SEARCH("oppose",IFERROR(TRIM(INDEX($A300:$T300,MATCH(Lists!$F$9,$A$1:$T$1,0))&amp;""),""))),"Oppose",IF(IFERROR(TRIM(INDEX($A300:$T300,MATCH(Lists!$F$9,$A$1:$T$1,0))&amp;""),"")="","No position","Neither"))))</f>
        <v/>
      </c>
      <c r="AD300" s="21">
        <f>IF(Y300="","",IF(ISNUMBER(SEARCH("in person",IFERROR(TRIM(INDEX($A300:$T300,MATCH(Lists!$F$13,$A$1:$T$1,0))&amp;""),""))),"In person",IF(ISNUMBER(SEARCH("online",IFERROR(TRIM(INDEX($A300:$T300,MATCH(Lists!$F$13,$A$1:$T$1,0))&amp;""),""))),"Online","Written only")))</f>
        <v/>
      </c>
      <c r="AE300" s="21">
        <f>IF(Y300="","",IFERROR(TRIM(INDEX($A300:$T300,MATCH(Lists!$F$11,$A$1:$T$1,0))&amp;""),""))</f>
        <v/>
      </c>
      <c r="AF300" s="21">
        <f>IF(Y300="","",IFERROR(TRIM(INDEX($A300:$T300,MATCH(Lists!$F$12,$A$1:$T$1,0))&amp;""),""))</f>
        <v/>
      </c>
      <c r="AG300" s="21">
        <f>IF(Y300="","",IFERROR(TRIM(INDEX($A300:$T300,MATCH(Lists!$F$14,$A$1:$T$1,0))&amp;""),""))</f>
        <v/>
      </c>
      <c r="AH300" s="21">
        <f>IF(Y300="","",LEFT(IFERROR(TRIM(INDEX($A300:$T300,MATCH(Lists!$F$10,$A$1:$T$1,0))&amp;""),""),80))</f>
        <v/>
      </c>
      <c r="AI300" s="21">
        <f>IF(Y300="",0,IF(OR(Tally!$B$5="",AA300=Tally!$B$5),1,0))</f>
        <v/>
      </c>
      <c r="AJ300" s="21">
        <f>IF(AI300=1,IF(COUNTIFS($AB$2:AB300,AB300,$AI$2:AI300,1)=1,1,0),0)</f>
        <v/>
      </c>
      <c r="AK300" s="21">
        <f>IF(AJ300=1,SUM($AJ$2:AJ300),"")</f>
        <v/>
      </c>
      <c r="AL300" s="21">
        <f>IF(AND(AI300=1,OR(AD300="In person",AD300="Online"),OR(Speakers!$B$5="",AB300=Speakers!$B$5)),N(Z300)+ROW()/1000000000,"")</f>
        <v/>
      </c>
    </row>
    <row r="301">
      <c r="U301" s="19" t="n"/>
      <c r="V301" s="24" t="n"/>
      <c r="W301" s="24" t="n"/>
      <c r="X301" s="19" t="n"/>
      <c r="Y301" s="21">
        <f>IFERROR(TRIM(INDEX($A301:$T301,MATCH(Lists!$F$2,$A$1:$T$1,0))&amp;""),"")</f>
        <v/>
      </c>
      <c r="Z301" s="22">
        <f>IF(Y301="","",IFERROR(IF(ISNUMBER(INDEX($A301:$T301,MATCH(Lists!$F$3,$A$1:$T$1,0))),INDEX($A301:$T301,MATCH(Lists!$F$3,$A$1:$T$1,0)),DATE(VALUE(LEFT(IFERROR(TRIM(INDEX($A301:$T301,MATCH(Lists!$F$3,$A$1:$T$1,0))&amp;""),""),4)),VALUE(MID(IFERROR(TRIM(INDEX($A301:$T301,MATCH(Lists!$F$3,$A$1:$T$1,0))&amp;""),""),6,2)),VALUE(MID(IFERROR(TRIM(INDEX($A301:$T301,MATCH(Lists!$F$3,$A$1:$T$1,0))&amp;""),""),9,2)))+TIME(VALUE(MID(IFERROR(TRIM(INDEX($A301:$T301,MATCH(Lists!$F$3,$A$1:$T$1,0))&amp;""),""),12,2)),VALUE(MID(IFERROR(TRIM(INDEX($A301:$T301,MATCH(Lists!$F$3,$A$1:$T$1,0))&amp;""),""),15,2)),VALUE(MID(IFERROR(TRIM(INDEX($A301:$T301,MATCH(Lists!$F$3,$A$1:$T$1,0))&amp;""),""),18,2)))),""))</f>
        <v/>
      </c>
      <c r="AA301" s="23">
        <f>IF(Y301="","",IF(ISNUMBER(IFERROR(IF(TRIM(INDEX($A301:$T301,MATCH(Lists!$F$4,$A$1:$T$1,0))&amp;"")="","",IF(ISNUMBER(INDEX($A301:$T301,MATCH(Lists!$F$4,$A$1:$T$1,0))),INT(INDEX($A301:$T301,MATCH(Lists!$F$4,$A$1:$T$1,0))),DATE(VALUE(LEFT(INDEX($A301:$T301,MATCH(Lists!$F$4,$A$1:$T$1,0)),4)),VALUE(MID(INDEX($A301:$T301,MATCH(Lists!$F$4,$A$1:$T$1,0)),6,2)),VALUE(MID(INDEX($A301:$T301,MATCH(Lists!$F$4,$A$1:$T$1,0)),9,2))))),"")),IFERROR(IF(TRIM(INDEX($A301:$T301,MATCH(Lists!$F$4,$A$1:$T$1,0))&amp;"")="","",IF(ISNUMBER(INDEX($A301:$T301,MATCH(Lists!$F$4,$A$1:$T$1,0))),INT(INDEX($A301:$T301,MATCH(Lists!$F$4,$A$1:$T$1,0))),DATE(VALUE(LEFT(INDEX($A301:$T301,MATCH(Lists!$F$4,$A$1:$T$1,0)),4)),VALUE(MID(INDEX($A301:$T301,MATCH(Lists!$F$4,$A$1:$T$1,0)),6,2)),VALUE(MID(INDEX($A301:$T301,MATCH(Lists!$F$4,$A$1:$T$1,0)),9,2))))),""),IFERROR(IF(TRIM(INDEX($A301:$T301,MATCH(Lists!$F$5,$A$1:$T$1,0))&amp;"")="","",IF(ISNUMBER(INDEX($A301:$T301,MATCH(Lists!$F$5,$A$1:$T$1,0))),INT(INDEX($A301:$T301,MATCH(Lists!$F$5,$A$1:$T$1,0))),DATE(VALUE(LEFT(INDEX($A301:$T301,MATCH(Lists!$F$5,$A$1:$T$1,0)),4)),VALUE(MID(INDEX($A301:$T301,MATCH(Lists!$F$5,$A$1:$T$1,0)),6,2)),VALUE(MID(INDEX($A301:$T301,MATCH(Lists!$F$5,$A$1:$T$1,0)),9,2))))),"")))</f>
        <v/>
      </c>
      <c r="AB301" s="21">
        <f>IF(Y301="","",IF(LEFT(IFERROR(TRIM(INDEX($A301:$T301,MATCH(Lists!$F$6,$A$1:$T$1,0))&amp;""),""),2)="No","General comment",IF(IFERROR(TRIM(INDEX($A301:$T301,MATCH(Lists!$F$7,$A$1:$T$1,0))&amp;""),"")&lt;&gt;"",IFERROR(TRIM(INDEX($A301:$T301,MATCH(Lists!$F$7,$A$1:$T$1,0))&amp;""),""),IF(IFERROR(TRIM(INDEX($A301:$T301,MATCH(Lists!$F$8,$A$1:$T$1,0))&amp;""),"")&lt;&gt;"",IFERROR(TRIM(INDEX($A301:$T301,MATCH(Lists!$F$8,$A$1:$T$1,0))&amp;""),""),"(no item given)"))))</f>
        <v/>
      </c>
      <c r="AC301" s="21">
        <f>IF(Y301="","",IF(ISNUMBER(SEARCH("support",IFERROR(TRIM(INDEX($A301:$T301,MATCH(Lists!$F$9,$A$1:$T$1,0))&amp;""),""))),"Support",IF(ISNUMBER(SEARCH("oppose",IFERROR(TRIM(INDEX($A301:$T301,MATCH(Lists!$F$9,$A$1:$T$1,0))&amp;""),""))),"Oppose",IF(IFERROR(TRIM(INDEX($A301:$T301,MATCH(Lists!$F$9,$A$1:$T$1,0))&amp;""),"")="","No position","Neither"))))</f>
        <v/>
      </c>
      <c r="AD301" s="21">
        <f>IF(Y301="","",IF(ISNUMBER(SEARCH("in person",IFERROR(TRIM(INDEX($A301:$T301,MATCH(Lists!$F$13,$A$1:$T$1,0))&amp;""),""))),"In person",IF(ISNUMBER(SEARCH("online",IFERROR(TRIM(INDEX($A301:$T301,MATCH(Lists!$F$13,$A$1:$T$1,0))&amp;""),""))),"Online","Written only")))</f>
        <v/>
      </c>
      <c r="AE301" s="21">
        <f>IF(Y301="","",IFERROR(TRIM(INDEX($A301:$T301,MATCH(Lists!$F$11,$A$1:$T$1,0))&amp;""),""))</f>
        <v/>
      </c>
      <c r="AF301" s="21">
        <f>IF(Y301="","",IFERROR(TRIM(INDEX($A301:$T301,MATCH(Lists!$F$12,$A$1:$T$1,0))&amp;""),""))</f>
        <v/>
      </c>
      <c r="AG301" s="21">
        <f>IF(Y301="","",IFERROR(TRIM(INDEX($A301:$T301,MATCH(Lists!$F$14,$A$1:$T$1,0))&amp;""),""))</f>
        <v/>
      </c>
      <c r="AH301" s="21">
        <f>IF(Y301="","",LEFT(IFERROR(TRIM(INDEX($A301:$T301,MATCH(Lists!$F$10,$A$1:$T$1,0))&amp;""),""),80))</f>
        <v/>
      </c>
      <c r="AI301" s="21">
        <f>IF(Y301="",0,IF(OR(Tally!$B$5="",AA301=Tally!$B$5),1,0))</f>
        <v/>
      </c>
      <c r="AJ301" s="21">
        <f>IF(AI301=1,IF(COUNTIFS($AB$2:AB301,AB301,$AI$2:AI301,1)=1,1,0),0)</f>
        <v/>
      </c>
      <c r="AK301" s="21">
        <f>IF(AJ301=1,SUM($AJ$2:AJ301),"")</f>
        <v/>
      </c>
      <c r="AL301" s="21">
        <f>IF(AND(AI301=1,OR(AD301="In person",AD301="Online"),OR(Speakers!$B$5="",AB301=Speakers!$B$5)),N(Z301)+ROW()/1000000000,"")</f>
        <v/>
      </c>
    </row>
    <row r="302">
      <c r="U302" s="19" t="n"/>
      <c r="V302" s="24" t="n"/>
      <c r="W302" s="24" t="n"/>
      <c r="X302" s="19" t="n"/>
      <c r="Y302" s="21">
        <f>IFERROR(TRIM(INDEX($A302:$T302,MATCH(Lists!$F$2,$A$1:$T$1,0))&amp;""),"")</f>
        <v/>
      </c>
      <c r="Z302" s="22">
        <f>IF(Y302="","",IFERROR(IF(ISNUMBER(INDEX($A302:$T302,MATCH(Lists!$F$3,$A$1:$T$1,0))),INDEX($A302:$T302,MATCH(Lists!$F$3,$A$1:$T$1,0)),DATE(VALUE(LEFT(IFERROR(TRIM(INDEX($A302:$T302,MATCH(Lists!$F$3,$A$1:$T$1,0))&amp;""),""),4)),VALUE(MID(IFERROR(TRIM(INDEX($A302:$T302,MATCH(Lists!$F$3,$A$1:$T$1,0))&amp;""),""),6,2)),VALUE(MID(IFERROR(TRIM(INDEX($A302:$T302,MATCH(Lists!$F$3,$A$1:$T$1,0))&amp;""),""),9,2)))+TIME(VALUE(MID(IFERROR(TRIM(INDEX($A302:$T302,MATCH(Lists!$F$3,$A$1:$T$1,0))&amp;""),""),12,2)),VALUE(MID(IFERROR(TRIM(INDEX($A302:$T302,MATCH(Lists!$F$3,$A$1:$T$1,0))&amp;""),""),15,2)),VALUE(MID(IFERROR(TRIM(INDEX($A302:$T302,MATCH(Lists!$F$3,$A$1:$T$1,0))&amp;""),""),18,2)))),""))</f>
        <v/>
      </c>
      <c r="AA302" s="23">
        <f>IF(Y302="","",IF(ISNUMBER(IFERROR(IF(TRIM(INDEX($A302:$T302,MATCH(Lists!$F$4,$A$1:$T$1,0))&amp;"")="","",IF(ISNUMBER(INDEX($A302:$T302,MATCH(Lists!$F$4,$A$1:$T$1,0))),INT(INDEX($A302:$T302,MATCH(Lists!$F$4,$A$1:$T$1,0))),DATE(VALUE(LEFT(INDEX($A302:$T302,MATCH(Lists!$F$4,$A$1:$T$1,0)),4)),VALUE(MID(INDEX($A302:$T302,MATCH(Lists!$F$4,$A$1:$T$1,0)),6,2)),VALUE(MID(INDEX($A302:$T302,MATCH(Lists!$F$4,$A$1:$T$1,0)),9,2))))),"")),IFERROR(IF(TRIM(INDEX($A302:$T302,MATCH(Lists!$F$4,$A$1:$T$1,0))&amp;"")="","",IF(ISNUMBER(INDEX($A302:$T302,MATCH(Lists!$F$4,$A$1:$T$1,0))),INT(INDEX($A302:$T302,MATCH(Lists!$F$4,$A$1:$T$1,0))),DATE(VALUE(LEFT(INDEX($A302:$T302,MATCH(Lists!$F$4,$A$1:$T$1,0)),4)),VALUE(MID(INDEX($A302:$T302,MATCH(Lists!$F$4,$A$1:$T$1,0)),6,2)),VALUE(MID(INDEX($A302:$T302,MATCH(Lists!$F$4,$A$1:$T$1,0)),9,2))))),""),IFERROR(IF(TRIM(INDEX($A302:$T302,MATCH(Lists!$F$5,$A$1:$T$1,0))&amp;"")="","",IF(ISNUMBER(INDEX($A302:$T302,MATCH(Lists!$F$5,$A$1:$T$1,0))),INT(INDEX($A302:$T302,MATCH(Lists!$F$5,$A$1:$T$1,0))),DATE(VALUE(LEFT(INDEX($A302:$T302,MATCH(Lists!$F$5,$A$1:$T$1,0)),4)),VALUE(MID(INDEX($A302:$T302,MATCH(Lists!$F$5,$A$1:$T$1,0)),6,2)),VALUE(MID(INDEX($A302:$T302,MATCH(Lists!$F$5,$A$1:$T$1,0)),9,2))))),"")))</f>
        <v/>
      </c>
      <c r="AB302" s="21">
        <f>IF(Y302="","",IF(LEFT(IFERROR(TRIM(INDEX($A302:$T302,MATCH(Lists!$F$6,$A$1:$T$1,0))&amp;""),""),2)="No","General comment",IF(IFERROR(TRIM(INDEX($A302:$T302,MATCH(Lists!$F$7,$A$1:$T$1,0))&amp;""),"")&lt;&gt;"",IFERROR(TRIM(INDEX($A302:$T302,MATCH(Lists!$F$7,$A$1:$T$1,0))&amp;""),""),IF(IFERROR(TRIM(INDEX($A302:$T302,MATCH(Lists!$F$8,$A$1:$T$1,0))&amp;""),"")&lt;&gt;"",IFERROR(TRIM(INDEX($A302:$T302,MATCH(Lists!$F$8,$A$1:$T$1,0))&amp;""),""),"(no item given)"))))</f>
        <v/>
      </c>
      <c r="AC302" s="21">
        <f>IF(Y302="","",IF(ISNUMBER(SEARCH("support",IFERROR(TRIM(INDEX($A302:$T302,MATCH(Lists!$F$9,$A$1:$T$1,0))&amp;""),""))),"Support",IF(ISNUMBER(SEARCH("oppose",IFERROR(TRIM(INDEX($A302:$T302,MATCH(Lists!$F$9,$A$1:$T$1,0))&amp;""),""))),"Oppose",IF(IFERROR(TRIM(INDEX($A302:$T302,MATCH(Lists!$F$9,$A$1:$T$1,0))&amp;""),"")="","No position","Neither"))))</f>
        <v/>
      </c>
      <c r="AD302" s="21">
        <f>IF(Y302="","",IF(ISNUMBER(SEARCH("in person",IFERROR(TRIM(INDEX($A302:$T302,MATCH(Lists!$F$13,$A$1:$T$1,0))&amp;""),""))),"In person",IF(ISNUMBER(SEARCH("online",IFERROR(TRIM(INDEX($A302:$T302,MATCH(Lists!$F$13,$A$1:$T$1,0))&amp;""),""))),"Online","Written only")))</f>
        <v/>
      </c>
      <c r="AE302" s="21">
        <f>IF(Y302="","",IFERROR(TRIM(INDEX($A302:$T302,MATCH(Lists!$F$11,$A$1:$T$1,0))&amp;""),""))</f>
        <v/>
      </c>
      <c r="AF302" s="21">
        <f>IF(Y302="","",IFERROR(TRIM(INDEX($A302:$T302,MATCH(Lists!$F$12,$A$1:$T$1,0))&amp;""),""))</f>
        <v/>
      </c>
      <c r="AG302" s="21">
        <f>IF(Y302="","",IFERROR(TRIM(INDEX($A302:$T302,MATCH(Lists!$F$14,$A$1:$T$1,0))&amp;""),""))</f>
        <v/>
      </c>
      <c r="AH302" s="21">
        <f>IF(Y302="","",LEFT(IFERROR(TRIM(INDEX($A302:$T302,MATCH(Lists!$F$10,$A$1:$T$1,0))&amp;""),""),80))</f>
        <v/>
      </c>
      <c r="AI302" s="21">
        <f>IF(Y302="",0,IF(OR(Tally!$B$5="",AA302=Tally!$B$5),1,0))</f>
        <v/>
      </c>
      <c r="AJ302" s="21">
        <f>IF(AI302=1,IF(COUNTIFS($AB$2:AB302,AB302,$AI$2:AI302,1)=1,1,0),0)</f>
        <v/>
      </c>
      <c r="AK302" s="21">
        <f>IF(AJ302=1,SUM($AJ$2:AJ302),"")</f>
        <v/>
      </c>
      <c r="AL302" s="21">
        <f>IF(AND(AI302=1,OR(AD302="In person",AD302="Online"),OR(Speakers!$B$5="",AB302=Speakers!$B$5)),N(Z302)+ROW()/1000000000,"")</f>
        <v/>
      </c>
    </row>
    <row r="303">
      <c r="U303" s="19" t="n"/>
      <c r="V303" s="24" t="n"/>
      <c r="W303" s="24" t="n"/>
      <c r="X303" s="19" t="n"/>
      <c r="Y303" s="21">
        <f>IFERROR(TRIM(INDEX($A303:$T303,MATCH(Lists!$F$2,$A$1:$T$1,0))&amp;""),"")</f>
        <v/>
      </c>
      <c r="Z303" s="22">
        <f>IF(Y303="","",IFERROR(IF(ISNUMBER(INDEX($A303:$T303,MATCH(Lists!$F$3,$A$1:$T$1,0))),INDEX($A303:$T303,MATCH(Lists!$F$3,$A$1:$T$1,0)),DATE(VALUE(LEFT(IFERROR(TRIM(INDEX($A303:$T303,MATCH(Lists!$F$3,$A$1:$T$1,0))&amp;""),""),4)),VALUE(MID(IFERROR(TRIM(INDEX($A303:$T303,MATCH(Lists!$F$3,$A$1:$T$1,0))&amp;""),""),6,2)),VALUE(MID(IFERROR(TRIM(INDEX($A303:$T303,MATCH(Lists!$F$3,$A$1:$T$1,0))&amp;""),""),9,2)))+TIME(VALUE(MID(IFERROR(TRIM(INDEX($A303:$T303,MATCH(Lists!$F$3,$A$1:$T$1,0))&amp;""),""),12,2)),VALUE(MID(IFERROR(TRIM(INDEX($A303:$T303,MATCH(Lists!$F$3,$A$1:$T$1,0))&amp;""),""),15,2)),VALUE(MID(IFERROR(TRIM(INDEX($A303:$T303,MATCH(Lists!$F$3,$A$1:$T$1,0))&amp;""),""),18,2)))),""))</f>
        <v/>
      </c>
      <c r="AA303" s="23">
        <f>IF(Y303="","",IF(ISNUMBER(IFERROR(IF(TRIM(INDEX($A303:$T303,MATCH(Lists!$F$4,$A$1:$T$1,0))&amp;"")="","",IF(ISNUMBER(INDEX($A303:$T303,MATCH(Lists!$F$4,$A$1:$T$1,0))),INT(INDEX($A303:$T303,MATCH(Lists!$F$4,$A$1:$T$1,0))),DATE(VALUE(LEFT(INDEX($A303:$T303,MATCH(Lists!$F$4,$A$1:$T$1,0)),4)),VALUE(MID(INDEX($A303:$T303,MATCH(Lists!$F$4,$A$1:$T$1,0)),6,2)),VALUE(MID(INDEX($A303:$T303,MATCH(Lists!$F$4,$A$1:$T$1,0)),9,2))))),"")),IFERROR(IF(TRIM(INDEX($A303:$T303,MATCH(Lists!$F$4,$A$1:$T$1,0))&amp;"")="","",IF(ISNUMBER(INDEX($A303:$T303,MATCH(Lists!$F$4,$A$1:$T$1,0))),INT(INDEX($A303:$T303,MATCH(Lists!$F$4,$A$1:$T$1,0))),DATE(VALUE(LEFT(INDEX($A303:$T303,MATCH(Lists!$F$4,$A$1:$T$1,0)),4)),VALUE(MID(INDEX($A303:$T303,MATCH(Lists!$F$4,$A$1:$T$1,0)),6,2)),VALUE(MID(INDEX($A303:$T303,MATCH(Lists!$F$4,$A$1:$T$1,0)),9,2))))),""),IFERROR(IF(TRIM(INDEX($A303:$T303,MATCH(Lists!$F$5,$A$1:$T$1,0))&amp;"")="","",IF(ISNUMBER(INDEX($A303:$T303,MATCH(Lists!$F$5,$A$1:$T$1,0))),INT(INDEX($A303:$T303,MATCH(Lists!$F$5,$A$1:$T$1,0))),DATE(VALUE(LEFT(INDEX($A303:$T303,MATCH(Lists!$F$5,$A$1:$T$1,0)),4)),VALUE(MID(INDEX($A303:$T303,MATCH(Lists!$F$5,$A$1:$T$1,0)),6,2)),VALUE(MID(INDEX($A303:$T303,MATCH(Lists!$F$5,$A$1:$T$1,0)),9,2))))),"")))</f>
        <v/>
      </c>
      <c r="AB303" s="21">
        <f>IF(Y303="","",IF(LEFT(IFERROR(TRIM(INDEX($A303:$T303,MATCH(Lists!$F$6,$A$1:$T$1,0))&amp;""),""),2)="No","General comment",IF(IFERROR(TRIM(INDEX($A303:$T303,MATCH(Lists!$F$7,$A$1:$T$1,0))&amp;""),"")&lt;&gt;"",IFERROR(TRIM(INDEX($A303:$T303,MATCH(Lists!$F$7,$A$1:$T$1,0))&amp;""),""),IF(IFERROR(TRIM(INDEX($A303:$T303,MATCH(Lists!$F$8,$A$1:$T$1,0))&amp;""),"")&lt;&gt;"",IFERROR(TRIM(INDEX($A303:$T303,MATCH(Lists!$F$8,$A$1:$T$1,0))&amp;""),""),"(no item given)"))))</f>
        <v/>
      </c>
      <c r="AC303" s="21">
        <f>IF(Y303="","",IF(ISNUMBER(SEARCH("support",IFERROR(TRIM(INDEX($A303:$T303,MATCH(Lists!$F$9,$A$1:$T$1,0))&amp;""),""))),"Support",IF(ISNUMBER(SEARCH("oppose",IFERROR(TRIM(INDEX($A303:$T303,MATCH(Lists!$F$9,$A$1:$T$1,0))&amp;""),""))),"Oppose",IF(IFERROR(TRIM(INDEX($A303:$T303,MATCH(Lists!$F$9,$A$1:$T$1,0))&amp;""),"")="","No position","Neither"))))</f>
        <v/>
      </c>
      <c r="AD303" s="21">
        <f>IF(Y303="","",IF(ISNUMBER(SEARCH("in person",IFERROR(TRIM(INDEX($A303:$T303,MATCH(Lists!$F$13,$A$1:$T$1,0))&amp;""),""))),"In person",IF(ISNUMBER(SEARCH("online",IFERROR(TRIM(INDEX($A303:$T303,MATCH(Lists!$F$13,$A$1:$T$1,0))&amp;""),""))),"Online","Written only")))</f>
        <v/>
      </c>
      <c r="AE303" s="21">
        <f>IF(Y303="","",IFERROR(TRIM(INDEX($A303:$T303,MATCH(Lists!$F$11,$A$1:$T$1,0))&amp;""),""))</f>
        <v/>
      </c>
      <c r="AF303" s="21">
        <f>IF(Y303="","",IFERROR(TRIM(INDEX($A303:$T303,MATCH(Lists!$F$12,$A$1:$T$1,0))&amp;""),""))</f>
        <v/>
      </c>
      <c r="AG303" s="21">
        <f>IF(Y303="","",IFERROR(TRIM(INDEX($A303:$T303,MATCH(Lists!$F$14,$A$1:$T$1,0))&amp;""),""))</f>
        <v/>
      </c>
      <c r="AH303" s="21">
        <f>IF(Y303="","",LEFT(IFERROR(TRIM(INDEX($A303:$T303,MATCH(Lists!$F$10,$A$1:$T$1,0))&amp;""),""),80))</f>
        <v/>
      </c>
      <c r="AI303" s="21">
        <f>IF(Y303="",0,IF(OR(Tally!$B$5="",AA303=Tally!$B$5),1,0))</f>
        <v/>
      </c>
      <c r="AJ303" s="21">
        <f>IF(AI303=1,IF(COUNTIFS($AB$2:AB303,AB303,$AI$2:AI303,1)=1,1,0),0)</f>
        <v/>
      </c>
      <c r="AK303" s="21">
        <f>IF(AJ303=1,SUM($AJ$2:AJ303),"")</f>
        <v/>
      </c>
      <c r="AL303" s="21">
        <f>IF(AND(AI303=1,OR(AD303="In person",AD303="Online"),OR(Speakers!$B$5="",AB303=Speakers!$B$5)),N(Z303)+ROW()/1000000000,"")</f>
        <v/>
      </c>
    </row>
    <row r="304">
      <c r="U304" s="19" t="n"/>
      <c r="V304" s="24" t="n"/>
      <c r="W304" s="24" t="n"/>
      <c r="X304" s="19" t="n"/>
      <c r="Y304" s="21">
        <f>IFERROR(TRIM(INDEX($A304:$T304,MATCH(Lists!$F$2,$A$1:$T$1,0))&amp;""),"")</f>
        <v/>
      </c>
      <c r="Z304" s="22">
        <f>IF(Y304="","",IFERROR(IF(ISNUMBER(INDEX($A304:$T304,MATCH(Lists!$F$3,$A$1:$T$1,0))),INDEX($A304:$T304,MATCH(Lists!$F$3,$A$1:$T$1,0)),DATE(VALUE(LEFT(IFERROR(TRIM(INDEX($A304:$T304,MATCH(Lists!$F$3,$A$1:$T$1,0))&amp;""),""),4)),VALUE(MID(IFERROR(TRIM(INDEX($A304:$T304,MATCH(Lists!$F$3,$A$1:$T$1,0))&amp;""),""),6,2)),VALUE(MID(IFERROR(TRIM(INDEX($A304:$T304,MATCH(Lists!$F$3,$A$1:$T$1,0))&amp;""),""),9,2)))+TIME(VALUE(MID(IFERROR(TRIM(INDEX($A304:$T304,MATCH(Lists!$F$3,$A$1:$T$1,0))&amp;""),""),12,2)),VALUE(MID(IFERROR(TRIM(INDEX($A304:$T304,MATCH(Lists!$F$3,$A$1:$T$1,0))&amp;""),""),15,2)),VALUE(MID(IFERROR(TRIM(INDEX($A304:$T304,MATCH(Lists!$F$3,$A$1:$T$1,0))&amp;""),""),18,2)))),""))</f>
        <v/>
      </c>
      <c r="AA304" s="23">
        <f>IF(Y304="","",IF(ISNUMBER(IFERROR(IF(TRIM(INDEX($A304:$T304,MATCH(Lists!$F$4,$A$1:$T$1,0))&amp;"")="","",IF(ISNUMBER(INDEX($A304:$T304,MATCH(Lists!$F$4,$A$1:$T$1,0))),INT(INDEX($A304:$T304,MATCH(Lists!$F$4,$A$1:$T$1,0))),DATE(VALUE(LEFT(INDEX($A304:$T304,MATCH(Lists!$F$4,$A$1:$T$1,0)),4)),VALUE(MID(INDEX($A304:$T304,MATCH(Lists!$F$4,$A$1:$T$1,0)),6,2)),VALUE(MID(INDEX($A304:$T304,MATCH(Lists!$F$4,$A$1:$T$1,0)),9,2))))),"")),IFERROR(IF(TRIM(INDEX($A304:$T304,MATCH(Lists!$F$4,$A$1:$T$1,0))&amp;"")="","",IF(ISNUMBER(INDEX($A304:$T304,MATCH(Lists!$F$4,$A$1:$T$1,0))),INT(INDEX($A304:$T304,MATCH(Lists!$F$4,$A$1:$T$1,0))),DATE(VALUE(LEFT(INDEX($A304:$T304,MATCH(Lists!$F$4,$A$1:$T$1,0)),4)),VALUE(MID(INDEX($A304:$T304,MATCH(Lists!$F$4,$A$1:$T$1,0)),6,2)),VALUE(MID(INDEX($A304:$T304,MATCH(Lists!$F$4,$A$1:$T$1,0)),9,2))))),""),IFERROR(IF(TRIM(INDEX($A304:$T304,MATCH(Lists!$F$5,$A$1:$T$1,0))&amp;"")="","",IF(ISNUMBER(INDEX($A304:$T304,MATCH(Lists!$F$5,$A$1:$T$1,0))),INT(INDEX($A304:$T304,MATCH(Lists!$F$5,$A$1:$T$1,0))),DATE(VALUE(LEFT(INDEX($A304:$T304,MATCH(Lists!$F$5,$A$1:$T$1,0)),4)),VALUE(MID(INDEX($A304:$T304,MATCH(Lists!$F$5,$A$1:$T$1,0)),6,2)),VALUE(MID(INDEX($A304:$T304,MATCH(Lists!$F$5,$A$1:$T$1,0)),9,2))))),"")))</f>
        <v/>
      </c>
      <c r="AB304" s="21">
        <f>IF(Y304="","",IF(LEFT(IFERROR(TRIM(INDEX($A304:$T304,MATCH(Lists!$F$6,$A$1:$T$1,0))&amp;""),""),2)="No","General comment",IF(IFERROR(TRIM(INDEX($A304:$T304,MATCH(Lists!$F$7,$A$1:$T$1,0))&amp;""),"")&lt;&gt;"",IFERROR(TRIM(INDEX($A304:$T304,MATCH(Lists!$F$7,$A$1:$T$1,0))&amp;""),""),IF(IFERROR(TRIM(INDEX($A304:$T304,MATCH(Lists!$F$8,$A$1:$T$1,0))&amp;""),"")&lt;&gt;"",IFERROR(TRIM(INDEX($A304:$T304,MATCH(Lists!$F$8,$A$1:$T$1,0))&amp;""),""),"(no item given)"))))</f>
        <v/>
      </c>
      <c r="AC304" s="21">
        <f>IF(Y304="","",IF(ISNUMBER(SEARCH("support",IFERROR(TRIM(INDEX($A304:$T304,MATCH(Lists!$F$9,$A$1:$T$1,0))&amp;""),""))),"Support",IF(ISNUMBER(SEARCH("oppose",IFERROR(TRIM(INDEX($A304:$T304,MATCH(Lists!$F$9,$A$1:$T$1,0))&amp;""),""))),"Oppose",IF(IFERROR(TRIM(INDEX($A304:$T304,MATCH(Lists!$F$9,$A$1:$T$1,0))&amp;""),"")="","No position","Neither"))))</f>
        <v/>
      </c>
      <c r="AD304" s="21">
        <f>IF(Y304="","",IF(ISNUMBER(SEARCH("in person",IFERROR(TRIM(INDEX($A304:$T304,MATCH(Lists!$F$13,$A$1:$T$1,0))&amp;""),""))),"In person",IF(ISNUMBER(SEARCH("online",IFERROR(TRIM(INDEX($A304:$T304,MATCH(Lists!$F$13,$A$1:$T$1,0))&amp;""),""))),"Online","Written only")))</f>
        <v/>
      </c>
      <c r="AE304" s="21">
        <f>IF(Y304="","",IFERROR(TRIM(INDEX($A304:$T304,MATCH(Lists!$F$11,$A$1:$T$1,0))&amp;""),""))</f>
        <v/>
      </c>
      <c r="AF304" s="21">
        <f>IF(Y304="","",IFERROR(TRIM(INDEX($A304:$T304,MATCH(Lists!$F$12,$A$1:$T$1,0))&amp;""),""))</f>
        <v/>
      </c>
      <c r="AG304" s="21">
        <f>IF(Y304="","",IFERROR(TRIM(INDEX($A304:$T304,MATCH(Lists!$F$14,$A$1:$T$1,0))&amp;""),""))</f>
        <v/>
      </c>
      <c r="AH304" s="21">
        <f>IF(Y304="","",LEFT(IFERROR(TRIM(INDEX($A304:$T304,MATCH(Lists!$F$10,$A$1:$T$1,0))&amp;""),""),80))</f>
        <v/>
      </c>
      <c r="AI304" s="21">
        <f>IF(Y304="",0,IF(OR(Tally!$B$5="",AA304=Tally!$B$5),1,0))</f>
        <v/>
      </c>
      <c r="AJ304" s="21">
        <f>IF(AI304=1,IF(COUNTIFS($AB$2:AB304,AB304,$AI$2:AI304,1)=1,1,0),0)</f>
        <v/>
      </c>
      <c r="AK304" s="21">
        <f>IF(AJ304=1,SUM($AJ$2:AJ304),"")</f>
        <v/>
      </c>
      <c r="AL304" s="21">
        <f>IF(AND(AI304=1,OR(AD304="In person",AD304="Online"),OR(Speakers!$B$5="",AB304=Speakers!$B$5)),N(Z304)+ROW()/1000000000,"")</f>
        <v/>
      </c>
    </row>
    <row r="305">
      <c r="U305" s="19" t="n"/>
      <c r="V305" s="24" t="n"/>
      <c r="W305" s="24" t="n"/>
      <c r="X305" s="19" t="n"/>
      <c r="Y305" s="21">
        <f>IFERROR(TRIM(INDEX($A305:$T305,MATCH(Lists!$F$2,$A$1:$T$1,0))&amp;""),"")</f>
        <v/>
      </c>
      <c r="Z305" s="22">
        <f>IF(Y305="","",IFERROR(IF(ISNUMBER(INDEX($A305:$T305,MATCH(Lists!$F$3,$A$1:$T$1,0))),INDEX($A305:$T305,MATCH(Lists!$F$3,$A$1:$T$1,0)),DATE(VALUE(LEFT(IFERROR(TRIM(INDEX($A305:$T305,MATCH(Lists!$F$3,$A$1:$T$1,0))&amp;""),""),4)),VALUE(MID(IFERROR(TRIM(INDEX($A305:$T305,MATCH(Lists!$F$3,$A$1:$T$1,0))&amp;""),""),6,2)),VALUE(MID(IFERROR(TRIM(INDEX($A305:$T305,MATCH(Lists!$F$3,$A$1:$T$1,0))&amp;""),""),9,2)))+TIME(VALUE(MID(IFERROR(TRIM(INDEX($A305:$T305,MATCH(Lists!$F$3,$A$1:$T$1,0))&amp;""),""),12,2)),VALUE(MID(IFERROR(TRIM(INDEX($A305:$T305,MATCH(Lists!$F$3,$A$1:$T$1,0))&amp;""),""),15,2)),VALUE(MID(IFERROR(TRIM(INDEX($A305:$T305,MATCH(Lists!$F$3,$A$1:$T$1,0))&amp;""),""),18,2)))),""))</f>
        <v/>
      </c>
      <c r="AA305" s="23">
        <f>IF(Y305="","",IF(ISNUMBER(IFERROR(IF(TRIM(INDEX($A305:$T305,MATCH(Lists!$F$4,$A$1:$T$1,0))&amp;"")="","",IF(ISNUMBER(INDEX($A305:$T305,MATCH(Lists!$F$4,$A$1:$T$1,0))),INT(INDEX($A305:$T305,MATCH(Lists!$F$4,$A$1:$T$1,0))),DATE(VALUE(LEFT(INDEX($A305:$T305,MATCH(Lists!$F$4,$A$1:$T$1,0)),4)),VALUE(MID(INDEX($A305:$T305,MATCH(Lists!$F$4,$A$1:$T$1,0)),6,2)),VALUE(MID(INDEX($A305:$T305,MATCH(Lists!$F$4,$A$1:$T$1,0)),9,2))))),"")),IFERROR(IF(TRIM(INDEX($A305:$T305,MATCH(Lists!$F$4,$A$1:$T$1,0))&amp;"")="","",IF(ISNUMBER(INDEX($A305:$T305,MATCH(Lists!$F$4,$A$1:$T$1,0))),INT(INDEX($A305:$T305,MATCH(Lists!$F$4,$A$1:$T$1,0))),DATE(VALUE(LEFT(INDEX($A305:$T305,MATCH(Lists!$F$4,$A$1:$T$1,0)),4)),VALUE(MID(INDEX($A305:$T305,MATCH(Lists!$F$4,$A$1:$T$1,0)),6,2)),VALUE(MID(INDEX($A305:$T305,MATCH(Lists!$F$4,$A$1:$T$1,0)),9,2))))),""),IFERROR(IF(TRIM(INDEX($A305:$T305,MATCH(Lists!$F$5,$A$1:$T$1,0))&amp;"")="","",IF(ISNUMBER(INDEX($A305:$T305,MATCH(Lists!$F$5,$A$1:$T$1,0))),INT(INDEX($A305:$T305,MATCH(Lists!$F$5,$A$1:$T$1,0))),DATE(VALUE(LEFT(INDEX($A305:$T305,MATCH(Lists!$F$5,$A$1:$T$1,0)),4)),VALUE(MID(INDEX($A305:$T305,MATCH(Lists!$F$5,$A$1:$T$1,0)),6,2)),VALUE(MID(INDEX($A305:$T305,MATCH(Lists!$F$5,$A$1:$T$1,0)),9,2))))),"")))</f>
        <v/>
      </c>
      <c r="AB305" s="21">
        <f>IF(Y305="","",IF(LEFT(IFERROR(TRIM(INDEX($A305:$T305,MATCH(Lists!$F$6,$A$1:$T$1,0))&amp;""),""),2)="No","General comment",IF(IFERROR(TRIM(INDEX($A305:$T305,MATCH(Lists!$F$7,$A$1:$T$1,0))&amp;""),"")&lt;&gt;"",IFERROR(TRIM(INDEX($A305:$T305,MATCH(Lists!$F$7,$A$1:$T$1,0))&amp;""),""),IF(IFERROR(TRIM(INDEX($A305:$T305,MATCH(Lists!$F$8,$A$1:$T$1,0))&amp;""),"")&lt;&gt;"",IFERROR(TRIM(INDEX($A305:$T305,MATCH(Lists!$F$8,$A$1:$T$1,0))&amp;""),""),"(no item given)"))))</f>
        <v/>
      </c>
      <c r="AC305" s="21">
        <f>IF(Y305="","",IF(ISNUMBER(SEARCH("support",IFERROR(TRIM(INDEX($A305:$T305,MATCH(Lists!$F$9,$A$1:$T$1,0))&amp;""),""))),"Support",IF(ISNUMBER(SEARCH("oppose",IFERROR(TRIM(INDEX($A305:$T305,MATCH(Lists!$F$9,$A$1:$T$1,0))&amp;""),""))),"Oppose",IF(IFERROR(TRIM(INDEX($A305:$T305,MATCH(Lists!$F$9,$A$1:$T$1,0))&amp;""),"")="","No position","Neither"))))</f>
        <v/>
      </c>
      <c r="AD305" s="21">
        <f>IF(Y305="","",IF(ISNUMBER(SEARCH("in person",IFERROR(TRIM(INDEX($A305:$T305,MATCH(Lists!$F$13,$A$1:$T$1,0))&amp;""),""))),"In person",IF(ISNUMBER(SEARCH("online",IFERROR(TRIM(INDEX($A305:$T305,MATCH(Lists!$F$13,$A$1:$T$1,0))&amp;""),""))),"Online","Written only")))</f>
        <v/>
      </c>
      <c r="AE305" s="21">
        <f>IF(Y305="","",IFERROR(TRIM(INDEX($A305:$T305,MATCH(Lists!$F$11,$A$1:$T$1,0))&amp;""),""))</f>
        <v/>
      </c>
      <c r="AF305" s="21">
        <f>IF(Y305="","",IFERROR(TRIM(INDEX($A305:$T305,MATCH(Lists!$F$12,$A$1:$T$1,0))&amp;""),""))</f>
        <v/>
      </c>
      <c r="AG305" s="21">
        <f>IF(Y305="","",IFERROR(TRIM(INDEX($A305:$T305,MATCH(Lists!$F$14,$A$1:$T$1,0))&amp;""),""))</f>
        <v/>
      </c>
      <c r="AH305" s="21">
        <f>IF(Y305="","",LEFT(IFERROR(TRIM(INDEX($A305:$T305,MATCH(Lists!$F$10,$A$1:$T$1,0))&amp;""),""),80))</f>
        <v/>
      </c>
      <c r="AI305" s="21">
        <f>IF(Y305="",0,IF(OR(Tally!$B$5="",AA305=Tally!$B$5),1,0))</f>
        <v/>
      </c>
      <c r="AJ305" s="21">
        <f>IF(AI305=1,IF(COUNTIFS($AB$2:AB305,AB305,$AI$2:AI305,1)=1,1,0),0)</f>
        <v/>
      </c>
      <c r="AK305" s="21">
        <f>IF(AJ305=1,SUM($AJ$2:AJ305),"")</f>
        <v/>
      </c>
      <c r="AL305" s="21">
        <f>IF(AND(AI305=1,OR(AD305="In person",AD305="Online"),OR(Speakers!$B$5="",AB305=Speakers!$B$5)),N(Z305)+ROW()/1000000000,"")</f>
        <v/>
      </c>
    </row>
    <row r="306">
      <c r="U306" s="19" t="n"/>
      <c r="V306" s="24" t="n"/>
      <c r="W306" s="24" t="n"/>
      <c r="X306" s="19" t="n"/>
      <c r="Y306" s="21">
        <f>IFERROR(TRIM(INDEX($A306:$T306,MATCH(Lists!$F$2,$A$1:$T$1,0))&amp;""),"")</f>
        <v/>
      </c>
      <c r="Z306" s="22">
        <f>IF(Y306="","",IFERROR(IF(ISNUMBER(INDEX($A306:$T306,MATCH(Lists!$F$3,$A$1:$T$1,0))),INDEX($A306:$T306,MATCH(Lists!$F$3,$A$1:$T$1,0)),DATE(VALUE(LEFT(IFERROR(TRIM(INDEX($A306:$T306,MATCH(Lists!$F$3,$A$1:$T$1,0))&amp;""),""),4)),VALUE(MID(IFERROR(TRIM(INDEX($A306:$T306,MATCH(Lists!$F$3,$A$1:$T$1,0))&amp;""),""),6,2)),VALUE(MID(IFERROR(TRIM(INDEX($A306:$T306,MATCH(Lists!$F$3,$A$1:$T$1,0))&amp;""),""),9,2)))+TIME(VALUE(MID(IFERROR(TRIM(INDEX($A306:$T306,MATCH(Lists!$F$3,$A$1:$T$1,0))&amp;""),""),12,2)),VALUE(MID(IFERROR(TRIM(INDEX($A306:$T306,MATCH(Lists!$F$3,$A$1:$T$1,0))&amp;""),""),15,2)),VALUE(MID(IFERROR(TRIM(INDEX($A306:$T306,MATCH(Lists!$F$3,$A$1:$T$1,0))&amp;""),""),18,2)))),""))</f>
        <v/>
      </c>
      <c r="AA306" s="23">
        <f>IF(Y306="","",IF(ISNUMBER(IFERROR(IF(TRIM(INDEX($A306:$T306,MATCH(Lists!$F$4,$A$1:$T$1,0))&amp;"")="","",IF(ISNUMBER(INDEX($A306:$T306,MATCH(Lists!$F$4,$A$1:$T$1,0))),INT(INDEX($A306:$T306,MATCH(Lists!$F$4,$A$1:$T$1,0))),DATE(VALUE(LEFT(INDEX($A306:$T306,MATCH(Lists!$F$4,$A$1:$T$1,0)),4)),VALUE(MID(INDEX($A306:$T306,MATCH(Lists!$F$4,$A$1:$T$1,0)),6,2)),VALUE(MID(INDEX($A306:$T306,MATCH(Lists!$F$4,$A$1:$T$1,0)),9,2))))),"")),IFERROR(IF(TRIM(INDEX($A306:$T306,MATCH(Lists!$F$4,$A$1:$T$1,0))&amp;"")="","",IF(ISNUMBER(INDEX($A306:$T306,MATCH(Lists!$F$4,$A$1:$T$1,0))),INT(INDEX($A306:$T306,MATCH(Lists!$F$4,$A$1:$T$1,0))),DATE(VALUE(LEFT(INDEX($A306:$T306,MATCH(Lists!$F$4,$A$1:$T$1,0)),4)),VALUE(MID(INDEX($A306:$T306,MATCH(Lists!$F$4,$A$1:$T$1,0)),6,2)),VALUE(MID(INDEX($A306:$T306,MATCH(Lists!$F$4,$A$1:$T$1,0)),9,2))))),""),IFERROR(IF(TRIM(INDEX($A306:$T306,MATCH(Lists!$F$5,$A$1:$T$1,0))&amp;"")="","",IF(ISNUMBER(INDEX($A306:$T306,MATCH(Lists!$F$5,$A$1:$T$1,0))),INT(INDEX($A306:$T306,MATCH(Lists!$F$5,$A$1:$T$1,0))),DATE(VALUE(LEFT(INDEX($A306:$T306,MATCH(Lists!$F$5,$A$1:$T$1,0)),4)),VALUE(MID(INDEX($A306:$T306,MATCH(Lists!$F$5,$A$1:$T$1,0)),6,2)),VALUE(MID(INDEX($A306:$T306,MATCH(Lists!$F$5,$A$1:$T$1,0)),9,2))))),"")))</f>
        <v/>
      </c>
      <c r="AB306" s="21">
        <f>IF(Y306="","",IF(LEFT(IFERROR(TRIM(INDEX($A306:$T306,MATCH(Lists!$F$6,$A$1:$T$1,0))&amp;""),""),2)="No","General comment",IF(IFERROR(TRIM(INDEX($A306:$T306,MATCH(Lists!$F$7,$A$1:$T$1,0))&amp;""),"")&lt;&gt;"",IFERROR(TRIM(INDEX($A306:$T306,MATCH(Lists!$F$7,$A$1:$T$1,0))&amp;""),""),IF(IFERROR(TRIM(INDEX($A306:$T306,MATCH(Lists!$F$8,$A$1:$T$1,0))&amp;""),"")&lt;&gt;"",IFERROR(TRIM(INDEX($A306:$T306,MATCH(Lists!$F$8,$A$1:$T$1,0))&amp;""),""),"(no item given)"))))</f>
        <v/>
      </c>
      <c r="AC306" s="21">
        <f>IF(Y306="","",IF(ISNUMBER(SEARCH("support",IFERROR(TRIM(INDEX($A306:$T306,MATCH(Lists!$F$9,$A$1:$T$1,0))&amp;""),""))),"Support",IF(ISNUMBER(SEARCH("oppose",IFERROR(TRIM(INDEX($A306:$T306,MATCH(Lists!$F$9,$A$1:$T$1,0))&amp;""),""))),"Oppose",IF(IFERROR(TRIM(INDEX($A306:$T306,MATCH(Lists!$F$9,$A$1:$T$1,0))&amp;""),"")="","No position","Neither"))))</f>
        <v/>
      </c>
      <c r="AD306" s="21">
        <f>IF(Y306="","",IF(ISNUMBER(SEARCH("in person",IFERROR(TRIM(INDEX($A306:$T306,MATCH(Lists!$F$13,$A$1:$T$1,0))&amp;""),""))),"In person",IF(ISNUMBER(SEARCH("online",IFERROR(TRIM(INDEX($A306:$T306,MATCH(Lists!$F$13,$A$1:$T$1,0))&amp;""),""))),"Online","Written only")))</f>
        <v/>
      </c>
      <c r="AE306" s="21">
        <f>IF(Y306="","",IFERROR(TRIM(INDEX($A306:$T306,MATCH(Lists!$F$11,$A$1:$T$1,0))&amp;""),""))</f>
        <v/>
      </c>
      <c r="AF306" s="21">
        <f>IF(Y306="","",IFERROR(TRIM(INDEX($A306:$T306,MATCH(Lists!$F$12,$A$1:$T$1,0))&amp;""),""))</f>
        <v/>
      </c>
      <c r="AG306" s="21">
        <f>IF(Y306="","",IFERROR(TRIM(INDEX($A306:$T306,MATCH(Lists!$F$14,$A$1:$T$1,0))&amp;""),""))</f>
        <v/>
      </c>
      <c r="AH306" s="21">
        <f>IF(Y306="","",LEFT(IFERROR(TRIM(INDEX($A306:$T306,MATCH(Lists!$F$10,$A$1:$T$1,0))&amp;""),""),80))</f>
        <v/>
      </c>
      <c r="AI306" s="21">
        <f>IF(Y306="",0,IF(OR(Tally!$B$5="",AA306=Tally!$B$5),1,0))</f>
        <v/>
      </c>
      <c r="AJ306" s="21">
        <f>IF(AI306=1,IF(COUNTIFS($AB$2:AB306,AB306,$AI$2:AI306,1)=1,1,0),0)</f>
        <v/>
      </c>
      <c r="AK306" s="21">
        <f>IF(AJ306=1,SUM($AJ$2:AJ306),"")</f>
        <v/>
      </c>
      <c r="AL306" s="21">
        <f>IF(AND(AI306=1,OR(AD306="In person",AD306="Online"),OR(Speakers!$B$5="",AB306=Speakers!$B$5)),N(Z306)+ROW()/1000000000,"")</f>
        <v/>
      </c>
    </row>
    <row r="307">
      <c r="U307" s="19" t="n"/>
      <c r="V307" s="24" t="n"/>
      <c r="W307" s="24" t="n"/>
      <c r="X307" s="19" t="n"/>
      <c r="Y307" s="21">
        <f>IFERROR(TRIM(INDEX($A307:$T307,MATCH(Lists!$F$2,$A$1:$T$1,0))&amp;""),"")</f>
        <v/>
      </c>
      <c r="Z307" s="22">
        <f>IF(Y307="","",IFERROR(IF(ISNUMBER(INDEX($A307:$T307,MATCH(Lists!$F$3,$A$1:$T$1,0))),INDEX($A307:$T307,MATCH(Lists!$F$3,$A$1:$T$1,0)),DATE(VALUE(LEFT(IFERROR(TRIM(INDEX($A307:$T307,MATCH(Lists!$F$3,$A$1:$T$1,0))&amp;""),""),4)),VALUE(MID(IFERROR(TRIM(INDEX($A307:$T307,MATCH(Lists!$F$3,$A$1:$T$1,0))&amp;""),""),6,2)),VALUE(MID(IFERROR(TRIM(INDEX($A307:$T307,MATCH(Lists!$F$3,$A$1:$T$1,0))&amp;""),""),9,2)))+TIME(VALUE(MID(IFERROR(TRIM(INDEX($A307:$T307,MATCH(Lists!$F$3,$A$1:$T$1,0))&amp;""),""),12,2)),VALUE(MID(IFERROR(TRIM(INDEX($A307:$T307,MATCH(Lists!$F$3,$A$1:$T$1,0))&amp;""),""),15,2)),VALUE(MID(IFERROR(TRIM(INDEX($A307:$T307,MATCH(Lists!$F$3,$A$1:$T$1,0))&amp;""),""),18,2)))),""))</f>
        <v/>
      </c>
      <c r="AA307" s="23">
        <f>IF(Y307="","",IF(ISNUMBER(IFERROR(IF(TRIM(INDEX($A307:$T307,MATCH(Lists!$F$4,$A$1:$T$1,0))&amp;"")="","",IF(ISNUMBER(INDEX($A307:$T307,MATCH(Lists!$F$4,$A$1:$T$1,0))),INT(INDEX($A307:$T307,MATCH(Lists!$F$4,$A$1:$T$1,0))),DATE(VALUE(LEFT(INDEX($A307:$T307,MATCH(Lists!$F$4,$A$1:$T$1,0)),4)),VALUE(MID(INDEX($A307:$T307,MATCH(Lists!$F$4,$A$1:$T$1,0)),6,2)),VALUE(MID(INDEX($A307:$T307,MATCH(Lists!$F$4,$A$1:$T$1,0)),9,2))))),"")),IFERROR(IF(TRIM(INDEX($A307:$T307,MATCH(Lists!$F$4,$A$1:$T$1,0))&amp;"")="","",IF(ISNUMBER(INDEX($A307:$T307,MATCH(Lists!$F$4,$A$1:$T$1,0))),INT(INDEX($A307:$T307,MATCH(Lists!$F$4,$A$1:$T$1,0))),DATE(VALUE(LEFT(INDEX($A307:$T307,MATCH(Lists!$F$4,$A$1:$T$1,0)),4)),VALUE(MID(INDEX($A307:$T307,MATCH(Lists!$F$4,$A$1:$T$1,0)),6,2)),VALUE(MID(INDEX($A307:$T307,MATCH(Lists!$F$4,$A$1:$T$1,0)),9,2))))),""),IFERROR(IF(TRIM(INDEX($A307:$T307,MATCH(Lists!$F$5,$A$1:$T$1,0))&amp;"")="","",IF(ISNUMBER(INDEX($A307:$T307,MATCH(Lists!$F$5,$A$1:$T$1,0))),INT(INDEX($A307:$T307,MATCH(Lists!$F$5,$A$1:$T$1,0))),DATE(VALUE(LEFT(INDEX($A307:$T307,MATCH(Lists!$F$5,$A$1:$T$1,0)),4)),VALUE(MID(INDEX($A307:$T307,MATCH(Lists!$F$5,$A$1:$T$1,0)),6,2)),VALUE(MID(INDEX($A307:$T307,MATCH(Lists!$F$5,$A$1:$T$1,0)),9,2))))),"")))</f>
        <v/>
      </c>
      <c r="AB307" s="21">
        <f>IF(Y307="","",IF(LEFT(IFERROR(TRIM(INDEX($A307:$T307,MATCH(Lists!$F$6,$A$1:$T$1,0))&amp;""),""),2)="No","General comment",IF(IFERROR(TRIM(INDEX($A307:$T307,MATCH(Lists!$F$7,$A$1:$T$1,0))&amp;""),"")&lt;&gt;"",IFERROR(TRIM(INDEX($A307:$T307,MATCH(Lists!$F$7,$A$1:$T$1,0))&amp;""),""),IF(IFERROR(TRIM(INDEX($A307:$T307,MATCH(Lists!$F$8,$A$1:$T$1,0))&amp;""),"")&lt;&gt;"",IFERROR(TRIM(INDEX($A307:$T307,MATCH(Lists!$F$8,$A$1:$T$1,0))&amp;""),""),"(no item given)"))))</f>
        <v/>
      </c>
      <c r="AC307" s="21">
        <f>IF(Y307="","",IF(ISNUMBER(SEARCH("support",IFERROR(TRIM(INDEX($A307:$T307,MATCH(Lists!$F$9,$A$1:$T$1,0))&amp;""),""))),"Support",IF(ISNUMBER(SEARCH("oppose",IFERROR(TRIM(INDEX($A307:$T307,MATCH(Lists!$F$9,$A$1:$T$1,0))&amp;""),""))),"Oppose",IF(IFERROR(TRIM(INDEX($A307:$T307,MATCH(Lists!$F$9,$A$1:$T$1,0))&amp;""),"")="","No position","Neither"))))</f>
        <v/>
      </c>
      <c r="AD307" s="21">
        <f>IF(Y307="","",IF(ISNUMBER(SEARCH("in person",IFERROR(TRIM(INDEX($A307:$T307,MATCH(Lists!$F$13,$A$1:$T$1,0))&amp;""),""))),"In person",IF(ISNUMBER(SEARCH("online",IFERROR(TRIM(INDEX($A307:$T307,MATCH(Lists!$F$13,$A$1:$T$1,0))&amp;""),""))),"Online","Written only")))</f>
        <v/>
      </c>
      <c r="AE307" s="21">
        <f>IF(Y307="","",IFERROR(TRIM(INDEX($A307:$T307,MATCH(Lists!$F$11,$A$1:$T$1,0))&amp;""),""))</f>
        <v/>
      </c>
      <c r="AF307" s="21">
        <f>IF(Y307="","",IFERROR(TRIM(INDEX($A307:$T307,MATCH(Lists!$F$12,$A$1:$T$1,0))&amp;""),""))</f>
        <v/>
      </c>
      <c r="AG307" s="21">
        <f>IF(Y307="","",IFERROR(TRIM(INDEX($A307:$T307,MATCH(Lists!$F$14,$A$1:$T$1,0))&amp;""),""))</f>
        <v/>
      </c>
      <c r="AH307" s="21">
        <f>IF(Y307="","",LEFT(IFERROR(TRIM(INDEX($A307:$T307,MATCH(Lists!$F$10,$A$1:$T$1,0))&amp;""),""),80))</f>
        <v/>
      </c>
      <c r="AI307" s="21">
        <f>IF(Y307="",0,IF(OR(Tally!$B$5="",AA307=Tally!$B$5),1,0))</f>
        <v/>
      </c>
      <c r="AJ307" s="21">
        <f>IF(AI307=1,IF(COUNTIFS($AB$2:AB307,AB307,$AI$2:AI307,1)=1,1,0),0)</f>
        <v/>
      </c>
      <c r="AK307" s="21">
        <f>IF(AJ307=1,SUM($AJ$2:AJ307),"")</f>
        <v/>
      </c>
      <c r="AL307" s="21">
        <f>IF(AND(AI307=1,OR(AD307="In person",AD307="Online"),OR(Speakers!$B$5="",AB307=Speakers!$B$5)),N(Z307)+ROW()/1000000000,"")</f>
        <v/>
      </c>
    </row>
    <row r="308">
      <c r="U308" s="19" t="n"/>
      <c r="V308" s="24" t="n"/>
      <c r="W308" s="24" t="n"/>
      <c r="X308" s="19" t="n"/>
      <c r="Y308" s="21">
        <f>IFERROR(TRIM(INDEX($A308:$T308,MATCH(Lists!$F$2,$A$1:$T$1,0))&amp;""),"")</f>
        <v/>
      </c>
      <c r="Z308" s="22">
        <f>IF(Y308="","",IFERROR(IF(ISNUMBER(INDEX($A308:$T308,MATCH(Lists!$F$3,$A$1:$T$1,0))),INDEX($A308:$T308,MATCH(Lists!$F$3,$A$1:$T$1,0)),DATE(VALUE(LEFT(IFERROR(TRIM(INDEX($A308:$T308,MATCH(Lists!$F$3,$A$1:$T$1,0))&amp;""),""),4)),VALUE(MID(IFERROR(TRIM(INDEX($A308:$T308,MATCH(Lists!$F$3,$A$1:$T$1,0))&amp;""),""),6,2)),VALUE(MID(IFERROR(TRIM(INDEX($A308:$T308,MATCH(Lists!$F$3,$A$1:$T$1,0))&amp;""),""),9,2)))+TIME(VALUE(MID(IFERROR(TRIM(INDEX($A308:$T308,MATCH(Lists!$F$3,$A$1:$T$1,0))&amp;""),""),12,2)),VALUE(MID(IFERROR(TRIM(INDEX($A308:$T308,MATCH(Lists!$F$3,$A$1:$T$1,0))&amp;""),""),15,2)),VALUE(MID(IFERROR(TRIM(INDEX($A308:$T308,MATCH(Lists!$F$3,$A$1:$T$1,0))&amp;""),""),18,2)))),""))</f>
        <v/>
      </c>
      <c r="AA308" s="23">
        <f>IF(Y308="","",IF(ISNUMBER(IFERROR(IF(TRIM(INDEX($A308:$T308,MATCH(Lists!$F$4,$A$1:$T$1,0))&amp;"")="","",IF(ISNUMBER(INDEX($A308:$T308,MATCH(Lists!$F$4,$A$1:$T$1,0))),INT(INDEX($A308:$T308,MATCH(Lists!$F$4,$A$1:$T$1,0))),DATE(VALUE(LEFT(INDEX($A308:$T308,MATCH(Lists!$F$4,$A$1:$T$1,0)),4)),VALUE(MID(INDEX($A308:$T308,MATCH(Lists!$F$4,$A$1:$T$1,0)),6,2)),VALUE(MID(INDEX($A308:$T308,MATCH(Lists!$F$4,$A$1:$T$1,0)),9,2))))),"")),IFERROR(IF(TRIM(INDEX($A308:$T308,MATCH(Lists!$F$4,$A$1:$T$1,0))&amp;"")="","",IF(ISNUMBER(INDEX($A308:$T308,MATCH(Lists!$F$4,$A$1:$T$1,0))),INT(INDEX($A308:$T308,MATCH(Lists!$F$4,$A$1:$T$1,0))),DATE(VALUE(LEFT(INDEX($A308:$T308,MATCH(Lists!$F$4,$A$1:$T$1,0)),4)),VALUE(MID(INDEX($A308:$T308,MATCH(Lists!$F$4,$A$1:$T$1,0)),6,2)),VALUE(MID(INDEX($A308:$T308,MATCH(Lists!$F$4,$A$1:$T$1,0)),9,2))))),""),IFERROR(IF(TRIM(INDEX($A308:$T308,MATCH(Lists!$F$5,$A$1:$T$1,0))&amp;"")="","",IF(ISNUMBER(INDEX($A308:$T308,MATCH(Lists!$F$5,$A$1:$T$1,0))),INT(INDEX($A308:$T308,MATCH(Lists!$F$5,$A$1:$T$1,0))),DATE(VALUE(LEFT(INDEX($A308:$T308,MATCH(Lists!$F$5,$A$1:$T$1,0)),4)),VALUE(MID(INDEX($A308:$T308,MATCH(Lists!$F$5,$A$1:$T$1,0)),6,2)),VALUE(MID(INDEX($A308:$T308,MATCH(Lists!$F$5,$A$1:$T$1,0)),9,2))))),"")))</f>
        <v/>
      </c>
      <c r="AB308" s="21">
        <f>IF(Y308="","",IF(LEFT(IFERROR(TRIM(INDEX($A308:$T308,MATCH(Lists!$F$6,$A$1:$T$1,0))&amp;""),""),2)="No","General comment",IF(IFERROR(TRIM(INDEX($A308:$T308,MATCH(Lists!$F$7,$A$1:$T$1,0))&amp;""),"")&lt;&gt;"",IFERROR(TRIM(INDEX($A308:$T308,MATCH(Lists!$F$7,$A$1:$T$1,0))&amp;""),""),IF(IFERROR(TRIM(INDEX($A308:$T308,MATCH(Lists!$F$8,$A$1:$T$1,0))&amp;""),"")&lt;&gt;"",IFERROR(TRIM(INDEX($A308:$T308,MATCH(Lists!$F$8,$A$1:$T$1,0))&amp;""),""),"(no item given)"))))</f>
        <v/>
      </c>
      <c r="AC308" s="21">
        <f>IF(Y308="","",IF(ISNUMBER(SEARCH("support",IFERROR(TRIM(INDEX($A308:$T308,MATCH(Lists!$F$9,$A$1:$T$1,0))&amp;""),""))),"Support",IF(ISNUMBER(SEARCH("oppose",IFERROR(TRIM(INDEX($A308:$T308,MATCH(Lists!$F$9,$A$1:$T$1,0))&amp;""),""))),"Oppose",IF(IFERROR(TRIM(INDEX($A308:$T308,MATCH(Lists!$F$9,$A$1:$T$1,0))&amp;""),"")="","No position","Neither"))))</f>
        <v/>
      </c>
      <c r="AD308" s="21">
        <f>IF(Y308="","",IF(ISNUMBER(SEARCH("in person",IFERROR(TRIM(INDEX($A308:$T308,MATCH(Lists!$F$13,$A$1:$T$1,0))&amp;""),""))),"In person",IF(ISNUMBER(SEARCH("online",IFERROR(TRIM(INDEX($A308:$T308,MATCH(Lists!$F$13,$A$1:$T$1,0))&amp;""),""))),"Online","Written only")))</f>
        <v/>
      </c>
      <c r="AE308" s="21">
        <f>IF(Y308="","",IFERROR(TRIM(INDEX($A308:$T308,MATCH(Lists!$F$11,$A$1:$T$1,0))&amp;""),""))</f>
        <v/>
      </c>
      <c r="AF308" s="21">
        <f>IF(Y308="","",IFERROR(TRIM(INDEX($A308:$T308,MATCH(Lists!$F$12,$A$1:$T$1,0))&amp;""),""))</f>
        <v/>
      </c>
      <c r="AG308" s="21">
        <f>IF(Y308="","",IFERROR(TRIM(INDEX($A308:$T308,MATCH(Lists!$F$14,$A$1:$T$1,0))&amp;""),""))</f>
        <v/>
      </c>
      <c r="AH308" s="21">
        <f>IF(Y308="","",LEFT(IFERROR(TRIM(INDEX($A308:$T308,MATCH(Lists!$F$10,$A$1:$T$1,0))&amp;""),""),80))</f>
        <v/>
      </c>
      <c r="AI308" s="21">
        <f>IF(Y308="",0,IF(OR(Tally!$B$5="",AA308=Tally!$B$5),1,0))</f>
        <v/>
      </c>
      <c r="AJ308" s="21">
        <f>IF(AI308=1,IF(COUNTIFS($AB$2:AB308,AB308,$AI$2:AI308,1)=1,1,0),0)</f>
        <v/>
      </c>
      <c r="AK308" s="21">
        <f>IF(AJ308=1,SUM($AJ$2:AJ308),"")</f>
        <v/>
      </c>
      <c r="AL308" s="21">
        <f>IF(AND(AI308=1,OR(AD308="In person",AD308="Online"),OR(Speakers!$B$5="",AB308=Speakers!$B$5)),N(Z308)+ROW()/1000000000,"")</f>
        <v/>
      </c>
    </row>
    <row r="309">
      <c r="U309" s="19" t="n"/>
      <c r="V309" s="24" t="n"/>
      <c r="W309" s="24" t="n"/>
      <c r="X309" s="19" t="n"/>
      <c r="Y309" s="21">
        <f>IFERROR(TRIM(INDEX($A309:$T309,MATCH(Lists!$F$2,$A$1:$T$1,0))&amp;""),"")</f>
        <v/>
      </c>
      <c r="Z309" s="22">
        <f>IF(Y309="","",IFERROR(IF(ISNUMBER(INDEX($A309:$T309,MATCH(Lists!$F$3,$A$1:$T$1,0))),INDEX($A309:$T309,MATCH(Lists!$F$3,$A$1:$T$1,0)),DATE(VALUE(LEFT(IFERROR(TRIM(INDEX($A309:$T309,MATCH(Lists!$F$3,$A$1:$T$1,0))&amp;""),""),4)),VALUE(MID(IFERROR(TRIM(INDEX($A309:$T309,MATCH(Lists!$F$3,$A$1:$T$1,0))&amp;""),""),6,2)),VALUE(MID(IFERROR(TRIM(INDEX($A309:$T309,MATCH(Lists!$F$3,$A$1:$T$1,0))&amp;""),""),9,2)))+TIME(VALUE(MID(IFERROR(TRIM(INDEX($A309:$T309,MATCH(Lists!$F$3,$A$1:$T$1,0))&amp;""),""),12,2)),VALUE(MID(IFERROR(TRIM(INDEX($A309:$T309,MATCH(Lists!$F$3,$A$1:$T$1,0))&amp;""),""),15,2)),VALUE(MID(IFERROR(TRIM(INDEX($A309:$T309,MATCH(Lists!$F$3,$A$1:$T$1,0))&amp;""),""),18,2)))),""))</f>
        <v/>
      </c>
      <c r="AA309" s="23">
        <f>IF(Y309="","",IF(ISNUMBER(IFERROR(IF(TRIM(INDEX($A309:$T309,MATCH(Lists!$F$4,$A$1:$T$1,0))&amp;"")="","",IF(ISNUMBER(INDEX($A309:$T309,MATCH(Lists!$F$4,$A$1:$T$1,0))),INT(INDEX($A309:$T309,MATCH(Lists!$F$4,$A$1:$T$1,0))),DATE(VALUE(LEFT(INDEX($A309:$T309,MATCH(Lists!$F$4,$A$1:$T$1,0)),4)),VALUE(MID(INDEX($A309:$T309,MATCH(Lists!$F$4,$A$1:$T$1,0)),6,2)),VALUE(MID(INDEX($A309:$T309,MATCH(Lists!$F$4,$A$1:$T$1,0)),9,2))))),"")),IFERROR(IF(TRIM(INDEX($A309:$T309,MATCH(Lists!$F$4,$A$1:$T$1,0))&amp;"")="","",IF(ISNUMBER(INDEX($A309:$T309,MATCH(Lists!$F$4,$A$1:$T$1,0))),INT(INDEX($A309:$T309,MATCH(Lists!$F$4,$A$1:$T$1,0))),DATE(VALUE(LEFT(INDEX($A309:$T309,MATCH(Lists!$F$4,$A$1:$T$1,0)),4)),VALUE(MID(INDEX($A309:$T309,MATCH(Lists!$F$4,$A$1:$T$1,0)),6,2)),VALUE(MID(INDEX($A309:$T309,MATCH(Lists!$F$4,$A$1:$T$1,0)),9,2))))),""),IFERROR(IF(TRIM(INDEX($A309:$T309,MATCH(Lists!$F$5,$A$1:$T$1,0))&amp;"")="","",IF(ISNUMBER(INDEX($A309:$T309,MATCH(Lists!$F$5,$A$1:$T$1,0))),INT(INDEX($A309:$T309,MATCH(Lists!$F$5,$A$1:$T$1,0))),DATE(VALUE(LEFT(INDEX($A309:$T309,MATCH(Lists!$F$5,$A$1:$T$1,0)),4)),VALUE(MID(INDEX($A309:$T309,MATCH(Lists!$F$5,$A$1:$T$1,0)),6,2)),VALUE(MID(INDEX($A309:$T309,MATCH(Lists!$F$5,$A$1:$T$1,0)),9,2))))),"")))</f>
        <v/>
      </c>
      <c r="AB309" s="21">
        <f>IF(Y309="","",IF(LEFT(IFERROR(TRIM(INDEX($A309:$T309,MATCH(Lists!$F$6,$A$1:$T$1,0))&amp;""),""),2)="No","General comment",IF(IFERROR(TRIM(INDEX($A309:$T309,MATCH(Lists!$F$7,$A$1:$T$1,0))&amp;""),"")&lt;&gt;"",IFERROR(TRIM(INDEX($A309:$T309,MATCH(Lists!$F$7,$A$1:$T$1,0))&amp;""),""),IF(IFERROR(TRIM(INDEX($A309:$T309,MATCH(Lists!$F$8,$A$1:$T$1,0))&amp;""),"")&lt;&gt;"",IFERROR(TRIM(INDEX($A309:$T309,MATCH(Lists!$F$8,$A$1:$T$1,0))&amp;""),""),"(no item given)"))))</f>
        <v/>
      </c>
      <c r="AC309" s="21">
        <f>IF(Y309="","",IF(ISNUMBER(SEARCH("support",IFERROR(TRIM(INDEX($A309:$T309,MATCH(Lists!$F$9,$A$1:$T$1,0))&amp;""),""))),"Support",IF(ISNUMBER(SEARCH("oppose",IFERROR(TRIM(INDEX($A309:$T309,MATCH(Lists!$F$9,$A$1:$T$1,0))&amp;""),""))),"Oppose",IF(IFERROR(TRIM(INDEX($A309:$T309,MATCH(Lists!$F$9,$A$1:$T$1,0))&amp;""),"")="","No position","Neither"))))</f>
        <v/>
      </c>
      <c r="AD309" s="21">
        <f>IF(Y309="","",IF(ISNUMBER(SEARCH("in person",IFERROR(TRIM(INDEX($A309:$T309,MATCH(Lists!$F$13,$A$1:$T$1,0))&amp;""),""))),"In person",IF(ISNUMBER(SEARCH("online",IFERROR(TRIM(INDEX($A309:$T309,MATCH(Lists!$F$13,$A$1:$T$1,0))&amp;""),""))),"Online","Written only")))</f>
        <v/>
      </c>
      <c r="AE309" s="21">
        <f>IF(Y309="","",IFERROR(TRIM(INDEX($A309:$T309,MATCH(Lists!$F$11,$A$1:$T$1,0))&amp;""),""))</f>
        <v/>
      </c>
      <c r="AF309" s="21">
        <f>IF(Y309="","",IFERROR(TRIM(INDEX($A309:$T309,MATCH(Lists!$F$12,$A$1:$T$1,0))&amp;""),""))</f>
        <v/>
      </c>
      <c r="AG309" s="21">
        <f>IF(Y309="","",IFERROR(TRIM(INDEX($A309:$T309,MATCH(Lists!$F$14,$A$1:$T$1,0))&amp;""),""))</f>
        <v/>
      </c>
      <c r="AH309" s="21">
        <f>IF(Y309="","",LEFT(IFERROR(TRIM(INDEX($A309:$T309,MATCH(Lists!$F$10,$A$1:$T$1,0))&amp;""),""),80))</f>
        <v/>
      </c>
      <c r="AI309" s="21">
        <f>IF(Y309="",0,IF(OR(Tally!$B$5="",AA309=Tally!$B$5),1,0))</f>
        <v/>
      </c>
      <c r="AJ309" s="21">
        <f>IF(AI309=1,IF(COUNTIFS($AB$2:AB309,AB309,$AI$2:AI309,1)=1,1,0),0)</f>
        <v/>
      </c>
      <c r="AK309" s="21">
        <f>IF(AJ309=1,SUM($AJ$2:AJ309),"")</f>
        <v/>
      </c>
      <c r="AL309" s="21">
        <f>IF(AND(AI309=1,OR(AD309="In person",AD309="Online"),OR(Speakers!$B$5="",AB309=Speakers!$B$5)),N(Z309)+ROW()/1000000000,"")</f>
        <v/>
      </c>
    </row>
    <row r="310">
      <c r="U310" s="19" t="n"/>
      <c r="V310" s="24" t="n"/>
      <c r="W310" s="24" t="n"/>
      <c r="X310" s="19" t="n"/>
      <c r="Y310" s="21">
        <f>IFERROR(TRIM(INDEX($A310:$T310,MATCH(Lists!$F$2,$A$1:$T$1,0))&amp;""),"")</f>
        <v/>
      </c>
      <c r="Z310" s="22">
        <f>IF(Y310="","",IFERROR(IF(ISNUMBER(INDEX($A310:$T310,MATCH(Lists!$F$3,$A$1:$T$1,0))),INDEX($A310:$T310,MATCH(Lists!$F$3,$A$1:$T$1,0)),DATE(VALUE(LEFT(IFERROR(TRIM(INDEX($A310:$T310,MATCH(Lists!$F$3,$A$1:$T$1,0))&amp;""),""),4)),VALUE(MID(IFERROR(TRIM(INDEX($A310:$T310,MATCH(Lists!$F$3,$A$1:$T$1,0))&amp;""),""),6,2)),VALUE(MID(IFERROR(TRIM(INDEX($A310:$T310,MATCH(Lists!$F$3,$A$1:$T$1,0))&amp;""),""),9,2)))+TIME(VALUE(MID(IFERROR(TRIM(INDEX($A310:$T310,MATCH(Lists!$F$3,$A$1:$T$1,0))&amp;""),""),12,2)),VALUE(MID(IFERROR(TRIM(INDEX($A310:$T310,MATCH(Lists!$F$3,$A$1:$T$1,0))&amp;""),""),15,2)),VALUE(MID(IFERROR(TRIM(INDEX($A310:$T310,MATCH(Lists!$F$3,$A$1:$T$1,0))&amp;""),""),18,2)))),""))</f>
        <v/>
      </c>
      <c r="AA310" s="23">
        <f>IF(Y310="","",IF(ISNUMBER(IFERROR(IF(TRIM(INDEX($A310:$T310,MATCH(Lists!$F$4,$A$1:$T$1,0))&amp;"")="","",IF(ISNUMBER(INDEX($A310:$T310,MATCH(Lists!$F$4,$A$1:$T$1,0))),INT(INDEX($A310:$T310,MATCH(Lists!$F$4,$A$1:$T$1,0))),DATE(VALUE(LEFT(INDEX($A310:$T310,MATCH(Lists!$F$4,$A$1:$T$1,0)),4)),VALUE(MID(INDEX($A310:$T310,MATCH(Lists!$F$4,$A$1:$T$1,0)),6,2)),VALUE(MID(INDEX($A310:$T310,MATCH(Lists!$F$4,$A$1:$T$1,0)),9,2))))),"")),IFERROR(IF(TRIM(INDEX($A310:$T310,MATCH(Lists!$F$4,$A$1:$T$1,0))&amp;"")="","",IF(ISNUMBER(INDEX($A310:$T310,MATCH(Lists!$F$4,$A$1:$T$1,0))),INT(INDEX($A310:$T310,MATCH(Lists!$F$4,$A$1:$T$1,0))),DATE(VALUE(LEFT(INDEX($A310:$T310,MATCH(Lists!$F$4,$A$1:$T$1,0)),4)),VALUE(MID(INDEX($A310:$T310,MATCH(Lists!$F$4,$A$1:$T$1,0)),6,2)),VALUE(MID(INDEX($A310:$T310,MATCH(Lists!$F$4,$A$1:$T$1,0)),9,2))))),""),IFERROR(IF(TRIM(INDEX($A310:$T310,MATCH(Lists!$F$5,$A$1:$T$1,0))&amp;"")="","",IF(ISNUMBER(INDEX($A310:$T310,MATCH(Lists!$F$5,$A$1:$T$1,0))),INT(INDEX($A310:$T310,MATCH(Lists!$F$5,$A$1:$T$1,0))),DATE(VALUE(LEFT(INDEX($A310:$T310,MATCH(Lists!$F$5,$A$1:$T$1,0)),4)),VALUE(MID(INDEX($A310:$T310,MATCH(Lists!$F$5,$A$1:$T$1,0)),6,2)),VALUE(MID(INDEX($A310:$T310,MATCH(Lists!$F$5,$A$1:$T$1,0)),9,2))))),"")))</f>
        <v/>
      </c>
      <c r="AB310" s="21">
        <f>IF(Y310="","",IF(LEFT(IFERROR(TRIM(INDEX($A310:$T310,MATCH(Lists!$F$6,$A$1:$T$1,0))&amp;""),""),2)="No","General comment",IF(IFERROR(TRIM(INDEX($A310:$T310,MATCH(Lists!$F$7,$A$1:$T$1,0))&amp;""),"")&lt;&gt;"",IFERROR(TRIM(INDEX($A310:$T310,MATCH(Lists!$F$7,$A$1:$T$1,0))&amp;""),""),IF(IFERROR(TRIM(INDEX($A310:$T310,MATCH(Lists!$F$8,$A$1:$T$1,0))&amp;""),"")&lt;&gt;"",IFERROR(TRIM(INDEX($A310:$T310,MATCH(Lists!$F$8,$A$1:$T$1,0))&amp;""),""),"(no item given)"))))</f>
        <v/>
      </c>
      <c r="AC310" s="21">
        <f>IF(Y310="","",IF(ISNUMBER(SEARCH("support",IFERROR(TRIM(INDEX($A310:$T310,MATCH(Lists!$F$9,$A$1:$T$1,0))&amp;""),""))),"Support",IF(ISNUMBER(SEARCH("oppose",IFERROR(TRIM(INDEX($A310:$T310,MATCH(Lists!$F$9,$A$1:$T$1,0))&amp;""),""))),"Oppose",IF(IFERROR(TRIM(INDEX($A310:$T310,MATCH(Lists!$F$9,$A$1:$T$1,0))&amp;""),"")="","No position","Neither"))))</f>
        <v/>
      </c>
      <c r="AD310" s="21">
        <f>IF(Y310="","",IF(ISNUMBER(SEARCH("in person",IFERROR(TRIM(INDEX($A310:$T310,MATCH(Lists!$F$13,$A$1:$T$1,0))&amp;""),""))),"In person",IF(ISNUMBER(SEARCH("online",IFERROR(TRIM(INDEX($A310:$T310,MATCH(Lists!$F$13,$A$1:$T$1,0))&amp;""),""))),"Online","Written only")))</f>
        <v/>
      </c>
      <c r="AE310" s="21">
        <f>IF(Y310="","",IFERROR(TRIM(INDEX($A310:$T310,MATCH(Lists!$F$11,$A$1:$T$1,0))&amp;""),""))</f>
        <v/>
      </c>
      <c r="AF310" s="21">
        <f>IF(Y310="","",IFERROR(TRIM(INDEX($A310:$T310,MATCH(Lists!$F$12,$A$1:$T$1,0))&amp;""),""))</f>
        <v/>
      </c>
      <c r="AG310" s="21">
        <f>IF(Y310="","",IFERROR(TRIM(INDEX($A310:$T310,MATCH(Lists!$F$14,$A$1:$T$1,0))&amp;""),""))</f>
        <v/>
      </c>
      <c r="AH310" s="21">
        <f>IF(Y310="","",LEFT(IFERROR(TRIM(INDEX($A310:$T310,MATCH(Lists!$F$10,$A$1:$T$1,0))&amp;""),""),80))</f>
        <v/>
      </c>
      <c r="AI310" s="21">
        <f>IF(Y310="",0,IF(OR(Tally!$B$5="",AA310=Tally!$B$5),1,0))</f>
        <v/>
      </c>
      <c r="AJ310" s="21">
        <f>IF(AI310=1,IF(COUNTIFS($AB$2:AB310,AB310,$AI$2:AI310,1)=1,1,0),0)</f>
        <v/>
      </c>
      <c r="AK310" s="21">
        <f>IF(AJ310=1,SUM($AJ$2:AJ310),"")</f>
        <v/>
      </c>
      <c r="AL310" s="21">
        <f>IF(AND(AI310=1,OR(AD310="In person",AD310="Online"),OR(Speakers!$B$5="",AB310=Speakers!$B$5)),N(Z310)+ROW()/1000000000,"")</f>
        <v/>
      </c>
    </row>
    <row r="311">
      <c r="U311" s="19" t="n"/>
      <c r="V311" s="24" t="n"/>
      <c r="W311" s="24" t="n"/>
      <c r="X311" s="19" t="n"/>
      <c r="Y311" s="21">
        <f>IFERROR(TRIM(INDEX($A311:$T311,MATCH(Lists!$F$2,$A$1:$T$1,0))&amp;""),"")</f>
        <v/>
      </c>
      <c r="Z311" s="22">
        <f>IF(Y311="","",IFERROR(IF(ISNUMBER(INDEX($A311:$T311,MATCH(Lists!$F$3,$A$1:$T$1,0))),INDEX($A311:$T311,MATCH(Lists!$F$3,$A$1:$T$1,0)),DATE(VALUE(LEFT(IFERROR(TRIM(INDEX($A311:$T311,MATCH(Lists!$F$3,$A$1:$T$1,0))&amp;""),""),4)),VALUE(MID(IFERROR(TRIM(INDEX($A311:$T311,MATCH(Lists!$F$3,$A$1:$T$1,0))&amp;""),""),6,2)),VALUE(MID(IFERROR(TRIM(INDEX($A311:$T311,MATCH(Lists!$F$3,$A$1:$T$1,0))&amp;""),""),9,2)))+TIME(VALUE(MID(IFERROR(TRIM(INDEX($A311:$T311,MATCH(Lists!$F$3,$A$1:$T$1,0))&amp;""),""),12,2)),VALUE(MID(IFERROR(TRIM(INDEX($A311:$T311,MATCH(Lists!$F$3,$A$1:$T$1,0))&amp;""),""),15,2)),VALUE(MID(IFERROR(TRIM(INDEX($A311:$T311,MATCH(Lists!$F$3,$A$1:$T$1,0))&amp;""),""),18,2)))),""))</f>
        <v/>
      </c>
      <c r="AA311" s="23">
        <f>IF(Y311="","",IF(ISNUMBER(IFERROR(IF(TRIM(INDEX($A311:$T311,MATCH(Lists!$F$4,$A$1:$T$1,0))&amp;"")="","",IF(ISNUMBER(INDEX($A311:$T311,MATCH(Lists!$F$4,$A$1:$T$1,0))),INT(INDEX($A311:$T311,MATCH(Lists!$F$4,$A$1:$T$1,0))),DATE(VALUE(LEFT(INDEX($A311:$T311,MATCH(Lists!$F$4,$A$1:$T$1,0)),4)),VALUE(MID(INDEX($A311:$T311,MATCH(Lists!$F$4,$A$1:$T$1,0)),6,2)),VALUE(MID(INDEX($A311:$T311,MATCH(Lists!$F$4,$A$1:$T$1,0)),9,2))))),"")),IFERROR(IF(TRIM(INDEX($A311:$T311,MATCH(Lists!$F$4,$A$1:$T$1,0))&amp;"")="","",IF(ISNUMBER(INDEX($A311:$T311,MATCH(Lists!$F$4,$A$1:$T$1,0))),INT(INDEX($A311:$T311,MATCH(Lists!$F$4,$A$1:$T$1,0))),DATE(VALUE(LEFT(INDEX($A311:$T311,MATCH(Lists!$F$4,$A$1:$T$1,0)),4)),VALUE(MID(INDEX($A311:$T311,MATCH(Lists!$F$4,$A$1:$T$1,0)),6,2)),VALUE(MID(INDEX($A311:$T311,MATCH(Lists!$F$4,$A$1:$T$1,0)),9,2))))),""),IFERROR(IF(TRIM(INDEX($A311:$T311,MATCH(Lists!$F$5,$A$1:$T$1,0))&amp;"")="","",IF(ISNUMBER(INDEX($A311:$T311,MATCH(Lists!$F$5,$A$1:$T$1,0))),INT(INDEX($A311:$T311,MATCH(Lists!$F$5,$A$1:$T$1,0))),DATE(VALUE(LEFT(INDEX($A311:$T311,MATCH(Lists!$F$5,$A$1:$T$1,0)),4)),VALUE(MID(INDEX($A311:$T311,MATCH(Lists!$F$5,$A$1:$T$1,0)),6,2)),VALUE(MID(INDEX($A311:$T311,MATCH(Lists!$F$5,$A$1:$T$1,0)),9,2))))),"")))</f>
        <v/>
      </c>
      <c r="AB311" s="21">
        <f>IF(Y311="","",IF(LEFT(IFERROR(TRIM(INDEX($A311:$T311,MATCH(Lists!$F$6,$A$1:$T$1,0))&amp;""),""),2)="No","General comment",IF(IFERROR(TRIM(INDEX($A311:$T311,MATCH(Lists!$F$7,$A$1:$T$1,0))&amp;""),"")&lt;&gt;"",IFERROR(TRIM(INDEX($A311:$T311,MATCH(Lists!$F$7,$A$1:$T$1,0))&amp;""),""),IF(IFERROR(TRIM(INDEX($A311:$T311,MATCH(Lists!$F$8,$A$1:$T$1,0))&amp;""),"")&lt;&gt;"",IFERROR(TRIM(INDEX($A311:$T311,MATCH(Lists!$F$8,$A$1:$T$1,0))&amp;""),""),"(no item given)"))))</f>
        <v/>
      </c>
      <c r="AC311" s="21">
        <f>IF(Y311="","",IF(ISNUMBER(SEARCH("support",IFERROR(TRIM(INDEX($A311:$T311,MATCH(Lists!$F$9,$A$1:$T$1,0))&amp;""),""))),"Support",IF(ISNUMBER(SEARCH("oppose",IFERROR(TRIM(INDEX($A311:$T311,MATCH(Lists!$F$9,$A$1:$T$1,0))&amp;""),""))),"Oppose",IF(IFERROR(TRIM(INDEX($A311:$T311,MATCH(Lists!$F$9,$A$1:$T$1,0))&amp;""),"")="","No position","Neither"))))</f>
        <v/>
      </c>
      <c r="AD311" s="21">
        <f>IF(Y311="","",IF(ISNUMBER(SEARCH("in person",IFERROR(TRIM(INDEX($A311:$T311,MATCH(Lists!$F$13,$A$1:$T$1,0))&amp;""),""))),"In person",IF(ISNUMBER(SEARCH("online",IFERROR(TRIM(INDEX($A311:$T311,MATCH(Lists!$F$13,$A$1:$T$1,0))&amp;""),""))),"Online","Written only")))</f>
        <v/>
      </c>
      <c r="AE311" s="21">
        <f>IF(Y311="","",IFERROR(TRIM(INDEX($A311:$T311,MATCH(Lists!$F$11,$A$1:$T$1,0))&amp;""),""))</f>
        <v/>
      </c>
      <c r="AF311" s="21">
        <f>IF(Y311="","",IFERROR(TRIM(INDEX($A311:$T311,MATCH(Lists!$F$12,$A$1:$T$1,0))&amp;""),""))</f>
        <v/>
      </c>
      <c r="AG311" s="21">
        <f>IF(Y311="","",IFERROR(TRIM(INDEX($A311:$T311,MATCH(Lists!$F$14,$A$1:$T$1,0))&amp;""),""))</f>
        <v/>
      </c>
      <c r="AH311" s="21">
        <f>IF(Y311="","",LEFT(IFERROR(TRIM(INDEX($A311:$T311,MATCH(Lists!$F$10,$A$1:$T$1,0))&amp;""),""),80))</f>
        <v/>
      </c>
      <c r="AI311" s="21">
        <f>IF(Y311="",0,IF(OR(Tally!$B$5="",AA311=Tally!$B$5),1,0))</f>
        <v/>
      </c>
      <c r="AJ311" s="21">
        <f>IF(AI311=1,IF(COUNTIFS($AB$2:AB311,AB311,$AI$2:AI311,1)=1,1,0),0)</f>
        <v/>
      </c>
      <c r="AK311" s="21">
        <f>IF(AJ311=1,SUM($AJ$2:AJ311),"")</f>
        <v/>
      </c>
      <c r="AL311" s="21">
        <f>IF(AND(AI311=1,OR(AD311="In person",AD311="Online"),OR(Speakers!$B$5="",AB311=Speakers!$B$5)),N(Z311)+ROW()/1000000000,"")</f>
        <v/>
      </c>
    </row>
    <row r="312">
      <c r="U312" s="19" t="n"/>
      <c r="V312" s="24" t="n"/>
      <c r="W312" s="24" t="n"/>
      <c r="X312" s="19" t="n"/>
      <c r="Y312" s="21">
        <f>IFERROR(TRIM(INDEX($A312:$T312,MATCH(Lists!$F$2,$A$1:$T$1,0))&amp;""),"")</f>
        <v/>
      </c>
      <c r="Z312" s="22">
        <f>IF(Y312="","",IFERROR(IF(ISNUMBER(INDEX($A312:$T312,MATCH(Lists!$F$3,$A$1:$T$1,0))),INDEX($A312:$T312,MATCH(Lists!$F$3,$A$1:$T$1,0)),DATE(VALUE(LEFT(IFERROR(TRIM(INDEX($A312:$T312,MATCH(Lists!$F$3,$A$1:$T$1,0))&amp;""),""),4)),VALUE(MID(IFERROR(TRIM(INDEX($A312:$T312,MATCH(Lists!$F$3,$A$1:$T$1,0))&amp;""),""),6,2)),VALUE(MID(IFERROR(TRIM(INDEX($A312:$T312,MATCH(Lists!$F$3,$A$1:$T$1,0))&amp;""),""),9,2)))+TIME(VALUE(MID(IFERROR(TRIM(INDEX($A312:$T312,MATCH(Lists!$F$3,$A$1:$T$1,0))&amp;""),""),12,2)),VALUE(MID(IFERROR(TRIM(INDEX($A312:$T312,MATCH(Lists!$F$3,$A$1:$T$1,0))&amp;""),""),15,2)),VALUE(MID(IFERROR(TRIM(INDEX($A312:$T312,MATCH(Lists!$F$3,$A$1:$T$1,0))&amp;""),""),18,2)))),""))</f>
        <v/>
      </c>
      <c r="AA312" s="23">
        <f>IF(Y312="","",IF(ISNUMBER(IFERROR(IF(TRIM(INDEX($A312:$T312,MATCH(Lists!$F$4,$A$1:$T$1,0))&amp;"")="","",IF(ISNUMBER(INDEX($A312:$T312,MATCH(Lists!$F$4,$A$1:$T$1,0))),INT(INDEX($A312:$T312,MATCH(Lists!$F$4,$A$1:$T$1,0))),DATE(VALUE(LEFT(INDEX($A312:$T312,MATCH(Lists!$F$4,$A$1:$T$1,0)),4)),VALUE(MID(INDEX($A312:$T312,MATCH(Lists!$F$4,$A$1:$T$1,0)),6,2)),VALUE(MID(INDEX($A312:$T312,MATCH(Lists!$F$4,$A$1:$T$1,0)),9,2))))),"")),IFERROR(IF(TRIM(INDEX($A312:$T312,MATCH(Lists!$F$4,$A$1:$T$1,0))&amp;"")="","",IF(ISNUMBER(INDEX($A312:$T312,MATCH(Lists!$F$4,$A$1:$T$1,0))),INT(INDEX($A312:$T312,MATCH(Lists!$F$4,$A$1:$T$1,0))),DATE(VALUE(LEFT(INDEX($A312:$T312,MATCH(Lists!$F$4,$A$1:$T$1,0)),4)),VALUE(MID(INDEX($A312:$T312,MATCH(Lists!$F$4,$A$1:$T$1,0)),6,2)),VALUE(MID(INDEX($A312:$T312,MATCH(Lists!$F$4,$A$1:$T$1,0)),9,2))))),""),IFERROR(IF(TRIM(INDEX($A312:$T312,MATCH(Lists!$F$5,$A$1:$T$1,0))&amp;"")="","",IF(ISNUMBER(INDEX($A312:$T312,MATCH(Lists!$F$5,$A$1:$T$1,0))),INT(INDEX($A312:$T312,MATCH(Lists!$F$5,$A$1:$T$1,0))),DATE(VALUE(LEFT(INDEX($A312:$T312,MATCH(Lists!$F$5,$A$1:$T$1,0)),4)),VALUE(MID(INDEX($A312:$T312,MATCH(Lists!$F$5,$A$1:$T$1,0)),6,2)),VALUE(MID(INDEX($A312:$T312,MATCH(Lists!$F$5,$A$1:$T$1,0)),9,2))))),"")))</f>
        <v/>
      </c>
      <c r="AB312" s="21">
        <f>IF(Y312="","",IF(LEFT(IFERROR(TRIM(INDEX($A312:$T312,MATCH(Lists!$F$6,$A$1:$T$1,0))&amp;""),""),2)="No","General comment",IF(IFERROR(TRIM(INDEX($A312:$T312,MATCH(Lists!$F$7,$A$1:$T$1,0))&amp;""),"")&lt;&gt;"",IFERROR(TRIM(INDEX($A312:$T312,MATCH(Lists!$F$7,$A$1:$T$1,0))&amp;""),""),IF(IFERROR(TRIM(INDEX($A312:$T312,MATCH(Lists!$F$8,$A$1:$T$1,0))&amp;""),"")&lt;&gt;"",IFERROR(TRIM(INDEX($A312:$T312,MATCH(Lists!$F$8,$A$1:$T$1,0))&amp;""),""),"(no item given)"))))</f>
        <v/>
      </c>
      <c r="AC312" s="21">
        <f>IF(Y312="","",IF(ISNUMBER(SEARCH("support",IFERROR(TRIM(INDEX($A312:$T312,MATCH(Lists!$F$9,$A$1:$T$1,0))&amp;""),""))),"Support",IF(ISNUMBER(SEARCH("oppose",IFERROR(TRIM(INDEX($A312:$T312,MATCH(Lists!$F$9,$A$1:$T$1,0))&amp;""),""))),"Oppose",IF(IFERROR(TRIM(INDEX($A312:$T312,MATCH(Lists!$F$9,$A$1:$T$1,0))&amp;""),"")="","No position","Neither"))))</f>
        <v/>
      </c>
      <c r="AD312" s="21">
        <f>IF(Y312="","",IF(ISNUMBER(SEARCH("in person",IFERROR(TRIM(INDEX($A312:$T312,MATCH(Lists!$F$13,$A$1:$T$1,0))&amp;""),""))),"In person",IF(ISNUMBER(SEARCH("online",IFERROR(TRIM(INDEX($A312:$T312,MATCH(Lists!$F$13,$A$1:$T$1,0))&amp;""),""))),"Online","Written only")))</f>
        <v/>
      </c>
      <c r="AE312" s="21">
        <f>IF(Y312="","",IFERROR(TRIM(INDEX($A312:$T312,MATCH(Lists!$F$11,$A$1:$T$1,0))&amp;""),""))</f>
        <v/>
      </c>
      <c r="AF312" s="21">
        <f>IF(Y312="","",IFERROR(TRIM(INDEX($A312:$T312,MATCH(Lists!$F$12,$A$1:$T$1,0))&amp;""),""))</f>
        <v/>
      </c>
      <c r="AG312" s="21">
        <f>IF(Y312="","",IFERROR(TRIM(INDEX($A312:$T312,MATCH(Lists!$F$14,$A$1:$T$1,0))&amp;""),""))</f>
        <v/>
      </c>
      <c r="AH312" s="21">
        <f>IF(Y312="","",LEFT(IFERROR(TRIM(INDEX($A312:$T312,MATCH(Lists!$F$10,$A$1:$T$1,0))&amp;""),""),80))</f>
        <v/>
      </c>
      <c r="AI312" s="21">
        <f>IF(Y312="",0,IF(OR(Tally!$B$5="",AA312=Tally!$B$5),1,0))</f>
        <v/>
      </c>
      <c r="AJ312" s="21">
        <f>IF(AI312=1,IF(COUNTIFS($AB$2:AB312,AB312,$AI$2:AI312,1)=1,1,0),0)</f>
        <v/>
      </c>
      <c r="AK312" s="21">
        <f>IF(AJ312=1,SUM($AJ$2:AJ312),"")</f>
        <v/>
      </c>
      <c r="AL312" s="21">
        <f>IF(AND(AI312=1,OR(AD312="In person",AD312="Online"),OR(Speakers!$B$5="",AB312=Speakers!$B$5)),N(Z312)+ROW()/1000000000,"")</f>
        <v/>
      </c>
    </row>
    <row r="313">
      <c r="U313" s="19" t="n"/>
      <c r="V313" s="24" t="n"/>
      <c r="W313" s="24" t="n"/>
      <c r="X313" s="19" t="n"/>
      <c r="Y313" s="21">
        <f>IFERROR(TRIM(INDEX($A313:$T313,MATCH(Lists!$F$2,$A$1:$T$1,0))&amp;""),"")</f>
        <v/>
      </c>
      <c r="Z313" s="22">
        <f>IF(Y313="","",IFERROR(IF(ISNUMBER(INDEX($A313:$T313,MATCH(Lists!$F$3,$A$1:$T$1,0))),INDEX($A313:$T313,MATCH(Lists!$F$3,$A$1:$T$1,0)),DATE(VALUE(LEFT(IFERROR(TRIM(INDEX($A313:$T313,MATCH(Lists!$F$3,$A$1:$T$1,0))&amp;""),""),4)),VALUE(MID(IFERROR(TRIM(INDEX($A313:$T313,MATCH(Lists!$F$3,$A$1:$T$1,0))&amp;""),""),6,2)),VALUE(MID(IFERROR(TRIM(INDEX($A313:$T313,MATCH(Lists!$F$3,$A$1:$T$1,0))&amp;""),""),9,2)))+TIME(VALUE(MID(IFERROR(TRIM(INDEX($A313:$T313,MATCH(Lists!$F$3,$A$1:$T$1,0))&amp;""),""),12,2)),VALUE(MID(IFERROR(TRIM(INDEX($A313:$T313,MATCH(Lists!$F$3,$A$1:$T$1,0))&amp;""),""),15,2)),VALUE(MID(IFERROR(TRIM(INDEX($A313:$T313,MATCH(Lists!$F$3,$A$1:$T$1,0))&amp;""),""),18,2)))),""))</f>
        <v/>
      </c>
      <c r="AA313" s="23">
        <f>IF(Y313="","",IF(ISNUMBER(IFERROR(IF(TRIM(INDEX($A313:$T313,MATCH(Lists!$F$4,$A$1:$T$1,0))&amp;"")="","",IF(ISNUMBER(INDEX($A313:$T313,MATCH(Lists!$F$4,$A$1:$T$1,0))),INT(INDEX($A313:$T313,MATCH(Lists!$F$4,$A$1:$T$1,0))),DATE(VALUE(LEFT(INDEX($A313:$T313,MATCH(Lists!$F$4,$A$1:$T$1,0)),4)),VALUE(MID(INDEX($A313:$T313,MATCH(Lists!$F$4,$A$1:$T$1,0)),6,2)),VALUE(MID(INDEX($A313:$T313,MATCH(Lists!$F$4,$A$1:$T$1,0)),9,2))))),"")),IFERROR(IF(TRIM(INDEX($A313:$T313,MATCH(Lists!$F$4,$A$1:$T$1,0))&amp;"")="","",IF(ISNUMBER(INDEX($A313:$T313,MATCH(Lists!$F$4,$A$1:$T$1,0))),INT(INDEX($A313:$T313,MATCH(Lists!$F$4,$A$1:$T$1,0))),DATE(VALUE(LEFT(INDEX($A313:$T313,MATCH(Lists!$F$4,$A$1:$T$1,0)),4)),VALUE(MID(INDEX($A313:$T313,MATCH(Lists!$F$4,$A$1:$T$1,0)),6,2)),VALUE(MID(INDEX($A313:$T313,MATCH(Lists!$F$4,$A$1:$T$1,0)),9,2))))),""),IFERROR(IF(TRIM(INDEX($A313:$T313,MATCH(Lists!$F$5,$A$1:$T$1,0))&amp;"")="","",IF(ISNUMBER(INDEX($A313:$T313,MATCH(Lists!$F$5,$A$1:$T$1,0))),INT(INDEX($A313:$T313,MATCH(Lists!$F$5,$A$1:$T$1,0))),DATE(VALUE(LEFT(INDEX($A313:$T313,MATCH(Lists!$F$5,$A$1:$T$1,0)),4)),VALUE(MID(INDEX($A313:$T313,MATCH(Lists!$F$5,$A$1:$T$1,0)),6,2)),VALUE(MID(INDEX($A313:$T313,MATCH(Lists!$F$5,$A$1:$T$1,0)),9,2))))),"")))</f>
        <v/>
      </c>
      <c r="AB313" s="21">
        <f>IF(Y313="","",IF(LEFT(IFERROR(TRIM(INDEX($A313:$T313,MATCH(Lists!$F$6,$A$1:$T$1,0))&amp;""),""),2)="No","General comment",IF(IFERROR(TRIM(INDEX($A313:$T313,MATCH(Lists!$F$7,$A$1:$T$1,0))&amp;""),"")&lt;&gt;"",IFERROR(TRIM(INDEX($A313:$T313,MATCH(Lists!$F$7,$A$1:$T$1,0))&amp;""),""),IF(IFERROR(TRIM(INDEX($A313:$T313,MATCH(Lists!$F$8,$A$1:$T$1,0))&amp;""),"")&lt;&gt;"",IFERROR(TRIM(INDEX($A313:$T313,MATCH(Lists!$F$8,$A$1:$T$1,0))&amp;""),""),"(no item given)"))))</f>
        <v/>
      </c>
      <c r="AC313" s="21">
        <f>IF(Y313="","",IF(ISNUMBER(SEARCH("support",IFERROR(TRIM(INDEX($A313:$T313,MATCH(Lists!$F$9,$A$1:$T$1,0))&amp;""),""))),"Support",IF(ISNUMBER(SEARCH("oppose",IFERROR(TRIM(INDEX($A313:$T313,MATCH(Lists!$F$9,$A$1:$T$1,0))&amp;""),""))),"Oppose",IF(IFERROR(TRIM(INDEX($A313:$T313,MATCH(Lists!$F$9,$A$1:$T$1,0))&amp;""),"")="","No position","Neither"))))</f>
        <v/>
      </c>
      <c r="AD313" s="21">
        <f>IF(Y313="","",IF(ISNUMBER(SEARCH("in person",IFERROR(TRIM(INDEX($A313:$T313,MATCH(Lists!$F$13,$A$1:$T$1,0))&amp;""),""))),"In person",IF(ISNUMBER(SEARCH("online",IFERROR(TRIM(INDEX($A313:$T313,MATCH(Lists!$F$13,$A$1:$T$1,0))&amp;""),""))),"Online","Written only")))</f>
        <v/>
      </c>
      <c r="AE313" s="21">
        <f>IF(Y313="","",IFERROR(TRIM(INDEX($A313:$T313,MATCH(Lists!$F$11,$A$1:$T$1,0))&amp;""),""))</f>
        <v/>
      </c>
      <c r="AF313" s="21">
        <f>IF(Y313="","",IFERROR(TRIM(INDEX($A313:$T313,MATCH(Lists!$F$12,$A$1:$T$1,0))&amp;""),""))</f>
        <v/>
      </c>
      <c r="AG313" s="21">
        <f>IF(Y313="","",IFERROR(TRIM(INDEX($A313:$T313,MATCH(Lists!$F$14,$A$1:$T$1,0))&amp;""),""))</f>
        <v/>
      </c>
      <c r="AH313" s="21">
        <f>IF(Y313="","",LEFT(IFERROR(TRIM(INDEX($A313:$T313,MATCH(Lists!$F$10,$A$1:$T$1,0))&amp;""),""),80))</f>
        <v/>
      </c>
      <c r="AI313" s="21">
        <f>IF(Y313="",0,IF(OR(Tally!$B$5="",AA313=Tally!$B$5),1,0))</f>
        <v/>
      </c>
      <c r="AJ313" s="21">
        <f>IF(AI313=1,IF(COUNTIFS($AB$2:AB313,AB313,$AI$2:AI313,1)=1,1,0),0)</f>
        <v/>
      </c>
      <c r="AK313" s="21">
        <f>IF(AJ313=1,SUM($AJ$2:AJ313),"")</f>
        <v/>
      </c>
      <c r="AL313" s="21">
        <f>IF(AND(AI313=1,OR(AD313="In person",AD313="Online"),OR(Speakers!$B$5="",AB313=Speakers!$B$5)),N(Z313)+ROW()/1000000000,"")</f>
        <v/>
      </c>
    </row>
    <row r="314">
      <c r="U314" s="19" t="n"/>
      <c r="V314" s="24" t="n"/>
      <c r="W314" s="24" t="n"/>
      <c r="X314" s="19" t="n"/>
      <c r="Y314" s="21">
        <f>IFERROR(TRIM(INDEX($A314:$T314,MATCH(Lists!$F$2,$A$1:$T$1,0))&amp;""),"")</f>
        <v/>
      </c>
      <c r="Z314" s="22">
        <f>IF(Y314="","",IFERROR(IF(ISNUMBER(INDEX($A314:$T314,MATCH(Lists!$F$3,$A$1:$T$1,0))),INDEX($A314:$T314,MATCH(Lists!$F$3,$A$1:$T$1,0)),DATE(VALUE(LEFT(IFERROR(TRIM(INDEX($A314:$T314,MATCH(Lists!$F$3,$A$1:$T$1,0))&amp;""),""),4)),VALUE(MID(IFERROR(TRIM(INDEX($A314:$T314,MATCH(Lists!$F$3,$A$1:$T$1,0))&amp;""),""),6,2)),VALUE(MID(IFERROR(TRIM(INDEX($A314:$T314,MATCH(Lists!$F$3,$A$1:$T$1,0))&amp;""),""),9,2)))+TIME(VALUE(MID(IFERROR(TRIM(INDEX($A314:$T314,MATCH(Lists!$F$3,$A$1:$T$1,0))&amp;""),""),12,2)),VALUE(MID(IFERROR(TRIM(INDEX($A314:$T314,MATCH(Lists!$F$3,$A$1:$T$1,0))&amp;""),""),15,2)),VALUE(MID(IFERROR(TRIM(INDEX($A314:$T314,MATCH(Lists!$F$3,$A$1:$T$1,0))&amp;""),""),18,2)))),""))</f>
        <v/>
      </c>
      <c r="AA314" s="23">
        <f>IF(Y314="","",IF(ISNUMBER(IFERROR(IF(TRIM(INDEX($A314:$T314,MATCH(Lists!$F$4,$A$1:$T$1,0))&amp;"")="","",IF(ISNUMBER(INDEX($A314:$T314,MATCH(Lists!$F$4,$A$1:$T$1,0))),INT(INDEX($A314:$T314,MATCH(Lists!$F$4,$A$1:$T$1,0))),DATE(VALUE(LEFT(INDEX($A314:$T314,MATCH(Lists!$F$4,$A$1:$T$1,0)),4)),VALUE(MID(INDEX($A314:$T314,MATCH(Lists!$F$4,$A$1:$T$1,0)),6,2)),VALUE(MID(INDEX($A314:$T314,MATCH(Lists!$F$4,$A$1:$T$1,0)),9,2))))),"")),IFERROR(IF(TRIM(INDEX($A314:$T314,MATCH(Lists!$F$4,$A$1:$T$1,0))&amp;"")="","",IF(ISNUMBER(INDEX($A314:$T314,MATCH(Lists!$F$4,$A$1:$T$1,0))),INT(INDEX($A314:$T314,MATCH(Lists!$F$4,$A$1:$T$1,0))),DATE(VALUE(LEFT(INDEX($A314:$T314,MATCH(Lists!$F$4,$A$1:$T$1,0)),4)),VALUE(MID(INDEX($A314:$T314,MATCH(Lists!$F$4,$A$1:$T$1,0)),6,2)),VALUE(MID(INDEX($A314:$T314,MATCH(Lists!$F$4,$A$1:$T$1,0)),9,2))))),""),IFERROR(IF(TRIM(INDEX($A314:$T314,MATCH(Lists!$F$5,$A$1:$T$1,0))&amp;"")="","",IF(ISNUMBER(INDEX($A314:$T314,MATCH(Lists!$F$5,$A$1:$T$1,0))),INT(INDEX($A314:$T314,MATCH(Lists!$F$5,$A$1:$T$1,0))),DATE(VALUE(LEFT(INDEX($A314:$T314,MATCH(Lists!$F$5,$A$1:$T$1,0)),4)),VALUE(MID(INDEX($A314:$T314,MATCH(Lists!$F$5,$A$1:$T$1,0)),6,2)),VALUE(MID(INDEX($A314:$T314,MATCH(Lists!$F$5,$A$1:$T$1,0)),9,2))))),"")))</f>
        <v/>
      </c>
      <c r="AB314" s="21">
        <f>IF(Y314="","",IF(LEFT(IFERROR(TRIM(INDEX($A314:$T314,MATCH(Lists!$F$6,$A$1:$T$1,0))&amp;""),""),2)="No","General comment",IF(IFERROR(TRIM(INDEX($A314:$T314,MATCH(Lists!$F$7,$A$1:$T$1,0))&amp;""),"")&lt;&gt;"",IFERROR(TRIM(INDEX($A314:$T314,MATCH(Lists!$F$7,$A$1:$T$1,0))&amp;""),""),IF(IFERROR(TRIM(INDEX($A314:$T314,MATCH(Lists!$F$8,$A$1:$T$1,0))&amp;""),"")&lt;&gt;"",IFERROR(TRIM(INDEX($A314:$T314,MATCH(Lists!$F$8,$A$1:$T$1,0))&amp;""),""),"(no item given)"))))</f>
        <v/>
      </c>
      <c r="AC314" s="21">
        <f>IF(Y314="","",IF(ISNUMBER(SEARCH("support",IFERROR(TRIM(INDEX($A314:$T314,MATCH(Lists!$F$9,$A$1:$T$1,0))&amp;""),""))),"Support",IF(ISNUMBER(SEARCH("oppose",IFERROR(TRIM(INDEX($A314:$T314,MATCH(Lists!$F$9,$A$1:$T$1,0))&amp;""),""))),"Oppose",IF(IFERROR(TRIM(INDEX($A314:$T314,MATCH(Lists!$F$9,$A$1:$T$1,0))&amp;""),"")="","No position","Neither"))))</f>
        <v/>
      </c>
      <c r="AD314" s="21">
        <f>IF(Y314="","",IF(ISNUMBER(SEARCH("in person",IFERROR(TRIM(INDEX($A314:$T314,MATCH(Lists!$F$13,$A$1:$T$1,0))&amp;""),""))),"In person",IF(ISNUMBER(SEARCH("online",IFERROR(TRIM(INDEX($A314:$T314,MATCH(Lists!$F$13,$A$1:$T$1,0))&amp;""),""))),"Online","Written only")))</f>
        <v/>
      </c>
      <c r="AE314" s="21">
        <f>IF(Y314="","",IFERROR(TRIM(INDEX($A314:$T314,MATCH(Lists!$F$11,$A$1:$T$1,0))&amp;""),""))</f>
        <v/>
      </c>
      <c r="AF314" s="21">
        <f>IF(Y314="","",IFERROR(TRIM(INDEX($A314:$T314,MATCH(Lists!$F$12,$A$1:$T$1,0))&amp;""),""))</f>
        <v/>
      </c>
      <c r="AG314" s="21">
        <f>IF(Y314="","",IFERROR(TRIM(INDEX($A314:$T314,MATCH(Lists!$F$14,$A$1:$T$1,0))&amp;""),""))</f>
        <v/>
      </c>
      <c r="AH314" s="21">
        <f>IF(Y314="","",LEFT(IFERROR(TRIM(INDEX($A314:$T314,MATCH(Lists!$F$10,$A$1:$T$1,0))&amp;""),""),80))</f>
        <v/>
      </c>
      <c r="AI314" s="21">
        <f>IF(Y314="",0,IF(OR(Tally!$B$5="",AA314=Tally!$B$5),1,0))</f>
        <v/>
      </c>
      <c r="AJ314" s="21">
        <f>IF(AI314=1,IF(COUNTIFS($AB$2:AB314,AB314,$AI$2:AI314,1)=1,1,0),0)</f>
        <v/>
      </c>
      <c r="AK314" s="21">
        <f>IF(AJ314=1,SUM($AJ$2:AJ314),"")</f>
        <v/>
      </c>
      <c r="AL314" s="21">
        <f>IF(AND(AI314=1,OR(AD314="In person",AD314="Online"),OR(Speakers!$B$5="",AB314=Speakers!$B$5)),N(Z314)+ROW()/1000000000,"")</f>
        <v/>
      </c>
    </row>
    <row r="315">
      <c r="U315" s="19" t="n"/>
      <c r="V315" s="24" t="n"/>
      <c r="W315" s="24" t="n"/>
      <c r="X315" s="19" t="n"/>
      <c r="Y315" s="21">
        <f>IFERROR(TRIM(INDEX($A315:$T315,MATCH(Lists!$F$2,$A$1:$T$1,0))&amp;""),"")</f>
        <v/>
      </c>
      <c r="Z315" s="22">
        <f>IF(Y315="","",IFERROR(IF(ISNUMBER(INDEX($A315:$T315,MATCH(Lists!$F$3,$A$1:$T$1,0))),INDEX($A315:$T315,MATCH(Lists!$F$3,$A$1:$T$1,0)),DATE(VALUE(LEFT(IFERROR(TRIM(INDEX($A315:$T315,MATCH(Lists!$F$3,$A$1:$T$1,0))&amp;""),""),4)),VALUE(MID(IFERROR(TRIM(INDEX($A315:$T315,MATCH(Lists!$F$3,$A$1:$T$1,0))&amp;""),""),6,2)),VALUE(MID(IFERROR(TRIM(INDEX($A315:$T315,MATCH(Lists!$F$3,$A$1:$T$1,0))&amp;""),""),9,2)))+TIME(VALUE(MID(IFERROR(TRIM(INDEX($A315:$T315,MATCH(Lists!$F$3,$A$1:$T$1,0))&amp;""),""),12,2)),VALUE(MID(IFERROR(TRIM(INDEX($A315:$T315,MATCH(Lists!$F$3,$A$1:$T$1,0))&amp;""),""),15,2)),VALUE(MID(IFERROR(TRIM(INDEX($A315:$T315,MATCH(Lists!$F$3,$A$1:$T$1,0))&amp;""),""),18,2)))),""))</f>
        <v/>
      </c>
      <c r="AA315" s="23">
        <f>IF(Y315="","",IF(ISNUMBER(IFERROR(IF(TRIM(INDEX($A315:$T315,MATCH(Lists!$F$4,$A$1:$T$1,0))&amp;"")="","",IF(ISNUMBER(INDEX($A315:$T315,MATCH(Lists!$F$4,$A$1:$T$1,0))),INT(INDEX($A315:$T315,MATCH(Lists!$F$4,$A$1:$T$1,0))),DATE(VALUE(LEFT(INDEX($A315:$T315,MATCH(Lists!$F$4,$A$1:$T$1,0)),4)),VALUE(MID(INDEX($A315:$T315,MATCH(Lists!$F$4,$A$1:$T$1,0)),6,2)),VALUE(MID(INDEX($A315:$T315,MATCH(Lists!$F$4,$A$1:$T$1,0)),9,2))))),"")),IFERROR(IF(TRIM(INDEX($A315:$T315,MATCH(Lists!$F$4,$A$1:$T$1,0))&amp;"")="","",IF(ISNUMBER(INDEX($A315:$T315,MATCH(Lists!$F$4,$A$1:$T$1,0))),INT(INDEX($A315:$T315,MATCH(Lists!$F$4,$A$1:$T$1,0))),DATE(VALUE(LEFT(INDEX($A315:$T315,MATCH(Lists!$F$4,$A$1:$T$1,0)),4)),VALUE(MID(INDEX($A315:$T315,MATCH(Lists!$F$4,$A$1:$T$1,0)),6,2)),VALUE(MID(INDEX($A315:$T315,MATCH(Lists!$F$4,$A$1:$T$1,0)),9,2))))),""),IFERROR(IF(TRIM(INDEX($A315:$T315,MATCH(Lists!$F$5,$A$1:$T$1,0))&amp;"")="","",IF(ISNUMBER(INDEX($A315:$T315,MATCH(Lists!$F$5,$A$1:$T$1,0))),INT(INDEX($A315:$T315,MATCH(Lists!$F$5,$A$1:$T$1,0))),DATE(VALUE(LEFT(INDEX($A315:$T315,MATCH(Lists!$F$5,$A$1:$T$1,0)),4)),VALUE(MID(INDEX($A315:$T315,MATCH(Lists!$F$5,$A$1:$T$1,0)),6,2)),VALUE(MID(INDEX($A315:$T315,MATCH(Lists!$F$5,$A$1:$T$1,0)),9,2))))),"")))</f>
        <v/>
      </c>
      <c r="AB315" s="21">
        <f>IF(Y315="","",IF(LEFT(IFERROR(TRIM(INDEX($A315:$T315,MATCH(Lists!$F$6,$A$1:$T$1,0))&amp;""),""),2)="No","General comment",IF(IFERROR(TRIM(INDEX($A315:$T315,MATCH(Lists!$F$7,$A$1:$T$1,0))&amp;""),"")&lt;&gt;"",IFERROR(TRIM(INDEX($A315:$T315,MATCH(Lists!$F$7,$A$1:$T$1,0))&amp;""),""),IF(IFERROR(TRIM(INDEX($A315:$T315,MATCH(Lists!$F$8,$A$1:$T$1,0))&amp;""),"")&lt;&gt;"",IFERROR(TRIM(INDEX($A315:$T315,MATCH(Lists!$F$8,$A$1:$T$1,0))&amp;""),""),"(no item given)"))))</f>
        <v/>
      </c>
      <c r="AC315" s="21">
        <f>IF(Y315="","",IF(ISNUMBER(SEARCH("support",IFERROR(TRIM(INDEX($A315:$T315,MATCH(Lists!$F$9,$A$1:$T$1,0))&amp;""),""))),"Support",IF(ISNUMBER(SEARCH("oppose",IFERROR(TRIM(INDEX($A315:$T315,MATCH(Lists!$F$9,$A$1:$T$1,0))&amp;""),""))),"Oppose",IF(IFERROR(TRIM(INDEX($A315:$T315,MATCH(Lists!$F$9,$A$1:$T$1,0))&amp;""),"")="","No position","Neither"))))</f>
        <v/>
      </c>
      <c r="AD315" s="21">
        <f>IF(Y315="","",IF(ISNUMBER(SEARCH("in person",IFERROR(TRIM(INDEX($A315:$T315,MATCH(Lists!$F$13,$A$1:$T$1,0))&amp;""),""))),"In person",IF(ISNUMBER(SEARCH("online",IFERROR(TRIM(INDEX($A315:$T315,MATCH(Lists!$F$13,$A$1:$T$1,0))&amp;""),""))),"Online","Written only")))</f>
        <v/>
      </c>
      <c r="AE315" s="21">
        <f>IF(Y315="","",IFERROR(TRIM(INDEX($A315:$T315,MATCH(Lists!$F$11,$A$1:$T$1,0))&amp;""),""))</f>
        <v/>
      </c>
      <c r="AF315" s="21">
        <f>IF(Y315="","",IFERROR(TRIM(INDEX($A315:$T315,MATCH(Lists!$F$12,$A$1:$T$1,0))&amp;""),""))</f>
        <v/>
      </c>
      <c r="AG315" s="21">
        <f>IF(Y315="","",IFERROR(TRIM(INDEX($A315:$T315,MATCH(Lists!$F$14,$A$1:$T$1,0))&amp;""),""))</f>
        <v/>
      </c>
      <c r="AH315" s="21">
        <f>IF(Y315="","",LEFT(IFERROR(TRIM(INDEX($A315:$T315,MATCH(Lists!$F$10,$A$1:$T$1,0))&amp;""),""),80))</f>
        <v/>
      </c>
      <c r="AI315" s="21">
        <f>IF(Y315="",0,IF(OR(Tally!$B$5="",AA315=Tally!$B$5),1,0))</f>
        <v/>
      </c>
      <c r="AJ315" s="21">
        <f>IF(AI315=1,IF(COUNTIFS($AB$2:AB315,AB315,$AI$2:AI315,1)=1,1,0),0)</f>
        <v/>
      </c>
      <c r="AK315" s="21">
        <f>IF(AJ315=1,SUM($AJ$2:AJ315),"")</f>
        <v/>
      </c>
      <c r="AL315" s="21">
        <f>IF(AND(AI315=1,OR(AD315="In person",AD315="Online"),OR(Speakers!$B$5="",AB315=Speakers!$B$5)),N(Z315)+ROW()/1000000000,"")</f>
        <v/>
      </c>
    </row>
    <row r="316">
      <c r="U316" s="19" t="n"/>
      <c r="V316" s="24" t="n"/>
      <c r="W316" s="24" t="n"/>
      <c r="X316" s="19" t="n"/>
      <c r="Y316" s="21">
        <f>IFERROR(TRIM(INDEX($A316:$T316,MATCH(Lists!$F$2,$A$1:$T$1,0))&amp;""),"")</f>
        <v/>
      </c>
      <c r="Z316" s="22">
        <f>IF(Y316="","",IFERROR(IF(ISNUMBER(INDEX($A316:$T316,MATCH(Lists!$F$3,$A$1:$T$1,0))),INDEX($A316:$T316,MATCH(Lists!$F$3,$A$1:$T$1,0)),DATE(VALUE(LEFT(IFERROR(TRIM(INDEX($A316:$T316,MATCH(Lists!$F$3,$A$1:$T$1,0))&amp;""),""),4)),VALUE(MID(IFERROR(TRIM(INDEX($A316:$T316,MATCH(Lists!$F$3,$A$1:$T$1,0))&amp;""),""),6,2)),VALUE(MID(IFERROR(TRIM(INDEX($A316:$T316,MATCH(Lists!$F$3,$A$1:$T$1,0))&amp;""),""),9,2)))+TIME(VALUE(MID(IFERROR(TRIM(INDEX($A316:$T316,MATCH(Lists!$F$3,$A$1:$T$1,0))&amp;""),""),12,2)),VALUE(MID(IFERROR(TRIM(INDEX($A316:$T316,MATCH(Lists!$F$3,$A$1:$T$1,0))&amp;""),""),15,2)),VALUE(MID(IFERROR(TRIM(INDEX($A316:$T316,MATCH(Lists!$F$3,$A$1:$T$1,0))&amp;""),""),18,2)))),""))</f>
        <v/>
      </c>
      <c r="AA316" s="23">
        <f>IF(Y316="","",IF(ISNUMBER(IFERROR(IF(TRIM(INDEX($A316:$T316,MATCH(Lists!$F$4,$A$1:$T$1,0))&amp;"")="","",IF(ISNUMBER(INDEX($A316:$T316,MATCH(Lists!$F$4,$A$1:$T$1,0))),INT(INDEX($A316:$T316,MATCH(Lists!$F$4,$A$1:$T$1,0))),DATE(VALUE(LEFT(INDEX($A316:$T316,MATCH(Lists!$F$4,$A$1:$T$1,0)),4)),VALUE(MID(INDEX($A316:$T316,MATCH(Lists!$F$4,$A$1:$T$1,0)),6,2)),VALUE(MID(INDEX($A316:$T316,MATCH(Lists!$F$4,$A$1:$T$1,0)),9,2))))),"")),IFERROR(IF(TRIM(INDEX($A316:$T316,MATCH(Lists!$F$4,$A$1:$T$1,0))&amp;"")="","",IF(ISNUMBER(INDEX($A316:$T316,MATCH(Lists!$F$4,$A$1:$T$1,0))),INT(INDEX($A316:$T316,MATCH(Lists!$F$4,$A$1:$T$1,0))),DATE(VALUE(LEFT(INDEX($A316:$T316,MATCH(Lists!$F$4,$A$1:$T$1,0)),4)),VALUE(MID(INDEX($A316:$T316,MATCH(Lists!$F$4,$A$1:$T$1,0)),6,2)),VALUE(MID(INDEX($A316:$T316,MATCH(Lists!$F$4,$A$1:$T$1,0)),9,2))))),""),IFERROR(IF(TRIM(INDEX($A316:$T316,MATCH(Lists!$F$5,$A$1:$T$1,0))&amp;"")="","",IF(ISNUMBER(INDEX($A316:$T316,MATCH(Lists!$F$5,$A$1:$T$1,0))),INT(INDEX($A316:$T316,MATCH(Lists!$F$5,$A$1:$T$1,0))),DATE(VALUE(LEFT(INDEX($A316:$T316,MATCH(Lists!$F$5,$A$1:$T$1,0)),4)),VALUE(MID(INDEX($A316:$T316,MATCH(Lists!$F$5,$A$1:$T$1,0)),6,2)),VALUE(MID(INDEX($A316:$T316,MATCH(Lists!$F$5,$A$1:$T$1,0)),9,2))))),"")))</f>
        <v/>
      </c>
      <c r="AB316" s="21">
        <f>IF(Y316="","",IF(LEFT(IFERROR(TRIM(INDEX($A316:$T316,MATCH(Lists!$F$6,$A$1:$T$1,0))&amp;""),""),2)="No","General comment",IF(IFERROR(TRIM(INDEX($A316:$T316,MATCH(Lists!$F$7,$A$1:$T$1,0))&amp;""),"")&lt;&gt;"",IFERROR(TRIM(INDEX($A316:$T316,MATCH(Lists!$F$7,$A$1:$T$1,0))&amp;""),""),IF(IFERROR(TRIM(INDEX($A316:$T316,MATCH(Lists!$F$8,$A$1:$T$1,0))&amp;""),"")&lt;&gt;"",IFERROR(TRIM(INDEX($A316:$T316,MATCH(Lists!$F$8,$A$1:$T$1,0))&amp;""),""),"(no item given)"))))</f>
        <v/>
      </c>
      <c r="AC316" s="21">
        <f>IF(Y316="","",IF(ISNUMBER(SEARCH("support",IFERROR(TRIM(INDEX($A316:$T316,MATCH(Lists!$F$9,$A$1:$T$1,0))&amp;""),""))),"Support",IF(ISNUMBER(SEARCH("oppose",IFERROR(TRIM(INDEX($A316:$T316,MATCH(Lists!$F$9,$A$1:$T$1,0))&amp;""),""))),"Oppose",IF(IFERROR(TRIM(INDEX($A316:$T316,MATCH(Lists!$F$9,$A$1:$T$1,0))&amp;""),"")="","No position","Neither"))))</f>
        <v/>
      </c>
      <c r="AD316" s="21">
        <f>IF(Y316="","",IF(ISNUMBER(SEARCH("in person",IFERROR(TRIM(INDEX($A316:$T316,MATCH(Lists!$F$13,$A$1:$T$1,0))&amp;""),""))),"In person",IF(ISNUMBER(SEARCH("online",IFERROR(TRIM(INDEX($A316:$T316,MATCH(Lists!$F$13,$A$1:$T$1,0))&amp;""),""))),"Online","Written only")))</f>
        <v/>
      </c>
      <c r="AE316" s="21">
        <f>IF(Y316="","",IFERROR(TRIM(INDEX($A316:$T316,MATCH(Lists!$F$11,$A$1:$T$1,0))&amp;""),""))</f>
        <v/>
      </c>
      <c r="AF316" s="21">
        <f>IF(Y316="","",IFERROR(TRIM(INDEX($A316:$T316,MATCH(Lists!$F$12,$A$1:$T$1,0))&amp;""),""))</f>
        <v/>
      </c>
      <c r="AG316" s="21">
        <f>IF(Y316="","",IFERROR(TRIM(INDEX($A316:$T316,MATCH(Lists!$F$14,$A$1:$T$1,0))&amp;""),""))</f>
        <v/>
      </c>
      <c r="AH316" s="21">
        <f>IF(Y316="","",LEFT(IFERROR(TRIM(INDEX($A316:$T316,MATCH(Lists!$F$10,$A$1:$T$1,0))&amp;""),""),80))</f>
        <v/>
      </c>
      <c r="AI316" s="21">
        <f>IF(Y316="",0,IF(OR(Tally!$B$5="",AA316=Tally!$B$5),1,0))</f>
        <v/>
      </c>
      <c r="AJ316" s="21">
        <f>IF(AI316=1,IF(COUNTIFS($AB$2:AB316,AB316,$AI$2:AI316,1)=1,1,0),0)</f>
        <v/>
      </c>
      <c r="AK316" s="21">
        <f>IF(AJ316=1,SUM($AJ$2:AJ316),"")</f>
        <v/>
      </c>
      <c r="AL316" s="21">
        <f>IF(AND(AI316=1,OR(AD316="In person",AD316="Online"),OR(Speakers!$B$5="",AB316=Speakers!$B$5)),N(Z316)+ROW()/1000000000,"")</f>
        <v/>
      </c>
    </row>
    <row r="317">
      <c r="U317" s="19" t="n"/>
      <c r="V317" s="24" t="n"/>
      <c r="W317" s="24" t="n"/>
      <c r="X317" s="19" t="n"/>
      <c r="Y317" s="21">
        <f>IFERROR(TRIM(INDEX($A317:$T317,MATCH(Lists!$F$2,$A$1:$T$1,0))&amp;""),"")</f>
        <v/>
      </c>
      <c r="Z317" s="22">
        <f>IF(Y317="","",IFERROR(IF(ISNUMBER(INDEX($A317:$T317,MATCH(Lists!$F$3,$A$1:$T$1,0))),INDEX($A317:$T317,MATCH(Lists!$F$3,$A$1:$T$1,0)),DATE(VALUE(LEFT(IFERROR(TRIM(INDEX($A317:$T317,MATCH(Lists!$F$3,$A$1:$T$1,0))&amp;""),""),4)),VALUE(MID(IFERROR(TRIM(INDEX($A317:$T317,MATCH(Lists!$F$3,$A$1:$T$1,0))&amp;""),""),6,2)),VALUE(MID(IFERROR(TRIM(INDEX($A317:$T317,MATCH(Lists!$F$3,$A$1:$T$1,0))&amp;""),""),9,2)))+TIME(VALUE(MID(IFERROR(TRIM(INDEX($A317:$T317,MATCH(Lists!$F$3,$A$1:$T$1,0))&amp;""),""),12,2)),VALUE(MID(IFERROR(TRIM(INDEX($A317:$T317,MATCH(Lists!$F$3,$A$1:$T$1,0))&amp;""),""),15,2)),VALUE(MID(IFERROR(TRIM(INDEX($A317:$T317,MATCH(Lists!$F$3,$A$1:$T$1,0))&amp;""),""),18,2)))),""))</f>
        <v/>
      </c>
      <c r="AA317" s="23">
        <f>IF(Y317="","",IF(ISNUMBER(IFERROR(IF(TRIM(INDEX($A317:$T317,MATCH(Lists!$F$4,$A$1:$T$1,0))&amp;"")="","",IF(ISNUMBER(INDEX($A317:$T317,MATCH(Lists!$F$4,$A$1:$T$1,0))),INT(INDEX($A317:$T317,MATCH(Lists!$F$4,$A$1:$T$1,0))),DATE(VALUE(LEFT(INDEX($A317:$T317,MATCH(Lists!$F$4,$A$1:$T$1,0)),4)),VALUE(MID(INDEX($A317:$T317,MATCH(Lists!$F$4,$A$1:$T$1,0)),6,2)),VALUE(MID(INDEX($A317:$T317,MATCH(Lists!$F$4,$A$1:$T$1,0)),9,2))))),"")),IFERROR(IF(TRIM(INDEX($A317:$T317,MATCH(Lists!$F$4,$A$1:$T$1,0))&amp;"")="","",IF(ISNUMBER(INDEX($A317:$T317,MATCH(Lists!$F$4,$A$1:$T$1,0))),INT(INDEX($A317:$T317,MATCH(Lists!$F$4,$A$1:$T$1,0))),DATE(VALUE(LEFT(INDEX($A317:$T317,MATCH(Lists!$F$4,$A$1:$T$1,0)),4)),VALUE(MID(INDEX($A317:$T317,MATCH(Lists!$F$4,$A$1:$T$1,0)),6,2)),VALUE(MID(INDEX($A317:$T317,MATCH(Lists!$F$4,$A$1:$T$1,0)),9,2))))),""),IFERROR(IF(TRIM(INDEX($A317:$T317,MATCH(Lists!$F$5,$A$1:$T$1,0))&amp;"")="","",IF(ISNUMBER(INDEX($A317:$T317,MATCH(Lists!$F$5,$A$1:$T$1,0))),INT(INDEX($A317:$T317,MATCH(Lists!$F$5,$A$1:$T$1,0))),DATE(VALUE(LEFT(INDEX($A317:$T317,MATCH(Lists!$F$5,$A$1:$T$1,0)),4)),VALUE(MID(INDEX($A317:$T317,MATCH(Lists!$F$5,$A$1:$T$1,0)),6,2)),VALUE(MID(INDEX($A317:$T317,MATCH(Lists!$F$5,$A$1:$T$1,0)),9,2))))),"")))</f>
        <v/>
      </c>
      <c r="AB317" s="21">
        <f>IF(Y317="","",IF(LEFT(IFERROR(TRIM(INDEX($A317:$T317,MATCH(Lists!$F$6,$A$1:$T$1,0))&amp;""),""),2)="No","General comment",IF(IFERROR(TRIM(INDEX($A317:$T317,MATCH(Lists!$F$7,$A$1:$T$1,0))&amp;""),"")&lt;&gt;"",IFERROR(TRIM(INDEX($A317:$T317,MATCH(Lists!$F$7,$A$1:$T$1,0))&amp;""),""),IF(IFERROR(TRIM(INDEX($A317:$T317,MATCH(Lists!$F$8,$A$1:$T$1,0))&amp;""),"")&lt;&gt;"",IFERROR(TRIM(INDEX($A317:$T317,MATCH(Lists!$F$8,$A$1:$T$1,0))&amp;""),""),"(no item given)"))))</f>
        <v/>
      </c>
      <c r="AC317" s="21">
        <f>IF(Y317="","",IF(ISNUMBER(SEARCH("support",IFERROR(TRIM(INDEX($A317:$T317,MATCH(Lists!$F$9,$A$1:$T$1,0))&amp;""),""))),"Support",IF(ISNUMBER(SEARCH("oppose",IFERROR(TRIM(INDEX($A317:$T317,MATCH(Lists!$F$9,$A$1:$T$1,0))&amp;""),""))),"Oppose",IF(IFERROR(TRIM(INDEX($A317:$T317,MATCH(Lists!$F$9,$A$1:$T$1,0))&amp;""),"")="","No position","Neither"))))</f>
        <v/>
      </c>
      <c r="AD317" s="21">
        <f>IF(Y317="","",IF(ISNUMBER(SEARCH("in person",IFERROR(TRIM(INDEX($A317:$T317,MATCH(Lists!$F$13,$A$1:$T$1,0))&amp;""),""))),"In person",IF(ISNUMBER(SEARCH("online",IFERROR(TRIM(INDEX($A317:$T317,MATCH(Lists!$F$13,$A$1:$T$1,0))&amp;""),""))),"Online","Written only")))</f>
        <v/>
      </c>
      <c r="AE317" s="21">
        <f>IF(Y317="","",IFERROR(TRIM(INDEX($A317:$T317,MATCH(Lists!$F$11,$A$1:$T$1,0))&amp;""),""))</f>
        <v/>
      </c>
      <c r="AF317" s="21">
        <f>IF(Y317="","",IFERROR(TRIM(INDEX($A317:$T317,MATCH(Lists!$F$12,$A$1:$T$1,0))&amp;""),""))</f>
        <v/>
      </c>
      <c r="AG317" s="21">
        <f>IF(Y317="","",IFERROR(TRIM(INDEX($A317:$T317,MATCH(Lists!$F$14,$A$1:$T$1,0))&amp;""),""))</f>
        <v/>
      </c>
      <c r="AH317" s="21">
        <f>IF(Y317="","",LEFT(IFERROR(TRIM(INDEX($A317:$T317,MATCH(Lists!$F$10,$A$1:$T$1,0))&amp;""),""),80))</f>
        <v/>
      </c>
      <c r="AI317" s="21">
        <f>IF(Y317="",0,IF(OR(Tally!$B$5="",AA317=Tally!$B$5),1,0))</f>
        <v/>
      </c>
      <c r="AJ317" s="21">
        <f>IF(AI317=1,IF(COUNTIFS($AB$2:AB317,AB317,$AI$2:AI317,1)=1,1,0),0)</f>
        <v/>
      </c>
      <c r="AK317" s="21">
        <f>IF(AJ317=1,SUM($AJ$2:AJ317),"")</f>
        <v/>
      </c>
      <c r="AL317" s="21">
        <f>IF(AND(AI317=1,OR(AD317="In person",AD317="Online"),OR(Speakers!$B$5="",AB317=Speakers!$B$5)),N(Z317)+ROW()/1000000000,"")</f>
        <v/>
      </c>
    </row>
    <row r="318">
      <c r="U318" s="19" t="n"/>
      <c r="V318" s="24" t="n"/>
      <c r="W318" s="24" t="n"/>
      <c r="X318" s="19" t="n"/>
      <c r="Y318" s="21">
        <f>IFERROR(TRIM(INDEX($A318:$T318,MATCH(Lists!$F$2,$A$1:$T$1,0))&amp;""),"")</f>
        <v/>
      </c>
      <c r="Z318" s="22">
        <f>IF(Y318="","",IFERROR(IF(ISNUMBER(INDEX($A318:$T318,MATCH(Lists!$F$3,$A$1:$T$1,0))),INDEX($A318:$T318,MATCH(Lists!$F$3,$A$1:$T$1,0)),DATE(VALUE(LEFT(IFERROR(TRIM(INDEX($A318:$T318,MATCH(Lists!$F$3,$A$1:$T$1,0))&amp;""),""),4)),VALUE(MID(IFERROR(TRIM(INDEX($A318:$T318,MATCH(Lists!$F$3,$A$1:$T$1,0))&amp;""),""),6,2)),VALUE(MID(IFERROR(TRIM(INDEX($A318:$T318,MATCH(Lists!$F$3,$A$1:$T$1,0))&amp;""),""),9,2)))+TIME(VALUE(MID(IFERROR(TRIM(INDEX($A318:$T318,MATCH(Lists!$F$3,$A$1:$T$1,0))&amp;""),""),12,2)),VALUE(MID(IFERROR(TRIM(INDEX($A318:$T318,MATCH(Lists!$F$3,$A$1:$T$1,0))&amp;""),""),15,2)),VALUE(MID(IFERROR(TRIM(INDEX($A318:$T318,MATCH(Lists!$F$3,$A$1:$T$1,0))&amp;""),""),18,2)))),""))</f>
        <v/>
      </c>
      <c r="AA318" s="23">
        <f>IF(Y318="","",IF(ISNUMBER(IFERROR(IF(TRIM(INDEX($A318:$T318,MATCH(Lists!$F$4,$A$1:$T$1,0))&amp;"")="","",IF(ISNUMBER(INDEX($A318:$T318,MATCH(Lists!$F$4,$A$1:$T$1,0))),INT(INDEX($A318:$T318,MATCH(Lists!$F$4,$A$1:$T$1,0))),DATE(VALUE(LEFT(INDEX($A318:$T318,MATCH(Lists!$F$4,$A$1:$T$1,0)),4)),VALUE(MID(INDEX($A318:$T318,MATCH(Lists!$F$4,$A$1:$T$1,0)),6,2)),VALUE(MID(INDEX($A318:$T318,MATCH(Lists!$F$4,$A$1:$T$1,0)),9,2))))),"")),IFERROR(IF(TRIM(INDEX($A318:$T318,MATCH(Lists!$F$4,$A$1:$T$1,0))&amp;"")="","",IF(ISNUMBER(INDEX($A318:$T318,MATCH(Lists!$F$4,$A$1:$T$1,0))),INT(INDEX($A318:$T318,MATCH(Lists!$F$4,$A$1:$T$1,0))),DATE(VALUE(LEFT(INDEX($A318:$T318,MATCH(Lists!$F$4,$A$1:$T$1,0)),4)),VALUE(MID(INDEX($A318:$T318,MATCH(Lists!$F$4,$A$1:$T$1,0)),6,2)),VALUE(MID(INDEX($A318:$T318,MATCH(Lists!$F$4,$A$1:$T$1,0)),9,2))))),""),IFERROR(IF(TRIM(INDEX($A318:$T318,MATCH(Lists!$F$5,$A$1:$T$1,0))&amp;"")="","",IF(ISNUMBER(INDEX($A318:$T318,MATCH(Lists!$F$5,$A$1:$T$1,0))),INT(INDEX($A318:$T318,MATCH(Lists!$F$5,$A$1:$T$1,0))),DATE(VALUE(LEFT(INDEX($A318:$T318,MATCH(Lists!$F$5,$A$1:$T$1,0)),4)),VALUE(MID(INDEX($A318:$T318,MATCH(Lists!$F$5,$A$1:$T$1,0)),6,2)),VALUE(MID(INDEX($A318:$T318,MATCH(Lists!$F$5,$A$1:$T$1,0)),9,2))))),"")))</f>
        <v/>
      </c>
      <c r="AB318" s="21">
        <f>IF(Y318="","",IF(LEFT(IFERROR(TRIM(INDEX($A318:$T318,MATCH(Lists!$F$6,$A$1:$T$1,0))&amp;""),""),2)="No","General comment",IF(IFERROR(TRIM(INDEX($A318:$T318,MATCH(Lists!$F$7,$A$1:$T$1,0))&amp;""),"")&lt;&gt;"",IFERROR(TRIM(INDEX($A318:$T318,MATCH(Lists!$F$7,$A$1:$T$1,0))&amp;""),""),IF(IFERROR(TRIM(INDEX($A318:$T318,MATCH(Lists!$F$8,$A$1:$T$1,0))&amp;""),"")&lt;&gt;"",IFERROR(TRIM(INDEX($A318:$T318,MATCH(Lists!$F$8,$A$1:$T$1,0))&amp;""),""),"(no item given)"))))</f>
        <v/>
      </c>
      <c r="AC318" s="21">
        <f>IF(Y318="","",IF(ISNUMBER(SEARCH("support",IFERROR(TRIM(INDEX($A318:$T318,MATCH(Lists!$F$9,$A$1:$T$1,0))&amp;""),""))),"Support",IF(ISNUMBER(SEARCH("oppose",IFERROR(TRIM(INDEX($A318:$T318,MATCH(Lists!$F$9,$A$1:$T$1,0))&amp;""),""))),"Oppose",IF(IFERROR(TRIM(INDEX($A318:$T318,MATCH(Lists!$F$9,$A$1:$T$1,0))&amp;""),"")="","No position","Neither"))))</f>
        <v/>
      </c>
      <c r="AD318" s="21">
        <f>IF(Y318="","",IF(ISNUMBER(SEARCH("in person",IFERROR(TRIM(INDEX($A318:$T318,MATCH(Lists!$F$13,$A$1:$T$1,0))&amp;""),""))),"In person",IF(ISNUMBER(SEARCH("online",IFERROR(TRIM(INDEX($A318:$T318,MATCH(Lists!$F$13,$A$1:$T$1,0))&amp;""),""))),"Online","Written only")))</f>
        <v/>
      </c>
      <c r="AE318" s="21">
        <f>IF(Y318="","",IFERROR(TRIM(INDEX($A318:$T318,MATCH(Lists!$F$11,$A$1:$T$1,0))&amp;""),""))</f>
        <v/>
      </c>
      <c r="AF318" s="21">
        <f>IF(Y318="","",IFERROR(TRIM(INDEX($A318:$T318,MATCH(Lists!$F$12,$A$1:$T$1,0))&amp;""),""))</f>
        <v/>
      </c>
      <c r="AG318" s="21">
        <f>IF(Y318="","",IFERROR(TRIM(INDEX($A318:$T318,MATCH(Lists!$F$14,$A$1:$T$1,0))&amp;""),""))</f>
        <v/>
      </c>
      <c r="AH318" s="21">
        <f>IF(Y318="","",LEFT(IFERROR(TRIM(INDEX($A318:$T318,MATCH(Lists!$F$10,$A$1:$T$1,0))&amp;""),""),80))</f>
        <v/>
      </c>
      <c r="AI318" s="21">
        <f>IF(Y318="",0,IF(OR(Tally!$B$5="",AA318=Tally!$B$5),1,0))</f>
        <v/>
      </c>
      <c r="AJ318" s="21">
        <f>IF(AI318=1,IF(COUNTIFS($AB$2:AB318,AB318,$AI$2:AI318,1)=1,1,0),0)</f>
        <v/>
      </c>
      <c r="AK318" s="21">
        <f>IF(AJ318=1,SUM($AJ$2:AJ318),"")</f>
        <v/>
      </c>
      <c r="AL318" s="21">
        <f>IF(AND(AI318=1,OR(AD318="In person",AD318="Online"),OR(Speakers!$B$5="",AB318=Speakers!$B$5)),N(Z318)+ROW()/1000000000,"")</f>
        <v/>
      </c>
    </row>
    <row r="319">
      <c r="U319" s="19" t="n"/>
      <c r="V319" s="24" t="n"/>
      <c r="W319" s="24" t="n"/>
      <c r="X319" s="19" t="n"/>
      <c r="Y319" s="21">
        <f>IFERROR(TRIM(INDEX($A319:$T319,MATCH(Lists!$F$2,$A$1:$T$1,0))&amp;""),"")</f>
        <v/>
      </c>
      <c r="Z319" s="22">
        <f>IF(Y319="","",IFERROR(IF(ISNUMBER(INDEX($A319:$T319,MATCH(Lists!$F$3,$A$1:$T$1,0))),INDEX($A319:$T319,MATCH(Lists!$F$3,$A$1:$T$1,0)),DATE(VALUE(LEFT(IFERROR(TRIM(INDEX($A319:$T319,MATCH(Lists!$F$3,$A$1:$T$1,0))&amp;""),""),4)),VALUE(MID(IFERROR(TRIM(INDEX($A319:$T319,MATCH(Lists!$F$3,$A$1:$T$1,0))&amp;""),""),6,2)),VALUE(MID(IFERROR(TRIM(INDEX($A319:$T319,MATCH(Lists!$F$3,$A$1:$T$1,0))&amp;""),""),9,2)))+TIME(VALUE(MID(IFERROR(TRIM(INDEX($A319:$T319,MATCH(Lists!$F$3,$A$1:$T$1,0))&amp;""),""),12,2)),VALUE(MID(IFERROR(TRIM(INDEX($A319:$T319,MATCH(Lists!$F$3,$A$1:$T$1,0))&amp;""),""),15,2)),VALUE(MID(IFERROR(TRIM(INDEX($A319:$T319,MATCH(Lists!$F$3,$A$1:$T$1,0))&amp;""),""),18,2)))),""))</f>
        <v/>
      </c>
      <c r="AA319" s="23">
        <f>IF(Y319="","",IF(ISNUMBER(IFERROR(IF(TRIM(INDEX($A319:$T319,MATCH(Lists!$F$4,$A$1:$T$1,0))&amp;"")="","",IF(ISNUMBER(INDEX($A319:$T319,MATCH(Lists!$F$4,$A$1:$T$1,0))),INT(INDEX($A319:$T319,MATCH(Lists!$F$4,$A$1:$T$1,0))),DATE(VALUE(LEFT(INDEX($A319:$T319,MATCH(Lists!$F$4,$A$1:$T$1,0)),4)),VALUE(MID(INDEX($A319:$T319,MATCH(Lists!$F$4,$A$1:$T$1,0)),6,2)),VALUE(MID(INDEX($A319:$T319,MATCH(Lists!$F$4,$A$1:$T$1,0)),9,2))))),"")),IFERROR(IF(TRIM(INDEX($A319:$T319,MATCH(Lists!$F$4,$A$1:$T$1,0))&amp;"")="","",IF(ISNUMBER(INDEX($A319:$T319,MATCH(Lists!$F$4,$A$1:$T$1,0))),INT(INDEX($A319:$T319,MATCH(Lists!$F$4,$A$1:$T$1,0))),DATE(VALUE(LEFT(INDEX($A319:$T319,MATCH(Lists!$F$4,$A$1:$T$1,0)),4)),VALUE(MID(INDEX($A319:$T319,MATCH(Lists!$F$4,$A$1:$T$1,0)),6,2)),VALUE(MID(INDEX($A319:$T319,MATCH(Lists!$F$4,$A$1:$T$1,0)),9,2))))),""),IFERROR(IF(TRIM(INDEX($A319:$T319,MATCH(Lists!$F$5,$A$1:$T$1,0))&amp;"")="","",IF(ISNUMBER(INDEX($A319:$T319,MATCH(Lists!$F$5,$A$1:$T$1,0))),INT(INDEX($A319:$T319,MATCH(Lists!$F$5,$A$1:$T$1,0))),DATE(VALUE(LEFT(INDEX($A319:$T319,MATCH(Lists!$F$5,$A$1:$T$1,0)),4)),VALUE(MID(INDEX($A319:$T319,MATCH(Lists!$F$5,$A$1:$T$1,0)),6,2)),VALUE(MID(INDEX($A319:$T319,MATCH(Lists!$F$5,$A$1:$T$1,0)),9,2))))),"")))</f>
        <v/>
      </c>
      <c r="AB319" s="21">
        <f>IF(Y319="","",IF(LEFT(IFERROR(TRIM(INDEX($A319:$T319,MATCH(Lists!$F$6,$A$1:$T$1,0))&amp;""),""),2)="No","General comment",IF(IFERROR(TRIM(INDEX($A319:$T319,MATCH(Lists!$F$7,$A$1:$T$1,0))&amp;""),"")&lt;&gt;"",IFERROR(TRIM(INDEX($A319:$T319,MATCH(Lists!$F$7,$A$1:$T$1,0))&amp;""),""),IF(IFERROR(TRIM(INDEX($A319:$T319,MATCH(Lists!$F$8,$A$1:$T$1,0))&amp;""),"")&lt;&gt;"",IFERROR(TRIM(INDEX($A319:$T319,MATCH(Lists!$F$8,$A$1:$T$1,0))&amp;""),""),"(no item given)"))))</f>
        <v/>
      </c>
      <c r="AC319" s="21">
        <f>IF(Y319="","",IF(ISNUMBER(SEARCH("support",IFERROR(TRIM(INDEX($A319:$T319,MATCH(Lists!$F$9,$A$1:$T$1,0))&amp;""),""))),"Support",IF(ISNUMBER(SEARCH("oppose",IFERROR(TRIM(INDEX($A319:$T319,MATCH(Lists!$F$9,$A$1:$T$1,0))&amp;""),""))),"Oppose",IF(IFERROR(TRIM(INDEX($A319:$T319,MATCH(Lists!$F$9,$A$1:$T$1,0))&amp;""),"")="","No position","Neither"))))</f>
        <v/>
      </c>
      <c r="AD319" s="21">
        <f>IF(Y319="","",IF(ISNUMBER(SEARCH("in person",IFERROR(TRIM(INDEX($A319:$T319,MATCH(Lists!$F$13,$A$1:$T$1,0))&amp;""),""))),"In person",IF(ISNUMBER(SEARCH("online",IFERROR(TRIM(INDEX($A319:$T319,MATCH(Lists!$F$13,$A$1:$T$1,0))&amp;""),""))),"Online","Written only")))</f>
        <v/>
      </c>
      <c r="AE319" s="21">
        <f>IF(Y319="","",IFERROR(TRIM(INDEX($A319:$T319,MATCH(Lists!$F$11,$A$1:$T$1,0))&amp;""),""))</f>
        <v/>
      </c>
      <c r="AF319" s="21">
        <f>IF(Y319="","",IFERROR(TRIM(INDEX($A319:$T319,MATCH(Lists!$F$12,$A$1:$T$1,0))&amp;""),""))</f>
        <v/>
      </c>
      <c r="AG319" s="21">
        <f>IF(Y319="","",IFERROR(TRIM(INDEX($A319:$T319,MATCH(Lists!$F$14,$A$1:$T$1,0))&amp;""),""))</f>
        <v/>
      </c>
      <c r="AH319" s="21">
        <f>IF(Y319="","",LEFT(IFERROR(TRIM(INDEX($A319:$T319,MATCH(Lists!$F$10,$A$1:$T$1,0))&amp;""),""),80))</f>
        <v/>
      </c>
      <c r="AI319" s="21">
        <f>IF(Y319="",0,IF(OR(Tally!$B$5="",AA319=Tally!$B$5),1,0))</f>
        <v/>
      </c>
      <c r="AJ319" s="21">
        <f>IF(AI319=1,IF(COUNTIFS($AB$2:AB319,AB319,$AI$2:AI319,1)=1,1,0),0)</f>
        <v/>
      </c>
      <c r="AK319" s="21">
        <f>IF(AJ319=1,SUM($AJ$2:AJ319),"")</f>
        <v/>
      </c>
      <c r="AL319" s="21">
        <f>IF(AND(AI319=1,OR(AD319="In person",AD319="Online"),OR(Speakers!$B$5="",AB319=Speakers!$B$5)),N(Z319)+ROW()/1000000000,"")</f>
        <v/>
      </c>
    </row>
    <row r="320">
      <c r="U320" s="19" t="n"/>
      <c r="V320" s="24" t="n"/>
      <c r="W320" s="24" t="n"/>
      <c r="X320" s="19" t="n"/>
      <c r="Y320" s="21">
        <f>IFERROR(TRIM(INDEX($A320:$T320,MATCH(Lists!$F$2,$A$1:$T$1,0))&amp;""),"")</f>
        <v/>
      </c>
      <c r="Z320" s="22">
        <f>IF(Y320="","",IFERROR(IF(ISNUMBER(INDEX($A320:$T320,MATCH(Lists!$F$3,$A$1:$T$1,0))),INDEX($A320:$T320,MATCH(Lists!$F$3,$A$1:$T$1,0)),DATE(VALUE(LEFT(IFERROR(TRIM(INDEX($A320:$T320,MATCH(Lists!$F$3,$A$1:$T$1,0))&amp;""),""),4)),VALUE(MID(IFERROR(TRIM(INDEX($A320:$T320,MATCH(Lists!$F$3,$A$1:$T$1,0))&amp;""),""),6,2)),VALUE(MID(IFERROR(TRIM(INDEX($A320:$T320,MATCH(Lists!$F$3,$A$1:$T$1,0))&amp;""),""),9,2)))+TIME(VALUE(MID(IFERROR(TRIM(INDEX($A320:$T320,MATCH(Lists!$F$3,$A$1:$T$1,0))&amp;""),""),12,2)),VALUE(MID(IFERROR(TRIM(INDEX($A320:$T320,MATCH(Lists!$F$3,$A$1:$T$1,0))&amp;""),""),15,2)),VALUE(MID(IFERROR(TRIM(INDEX($A320:$T320,MATCH(Lists!$F$3,$A$1:$T$1,0))&amp;""),""),18,2)))),""))</f>
        <v/>
      </c>
      <c r="AA320" s="23">
        <f>IF(Y320="","",IF(ISNUMBER(IFERROR(IF(TRIM(INDEX($A320:$T320,MATCH(Lists!$F$4,$A$1:$T$1,0))&amp;"")="","",IF(ISNUMBER(INDEX($A320:$T320,MATCH(Lists!$F$4,$A$1:$T$1,0))),INT(INDEX($A320:$T320,MATCH(Lists!$F$4,$A$1:$T$1,0))),DATE(VALUE(LEFT(INDEX($A320:$T320,MATCH(Lists!$F$4,$A$1:$T$1,0)),4)),VALUE(MID(INDEX($A320:$T320,MATCH(Lists!$F$4,$A$1:$T$1,0)),6,2)),VALUE(MID(INDEX($A320:$T320,MATCH(Lists!$F$4,$A$1:$T$1,0)),9,2))))),"")),IFERROR(IF(TRIM(INDEX($A320:$T320,MATCH(Lists!$F$4,$A$1:$T$1,0))&amp;"")="","",IF(ISNUMBER(INDEX($A320:$T320,MATCH(Lists!$F$4,$A$1:$T$1,0))),INT(INDEX($A320:$T320,MATCH(Lists!$F$4,$A$1:$T$1,0))),DATE(VALUE(LEFT(INDEX($A320:$T320,MATCH(Lists!$F$4,$A$1:$T$1,0)),4)),VALUE(MID(INDEX($A320:$T320,MATCH(Lists!$F$4,$A$1:$T$1,0)),6,2)),VALUE(MID(INDEX($A320:$T320,MATCH(Lists!$F$4,$A$1:$T$1,0)),9,2))))),""),IFERROR(IF(TRIM(INDEX($A320:$T320,MATCH(Lists!$F$5,$A$1:$T$1,0))&amp;"")="","",IF(ISNUMBER(INDEX($A320:$T320,MATCH(Lists!$F$5,$A$1:$T$1,0))),INT(INDEX($A320:$T320,MATCH(Lists!$F$5,$A$1:$T$1,0))),DATE(VALUE(LEFT(INDEX($A320:$T320,MATCH(Lists!$F$5,$A$1:$T$1,0)),4)),VALUE(MID(INDEX($A320:$T320,MATCH(Lists!$F$5,$A$1:$T$1,0)),6,2)),VALUE(MID(INDEX($A320:$T320,MATCH(Lists!$F$5,$A$1:$T$1,0)),9,2))))),"")))</f>
        <v/>
      </c>
      <c r="AB320" s="21">
        <f>IF(Y320="","",IF(LEFT(IFERROR(TRIM(INDEX($A320:$T320,MATCH(Lists!$F$6,$A$1:$T$1,0))&amp;""),""),2)="No","General comment",IF(IFERROR(TRIM(INDEX($A320:$T320,MATCH(Lists!$F$7,$A$1:$T$1,0))&amp;""),"")&lt;&gt;"",IFERROR(TRIM(INDEX($A320:$T320,MATCH(Lists!$F$7,$A$1:$T$1,0))&amp;""),""),IF(IFERROR(TRIM(INDEX($A320:$T320,MATCH(Lists!$F$8,$A$1:$T$1,0))&amp;""),"")&lt;&gt;"",IFERROR(TRIM(INDEX($A320:$T320,MATCH(Lists!$F$8,$A$1:$T$1,0))&amp;""),""),"(no item given)"))))</f>
        <v/>
      </c>
      <c r="AC320" s="21">
        <f>IF(Y320="","",IF(ISNUMBER(SEARCH("support",IFERROR(TRIM(INDEX($A320:$T320,MATCH(Lists!$F$9,$A$1:$T$1,0))&amp;""),""))),"Support",IF(ISNUMBER(SEARCH("oppose",IFERROR(TRIM(INDEX($A320:$T320,MATCH(Lists!$F$9,$A$1:$T$1,0))&amp;""),""))),"Oppose",IF(IFERROR(TRIM(INDEX($A320:$T320,MATCH(Lists!$F$9,$A$1:$T$1,0))&amp;""),"")="","No position","Neither"))))</f>
        <v/>
      </c>
      <c r="AD320" s="21">
        <f>IF(Y320="","",IF(ISNUMBER(SEARCH("in person",IFERROR(TRIM(INDEX($A320:$T320,MATCH(Lists!$F$13,$A$1:$T$1,0))&amp;""),""))),"In person",IF(ISNUMBER(SEARCH("online",IFERROR(TRIM(INDEX($A320:$T320,MATCH(Lists!$F$13,$A$1:$T$1,0))&amp;""),""))),"Online","Written only")))</f>
        <v/>
      </c>
      <c r="AE320" s="21">
        <f>IF(Y320="","",IFERROR(TRIM(INDEX($A320:$T320,MATCH(Lists!$F$11,$A$1:$T$1,0))&amp;""),""))</f>
        <v/>
      </c>
      <c r="AF320" s="21">
        <f>IF(Y320="","",IFERROR(TRIM(INDEX($A320:$T320,MATCH(Lists!$F$12,$A$1:$T$1,0))&amp;""),""))</f>
        <v/>
      </c>
      <c r="AG320" s="21">
        <f>IF(Y320="","",IFERROR(TRIM(INDEX($A320:$T320,MATCH(Lists!$F$14,$A$1:$T$1,0))&amp;""),""))</f>
        <v/>
      </c>
      <c r="AH320" s="21">
        <f>IF(Y320="","",LEFT(IFERROR(TRIM(INDEX($A320:$T320,MATCH(Lists!$F$10,$A$1:$T$1,0))&amp;""),""),80))</f>
        <v/>
      </c>
      <c r="AI320" s="21">
        <f>IF(Y320="",0,IF(OR(Tally!$B$5="",AA320=Tally!$B$5),1,0))</f>
        <v/>
      </c>
      <c r="AJ320" s="21">
        <f>IF(AI320=1,IF(COUNTIFS($AB$2:AB320,AB320,$AI$2:AI320,1)=1,1,0),0)</f>
        <v/>
      </c>
      <c r="AK320" s="21">
        <f>IF(AJ320=1,SUM($AJ$2:AJ320),"")</f>
        <v/>
      </c>
      <c r="AL320" s="21">
        <f>IF(AND(AI320=1,OR(AD320="In person",AD320="Online"),OR(Speakers!$B$5="",AB320=Speakers!$B$5)),N(Z320)+ROW()/1000000000,"")</f>
        <v/>
      </c>
    </row>
    <row r="321">
      <c r="U321" s="19" t="n"/>
      <c r="V321" s="24" t="n"/>
      <c r="W321" s="24" t="n"/>
      <c r="X321" s="19" t="n"/>
      <c r="Y321" s="21">
        <f>IFERROR(TRIM(INDEX($A321:$T321,MATCH(Lists!$F$2,$A$1:$T$1,0))&amp;""),"")</f>
        <v/>
      </c>
      <c r="Z321" s="22">
        <f>IF(Y321="","",IFERROR(IF(ISNUMBER(INDEX($A321:$T321,MATCH(Lists!$F$3,$A$1:$T$1,0))),INDEX($A321:$T321,MATCH(Lists!$F$3,$A$1:$T$1,0)),DATE(VALUE(LEFT(IFERROR(TRIM(INDEX($A321:$T321,MATCH(Lists!$F$3,$A$1:$T$1,0))&amp;""),""),4)),VALUE(MID(IFERROR(TRIM(INDEX($A321:$T321,MATCH(Lists!$F$3,$A$1:$T$1,0))&amp;""),""),6,2)),VALUE(MID(IFERROR(TRIM(INDEX($A321:$T321,MATCH(Lists!$F$3,$A$1:$T$1,0))&amp;""),""),9,2)))+TIME(VALUE(MID(IFERROR(TRIM(INDEX($A321:$T321,MATCH(Lists!$F$3,$A$1:$T$1,0))&amp;""),""),12,2)),VALUE(MID(IFERROR(TRIM(INDEX($A321:$T321,MATCH(Lists!$F$3,$A$1:$T$1,0))&amp;""),""),15,2)),VALUE(MID(IFERROR(TRIM(INDEX($A321:$T321,MATCH(Lists!$F$3,$A$1:$T$1,0))&amp;""),""),18,2)))),""))</f>
        <v/>
      </c>
      <c r="AA321" s="23">
        <f>IF(Y321="","",IF(ISNUMBER(IFERROR(IF(TRIM(INDEX($A321:$T321,MATCH(Lists!$F$4,$A$1:$T$1,0))&amp;"")="","",IF(ISNUMBER(INDEX($A321:$T321,MATCH(Lists!$F$4,$A$1:$T$1,0))),INT(INDEX($A321:$T321,MATCH(Lists!$F$4,$A$1:$T$1,0))),DATE(VALUE(LEFT(INDEX($A321:$T321,MATCH(Lists!$F$4,$A$1:$T$1,0)),4)),VALUE(MID(INDEX($A321:$T321,MATCH(Lists!$F$4,$A$1:$T$1,0)),6,2)),VALUE(MID(INDEX($A321:$T321,MATCH(Lists!$F$4,$A$1:$T$1,0)),9,2))))),"")),IFERROR(IF(TRIM(INDEX($A321:$T321,MATCH(Lists!$F$4,$A$1:$T$1,0))&amp;"")="","",IF(ISNUMBER(INDEX($A321:$T321,MATCH(Lists!$F$4,$A$1:$T$1,0))),INT(INDEX($A321:$T321,MATCH(Lists!$F$4,$A$1:$T$1,0))),DATE(VALUE(LEFT(INDEX($A321:$T321,MATCH(Lists!$F$4,$A$1:$T$1,0)),4)),VALUE(MID(INDEX($A321:$T321,MATCH(Lists!$F$4,$A$1:$T$1,0)),6,2)),VALUE(MID(INDEX($A321:$T321,MATCH(Lists!$F$4,$A$1:$T$1,0)),9,2))))),""),IFERROR(IF(TRIM(INDEX($A321:$T321,MATCH(Lists!$F$5,$A$1:$T$1,0))&amp;"")="","",IF(ISNUMBER(INDEX($A321:$T321,MATCH(Lists!$F$5,$A$1:$T$1,0))),INT(INDEX($A321:$T321,MATCH(Lists!$F$5,$A$1:$T$1,0))),DATE(VALUE(LEFT(INDEX($A321:$T321,MATCH(Lists!$F$5,$A$1:$T$1,0)),4)),VALUE(MID(INDEX($A321:$T321,MATCH(Lists!$F$5,$A$1:$T$1,0)),6,2)),VALUE(MID(INDEX($A321:$T321,MATCH(Lists!$F$5,$A$1:$T$1,0)),9,2))))),"")))</f>
        <v/>
      </c>
      <c r="AB321" s="21">
        <f>IF(Y321="","",IF(LEFT(IFERROR(TRIM(INDEX($A321:$T321,MATCH(Lists!$F$6,$A$1:$T$1,0))&amp;""),""),2)="No","General comment",IF(IFERROR(TRIM(INDEX($A321:$T321,MATCH(Lists!$F$7,$A$1:$T$1,0))&amp;""),"")&lt;&gt;"",IFERROR(TRIM(INDEX($A321:$T321,MATCH(Lists!$F$7,$A$1:$T$1,0))&amp;""),""),IF(IFERROR(TRIM(INDEX($A321:$T321,MATCH(Lists!$F$8,$A$1:$T$1,0))&amp;""),"")&lt;&gt;"",IFERROR(TRIM(INDEX($A321:$T321,MATCH(Lists!$F$8,$A$1:$T$1,0))&amp;""),""),"(no item given)"))))</f>
        <v/>
      </c>
      <c r="AC321" s="21">
        <f>IF(Y321="","",IF(ISNUMBER(SEARCH("support",IFERROR(TRIM(INDEX($A321:$T321,MATCH(Lists!$F$9,$A$1:$T$1,0))&amp;""),""))),"Support",IF(ISNUMBER(SEARCH("oppose",IFERROR(TRIM(INDEX($A321:$T321,MATCH(Lists!$F$9,$A$1:$T$1,0))&amp;""),""))),"Oppose",IF(IFERROR(TRIM(INDEX($A321:$T321,MATCH(Lists!$F$9,$A$1:$T$1,0))&amp;""),"")="","No position","Neither"))))</f>
        <v/>
      </c>
      <c r="AD321" s="21">
        <f>IF(Y321="","",IF(ISNUMBER(SEARCH("in person",IFERROR(TRIM(INDEX($A321:$T321,MATCH(Lists!$F$13,$A$1:$T$1,0))&amp;""),""))),"In person",IF(ISNUMBER(SEARCH("online",IFERROR(TRIM(INDEX($A321:$T321,MATCH(Lists!$F$13,$A$1:$T$1,0))&amp;""),""))),"Online","Written only")))</f>
        <v/>
      </c>
      <c r="AE321" s="21">
        <f>IF(Y321="","",IFERROR(TRIM(INDEX($A321:$T321,MATCH(Lists!$F$11,$A$1:$T$1,0))&amp;""),""))</f>
        <v/>
      </c>
      <c r="AF321" s="21">
        <f>IF(Y321="","",IFERROR(TRIM(INDEX($A321:$T321,MATCH(Lists!$F$12,$A$1:$T$1,0))&amp;""),""))</f>
        <v/>
      </c>
      <c r="AG321" s="21">
        <f>IF(Y321="","",IFERROR(TRIM(INDEX($A321:$T321,MATCH(Lists!$F$14,$A$1:$T$1,0))&amp;""),""))</f>
        <v/>
      </c>
      <c r="AH321" s="21">
        <f>IF(Y321="","",LEFT(IFERROR(TRIM(INDEX($A321:$T321,MATCH(Lists!$F$10,$A$1:$T$1,0))&amp;""),""),80))</f>
        <v/>
      </c>
      <c r="AI321" s="21">
        <f>IF(Y321="",0,IF(OR(Tally!$B$5="",AA321=Tally!$B$5),1,0))</f>
        <v/>
      </c>
      <c r="AJ321" s="21">
        <f>IF(AI321=1,IF(COUNTIFS($AB$2:AB321,AB321,$AI$2:AI321,1)=1,1,0),0)</f>
        <v/>
      </c>
      <c r="AK321" s="21">
        <f>IF(AJ321=1,SUM($AJ$2:AJ321),"")</f>
        <v/>
      </c>
      <c r="AL321" s="21">
        <f>IF(AND(AI321=1,OR(AD321="In person",AD321="Online"),OR(Speakers!$B$5="",AB321=Speakers!$B$5)),N(Z321)+ROW()/1000000000,"")</f>
        <v/>
      </c>
    </row>
    <row r="322">
      <c r="U322" s="19" t="n"/>
      <c r="V322" s="24" t="n"/>
      <c r="W322" s="24" t="n"/>
      <c r="X322" s="19" t="n"/>
      <c r="Y322" s="21">
        <f>IFERROR(TRIM(INDEX($A322:$T322,MATCH(Lists!$F$2,$A$1:$T$1,0))&amp;""),"")</f>
        <v/>
      </c>
      <c r="Z322" s="22">
        <f>IF(Y322="","",IFERROR(IF(ISNUMBER(INDEX($A322:$T322,MATCH(Lists!$F$3,$A$1:$T$1,0))),INDEX($A322:$T322,MATCH(Lists!$F$3,$A$1:$T$1,0)),DATE(VALUE(LEFT(IFERROR(TRIM(INDEX($A322:$T322,MATCH(Lists!$F$3,$A$1:$T$1,0))&amp;""),""),4)),VALUE(MID(IFERROR(TRIM(INDEX($A322:$T322,MATCH(Lists!$F$3,$A$1:$T$1,0))&amp;""),""),6,2)),VALUE(MID(IFERROR(TRIM(INDEX($A322:$T322,MATCH(Lists!$F$3,$A$1:$T$1,0))&amp;""),""),9,2)))+TIME(VALUE(MID(IFERROR(TRIM(INDEX($A322:$T322,MATCH(Lists!$F$3,$A$1:$T$1,0))&amp;""),""),12,2)),VALUE(MID(IFERROR(TRIM(INDEX($A322:$T322,MATCH(Lists!$F$3,$A$1:$T$1,0))&amp;""),""),15,2)),VALUE(MID(IFERROR(TRIM(INDEX($A322:$T322,MATCH(Lists!$F$3,$A$1:$T$1,0))&amp;""),""),18,2)))),""))</f>
        <v/>
      </c>
      <c r="AA322" s="23">
        <f>IF(Y322="","",IF(ISNUMBER(IFERROR(IF(TRIM(INDEX($A322:$T322,MATCH(Lists!$F$4,$A$1:$T$1,0))&amp;"")="","",IF(ISNUMBER(INDEX($A322:$T322,MATCH(Lists!$F$4,$A$1:$T$1,0))),INT(INDEX($A322:$T322,MATCH(Lists!$F$4,$A$1:$T$1,0))),DATE(VALUE(LEFT(INDEX($A322:$T322,MATCH(Lists!$F$4,$A$1:$T$1,0)),4)),VALUE(MID(INDEX($A322:$T322,MATCH(Lists!$F$4,$A$1:$T$1,0)),6,2)),VALUE(MID(INDEX($A322:$T322,MATCH(Lists!$F$4,$A$1:$T$1,0)),9,2))))),"")),IFERROR(IF(TRIM(INDEX($A322:$T322,MATCH(Lists!$F$4,$A$1:$T$1,0))&amp;"")="","",IF(ISNUMBER(INDEX($A322:$T322,MATCH(Lists!$F$4,$A$1:$T$1,0))),INT(INDEX($A322:$T322,MATCH(Lists!$F$4,$A$1:$T$1,0))),DATE(VALUE(LEFT(INDEX($A322:$T322,MATCH(Lists!$F$4,$A$1:$T$1,0)),4)),VALUE(MID(INDEX($A322:$T322,MATCH(Lists!$F$4,$A$1:$T$1,0)),6,2)),VALUE(MID(INDEX($A322:$T322,MATCH(Lists!$F$4,$A$1:$T$1,0)),9,2))))),""),IFERROR(IF(TRIM(INDEX($A322:$T322,MATCH(Lists!$F$5,$A$1:$T$1,0))&amp;"")="","",IF(ISNUMBER(INDEX($A322:$T322,MATCH(Lists!$F$5,$A$1:$T$1,0))),INT(INDEX($A322:$T322,MATCH(Lists!$F$5,$A$1:$T$1,0))),DATE(VALUE(LEFT(INDEX($A322:$T322,MATCH(Lists!$F$5,$A$1:$T$1,0)),4)),VALUE(MID(INDEX($A322:$T322,MATCH(Lists!$F$5,$A$1:$T$1,0)),6,2)),VALUE(MID(INDEX($A322:$T322,MATCH(Lists!$F$5,$A$1:$T$1,0)),9,2))))),"")))</f>
        <v/>
      </c>
      <c r="AB322" s="21">
        <f>IF(Y322="","",IF(LEFT(IFERROR(TRIM(INDEX($A322:$T322,MATCH(Lists!$F$6,$A$1:$T$1,0))&amp;""),""),2)="No","General comment",IF(IFERROR(TRIM(INDEX($A322:$T322,MATCH(Lists!$F$7,$A$1:$T$1,0))&amp;""),"")&lt;&gt;"",IFERROR(TRIM(INDEX($A322:$T322,MATCH(Lists!$F$7,$A$1:$T$1,0))&amp;""),""),IF(IFERROR(TRIM(INDEX($A322:$T322,MATCH(Lists!$F$8,$A$1:$T$1,0))&amp;""),"")&lt;&gt;"",IFERROR(TRIM(INDEX($A322:$T322,MATCH(Lists!$F$8,$A$1:$T$1,0))&amp;""),""),"(no item given)"))))</f>
        <v/>
      </c>
      <c r="AC322" s="21">
        <f>IF(Y322="","",IF(ISNUMBER(SEARCH("support",IFERROR(TRIM(INDEX($A322:$T322,MATCH(Lists!$F$9,$A$1:$T$1,0))&amp;""),""))),"Support",IF(ISNUMBER(SEARCH("oppose",IFERROR(TRIM(INDEX($A322:$T322,MATCH(Lists!$F$9,$A$1:$T$1,0))&amp;""),""))),"Oppose",IF(IFERROR(TRIM(INDEX($A322:$T322,MATCH(Lists!$F$9,$A$1:$T$1,0))&amp;""),"")="","No position","Neither"))))</f>
        <v/>
      </c>
      <c r="AD322" s="21">
        <f>IF(Y322="","",IF(ISNUMBER(SEARCH("in person",IFERROR(TRIM(INDEX($A322:$T322,MATCH(Lists!$F$13,$A$1:$T$1,0))&amp;""),""))),"In person",IF(ISNUMBER(SEARCH("online",IFERROR(TRIM(INDEX($A322:$T322,MATCH(Lists!$F$13,$A$1:$T$1,0))&amp;""),""))),"Online","Written only")))</f>
        <v/>
      </c>
      <c r="AE322" s="21">
        <f>IF(Y322="","",IFERROR(TRIM(INDEX($A322:$T322,MATCH(Lists!$F$11,$A$1:$T$1,0))&amp;""),""))</f>
        <v/>
      </c>
      <c r="AF322" s="21">
        <f>IF(Y322="","",IFERROR(TRIM(INDEX($A322:$T322,MATCH(Lists!$F$12,$A$1:$T$1,0))&amp;""),""))</f>
        <v/>
      </c>
      <c r="AG322" s="21">
        <f>IF(Y322="","",IFERROR(TRIM(INDEX($A322:$T322,MATCH(Lists!$F$14,$A$1:$T$1,0))&amp;""),""))</f>
        <v/>
      </c>
      <c r="AH322" s="21">
        <f>IF(Y322="","",LEFT(IFERROR(TRIM(INDEX($A322:$T322,MATCH(Lists!$F$10,$A$1:$T$1,0))&amp;""),""),80))</f>
        <v/>
      </c>
      <c r="AI322" s="21">
        <f>IF(Y322="",0,IF(OR(Tally!$B$5="",AA322=Tally!$B$5),1,0))</f>
        <v/>
      </c>
      <c r="AJ322" s="21">
        <f>IF(AI322=1,IF(COUNTIFS($AB$2:AB322,AB322,$AI$2:AI322,1)=1,1,0),0)</f>
        <v/>
      </c>
      <c r="AK322" s="21">
        <f>IF(AJ322=1,SUM($AJ$2:AJ322),"")</f>
        <v/>
      </c>
      <c r="AL322" s="21">
        <f>IF(AND(AI322=1,OR(AD322="In person",AD322="Online"),OR(Speakers!$B$5="",AB322=Speakers!$B$5)),N(Z322)+ROW()/1000000000,"")</f>
        <v/>
      </c>
    </row>
    <row r="323">
      <c r="U323" s="19" t="n"/>
      <c r="V323" s="24" t="n"/>
      <c r="W323" s="24" t="n"/>
      <c r="X323" s="19" t="n"/>
      <c r="Y323" s="21">
        <f>IFERROR(TRIM(INDEX($A323:$T323,MATCH(Lists!$F$2,$A$1:$T$1,0))&amp;""),"")</f>
        <v/>
      </c>
      <c r="Z323" s="22">
        <f>IF(Y323="","",IFERROR(IF(ISNUMBER(INDEX($A323:$T323,MATCH(Lists!$F$3,$A$1:$T$1,0))),INDEX($A323:$T323,MATCH(Lists!$F$3,$A$1:$T$1,0)),DATE(VALUE(LEFT(IFERROR(TRIM(INDEX($A323:$T323,MATCH(Lists!$F$3,$A$1:$T$1,0))&amp;""),""),4)),VALUE(MID(IFERROR(TRIM(INDEX($A323:$T323,MATCH(Lists!$F$3,$A$1:$T$1,0))&amp;""),""),6,2)),VALUE(MID(IFERROR(TRIM(INDEX($A323:$T323,MATCH(Lists!$F$3,$A$1:$T$1,0))&amp;""),""),9,2)))+TIME(VALUE(MID(IFERROR(TRIM(INDEX($A323:$T323,MATCH(Lists!$F$3,$A$1:$T$1,0))&amp;""),""),12,2)),VALUE(MID(IFERROR(TRIM(INDEX($A323:$T323,MATCH(Lists!$F$3,$A$1:$T$1,0))&amp;""),""),15,2)),VALUE(MID(IFERROR(TRIM(INDEX($A323:$T323,MATCH(Lists!$F$3,$A$1:$T$1,0))&amp;""),""),18,2)))),""))</f>
        <v/>
      </c>
      <c r="AA323" s="23">
        <f>IF(Y323="","",IF(ISNUMBER(IFERROR(IF(TRIM(INDEX($A323:$T323,MATCH(Lists!$F$4,$A$1:$T$1,0))&amp;"")="","",IF(ISNUMBER(INDEX($A323:$T323,MATCH(Lists!$F$4,$A$1:$T$1,0))),INT(INDEX($A323:$T323,MATCH(Lists!$F$4,$A$1:$T$1,0))),DATE(VALUE(LEFT(INDEX($A323:$T323,MATCH(Lists!$F$4,$A$1:$T$1,0)),4)),VALUE(MID(INDEX($A323:$T323,MATCH(Lists!$F$4,$A$1:$T$1,0)),6,2)),VALUE(MID(INDEX($A323:$T323,MATCH(Lists!$F$4,$A$1:$T$1,0)),9,2))))),"")),IFERROR(IF(TRIM(INDEX($A323:$T323,MATCH(Lists!$F$4,$A$1:$T$1,0))&amp;"")="","",IF(ISNUMBER(INDEX($A323:$T323,MATCH(Lists!$F$4,$A$1:$T$1,0))),INT(INDEX($A323:$T323,MATCH(Lists!$F$4,$A$1:$T$1,0))),DATE(VALUE(LEFT(INDEX($A323:$T323,MATCH(Lists!$F$4,$A$1:$T$1,0)),4)),VALUE(MID(INDEX($A323:$T323,MATCH(Lists!$F$4,$A$1:$T$1,0)),6,2)),VALUE(MID(INDEX($A323:$T323,MATCH(Lists!$F$4,$A$1:$T$1,0)),9,2))))),""),IFERROR(IF(TRIM(INDEX($A323:$T323,MATCH(Lists!$F$5,$A$1:$T$1,0))&amp;"")="","",IF(ISNUMBER(INDEX($A323:$T323,MATCH(Lists!$F$5,$A$1:$T$1,0))),INT(INDEX($A323:$T323,MATCH(Lists!$F$5,$A$1:$T$1,0))),DATE(VALUE(LEFT(INDEX($A323:$T323,MATCH(Lists!$F$5,$A$1:$T$1,0)),4)),VALUE(MID(INDEX($A323:$T323,MATCH(Lists!$F$5,$A$1:$T$1,0)),6,2)),VALUE(MID(INDEX($A323:$T323,MATCH(Lists!$F$5,$A$1:$T$1,0)),9,2))))),"")))</f>
        <v/>
      </c>
      <c r="AB323" s="21">
        <f>IF(Y323="","",IF(LEFT(IFERROR(TRIM(INDEX($A323:$T323,MATCH(Lists!$F$6,$A$1:$T$1,0))&amp;""),""),2)="No","General comment",IF(IFERROR(TRIM(INDEX($A323:$T323,MATCH(Lists!$F$7,$A$1:$T$1,0))&amp;""),"")&lt;&gt;"",IFERROR(TRIM(INDEX($A323:$T323,MATCH(Lists!$F$7,$A$1:$T$1,0))&amp;""),""),IF(IFERROR(TRIM(INDEX($A323:$T323,MATCH(Lists!$F$8,$A$1:$T$1,0))&amp;""),"")&lt;&gt;"",IFERROR(TRIM(INDEX($A323:$T323,MATCH(Lists!$F$8,$A$1:$T$1,0))&amp;""),""),"(no item given)"))))</f>
        <v/>
      </c>
      <c r="AC323" s="21">
        <f>IF(Y323="","",IF(ISNUMBER(SEARCH("support",IFERROR(TRIM(INDEX($A323:$T323,MATCH(Lists!$F$9,$A$1:$T$1,0))&amp;""),""))),"Support",IF(ISNUMBER(SEARCH("oppose",IFERROR(TRIM(INDEX($A323:$T323,MATCH(Lists!$F$9,$A$1:$T$1,0))&amp;""),""))),"Oppose",IF(IFERROR(TRIM(INDEX($A323:$T323,MATCH(Lists!$F$9,$A$1:$T$1,0))&amp;""),"")="","No position","Neither"))))</f>
        <v/>
      </c>
      <c r="AD323" s="21">
        <f>IF(Y323="","",IF(ISNUMBER(SEARCH("in person",IFERROR(TRIM(INDEX($A323:$T323,MATCH(Lists!$F$13,$A$1:$T$1,0))&amp;""),""))),"In person",IF(ISNUMBER(SEARCH("online",IFERROR(TRIM(INDEX($A323:$T323,MATCH(Lists!$F$13,$A$1:$T$1,0))&amp;""),""))),"Online","Written only")))</f>
        <v/>
      </c>
      <c r="AE323" s="21">
        <f>IF(Y323="","",IFERROR(TRIM(INDEX($A323:$T323,MATCH(Lists!$F$11,$A$1:$T$1,0))&amp;""),""))</f>
        <v/>
      </c>
      <c r="AF323" s="21">
        <f>IF(Y323="","",IFERROR(TRIM(INDEX($A323:$T323,MATCH(Lists!$F$12,$A$1:$T$1,0))&amp;""),""))</f>
        <v/>
      </c>
      <c r="AG323" s="21">
        <f>IF(Y323="","",IFERROR(TRIM(INDEX($A323:$T323,MATCH(Lists!$F$14,$A$1:$T$1,0))&amp;""),""))</f>
        <v/>
      </c>
      <c r="AH323" s="21">
        <f>IF(Y323="","",LEFT(IFERROR(TRIM(INDEX($A323:$T323,MATCH(Lists!$F$10,$A$1:$T$1,0))&amp;""),""),80))</f>
        <v/>
      </c>
      <c r="AI323" s="21">
        <f>IF(Y323="",0,IF(OR(Tally!$B$5="",AA323=Tally!$B$5),1,0))</f>
        <v/>
      </c>
      <c r="AJ323" s="21">
        <f>IF(AI323=1,IF(COUNTIFS($AB$2:AB323,AB323,$AI$2:AI323,1)=1,1,0),0)</f>
        <v/>
      </c>
      <c r="AK323" s="21">
        <f>IF(AJ323=1,SUM($AJ$2:AJ323),"")</f>
        <v/>
      </c>
      <c r="AL323" s="21">
        <f>IF(AND(AI323=1,OR(AD323="In person",AD323="Online"),OR(Speakers!$B$5="",AB323=Speakers!$B$5)),N(Z323)+ROW()/1000000000,"")</f>
        <v/>
      </c>
    </row>
    <row r="324">
      <c r="U324" s="19" t="n"/>
      <c r="V324" s="24" t="n"/>
      <c r="W324" s="24" t="n"/>
      <c r="X324" s="19" t="n"/>
      <c r="Y324" s="21">
        <f>IFERROR(TRIM(INDEX($A324:$T324,MATCH(Lists!$F$2,$A$1:$T$1,0))&amp;""),"")</f>
        <v/>
      </c>
      <c r="Z324" s="22">
        <f>IF(Y324="","",IFERROR(IF(ISNUMBER(INDEX($A324:$T324,MATCH(Lists!$F$3,$A$1:$T$1,0))),INDEX($A324:$T324,MATCH(Lists!$F$3,$A$1:$T$1,0)),DATE(VALUE(LEFT(IFERROR(TRIM(INDEX($A324:$T324,MATCH(Lists!$F$3,$A$1:$T$1,0))&amp;""),""),4)),VALUE(MID(IFERROR(TRIM(INDEX($A324:$T324,MATCH(Lists!$F$3,$A$1:$T$1,0))&amp;""),""),6,2)),VALUE(MID(IFERROR(TRIM(INDEX($A324:$T324,MATCH(Lists!$F$3,$A$1:$T$1,0))&amp;""),""),9,2)))+TIME(VALUE(MID(IFERROR(TRIM(INDEX($A324:$T324,MATCH(Lists!$F$3,$A$1:$T$1,0))&amp;""),""),12,2)),VALUE(MID(IFERROR(TRIM(INDEX($A324:$T324,MATCH(Lists!$F$3,$A$1:$T$1,0))&amp;""),""),15,2)),VALUE(MID(IFERROR(TRIM(INDEX($A324:$T324,MATCH(Lists!$F$3,$A$1:$T$1,0))&amp;""),""),18,2)))),""))</f>
        <v/>
      </c>
      <c r="AA324" s="23">
        <f>IF(Y324="","",IF(ISNUMBER(IFERROR(IF(TRIM(INDEX($A324:$T324,MATCH(Lists!$F$4,$A$1:$T$1,0))&amp;"")="","",IF(ISNUMBER(INDEX($A324:$T324,MATCH(Lists!$F$4,$A$1:$T$1,0))),INT(INDEX($A324:$T324,MATCH(Lists!$F$4,$A$1:$T$1,0))),DATE(VALUE(LEFT(INDEX($A324:$T324,MATCH(Lists!$F$4,$A$1:$T$1,0)),4)),VALUE(MID(INDEX($A324:$T324,MATCH(Lists!$F$4,$A$1:$T$1,0)),6,2)),VALUE(MID(INDEX($A324:$T324,MATCH(Lists!$F$4,$A$1:$T$1,0)),9,2))))),"")),IFERROR(IF(TRIM(INDEX($A324:$T324,MATCH(Lists!$F$4,$A$1:$T$1,0))&amp;"")="","",IF(ISNUMBER(INDEX($A324:$T324,MATCH(Lists!$F$4,$A$1:$T$1,0))),INT(INDEX($A324:$T324,MATCH(Lists!$F$4,$A$1:$T$1,0))),DATE(VALUE(LEFT(INDEX($A324:$T324,MATCH(Lists!$F$4,$A$1:$T$1,0)),4)),VALUE(MID(INDEX($A324:$T324,MATCH(Lists!$F$4,$A$1:$T$1,0)),6,2)),VALUE(MID(INDEX($A324:$T324,MATCH(Lists!$F$4,$A$1:$T$1,0)),9,2))))),""),IFERROR(IF(TRIM(INDEX($A324:$T324,MATCH(Lists!$F$5,$A$1:$T$1,0))&amp;"")="","",IF(ISNUMBER(INDEX($A324:$T324,MATCH(Lists!$F$5,$A$1:$T$1,0))),INT(INDEX($A324:$T324,MATCH(Lists!$F$5,$A$1:$T$1,0))),DATE(VALUE(LEFT(INDEX($A324:$T324,MATCH(Lists!$F$5,$A$1:$T$1,0)),4)),VALUE(MID(INDEX($A324:$T324,MATCH(Lists!$F$5,$A$1:$T$1,0)),6,2)),VALUE(MID(INDEX($A324:$T324,MATCH(Lists!$F$5,$A$1:$T$1,0)),9,2))))),"")))</f>
        <v/>
      </c>
      <c r="AB324" s="21">
        <f>IF(Y324="","",IF(LEFT(IFERROR(TRIM(INDEX($A324:$T324,MATCH(Lists!$F$6,$A$1:$T$1,0))&amp;""),""),2)="No","General comment",IF(IFERROR(TRIM(INDEX($A324:$T324,MATCH(Lists!$F$7,$A$1:$T$1,0))&amp;""),"")&lt;&gt;"",IFERROR(TRIM(INDEX($A324:$T324,MATCH(Lists!$F$7,$A$1:$T$1,0))&amp;""),""),IF(IFERROR(TRIM(INDEX($A324:$T324,MATCH(Lists!$F$8,$A$1:$T$1,0))&amp;""),"")&lt;&gt;"",IFERROR(TRIM(INDEX($A324:$T324,MATCH(Lists!$F$8,$A$1:$T$1,0))&amp;""),""),"(no item given)"))))</f>
        <v/>
      </c>
      <c r="AC324" s="21">
        <f>IF(Y324="","",IF(ISNUMBER(SEARCH("support",IFERROR(TRIM(INDEX($A324:$T324,MATCH(Lists!$F$9,$A$1:$T$1,0))&amp;""),""))),"Support",IF(ISNUMBER(SEARCH("oppose",IFERROR(TRIM(INDEX($A324:$T324,MATCH(Lists!$F$9,$A$1:$T$1,0))&amp;""),""))),"Oppose",IF(IFERROR(TRIM(INDEX($A324:$T324,MATCH(Lists!$F$9,$A$1:$T$1,0))&amp;""),"")="","No position","Neither"))))</f>
        <v/>
      </c>
      <c r="AD324" s="21">
        <f>IF(Y324="","",IF(ISNUMBER(SEARCH("in person",IFERROR(TRIM(INDEX($A324:$T324,MATCH(Lists!$F$13,$A$1:$T$1,0))&amp;""),""))),"In person",IF(ISNUMBER(SEARCH("online",IFERROR(TRIM(INDEX($A324:$T324,MATCH(Lists!$F$13,$A$1:$T$1,0))&amp;""),""))),"Online","Written only")))</f>
        <v/>
      </c>
      <c r="AE324" s="21">
        <f>IF(Y324="","",IFERROR(TRIM(INDEX($A324:$T324,MATCH(Lists!$F$11,$A$1:$T$1,0))&amp;""),""))</f>
        <v/>
      </c>
      <c r="AF324" s="21">
        <f>IF(Y324="","",IFERROR(TRIM(INDEX($A324:$T324,MATCH(Lists!$F$12,$A$1:$T$1,0))&amp;""),""))</f>
        <v/>
      </c>
      <c r="AG324" s="21">
        <f>IF(Y324="","",IFERROR(TRIM(INDEX($A324:$T324,MATCH(Lists!$F$14,$A$1:$T$1,0))&amp;""),""))</f>
        <v/>
      </c>
      <c r="AH324" s="21">
        <f>IF(Y324="","",LEFT(IFERROR(TRIM(INDEX($A324:$T324,MATCH(Lists!$F$10,$A$1:$T$1,0))&amp;""),""),80))</f>
        <v/>
      </c>
      <c r="AI324" s="21">
        <f>IF(Y324="",0,IF(OR(Tally!$B$5="",AA324=Tally!$B$5),1,0))</f>
        <v/>
      </c>
      <c r="AJ324" s="21">
        <f>IF(AI324=1,IF(COUNTIFS($AB$2:AB324,AB324,$AI$2:AI324,1)=1,1,0),0)</f>
        <v/>
      </c>
      <c r="AK324" s="21">
        <f>IF(AJ324=1,SUM($AJ$2:AJ324),"")</f>
        <v/>
      </c>
      <c r="AL324" s="21">
        <f>IF(AND(AI324=1,OR(AD324="In person",AD324="Online"),OR(Speakers!$B$5="",AB324=Speakers!$B$5)),N(Z324)+ROW()/1000000000,"")</f>
        <v/>
      </c>
    </row>
    <row r="325">
      <c r="U325" s="19" t="n"/>
      <c r="V325" s="24" t="n"/>
      <c r="W325" s="24" t="n"/>
      <c r="X325" s="19" t="n"/>
      <c r="Y325" s="21">
        <f>IFERROR(TRIM(INDEX($A325:$T325,MATCH(Lists!$F$2,$A$1:$T$1,0))&amp;""),"")</f>
        <v/>
      </c>
      <c r="Z325" s="22">
        <f>IF(Y325="","",IFERROR(IF(ISNUMBER(INDEX($A325:$T325,MATCH(Lists!$F$3,$A$1:$T$1,0))),INDEX($A325:$T325,MATCH(Lists!$F$3,$A$1:$T$1,0)),DATE(VALUE(LEFT(IFERROR(TRIM(INDEX($A325:$T325,MATCH(Lists!$F$3,$A$1:$T$1,0))&amp;""),""),4)),VALUE(MID(IFERROR(TRIM(INDEX($A325:$T325,MATCH(Lists!$F$3,$A$1:$T$1,0))&amp;""),""),6,2)),VALUE(MID(IFERROR(TRIM(INDEX($A325:$T325,MATCH(Lists!$F$3,$A$1:$T$1,0))&amp;""),""),9,2)))+TIME(VALUE(MID(IFERROR(TRIM(INDEX($A325:$T325,MATCH(Lists!$F$3,$A$1:$T$1,0))&amp;""),""),12,2)),VALUE(MID(IFERROR(TRIM(INDEX($A325:$T325,MATCH(Lists!$F$3,$A$1:$T$1,0))&amp;""),""),15,2)),VALUE(MID(IFERROR(TRIM(INDEX($A325:$T325,MATCH(Lists!$F$3,$A$1:$T$1,0))&amp;""),""),18,2)))),""))</f>
        <v/>
      </c>
      <c r="AA325" s="23">
        <f>IF(Y325="","",IF(ISNUMBER(IFERROR(IF(TRIM(INDEX($A325:$T325,MATCH(Lists!$F$4,$A$1:$T$1,0))&amp;"")="","",IF(ISNUMBER(INDEX($A325:$T325,MATCH(Lists!$F$4,$A$1:$T$1,0))),INT(INDEX($A325:$T325,MATCH(Lists!$F$4,$A$1:$T$1,0))),DATE(VALUE(LEFT(INDEX($A325:$T325,MATCH(Lists!$F$4,$A$1:$T$1,0)),4)),VALUE(MID(INDEX($A325:$T325,MATCH(Lists!$F$4,$A$1:$T$1,0)),6,2)),VALUE(MID(INDEX($A325:$T325,MATCH(Lists!$F$4,$A$1:$T$1,0)),9,2))))),"")),IFERROR(IF(TRIM(INDEX($A325:$T325,MATCH(Lists!$F$4,$A$1:$T$1,0))&amp;"")="","",IF(ISNUMBER(INDEX($A325:$T325,MATCH(Lists!$F$4,$A$1:$T$1,0))),INT(INDEX($A325:$T325,MATCH(Lists!$F$4,$A$1:$T$1,0))),DATE(VALUE(LEFT(INDEX($A325:$T325,MATCH(Lists!$F$4,$A$1:$T$1,0)),4)),VALUE(MID(INDEX($A325:$T325,MATCH(Lists!$F$4,$A$1:$T$1,0)),6,2)),VALUE(MID(INDEX($A325:$T325,MATCH(Lists!$F$4,$A$1:$T$1,0)),9,2))))),""),IFERROR(IF(TRIM(INDEX($A325:$T325,MATCH(Lists!$F$5,$A$1:$T$1,0))&amp;"")="","",IF(ISNUMBER(INDEX($A325:$T325,MATCH(Lists!$F$5,$A$1:$T$1,0))),INT(INDEX($A325:$T325,MATCH(Lists!$F$5,$A$1:$T$1,0))),DATE(VALUE(LEFT(INDEX($A325:$T325,MATCH(Lists!$F$5,$A$1:$T$1,0)),4)),VALUE(MID(INDEX($A325:$T325,MATCH(Lists!$F$5,$A$1:$T$1,0)),6,2)),VALUE(MID(INDEX($A325:$T325,MATCH(Lists!$F$5,$A$1:$T$1,0)),9,2))))),"")))</f>
        <v/>
      </c>
      <c r="AB325" s="21">
        <f>IF(Y325="","",IF(LEFT(IFERROR(TRIM(INDEX($A325:$T325,MATCH(Lists!$F$6,$A$1:$T$1,0))&amp;""),""),2)="No","General comment",IF(IFERROR(TRIM(INDEX($A325:$T325,MATCH(Lists!$F$7,$A$1:$T$1,0))&amp;""),"")&lt;&gt;"",IFERROR(TRIM(INDEX($A325:$T325,MATCH(Lists!$F$7,$A$1:$T$1,0))&amp;""),""),IF(IFERROR(TRIM(INDEX($A325:$T325,MATCH(Lists!$F$8,$A$1:$T$1,0))&amp;""),"")&lt;&gt;"",IFERROR(TRIM(INDEX($A325:$T325,MATCH(Lists!$F$8,$A$1:$T$1,0))&amp;""),""),"(no item given)"))))</f>
        <v/>
      </c>
      <c r="AC325" s="21">
        <f>IF(Y325="","",IF(ISNUMBER(SEARCH("support",IFERROR(TRIM(INDEX($A325:$T325,MATCH(Lists!$F$9,$A$1:$T$1,0))&amp;""),""))),"Support",IF(ISNUMBER(SEARCH("oppose",IFERROR(TRIM(INDEX($A325:$T325,MATCH(Lists!$F$9,$A$1:$T$1,0))&amp;""),""))),"Oppose",IF(IFERROR(TRIM(INDEX($A325:$T325,MATCH(Lists!$F$9,$A$1:$T$1,0))&amp;""),"")="","No position","Neither"))))</f>
        <v/>
      </c>
      <c r="AD325" s="21">
        <f>IF(Y325="","",IF(ISNUMBER(SEARCH("in person",IFERROR(TRIM(INDEX($A325:$T325,MATCH(Lists!$F$13,$A$1:$T$1,0))&amp;""),""))),"In person",IF(ISNUMBER(SEARCH("online",IFERROR(TRIM(INDEX($A325:$T325,MATCH(Lists!$F$13,$A$1:$T$1,0))&amp;""),""))),"Online","Written only")))</f>
        <v/>
      </c>
      <c r="AE325" s="21">
        <f>IF(Y325="","",IFERROR(TRIM(INDEX($A325:$T325,MATCH(Lists!$F$11,$A$1:$T$1,0))&amp;""),""))</f>
        <v/>
      </c>
      <c r="AF325" s="21">
        <f>IF(Y325="","",IFERROR(TRIM(INDEX($A325:$T325,MATCH(Lists!$F$12,$A$1:$T$1,0))&amp;""),""))</f>
        <v/>
      </c>
      <c r="AG325" s="21">
        <f>IF(Y325="","",IFERROR(TRIM(INDEX($A325:$T325,MATCH(Lists!$F$14,$A$1:$T$1,0))&amp;""),""))</f>
        <v/>
      </c>
      <c r="AH325" s="21">
        <f>IF(Y325="","",LEFT(IFERROR(TRIM(INDEX($A325:$T325,MATCH(Lists!$F$10,$A$1:$T$1,0))&amp;""),""),80))</f>
        <v/>
      </c>
      <c r="AI325" s="21">
        <f>IF(Y325="",0,IF(OR(Tally!$B$5="",AA325=Tally!$B$5),1,0))</f>
        <v/>
      </c>
      <c r="AJ325" s="21">
        <f>IF(AI325=1,IF(COUNTIFS($AB$2:AB325,AB325,$AI$2:AI325,1)=1,1,0),0)</f>
        <v/>
      </c>
      <c r="AK325" s="21">
        <f>IF(AJ325=1,SUM($AJ$2:AJ325),"")</f>
        <v/>
      </c>
      <c r="AL325" s="21">
        <f>IF(AND(AI325=1,OR(AD325="In person",AD325="Online"),OR(Speakers!$B$5="",AB325=Speakers!$B$5)),N(Z325)+ROW()/1000000000,"")</f>
        <v/>
      </c>
    </row>
    <row r="326">
      <c r="U326" s="19" t="n"/>
      <c r="V326" s="24" t="n"/>
      <c r="W326" s="24" t="n"/>
      <c r="X326" s="19" t="n"/>
      <c r="Y326" s="21">
        <f>IFERROR(TRIM(INDEX($A326:$T326,MATCH(Lists!$F$2,$A$1:$T$1,0))&amp;""),"")</f>
        <v/>
      </c>
      <c r="Z326" s="22">
        <f>IF(Y326="","",IFERROR(IF(ISNUMBER(INDEX($A326:$T326,MATCH(Lists!$F$3,$A$1:$T$1,0))),INDEX($A326:$T326,MATCH(Lists!$F$3,$A$1:$T$1,0)),DATE(VALUE(LEFT(IFERROR(TRIM(INDEX($A326:$T326,MATCH(Lists!$F$3,$A$1:$T$1,0))&amp;""),""),4)),VALUE(MID(IFERROR(TRIM(INDEX($A326:$T326,MATCH(Lists!$F$3,$A$1:$T$1,0))&amp;""),""),6,2)),VALUE(MID(IFERROR(TRIM(INDEX($A326:$T326,MATCH(Lists!$F$3,$A$1:$T$1,0))&amp;""),""),9,2)))+TIME(VALUE(MID(IFERROR(TRIM(INDEX($A326:$T326,MATCH(Lists!$F$3,$A$1:$T$1,0))&amp;""),""),12,2)),VALUE(MID(IFERROR(TRIM(INDEX($A326:$T326,MATCH(Lists!$F$3,$A$1:$T$1,0))&amp;""),""),15,2)),VALUE(MID(IFERROR(TRIM(INDEX($A326:$T326,MATCH(Lists!$F$3,$A$1:$T$1,0))&amp;""),""),18,2)))),""))</f>
        <v/>
      </c>
      <c r="AA326" s="23">
        <f>IF(Y326="","",IF(ISNUMBER(IFERROR(IF(TRIM(INDEX($A326:$T326,MATCH(Lists!$F$4,$A$1:$T$1,0))&amp;"")="","",IF(ISNUMBER(INDEX($A326:$T326,MATCH(Lists!$F$4,$A$1:$T$1,0))),INT(INDEX($A326:$T326,MATCH(Lists!$F$4,$A$1:$T$1,0))),DATE(VALUE(LEFT(INDEX($A326:$T326,MATCH(Lists!$F$4,$A$1:$T$1,0)),4)),VALUE(MID(INDEX($A326:$T326,MATCH(Lists!$F$4,$A$1:$T$1,0)),6,2)),VALUE(MID(INDEX($A326:$T326,MATCH(Lists!$F$4,$A$1:$T$1,0)),9,2))))),"")),IFERROR(IF(TRIM(INDEX($A326:$T326,MATCH(Lists!$F$4,$A$1:$T$1,0))&amp;"")="","",IF(ISNUMBER(INDEX($A326:$T326,MATCH(Lists!$F$4,$A$1:$T$1,0))),INT(INDEX($A326:$T326,MATCH(Lists!$F$4,$A$1:$T$1,0))),DATE(VALUE(LEFT(INDEX($A326:$T326,MATCH(Lists!$F$4,$A$1:$T$1,0)),4)),VALUE(MID(INDEX($A326:$T326,MATCH(Lists!$F$4,$A$1:$T$1,0)),6,2)),VALUE(MID(INDEX($A326:$T326,MATCH(Lists!$F$4,$A$1:$T$1,0)),9,2))))),""),IFERROR(IF(TRIM(INDEX($A326:$T326,MATCH(Lists!$F$5,$A$1:$T$1,0))&amp;"")="","",IF(ISNUMBER(INDEX($A326:$T326,MATCH(Lists!$F$5,$A$1:$T$1,0))),INT(INDEX($A326:$T326,MATCH(Lists!$F$5,$A$1:$T$1,0))),DATE(VALUE(LEFT(INDEX($A326:$T326,MATCH(Lists!$F$5,$A$1:$T$1,0)),4)),VALUE(MID(INDEX($A326:$T326,MATCH(Lists!$F$5,$A$1:$T$1,0)),6,2)),VALUE(MID(INDEX($A326:$T326,MATCH(Lists!$F$5,$A$1:$T$1,0)),9,2))))),"")))</f>
        <v/>
      </c>
      <c r="AB326" s="21">
        <f>IF(Y326="","",IF(LEFT(IFERROR(TRIM(INDEX($A326:$T326,MATCH(Lists!$F$6,$A$1:$T$1,0))&amp;""),""),2)="No","General comment",IF(IFERROR(TRIM(INDEX($A326:$T326,MATCH(Lists!$F$7,$A$1:$T$1,0))&amp;""),"")&lt;&gt;"",IFERROR(TRIM(INDEX($A326:$T326,MATCH(Lists!$F$7,$A$1:$T$1,0))&amp;""),""),IF(IFERROR(TRIM(INDEX($A326:$T326,MATCH(Lists!$F$8,$A$1:$T$1,0))&amp;""),"")&lt;&gt;"",IFERROR(TRIM(INDEX($A326:$T326,MATCH(Lists!$F$8,$A$1:$T$1,0))&amp;""),""),"(no item given)"))))</f>
        <v/>
      </c>
      <c r="AC326" s="21">
        <f>IF(Y326="","",IF(ISNUMBER(SEARCH("support",IFERROR(TRIM(INDEX($A326:$T326,MATCH(Lists!$F$9,$A$1:$T$1,0))&amp;""),""))),"Support",IF(ISNUMBER(SEARCH("oppose",IFERROR(TRIM(INDEX($A326:$T326,MATCH(Lists!$F$9,$A$1:$T$1,0))&amp;""),""))),"Oppose",IF(IFERROR(TRIM(INDEX($A326:$T326,MATCH(Lists!$F$9,$A$1:$T$1,0))&amp;""),"")="","No position","Neither"))))</f>
        <v/>
      </c>
      <c r="AD326" s="21">
        <f>IF(Y326="","",IF(ISNUMBER(SEARCH("in person",IFERROR(TRIM(INDEX($A326:$T326,MATCH(Lists!$F$13,$A$1:$T$1,0))&amp;""),""))),"In person",IF(ISNUMBER(SEARCH("online",IFERROR(TRIM(INDEX($A326:$T326,MATCH(Lists!$F$13,$A$1:$T$1,0))&amp;""),""))),"Online","Written only")))</f>
        <v/>
      </c>
      <c r="AE326" s="21">
        <f>IF(Y326="","",IFERROR(TRIM(INDEX($A326:$T326,MATCH(Lists!$F$11,$A$1:$T$1,0))&amp;""),""))</f>
        <v/>
      </c>
      <c r="AF326" s="21">
        <f>IF(Y326="","",IFERROR(TRIM(INDEX($A326:$T326,MATCH(Lists!$F$12,$A$1:$T$1,0))&amp;""),""))</f>
        <v/>
      </c>
      <c r="AG326" s="21">
        <f>IF(Y326="","",IFERROR(TRIM(INDEX($A326:$T326,MATCH(Lists!$F$14,$A$1:$T$1,0))&amp;""),""))</f>
        <v/>
      </c>
      <c r="AH326" s="21">
        <f>IF(Y326="","",LEFT(IFERROR(TRIM(INDEX($A326:$T326,MATCH(Lists!$F$10,$A$1:$T$1,0))&amp;""),""),80))</f>
        <v/>
      </c>
      <c r="AI326" s="21">
        <f>IF(Y326="",0,IF(OR(Tally!$B$5="",AA326=Tally!$B$5),1,0))</f>
        <v/>
      </c>
      <c r="AJ326" s="21">
        <f>IF(AI326=1,IF(COUNTIFS($AB$2:AB326,AB326,$AI$2:AI326,1)=1,1,0),0)</f>
        <v/>
      </c>
      <c r="AK326" s="21">
        <f>IF(AJ326=1,SUM($AJ$2:AJ326),"")</f>
        <v/>
      </c>
      <c r="AL326" s="21">
        <f>IF(AND(AI326=1,OR(AD326="In person",AD326="Online"),OR(Speakers!$B$5="",AB326=Speakers!$B$5)),N(Z326)+ROW()/1000000000,"")</f>
        <v/>
      </c>
    </row>
    <row r="327">
      <c r="U327" s="19" t="n"/>
      <c r="V327" s="24" t="n"/>
      <c r="W327" s="24" t="n"/>
      <c r="X327" s="19" t="n"/>
      <c r="Y327" s="21">
        <f>IFERROR(TRIM(INDEX($A327:$T327,MATCH(Lists!$F$2,$A$1:$T$1,0))&amp;""),"")</f>
        <v/>
      </c>
      <c r="Z327" s="22">
        <f>IF(Y327="","",IFERROR(IF(ISNUMBER(INDEX($A327:$T327,MATCH(Lists!$F$3,$A$1:$T$1,0))),INDEX($A327:$T327,MATCH(Lists!$F$3,$A$1:$T$1,0)),DATE(VALUE(LEFT(IFERROR(TRIM(INDEX($A327:$T327,MATCH(Lists!$F$3,$A$1:$T$1,0))&amp;""),""),4)),VALUE(MID(IFERROR(TRIM(INDEX($A327:$T327,MATCH(Lists!$F$3,$A$1:$T$1,0))&amp;""),""),6,2)),VALUE(MID(IFERROR(TRIM(INDEX($A327:$T327,MATCH(Lists!$F$3,$A$1:$T$1,0))&amp;""),""),9,2)))+TIME(VALUE(MID(IFERROR(TRIM(INDEX($A327:$T327,MATCH(Lists!$F$3,$A$1:$T$1,0))&amp;""),""),12,2)),VALUE(MID(IFERROR(TRIM(INDEX($A327:$T327,MATCH(Lists!$F$3,$A$1:$T$1,0))&amp;""),""),15,2)),VALUE(MID(IFERROR(TRIM(INDEX($A327:$T327,MATCH(Lists!$F$3,$A$1:$T$1,0))&amp;""),""),18,2)))),""))</f>
        <v/>
      </c>
      <c r="AA327" s="23">
        <f>IF(Y327="","",IF(ISNUMBER(IFERROR(IF(TRIM(INDEX($A327:$T327,MATCH(Lists!$F$4,$A$1:$T$1,0))&amp;"")="","",IF(ISNUMBER(INDEX($A327:$T327,MATCH(Lists!$F$4,$A$1:$T$1,0))),INT(INDEX($A327:$T327,MATCH(Lists!$F$4,$A$1:$T$1,0))),DATE(VALUE(LEFT(INDEX($A327:$T327,MATCH(Lists!$F$4,$A$1:$T$1,0)),4)),VALUE(MID(INDEX($A327:$T327,MATCH(Lists!$F$4,$A$1:$T$1,0)),6,2)),VALUE(MID(INDEX($A327:$T327,MATCH(Lists!$F$4,$A$1:$T$1,0)),9,2))))),"")),IFERROR(IF(TRIM(INDEX($A327:$T327,MATCH(Lists!$F$4,$A$1:$T$1,0))&amp;"")="","",IF(ISNUMBER(INDEX($A327:$T327,MATCH(Lists!$F$4,$A$1:$T$1,0))),INT(INDEX($A327:$T327,MATCH(Lists!$F$4,$A$1:$T$1,0))),DATE(VALUE(LEFT(INDEX($A327:$T327,MATCH(Lists!$F$4,$A$1:$T$1,0)),4)),VALUE(MID(INDEX($A327:$T327,MATCH(Lists!$F$4,$A$1:$T$1,0)),6,2)),VALUE(MID(INDEX($A327:$T327,MATCH(Lists!$F$4,$A$1:$T$1,0)),9,2))))),""),IFERROR(IF(TRIM(INDEX($A327:$T327,MATCH(Lists!$F$5,$A$1:$T$1,0))&amp;"")="","",IF(ISNUMBER(INDEX($A327:$T327,MATCH(Lists!$F$5,$A$1:$T$1,0))),INT(INDEX($A327:$T327,MATCH(Lists!$F$5,$A$1:$T$1,0))),DATE(VALUE(LEFT(INDEX($A327:$T327,MATCH(Lists!$F$5,$A$1:$T$1,0)),4)),VALUE(MID(INDEX($A327:$T327,MATCH(Lists!$F$5,$A$1:$T$1,0)),6,2)),VALUE(MID(INDEX($A327:$T327,MATCH(Lists!$F$5,$A$1:$T$1,0)),9,2))))),"")))</f>
        <v/>
      </c>
      <c r="AB327" s="21">
        <f>IF(Y327="","",IF(LEFT(IFERROR(TRIM(INDEX($A327:$T327,MATCH(Lists!$F$6,$A$1:$T$1,0))&amp;""),""),2)="No","General comment",IF(IFERROR(TRIM(INDEX($A327:$T327,MATCH(Lists!$F$7,$A$1:$T$1,0))&amp;""),"")&lt;&gt;"",IFERROR(TRIM(INDEX($A327:$T327,MATCH(Lists!$F$7,$A$1:$T$1,0))&amp;""),""),IF(IFERROR(TRIM(INDEX($A327:$T327,MATCH(Lists!$F$8,$A$1:$T$1,0))&amp;""),"")&lt;&gt;"",IFERROR(TRIM(INDEX($A327:$T327,MATCH(Lists!$F$8,$A$1:$T$1,0))&amp;""),""),"(no item given)"))))</f>
        <v/>
      </c>
      <c r="AC327" s="21">
        <f>IF(Y327="","",IF(ISNUMBER(SEARCH("support",IFERROR(TRIM(INDEX($A327:$T327,MATCH(Lists!$F$9,$A$1:$T$1,0))&amp;""),""))),"Support",IF(ISNUMBER(SEARCH("oppose",IFERROR(TRIM(INDEX($A327:$T327,MATCH(Lists!$F$9,$A$1:$T$1,0))&amp;""),""))),"Oppose",IF(IFERROR(TRIM(INDEX($A327:$T327,MATCH(Lists!$F$9,$A$1:$T$1,0))&amp;""),"")="","No position","Neither"))))</f>
        <v/>
      </c>
      <c r="AD327" s="21">
        <f>IF(Y327="","",IF(ISNUMBER(SEARCH("in person",IFERROR(TRIM(INDEX($A327:$T327,MATCH(Lists!$F$13,$A$1:$T$1,0))&amp;""),""))),"In person",IF(ISNUMBER(SEARCH("online",IFERROR(TRIM(INDEX($A327:$T327,MATCH(Lists!$F$13,$A$1:$T$1,0))&amp;""),""))),"Online","Written only")))</f>
        <v/>
      </c>
      <c r="AE327" s="21">
        <f>IF(Y327="","",IFERROR(TRIM(INDEX($A327:$T327,MATCH(Lists!$F$11,$A$1:$T$1,0))&amp;""),""))</f>
        <v/>
      </c>
      <c r="AF327" s="21">
        <f>IF(Y327="","",IFERROR(TRIM(INDEX($A327:$T327,MATCH(Lists!$F$12,$A$1:$T$1,0))&amp;""),""))</f>
        <v/>
      </c>
      <c r="AG327" s="21">
        <f>IF(Y327="","",IFERROR(TRIM(INDEX($A327:$T327,MATCH(Lists!$F$14,$A$1:$T$1,0))&amp;""),""))</f>
        <v/>
      </c>
      <c r="AH327" s="21">
        <f>IF(Y327="","",LEFT(IFERROR(TRIM(INDEX($A327:$T327,MATCH(Lists!$F$10,$A$1:$T$1,0))&amp;""),""),80))</f>
        <v/>
      </c>
      <c r="AI327" s="21">
        <f>IF(Y327="",0,IF(OR(Tally!$B$5="",AA327=Tally!$B$5),1,0))</f>
        <v/>
      </c>
      <c r="AJ327" s="21">
        <f>IF(AI327=1,IF(COUNTIFS($AB$2:AB327,AB327,$AI$2:AI327,1)=1,1,0),0)</f>
        <v/>
      </c>
      <c r="AK327" s="21">
        <f>IF(AJ327=1,SUM($AJ$2:AJ327),"")</f>
        <v/>
      </c>
      <c r="AL327" s="21">
        <f>IF(AND(AI327=1,OR(AD327="In person",AD327="Online"),OR(Speakers!$B$5="",AB327=Speakers!$B$5)),N(Z327)+ROW()/1000000000,"")</f>
        <v/>
      </c>
    </row>
    <row r="328">
      <c r="U328" s="19" t="n"/>
      <c r="V328" s="24" t="n"/>
      <c r="W328" s="24" t="n"/>
      <c r="X328" s="19" t="n"/>
      <c r="Y328" s="21">
        <f>IFERROR(TRIM(INDEX($A328:$T328,MATCH(Lists!$F$2,$A$1:$T$1,0))&amp;""),"")</f>
        <v/>
      </c>
      <c r="Z328" s="22">
        <f>IF(Y328="","",IFERROR(IF(ISNUMBER(INDEX($A328:$T328,MATCH(Lists!$F$3,$A$1:$T$1,0))),INDEX($A328:$T328,MATCH(Lists!$F$3,$A$1:$T$1,0)),DATE(VALUE(LEFT(IFERROR(TRIM(INDEX($A328:$T328,MATCH(Lists!$F$3,$A$1:$T$1,0))&amp;""),""),4)),VALUE(MID(IFERROR(TRIM(INDEX($A328:$T328,MATCH(Lists!$F$3,$A$1:$T$1,0))&amp;""),""),6,2)),VALUE(MID(IFERROR(TRIM(INDEX($A328:$T328,MATCH(Lists!$F$3,$A$1:$T$1,0))&amp;""),""),9,2)))+TIME(VALUE(MID(IFERROR(TRIM(INDEX($A328:$T328,MATCH(Lists!$F$3,$A$1:$T$1,0))&amp;""),""),12,2)),VALUE(MID(IFERROR(TRIM(INDEX($A328:$T328,MATCH(Lists!$F$3,$A$1:$T$1,0))&amp;""),""),15,2)),VALUE(MID(IFERROR(TRIM(INDEX($A328:$T328,MATCH(Lists!$F$3,$A$1:$T$1,0))&amp;""),""),18,2)))),""))</f>
        <v/>
      </c>
      <c r="AA328" s="23">
        <f>IF(Y328="","",IF(ISNUMBER(IFERROR(IF(TRIM(INDEX($A328:$T328,MATCH(Lists!$F$4,$A$1:$T$1,0))&amp;"")="","",IF(ISNUMBER(INDEX($A328:$T328,MATCH(Lists!$F$4,$A$1:$T$1,0))),INT(INDEX($A328:$T328,MATCH(Lists!$F$4,$A$1:$T$1,0))),DATE(VALUE(LEFT(INDEX($A328:$T328,MATCH(Lists!$F$4,$A$1:$T$1,0)),4)),VALUE(MID(INDEX($A328:$T328,MATCH(Lists!$F$4,$A$1:$T$1,0)),6,2)),VALUE(MID(INDEX($A328:$T328,MATCH(Lists!$F$4,$A$1:$T$1,0)),9,2))))),"")),IFERROR(IF(TRIM(INDEX($A328:$T328,MATCH(Lists!$F$4,$A$1:$T$1,0))&amp;"")="","",IF(ISNUMBER(INDEX($A328:$T328,MATCH(Lists!$F$4,$A$1:$T$1,0))),INT(INDEX($A328:$T328,MATCH(Lists!$F$4,$A$1:$T$1,0))),DATE(VALUE(LEFT(INDEX($A328:$T328,MATCH(Lists!$F$4,$A$1:$T$1,0)),4)),VALUE(MID(INDEX($A328:$T328,MATCH(Lists!$F$4,$A$1:$T$1,0)),6,2)),VALUE(MID(INDEX($A328:$T328,MATCH(Lists!$F$4,$A$1:$T$1,0)),9,2))))),""),IFERROR(IF(TRIM(INDEX($A328:$T328,MATCH(Lists!$F$5,$A$1:$T$1,0))&amp;"")="","",IF(ISNUMBER(INDEX($A328:$T328,MATCH(Lists!$F$5,$A$1:$T$1,0))),INT(INDEX($A328:$T328,MATCH(Lists!$F$5,$A$1:$T$1,0))),DATE(VALUE(LEFT(INDEX($A328:$T328,MATCH(Lists!$F$5,$A$1:$T$1,0)),4)),VALUE(MID(INDEX($A328:$T328,MATCH(Lists!$F$5,$A$1:$T$1,0)),6,2)),VALUE(MID(INDEX($A328:$T328,MATCH(Lists!$F$5,$A$1:$T$1,0)),9,2))))),"")))</f>
        <v/>
      </c>
      <c r="AB328" s="21">
        <f>IF(Y328="","",IF(LEFT(IFERROR(TRIM(INDEX($A328:$T328,MATCH(Lists!$F$6,$A$1:$T$1,0))&amp;""),""),2)="No","General comment",IF(IFERROR(TRIM(INDEX($A328:$T328,MATCH(Lists!$F$7,$A$1:$T$1,0))&amp;""),"")&lt;&gt;"",IFERROR(TRIM(INDEX($A328:$T328,MATCH(Lists!$F$7,$A$1:$T$1,0))&amp;""),""),IF(IFERROR(TRIM(INDEX($A328:$T328,MATCH(Lists!$F$8,$A$1:$T$1,0))&amp;""),"")&lt;&gt;"",IFERROR(TRIM(INDEX($A328:$T328,MATCH(Lists!$F$8,$A$1:$T$1,0))&amp;""),""),"(no item given)"))))</f>
        <v/>
      </c>
      <c r="AC328" s="21">
        <f>IF(Y328="","",IF(ISNUMBER(SEARCH("support",IFERROR(TRIM(INDEX($A328:$T328,MATCH(Lists!$F$9,$A$1:$T$1,0))&amp;""),""))),"Support",IF(ISNUMBER(SEARCH("oppose",IFERROR(TRIM(INDEX($A328:$T328,MATCH(Lists!$F$9,$A$1:$T$1,0))&amp;""),""))),"Oppose",IF(IFERROR(TRIM(INDEX($A328:$T328,MATCH(Lists!$F$9,$A$1:$T$1,0))&amp;""),"")="","No position","Neither"))))</f>
        <v/>
      </c>
      <c r="AD328" s="21">
        <f>IF(Y328="","",IF(ISNUMBER(SEARCH("in person",IFERROR(TRIM(INDEX($A328:$T328,MATCH(Lists!$F$13,$A$1:$T$1,0))&amp;""),""))),"In person",IF(ISNUMBER(SEARCH("online",IFERROR(TRIM(INDEX($A328:$T328,MATCH(Lists!$F$13,$A$1:$T$1,0))&amp;""),""))),"Online","Written only")))</f>
        <v/>
      </c>
      <c r="AE328" s="21">
        <f>IF(Y328="","",IFERROR(TRIM(INDEX($A328:$T328,MATCH(Lists!$F$11,$A$1:$T$1,0))&amp;""),""))</f>
        <v/>
      </c>
      <c r="AF328" s="21">
        <f>IF(Y328="","",IFERROR(TRIM(INDEX($A328:$T328,MATCH(Lists!$F$12,$A$1:$T$1,0))&amp;""),""))</f>
        <v/>
      </c>
      <c r="AG328" s="21">
        <f>IF(Y328="","",IFERROR(TRIM(INDEX($A328:$T328,MATCH(Lists!$F$14,$A$1:$T$1,0))&amp;""),""))</f>
        <v/>
      </c>
      <c r="AH328" s="21">
        <f>IF(Y328="","",LEFT(IFERROR(TRIM(INDEX($A328:$T328,MATCH(Lists!$F$10,$A$1:$T$1,0))&amp;""),""),80))</f>
        <v/>
      </c>
      <c r="AI328" s="21">
        <f>IF(Y328="",0,IF(OR(Tally!$B$5="",AA328=Tally!$B$5),1,0))</f>
        <v/>
      </c>
      <c r="AJ328" s="21">
        <f>IF(AI328=1,IF(COUNTIFS($AB$2:AB328,AB328,$AI$2:AI328,1)=1,1,0),0)</f>
        <v/>
      </c>
      <c r="AK328" s="21">
        <f>IF(AJ328=1,SUM($AJ$2:AJ328),"")</f>
        <v/>
      </c>
      <c r="AL328" s="21">
        <f>IF(AND(AI328=1,OR(AD328="In person",AD328="Online"),OR(Speakers!$B$5="",AB328=Speakers!$B$5)),N(Z328)+ROW()/1000000000,"")</f>
        <v/>
      </c>
    </row>
    <row r="329">
      <c r="U329" s="19" t="n"/>
      <c r="V329" s="24" t="n"/>
      <c r="W329" s="24" t="n"/>
      <c r="X329" s="19" t="n"/>
      <c r="Y329" s="21">
        <f>IFERROR(TRIM(INDEX($A329:$T329,MATCH(Lists!$F$2,$A$1:$T$1,0))&amp;""),"")</f>
        <v/>
      </c>
      <c r="Z329" s="22">
        <f>IF(Y329="","",IFERROR(IF(ISNUMBER(INDEX($A329:$T329,MATCH(Lists!$F$3,$A$1:$T$1,0))),INDEX($A329:$T329,MATCH(Lists!$F$3,$A$1:$T$1,0)),DATE(VALUE(LEFT(IFERROR(TRIM(INDEX($A329:$T329,MATCH(Lists!$F$3,$A$1:$T$1,0))&amp;""),""),4)),VALUE(MID(IFERROR(TRIM(INDEX($A329:$T329,MATCH(Lists!$F$3,$A$1:$T$1,0))&amp;""),""),6,2)),VALUE(MID(IFERROR(TRIM(INDEX($A329:$T329,MATCH(Lists!$F$3,$A$1:$T$1,0))&amp;""),""),9,2)))+TIME(VALUE(MID(IFERROR(TRIM(INDEX($A329:$T329,MATCH(Lists!$F$3,$A$1:$T$1,0))&amp;""),""),12,2)),VALUE(MID(IFERROR(TRIM(INDEX($A329:$T329,MATCH(Lists!$F$3,$A$1:$T$1,0))&amp;""),""),15,2)),VALUE(MID(IFERROR(TRIM(INDEX($A329:$T329,MATCH(Lists!$F$3,$A$1:$T$1,0))&amp;""),""),18,2)))),""))</f>
        <v/>
      </c>
      <c r="AA329" s="23">
        <f>IF(Y329="","",IF(ISNUMBER(IFERROR(IF(TRIM(INDEX($A329:$T329,MATCH(Lists!$F$4,$A$1:$T$1,0))&amp;"")="","",IF(ISNUMBER(INDEX($A329:$T329,MATCH(Lists!$F$4,$A$1:$T$1,0))),INT(INDEX($A329:$T329,MATCH(Lists!$F$4,$A$1:$T$1,0))),DATE(VALUE(LEFT(INDEX($A329:$T329,MATCH(Lists!$F$4,$A$1:$T$1,0)),4)),VALUE(MID(INDEX($A329:$T329,MATCH(Lists!$F$4,$A$1:$T$1,0)),6,2)),VALUE(MID(INDEX($A329:$T329,MATCH(Lists!$F$4,$A$1:$T$1,0)),9,2))))),"")),IFERROR(IF(TRIM(INDEX($A329:$T329,MATCH(Lists!$F$4,$A$1:$T$1,0))&amp;"")="","",IF(ISNUMBER(INDEX($A329:$T329,MATCH(Lists!$F$4,$A$1:$T$1,0))),INT(INDEX($A329:$T329,MATCH(Lists!$F$4,$A$1:$T$1,0))),DATE(VALUE(LEFT(INDEX($A329:$T329,MATCH(Lists!$F$4,$A$1:$T$1,0)),4)),VALUE(MID(INDEX($A329:$T329,MATCH(Lists!$F$4,$A$1:$T$1,0)),6,2)),VALUE(MID(INDEX($A329:$T329,MATCH(Lists!$F$4,$A$1:$T$1,0)),9,2))))),""),IFERROR(IF(TRIM(INDEX($A329:$T329,MATCH(Lists!$F$5,$A$1:$T$1,0))&amp;"")="","",IF(ISNUMBER(INDEX($A329:$T329,MATCH(Lists!$F$5,$A$1:$T$1,0))),INT(INDEX($A329:$T329,MATCH(Lists!$F$5,$A$1:$T$1,0))),DATE(VALUE(LEFT(INDEX($A329:$T329,MATCH(Lists!$F$5,$A$1:$T$1,0)),4)),VALUE(MID(INDEX($A329:$T329,MATCH(Lists!$F$5,$A$1:$T$1,0)),6,2)),VALUE(MID(INDEX($A329:$T329,MATCH(Lists!$F$5,$A$1:$T$1,0)),9,2))))),"")))</f>
        <v/>
      </c>
      <c r="AB329" s="21">
        <f>IF(Y329="","",IF(LEFT(IFERROR(TRIM(INDEX($A329:$T329,MATCH(Lists!$F$6,$A$1:$T$1,0))&amp;""),""),2)="No","General comment",IF(IFERROR(TRIM(INDEX($A329:$T329,MATCH(Lists!$F$7,$A$1:$T$1,0))&amp;""),"")&lt;&gt;"",IFERROR(TRIM(INDEX($A329:$T329,MATCH(Lists!$F$7,$A$1:$T$1,0))&amp;""),""),IF(IFERROR(TRIM(INDEX($A329:$T329,MATCH(Lists!$F$8,$A$1:$T$1,0))&amp;""),"")&lt;&gt;"",IFERROR(TRIM(INDEX($A329:$T329,MATCH(Lists!$F$8,$A$1:$T$1,0))&amp;""),""),"(no item given)"))))</f>
        <v/>
      </c>
      <c r="AC329" s="21">
        <f>IF(Y329="","",IF(ISNUMBER(SEARCH("support",IFERROR(TRIM(INDEX($A329:$T329,MATCH(Lists!$F$9,$A$1:$T$1,0))&amp;""),""))),"Support",IF(ISNUMBER(SEARCH("oppose",IFERROR(TRIM(INDEX($A329:$T329,MATCH(Lists!$F$9,$A$1:$T$1,0))&amp;""),""))),"Oppose",IF(IFERROR(TRIM(INDEX($A329:$T329,MATCH(Lists!$F$9,$A$1:$T$1,0))&amp;""),"")="","No position","Neither"))))</f>
        <v/>
      </c>
      <c r="AD329" s="21">
        <f>IF(Y329="","",IF(ISNUMBER(SEARCH("in person",IFERROR(TRIM(INDEX($A329:$T329,MATCH(Lists!$F$13,$A$1:$T$1,0))&amp;""),""))),"In person",IF(ISNUMBER(SEARCH("online",IFERROR(TRIM(INDEX($A329:$T329,MATCH(Lists!$F$13,$A$1:$T$1,0))&amp;""),""))),"Online","Written only")))</f>
        <v/>
      </c>
      <c r="AE329" s="21">
        <f>IF(Y329="","",IFERROR(TRIM(INDEX($A329:$T329,MATCH(Lists!$F$11,$A$1:$T$1,0))&amp;""),""))</f>
        <v/>
      </c>
      <c r="AF329" s="21">
        <f>IF(Y329="","",IFERROR(TRIM(INDEX($A329:$T329,MATCH(Lists!$F$12,$A$1:$T$1,0))&amp;""),""))</f>
        <v/>
      </c>
      <c r="AG329" s="21">
        <f>IF(Y329="","",IFERROR(TRIM(INDEX($A329:$T329,MATCH(Lists!$F$14,$A$1:$T$1,0))&amp;""),""))</f>
        <v/>
      </c>
      <c r="AH329" s="21">
        <f>IF(Y329="","",LEFT(IFERROR(TRIM(INDEX($A329:$T329,MATCH(Lists!$F$10,$A$1:$T$1,0))&amp;""),""),80))</f>
        <v/>
      </c>
      <c r="AI329" s="21">
        <f>IF(Y329="",0,IF(OR(Tally!$B$5="",AA329=Tally!$B$5),1,0))</f>
        <v/>
      </c>
      <c r="AJ329" s="21">
        <f>IF(AI329=1,IF(COUNTIFS($AB$2:AB329,AB329,$AI$2:AI329,1)=1,1,0),0)</f>
        <v/>
      </c>
      <c r="AK329" s="21">
        <f>IF(AJ329=1,SUM($AJ$2:AJ329),"")</f>
        <v/>
      </c>
      <c r="AL329" s="21">
        <f>IF(AND(AI329=1,OR(AD329="In person",AD329="Online"),OR(Speakers!$B$5="",AB329=Speakers!$B$5)),N(Z329)+ROW()/1000000000,"")</f>
        <v/>
      </c>
    </row>
    <row r="330">
      <c r="U330" s="19" t="n"/>
      <c r="V330" s="24" t="n"/>
      <c r="W330" s="24" t="n"/>
      <c r="X330" s="19" t="n"/>
      <c r="Y330" s="21">
        <f>IFERROR(TRIM(INDEX($A330:$T330,MATCH(Lists!$F$2,$A$1:$T$1,0))&amp;""),"")</f>
        <v/>
      </c>
      <c r="Z330" s="22">
        <f>IF(Y330="","",IFERROR(IF(ISNUMBER(INDEX($A330:$T330,MATCH(Lists!$F$3,$A$1:$T$1,0))),INDEX($A330:$T330,MATCH(Lists!$F$3,$A$1:$T$1,0)),DATE(VALUE(LEFT(IFERROR(TRIM(INDEX($A330:$T330,MATCH(Lists!$F$3,$A$1:$T$1,0))&amp;""),""),4)),VALUE(MID(IFERROR(TRIM(INDEX($A330:$T330,MATCH(Lists!$F$3,$A$1:$T$1,0))&amp;""),""),6,2)),VALUE(MID(IFERROR(TRIM(INDEX($A330:$T330,MATCH(Lists!$F$3,$A$1:$T$1,0))&amp;""),""),9,2)))+TIME(VALUE(MID(IFERROR(TRIM(INDEX($A330:$T330,MATCH(Lists!$F$3,$A$1:$T$1,0))&amp;""),""),12,2)),VALUE(MID(IFERROR(TRIM(INDEX($A330:$T330,MATCH(Lists!$F$3,$A$1:$T$1,0))&amp;""),""),15,2)),VALUE(MID(IFERROR(TRIM(INDEX($A330:$T330,MATCH(Lists!$F$3,$A$1:$T$1,0))&amp;""),""),18,2)))),""))</f>
        <v/>
      </c>
      <c r="AA330" s="23">
        <f>IF(Y330="","",IF(ISNUMBER(IFERROR(IF(TRIM(INDEX($A330:$T330,MATCH(Lists!$F$4,$A$1:$T$1,0))&amp;"")="","",IF(ISNUMBER(INDEX($A330:$T330,MATCH(Lists!$F$4,$A$1:$T$1,0))),INT(INDEX($A330:$T330,MATCH(Lists!$F$4,$A$1:$T$1,0))),DATE(VALUE(LEFT(INDEX($A330:$T330,MATCH(Lists!$F$4,$A$1:$T$1,0)),4)),VALUE(MID(INDEX($A330:$T330,MATCH(Lists!$F$4,$A$1:$T$1,0)),6,2)),VALUE(MID(INDEX($A330:$T330,MATCH(Lists!$F$4,$A$1:$T$1,0)),9,2))))),"")),IFERROR(IF(TRIM(INDEX($A330:$T330,MATCH(Lists!$F$4,$A$1:$T$1,0))&amp;"")="","",IF(ISNUMBER(INDEX($A330:$T330,MATCH(Lists!$F$4,$A$1:$T$1,0))),INT(INDEX($A330:$T330,MATCH(Lists!$F$4,$A$1:$T$1,0))),DATE(VALUE(LEFT(INDEX($A330:$T330,MATCH(Lists!$F$4,$A$1:$T$1,0)),4)),VALUE(MID(INDEX($A330:$T330,MATCH(Lists!$F$4,$A$1:$T$1,0)),6,2)),VALUE(MID(INDEX($A330:$T330,MATCH(Lists!$F$4,$A$1:$T$1,0)),9,2))))),""),IFERROR(IF(TRIM(INDEX($A330:$T330,MATCH(Lists!$F$5,$A$1:$T$1,0))&amp;"")="","",IF(ISNUMBER(INDEX($A330:$T330,MATCH(Lists!$F$5,$A$1:$T$1,0))),INT(INDEX($A330:$T330,MATCH(Lists!$F$5,$A$1:$T$1,0))),DATE(VALUE(LEFT(INDEX($A330:$T330,MATCH(Lists!$F$5,$A$1:$T$1,0)),4)),VALUE(MID(INDEX($A330:$T330,MATCH(Lists!$F$5,$A$1:$T$1,0)),6,2)),VALUE(MID(INDEX($A330:$T330,MATCH(Lists!$F$5,$A$1:$T$1,0)),9,2))))),"")))</f>
        <v/>
      </c>
      <c r="AB330" s="21">
        <f>IF(Y330="","",IF(LEFT(IFERROR(TRIM(INDEX($A330:$T330,MATCH(Lists!$F$6,$A$1:$T$1,0))&amp;""),""),2)="No","General comment",IF(IFERROR(TRIM(INDEX($A330:$T330,MATCH(Lists!$F$7,$A$1:$T$1,0))&amp;""),"")&lt;&gt;"",IFERROR(TRIM(INDEX($A330:$T330,MATCH(Lists!$F$7,$A$1:$T$1,0))&amp;""),""),IF(IFERROR(TRIM(INDEX($A330:$T330,MATCH(Lists!$F$8,$A$1:$T$1,0))&amp;""),"")&lt;&gt;"",IFERROR(TRIM(INDEX($A330:$T330,MATCH(Lists!$F$8,$A$1:$T$1,0))&amp;""),""),"(no item given)"))))</f>
        <v/>
      </c>
      <c r="AC330" s="21">
        <f>IF(Y330="","",IF(ISNUMBER(SEARCH("support",IFERROR(TRIM(INDEX($A330:$T330,MATCH(Lists!$F$9,$A$1:$T$1,0))&amp;""),""))),"Support",IF(ISNUMBER(SEARCH("oppose",IFERROR(TRIM(INDEX($A330:$T330,MATCH(Lists!$F$9,$A$1:$T$1,0))&amp;""),""))),"Oppose",IF(IFERROR(TRIM(INDEX($A330:$T330,MATCH(Lists!$F$9,$A$1:$T$1,0))&amp;""),"")="","No position","Neither"))))</f>
        <v/>
      </c>
      <c r="AD330" s="21">
        <f>IF(Y330="","",IF(ISNUMBER(SEARCH("in person",IFERROR(TRIM(INDEX($A330:$T330,MATCH(Lists!$F$13,$A$1:$T$1,0))&amp;""),""))),"In person",IF(ISNUMBER(SEARCH("online",IFERROR(TRIM(INDEX($A330:$T330,MATCH(Lists!$F$13,$A$1:$T$1,0))&amp;""),""))),"Online","Written only")))</f>
        <v/>
      </c>
      <c r="AE330" s="21">
        <f>IF(Y330="","",IFERROR(TRIM(INDEX($A330:$T330,MATCH(Lists!$F$11,$A$1:$T$1,0))&amp;""),""))</f>
        <v/>
      </c>
      <c r="AF330" s="21">
        <f>IF(Y330="","",IFERROR(TRIM(INDEX($A330:$T330,MATCH(Lists!$F$12,$A$1:$T$1,0))&amp;""),""))</f>
        <v/>
      </c>
      <c r="AG330" s="21">
        <f>IF(Y330="","",IFERROR(TRIM(INDEX($A330:$T330,MATCH(Lists!$F$14,$A$1:$T$1,0))&amp;""),""))</f>
        <v/>
      </c>
      <c r="AH330" s="21">
        <f>IF(Y330="","",LEFT(IFERROR(TRIM(INDEX($A330:$T330,MATCH(Lists!$F$10,$A$1:$T$1,0))&amp;""),""),80))</f>
        <v/>
      </c>
      <c r="AI330" s="21">
        <f>IF(Y330="",0,IF(OR(Tally!$B$5="",AA330=Tally!$B$5),1,0))</f>
        <v/>
      </c>
      <c r="AJ330" s="21">
        <f>IF(AI330=1,IF(COUNTIFS($AB$2:AB330,AB330,$AI$2:AI330,1)=1,1,0),0)</f>
        <v/>
      </c>
      <c r="AK330" s="21">
        <f>IF(AJ330=1,SUM($AJ$2:AJ330),"")</f>
        <v/>
      </c>
      <c r="AL330" s="21">
        <f>IF(AND(AI330=1,OR(AD330="In person",AD330="Online"),OR(Speakers!$B$5="",AB330=Speakers!$B$5)),N(Z330)+ROW()/1000000000,"")</f>
        <v/>
      </c>
    </row>
    <row r="331">
      <c r="U331" s="19" t="n"/>
      <c r="V331" s="24" t="n"/>
      <c r="W331" s="24" t="n"/>
      <c r="X331" s="19" t="n"/>
      <c r="Y331" s="21">
        <f>IFERROR(TRIM(INDEX($A331:$T331,MATCH(Lists!$F$2,$A$1:$T$1,0))&amp;""),"")</f>
        <v/>
      </c>
      <c r="Z331" s="22">
        <f>IF(Y331="","",IFERROR(IF(ISNUMBER(INDEX($A331:$T331,MATCH(Lists!$F$3,$A$1:$T$1,0))),INDEX($A331:$T331,MATCH(Lists!$F$3,$A$1:$T$1,0)),DATE(VALUE(LEFT(IFERROR(TRIM(INDEX($A331:$T331,MATCH(Lists!$F$3,$A$1:$T$1,0))&amp;""),""),4)),VALUE(MID(IFERROR(TRIM(INDEX($A331:$T331,MATCH(Lists!$F$3,$A$1:$T$1,0))&amp;""),""),6,2)),VALUE(MID(IFERROR(TRIM(INDEX($A331:$T331,MATCH(Lists!$F$3,$A$1:$T$1,0))&amp;""),""),9,2)))+TIME(VALUE(MID(IFERROR(TRIM(INDEX($A331:$T331,MATCH(Lists!$F$3,$A$1:$T$1,0))&amp;""),""),12,2)),VALUE(MID(IFERROR(TRIM(INDEX($A331:$T331,MATCH(Lists!$F$3,$A$1:$T$1,0))&amp;""),""),15,2)),VALUE(MID(IFERROR(TRIM(INDEX($A331:$T331,MATCH(Lists!$F$3,$A$1:$T$1,0))&amp;""),""),18,2)))),""))</f>
        <v/>
      </c>
      <c r="AA331" s="23">
        <f>IF(Y331="","",IF(ISNUMBER(IFERROR(IF(TRIM(INDEX($A331:$T331,MATCH(Lists!$F$4,$A$1:$T$1,0))&amp;"")="","",IF(ISNUMBER(INDEX($A331:$T331,MATCH(Lists!$F$4,$A$1:$T$1,0))),INT(INDEX($A331:$T331,MATCH(Lists!$F$4,$A$1:$T$1,0))),DATE(VALUE(LEFT(INDEX($A331:$T331,MATCH(Lists!$F$4,$A$1:$T$1,0)),4)),VALUE(MID(INDEX($A331:$T331,MATCH(Lists!$F$4,$A$1:$T$1,0)),6,2)),VALUE(MID(INDEX($A331:$T331,MATCH(Lists!$F$4,$A$1:$T$1,0)),9,2))))),"")),IFERROR(IF(TRIM(INDEX($A331:$T331,MATCH(Lists!$F$4,$A$1:$T$1,0))&amp;"")="","",IF(ISNUMBER(INDEX($A331:$T331,MATCH(Lists!$F$4,$A$1:$T$1,0))),INT(INDEX($A331:$T331,MATCH(Lists!$F$4,$A$1:$T$1,0))),DATE(VALUE(LEFT(INDEX($A331:$T331,MATCH(Lists!$F$4,$A$1:$T$1,0)),4)),VALUE(MID(INDEX($A331:$T331,MATCH(Lists!$F$4,$A$1:$T$1,0)),6,2)),VALUE(MID(INDEX($A331:$T331,MATCH(Lists!$F$4,$A$1:$T$1,0)),9,2))))),""),IFERROR(IF(TRIM(INDEX($A331:$T331,MATCH(Lists!$F$5,$A$1:$T$1,0))&amp;"")="","",IF(ISNUMBER(INDEX($A331:$T331,MATCH(Lists!$F$5,$A$1:$T$1,0))),INT(INDEX($A331:$T331,MATCH(Lists!$F$5,$A$1:$T$1,0))),DATE(VALUE(LEFT(INDEX($A331:$T331,MATCH(Lists!$F$5,$A$1:$T$1,0)),4)),VALUE(MID(INDEX($A331:$T331,MATCH(Lists!$F$5,$A$1:$T$1,0)),6,2)),VALUE(MID(INDEX($A331:$T331,MATCH(Lists!$F$5,$A$1:$T$1,0)),9,2))))),"")))</f>
        <v/>
      </c>
      <c r="AB331" s="21">
        <f>IF(Y331="","",IF(LEFT(IFERROR(TRIM(INDEX($A331:$T331,MATCH(Lists!$F$6,$A$1:$T$1,0))&amp;""),""),2)="No","General comment",IF(IFERROR(TRIM(INDEX($A331:$T331,MATCH(Lists!$F$7,$A$1:$T$1,0))&amp;""),"")&lt;&gt;"",IFERROR(TRIM(INDEX($A331:$T331,MATCH(Lists!$F$7,$A$1:$T$1,0))&amp;""),""),IF(IFERROR(TRIM(INDEX($A331:$T331,MATCH(Lists!$F$8,$A$1:$T$1,0))&amp;""),"")&lt;&gt;"",IFERROR(TRIM(INDEX($A331:$T331,MATCH(Lists!$F$8,$A$1:$T$1,0))&amp;""),""),"(no item given)"))))</f>
        <v/>
      </c>
      <c r="AC331" s="21">
        <f>IF(Y331="","",IF(ISNUMBER(SEARCH("support",IFERROR(TRIM(INDEX($A331:$T331,MATCH(Lists!$F$9,$A$1:$T$1,0))&amp;""),""))),"Support",IF(ISNUMBER(SEARCH("oppose",IFERROR(TRIM(INDEX($A331:$T331,MATCH(Lists!$F$9,$A$1:$T$1,0))&amp;""),""))),"Oppose",IF(IFERROR(TRIM(INDEX($A331:$T331,MATCH(Lists!$F$9,$A$1:$T$1,0))&amp;""),"")="","No position","Neither"))))</f>
        <v/>
      </c>
      <c r="AD331" s="21">
        <f>IF(Y331="","",IF(ISNUMBER(SEARCH("in person",IFERROR(TRIM(INDEX($A331:$T331,MATCH(Lists!$F$13,$A$1:$T$1,0))&amp;""),""))),"In person",IF(ISNUMBER(SEARCH("online",IFERROR(TRIM(INDEX($A331:$T331,MATCH(Lists!$F$13,$A$1:$T$1,0))&amp;""),""))),"Online","Written only")))</f>
        <v/>
      </c>
      <c r="AE331" s="21">
        <f>IF(Y331="","",IFERROR(TRIM(INDEX($A331:$T331,MATCH(Lists!$F$11,$A$1:$T$1,0))&amp;""),""))</f>
        <v/>
      </c>
      <c r="AF331" s="21">
        <f>IF(Y331="","",IFERROR(TRIM(INDEX($A331:$T331,MATCH(Lists!$F$12,$A$1:$T$1,0))&amp;""),""))</f>
        <v/>
      </c>
      <c r="AG331" s="21">
        <f>IF(Y331="","",IFERROR(TRIM(INDEX($A331:$T331,MATCH(Lists!$F$14,$A$1:$T$1,0))&amp;""),""))</f>
        <v/>
      </c>
      <c r="AH331" s="21">
        <f>IF(Y331="","",LEFT(IFERROR(TRIM(INDEX($A331:$T331,MATCH(Lists!$F$10,$A$1:$T$1,0))&amp;""),""),80))</f>
        <v/>
      </c>
      <c r="AI331" s="21">
        <f>IF(Y331="",0,IF(OR(Tally!$B$5="",AA331=Tally!$B$5),1,0))</f>
        <v/>
      </c>
      <c r="AJ331" s="21">
        <f>IF(AI331=1,IF(COUNTIFS($AB$2:AB331,AB331,$AI$2:AI331,1)=1,1,0),0)</f>
        <v/>
      </c>
      <c r="AK331" s="21">
        <f>IF(AJ331=1,SUM($AJ$2:AJ331),"")</f>
        <v/>
      </c>
      <c r="AL331" s="21">
        <f>IF(AND(AI331=1,OR(AD331="In person",AD331="Online"),OR(Speakers!$B$5="",AB331=Speakers!$B$5)),N(Z331)+ROW()/1000000000,"")</f>
        <v/>
      </c>
    </row>
    <row r="332">
      <c r="U332" s="19" t="n"/>
      <c r="V332" s="24" t="n"/>
      <c r="W332" s="24" t="n"/>
      <c r="X332" s="19" t="n"/>
      <c r="Y332" s="21">
        <f>IFERROR(TRIM(INDEX($A332:$T332,MATCH(Lists!$F$2,$A$1:$T$1,0))&amp;""),"")</f>
        <v/>
      </c>
      <c r="Z332" s="22">
        <f>IF(Y332="","",IFERROR(IF(ISNUMBER(INDEX($A332:$T332,MATCH(Lists!$F$3,$A$1:$T$1,0))),INDEX($A332:$T332,MATCH(Lists!$F$3,$A$1:$T$1,0)),DATE(VALUE(LEFT(IFERROR(TRIM(INDEX($A332:$T332,MATCH(Lists!$F$3,$A$1:$T$1,0))&amp;""),""),4)),VALUE(MID(IFERROR(TRIM(INDEX($A332:$T332,MATCH(Lists!$F$3,$A$1:$T$1,0))&amp;""),""),6,2)),VALUE(MID(IFERROR(TRIM(INDEX($A332:$T332,MATCH(Lists!$F$3,$A$1:$T$1,0))&amp;""),""),9,2)))+TIME(VALUE(MID(IFERROR(TRIM(INDEX($A332:$T332,MATCH(Lists!$F$3,$A$1:$T$1,0))&amp;""),""),12,2)),VALUE(MID(IFERROR(TRIM(INDEX($A332:$T332,MATCH(Lists!$F$3,$A$1:$T$1,0))&amp;""),""),15,2)),VALUE(MID(IFERROR(TRIM(INDEX($A332:$T332,MATCH(Lists!$F$3,$A$1:$T$1,0))&amp;""),""),18,2)))),""))</f>
        <v/>
      </c>
      <c r="AA332" s="23">
        <f>IF(Y332="","",IF(ISNUMBER(IFERROR(IF(TRIM(INDEX($A332:$T332,MATCH(Lists!$F$4,$A$1:$T$1,0))&amp;"")="","",IF(ISNUMBER(INDEX($A332:$T332,MATCH(Lists!$F$4,$A$1:$T$1,0))),INT(INDEX($A332:$T332,MATCH(Lists!$F$4,$A$1:$T$1,0))),DATE(VALUE(LEFT(INDEX($A332:$T332,MATCH(Lists!$F$4,$A$1:$T$1,0)),4)),VALUE(MID(INDEX($A332:$T332,MATCH(Lists!$F$4,$A$1:$T$1,0)),6,2)),VALUE(MID(INDEX($A332:$T332,MATCH(Lists!$F$4,$A$1:$T$1,0)),9,2))))),"")),IFERROR(IF(TRIM(INDEX($A332:$T332,MATCH(Lists!$F$4,$A$1:$T$1,0))&amp;"")="","",IF(ISNUMBER(INDEX($A332:$T332,MATCH(Lists!$F$4,$A$1:$T$1,0))),INT(INDEX($A332:$T332,MATCH(Lists!$F$4,$A$1:$T$1,0))),DATE(VALUE(LEFT(INDEX($A332:$T332,MATCH(Lists!$F$4,$A$1:$T$1,0)),4)),VALUE(MID(INDEX($A332:$T332,MATCH(Lists!$F$4,$A$1:$T$1,0)),6,2)),VALUE(MID(INDEX($A332:$T332,MATCH(Lists!$F$4,$A$1:$T$1,0)),9,2))))),""),IFERROR(IF(TRIM(INDEX($A332:$T332,MATCH(Lists!$F$5,$A$1:$T$1,0))&amp;"")="","",IF(ISNUMBER(INDEX($A332:$T332,MATCH(Lists!$F$5,$A$1:$T$1,0))),INT(INDEX($A332:$T332,MATCH(Lists!$F$5,$A$1:$T$1,0))),DATE(VALUE(LEFT(INDEX($A332:$T332,MATCH(Lists!$F$5,$A$1:$T$1,0)),4)),VALUE(MID(INDEX($A332:$T332,MATCH(Lists!$F$5,$A$1:$T$1,0)),6,2)),VALUE(MID(INDEX($A332:$T332,MATCH(Lists!$F$5,$A$1:$T$1,0)),9,2))))),"")))</f>
        <v/>
      </c>
      <c r="AB332" s="21">
        <f>IF(Y332="","",IF(LEFT(IFERROR(TRIM(INDEX($A332:$T332,MATCH(Lists!$F$6,$A$1:$T$1,0))&amp;""),""),2)="No","General comment",IF(IFERROR(TRIM(INDEX($A332:$T332,MATCH(Lists!$F$7,$A$1:$T$1,0))&amp;""),"")&lt;&gt;"",IFERROR(TRIM(INDEX($A332:$T332,MATCH(Lists!$F$7,$A$1:$T$1,0))&amp;""),""),IF(IFERROR(TRIM(INDEX($A332:$T332,MATCH(Lists!$F$8,$A$1:$T$1,0))&amp;""),"")&lt;&gt;"",IFERROR(TRIM(INDEX($A332:$T332,MATCH(Lists!$F$8,$A$1:$T$1,0))&amp;""),""),"(no item given)"))))</f>
        <v/>
      </c>
      <c r="AC332" s="21">
        <f>IF(Y332="","",IF(ISNUMBER(SEARCH("support",IFERROR(TRIM(INDEX($A332:$T332,MATCH(Lists!$F$9,$A$1:$T$1,0))&amp;""),""))),"Support",IF(ISNUMBER(SEARCH("oppose",IFERROR(TRIM(INDEX($A332:$T332,MATCH(Lists!$F$9,$A$1:$T$1,0))&amp;""),""))),"Oppose",IF(IFERROR(TRIM(INDEX($A332:$T332,MATCH(Lists!$F$9,$A$1:$T$1,0))&amp;""),"")="","No position","Neither"))))</f>
        <v/>
      </c>
      <c r="AD332" s="21">
        <f>IF(Y332="","",IF(ISNUMBER(SEARCH("in person",IFERROR(TRIM(INDEX($A332:$T332,MATCH(Lists!$F$13,$A$1:$T$1,0))&amp;""),""))),"In person",IF(ISNUMBER(SEARCH("online",IFERROR(TRIM(INDEX($A332:$T332,MATCH(Lists!$F$13,$A$1:$T$1,0))&amp;""),""))),"Online","Written only")))</f>
        <v/>
      </c>
      <c r="AE332" s="21">
        <f>IF(Y332="","",IFERROR(TRIM(INDEX($A332:$T332,MATCH(Lists!$F$11,$A$1:$T$1,0))&amp;""),""))</f>
        <v/>
      </c>
      <c r="AF332" s="21">
        <f>IF(Y332="","",IFERROR(TRIM(INDEX($A332:$T332,MATCH(Lists!$F$12,$A$1:$T$1,0))&amp;""),""))</f>
        <v/>
      </c>
      <c r="AG332" s="21">
        <f>IF(Y332="","",IFERROR(TRIM(INDEX($A332:$T332,MATCH(Lists!$F$14,$A$1:$T$1,0))&amp;""),""))</f>
        <v/>
      </c>
      <c r="AH332" s="21">
        <f>IF(Y332="","",LEFT(IFERROR(TRIM(INDEX($A332:$T332,MATCH(Lists!$F$10,$A$1:$T$1,0))&amp;""),""),80))</f>
        <v/>
      </c>
      <c r="AI332" s="21">
        <f>IF(Y332="",0,IF(OR(Tally!$B$5="",AA332=Tally!$B$5),1,0))</f>
        <v/>
      </c>
      <c r="AJ332" s="21">
        <f>IF(AI332=1,IF(COUNTIFS($AB$2:AB332,AB332,$AI$2:AI332,1)=1,1,0),0)</f>
        <v/>
      </c>
      <c r="AK332" s="21">
        <f>IF(AJ332=1,SUM($AJ$2:AJ332),"")</f>
        <v/>
      </c>
      <c r="AL332" s="21">
        <f>IF(AND(AI332=1,OR(AD332="In person",AD332="Online"),OR(Speakers!$B$5="",AB332=Speakers!$B$5)),N(Z332)+ROW()/1000000000,"")</f>
        <v/>
      </c>
    </row>
    <row r="333">
      <c r="U333" s="19" t="n"/>
      <c r="V333" s="24" t="n"/>
      <c r="W333" s="24" t="n"/>
      <c r="X333" s="19" t="n"/>
      <c r="Y333" s="21">
        <f>IFERROR(TRIM(INDEX($A333:$T333,MATCH(Lists!$F$2,$A$1:$T$1,0))&amp;""),"")</f>
        <v/>
      </c>
      <c r="Z333" s="22">
        <f>IF(Y333="","",IFERROR(IF(ISNUMBER(INDEX($A333:$T333,MATCH(Lists!$F$3,$A$1:$T$1,0))),INDEX($A333:$T333,MATCH(Lists!$F$3,$A$1:$T$1,0)),DATE(VALUE(LEFT(IFERROR(TRIM(INDEX($A333:$T333,MATCH(Lists!$F$3,$A$1:$T$1,0))&amp;""),""),4)),VALUE(MID(IFERROR(TRIM(INDEX($A333:$T333,MATCH(Lists!$F$3,$A$1:$T$1,0))&amp;""),""),6,2)),VALUE(MID(IFERROR(TRIM(INDEX($A333:$T333,MATCH(Lists!$F$3,$A$1:$T$1,0))&amp;""),""),9,2)))+TIME(VALUE(MID(IFERROR(TRIM(INDEX($A333:$T333,MATCH(Lists!$F$3,$A$1:$T$1,0))&amp;""),""),12,2)),VALUE(MID(IFERROR(TRIM(INDEX($A333:$T333,MATCH(Lists!$F$3,$A$1:$T$1,0))&amp;""),""),15,2)),VALUE(MID(IFERROR(TRIM(INDEX($A333:$T333,MATCH(Lists!$F$3,$A$1:$T$1,0))&amp;""),""),18,2)))),""))</f>
        <v/>
      </c>
      <c r="AA333" s="23">
        <f>IF(Y333="","",IF(ISNUMBER(IFERROR(IF(TRIM(INDEX($A333:$T333,MATCH(Lists!$F$4,$A$1:$T$1,0))&amp;"")="","",IF(ISNUMBER(INDEX($A333:$T333,MATCH(Lists!$F$4,$A$1:$T$1,0))),INT(INDEX($A333:$T333,MATCH(Lists!$F$4,$A$1:$T$1,0))),DATE(VALUE(LEFT(INDEX($A333:$T333,MATCH(Lists!$F$4,$A$1:$T$1,0)),4)),VALUE(MID(INDEX($A333:$T333,MATCH(Lists!$F$4,$A$1:$T$1,0)),6,2)),VALUE(MID(INDEX($A333:$T333,MATCH(Lists!$F$4,$A$1:$T$1,0)),9,2))))),"")),IFERROR(IF(TRIM(INDEX($A333:$T333,MATCH(Lists!$F$4,$A$1:$T$1,0))&amp;"")="","",IF(ISNUMBER(INDEX($A333:$T333,MATCH(Lists!$F$4,$A$1:$T$1,0))),INT(INDEX($A333:$T333,MATCH(Lists!$F$4,$A$1:$T$1,0))),DATE(VALUE(LEFT(INDEX($A333:$T333,MATCH(Lists!$F$4,$A$1:$T$1,0)),4)),VALUE(MID(INDEX($A333:$T333,MATCH(Lists!$F$4,$A$1:$T$1,0)),6,2)),VALUE(MID(INDEX($A333:$T333,MATCH(Lists!$F$4,$A$1:$T$1,0)),9,2))))),""),IFERROR(IF(TRIM(INDEX($A333:$T333,MATCH(Lists!$F$5,$A$1:$T$1,0))&amp;"")="","",IF(ISNUMBER(INDEX($A333:$T333,MATCH(Lists!$F$5,$A$1:$T$1,0))),INT(INDEX($A333:$T333,MATCH(Lists!$F$5,$A$1:$T$1,0))),DATE(VALUE(LEFT(INDEX($A333:$T333,MATCH(Lists!$F$5,$A$1:$T$1,0)),4)),VALUE(MID(INDEX($A333:$T333,MATCH(Lists!$F$5,$A$1:$T$1,0)),6,2)),VALUE(MID(INDEX($A333:$T333,MATCH(Lists!$F$5,$A$1:$T$1,0)),9,2))))),"")))</f>
        <v/>
      </c>
      <c r="AB333" s="21">
        <f>IF(Y333="","",IF(LEFT(IFERROR(TRIM(INDEX($A333:$T333,MATCH(Lists!$F$6,$A$1:$T$1,0))&amp;""),""),2)="No","General comment",IF(IFERROR(TRIM(INDEX($A333:$T333,MATCH(Lists!$F$7,$A$1:$T$1,0))&amp;""),"")&lt;&gt;"",IFERROR(TRIM(INDEX($A333:$T333,MATCH(Lists!$F$7,$A$1:$T$1,0))&amp;""),""),IF(IFERROR(TRIM(INDEX($A333:$T333,MATCH(Lists!$F$8,$A$1:$T$1,0))&amp;""),"")&lt;&gt;"",IFERROR(TRIM(INDEX($A333:$T333,MATCH(Lists!$F$8,$A$1:$T$1,0))&amp;""),""),"(no item given)"))))</f>
        <v/>
      </c>
      <c r="AC333" s="21">
        <f>IF(Y333="","",IF(ISNUMBER(SEARCH("support",IFERROR(TRIM(INDEX($A333:$T333,MATCH(Lists!$F$9,$A$1:$T$1,0))&amp;""),""))),"Support",IF(ISNUMBER(SEARCH("oppose",IFERROR(TRIM(INDEX($A333:$T333,MATCH(Lists!$F$9,$A$1:$T$1,0))&amp;""),""))),"Oppose",IF(IFERROR(TRIM(INDEX($A333:$T333,MATCH(Lists!$F$9,$A$1:$T$1,0))&amp;""),"")="","No position","Neither"))))</f>
        <v/>
      </c>
      <c r="AD333" s="21">
        <f>IF(Y333="","",IF(ISNUMBER(SEARCH("in person",IFERROR(TRIM(INDEX($A333:$T333,MATCH(Lists!$F$13,$A$1:$T$1,0))&amp;""),""))),"In person",IF(ISNUMBER(SEARCH("online",IFERROR(TRIM(INDEX($A333:$T333,MATCH(Lists!$F$13,$A$1:$T$1,0))&amp;""),""))),"Online","Written only")))</f>
        <v/>
      </c>
      <c r="AE333" s="21">
        <f>IF(Y333="","",IFERROR(TRIM(INDEX($A333:$T333,MATCH(Lists!$F$11,$A$1:$T$1,0))&amp;""),""))</f>
        <v/>
      </c>
      <c r="AF333" s="21">
        <f>IF(Y333="","",IFERROR(TRIM(INDEX($A333:$T333,MATCH(Lists!$F$12,$A$1:$T$1,0))&amp;""),""))</f>
        <v/>
      </c>
      <c r="AG333" s="21">
        <f>IF(Y333="","",IFERROR(TRIM(INDEX($A333:$T333,MATCH(Lists!$F$14,$A$1:$T$1,0))&amp;""),""))</f>
        <v/>
      </c>
      <c r="AH333" s="21">
        <f>IF(Y333="","",LEFT(IFERROR(TRIM(INDEX($A333:$T333,MATCH(Lists!$F$10,$A$1:$T$1,0))&amp;""),""),80))</f>
        <v/>
      </c>
      <c r="AI333" s="21">
        <f>IF(Y333="",0,IF(OR(Tally!$B$5="",AA333=Tally!$B$5),1,0))</f>
        <v/>
      </c>
      <c r="AJ333" s="21">
        <f>IF(AI333=1,IF(COUNTIFS($AB$2:AB333,AB333,$AI$2:AI333,1)=1,1,0),0)</f>
        <v/>
      </c>
      <c r="AK333" s="21">
        <f>IF(AJ333=1,SUM($AJ$2:AJ333),"")</f>
        <v/>
      </c>
      <c r="AL333" s="21">
        <f>IF(AND(AI333=1,OR(AD333="In person",AD333="Online"),OR(Speakers!$B$5="",AB333=Speakers!$B$5)),N(Z333)+ROW()/1000000000,"")</f>
        <v/>
      </c>
    </row>
    <row r="334">
      <c r="U334" s="19" t="n"/>
      <c r="V334" s="24" t="n"/>
      <c r="W334" s="24" t="n"/>
      <c r="X334" s="19" t="n"/>
      <c r="Y334" s="21">
        <f>IFERROR(TRIM(INDEX($A334:$T334,MATCH(Lists!$F$2,$A$1:$T$1,0))&amp;""),"")</f>
        <v/>
      </c>
      <c r="Z334" s="22">
        <f>IF(Y334="","",IFERROR(IF(ISNUMBER(INDEX($A334:$T334,MATCH(Lists!$F$3,$A$1:$T$1,0))),INDEX($A334:$T334,MATCH(Lists!$F$3,$A$1:$T$1,0)),DATE(VALUE(LEFT(IFERROR(TRIM(INDEX($A334:$T334,MATCH(Lists!$F$3,$A$1:$T$1,0))&amp;""),""),4)),VALUE(MID(IFERROR(TRIM(INDEX($A334:$T334,MATCH(Lists!$F$3,$A$1:$T$1,0))&amp;""),""),6,2)),VALUE(MID(IFERROR(TRIM(INDEX($A334:$T334,MATCH(Lists!$F$3,$A$1:$T$1,0))&amp;""),""),9,2)))+TIME(VALUE(MID(IFERROR(TRIM(INDEX($A334:$T334,MATCH(Lists!$F$3,$A$1:$T$1,0))&amp;""),""),12,2)),VALUE(MID(IFERROR(TRIM(INDEX($A334:$T334,MATCH(Lists!$F$3,$A$1:$T$1,0))&amp;""),""),15,2)),VALUE(MID(IFERROR(TRIM(INDEX($A334:$T334,MATCH(Lists!$F$3,$A$1:$T$1,0))&amp;""),""),18,2)))),""))</f>
        <v/>
      </c>
      <c r="AA334" s="23">
        <f>IF(Y334="","",IF(ISNUMBER(IFERROR(IF(TRIM(INDEX($A334:$T334,MATCH(Lists!$F$4,$A$1:$T$1,0))&amp;"")="","",IF(ISNUMBER(INDEX($A334:$T334,MATCH(Lists!$F$4,$A$1:$T$1,0))),INT(INDEX($A334:$T334,MATCH(Lists!$F$4,$A$1:$T$1,0))),DATE(VALUE(LEFT(INDEX($A334:$T334,MATCH(Lists!$F$4,$A$1:$T$1,0)),4)),VALUE(MID(INDEX($A334:$T334,MATCH(Lists!$F$4,$A$1:$T$1,0)),6,2)),VALUE(MID(INDEX($A334:$T334,MATCH(Lists!$F$4,$A$1:$T$1,0)),9,2))))),"")),IFERROR(IF(TRIM(INDEX($A334:$T334,MATCH(Lists!$F$4,$A$1:$T$1,0))&amp;"")="","",IF(ISNUMBER(INDEX($A334:$T334,MATCH(Lists!$F$4,$A$1:$T$1,0))),INT(INDEX($A334:$T334,MATCH(Lists!$F$4,$A$1:$T$1,0))),DATE(VALUE(LEFT(INDEX($A334:$T334,MATCH(Lists!$F$4,$A$1:$T$1,0)),4)),VALUE(MID(INDEX($A334:$T334,MATCH(Lists!$F$4,$A$1:$T$1,0)),6,2)),VALUE(MID(INDEX($A334:$T334,MATCH(Lists!$F$4,$A$1:$T$1,0)),9,2))))),""),IFERROR(IF(TRIM(INDEX($A334:$T334,MATCH(Lists!$F$5,$A$1:$T$1,0))&amp;"")="","",IF(ISNUMBER(INDEX($A334:$T334,MATCH(Lists!$F$5,$A$1:$T$1,0))),INT(INDEX($A334:$T334,MATCH(Lists!$F$5,$A$1:$T$1,0))),DATE(VALUE(LEFT(INDEX($A334:$T334,MATCH(Lists!$F$5,$A$1:$T$1,0)),4)),VALUE(MID(INDEX($A334:$T334,MATCH(Lists!$F$5,$A$1:$T$1,0)),6,2)),VALUE(MID(INDEX($A334:$T334,MATCH(Lists!$F$5,$A$1:$T$1,0)),9,2))))),"")))</f>
        <v/>
      </c>
      <c r="AB334" s="21">
        <f>IF(Y334="","",IF(LEFT(IFERROR(TRIM(INDEX($A334:$T334,MATCH(Lists!$F$6,$A$1:$T$1,0))&amp;""),""),2)="No","General comment",IF(IFERROR(TRIM(INDEX($A334:$T334,MATCH(Lists!$F$7,$A$1:$T$1,0))&amp;""),"")&lt;&gt;"",IFERROR(TRIM(INDEX($A334:$T334,MATCH(Lists!$F$7,$A$1:$T$1,0))&amp;""),""),IF(IFERROR(TRIM(INDEX($A334:$T334,MATCH(Lists!$F$8,$A$1:$T$1,0))&amp;""),"")&lt;&gt;"",IFERROR(TRIM(INDEX($A334:$T334,MATCH(Lists!$F$8,$A$1:$T$1,0))&amp;""),""),"(no item given)"))))</f>
        <v/>
      </c>
      <c r="AC334" s="21">
        <f>IF(Y334="","",IF(ISNUMBER(SEARCH("support",IFERROR(TRIM(INDEX($A334:$T334,MATCH(Lists!$F$9,$A$1:$T$1,0))&amp;""),""))),"Support",IF(ISNUMBER(SEARCH("oppose",IFERROR(TRIM(INDEX($A334:$T334,MATCH(Lists!$F$9,$A$1:$T$1,0))&amp;""),""))),"Oppose",IF(IFERROR(TRIM(INDEX($A334:$T334,MATCH(Lists!$F$9,$A$1:$T$1,0))&amp;""),"")="","No position","Neither"))))</f>
        <v/>
      </c>
      <c r="AD334" s="21">
        <f>IF(Y334="","",IF(ISNUMBER(SEARCH("in person",IFERROR(TRIM(INDEX($A334:$T334,MATCH(Lists!$F$13,$A$1:$T$1,0))&amp;""),""))),"In person",IF(ISNUMBER(SEARCH("online",IFERROR(TRIM(INDEX($A334:$T334,MATCH(Lists!$F$13,$A$1:$T$1,0))&amp;""),""))),"Online","Written only")))</f>
        <v/>
      </c>
      <c r="AE334" s="21">
        <f>IF(Y334="","",IFERROR(TRIM(INDEX($A334:$T334,MATCH(Lists!$F$11,$A$1:$T$1,0))&amp;""),""))</f>
        <v/>
      </c>
      <c r="AF334" s="21">
        <f>IF(Y334="","",IFERROR(TRIM(INDEX($A334:$T334,MATCH(Lists!$F$12,$A$1:$T$1,0))&amp;""),""))</f>
        <v/>
      </c>
      <c r="AG334" s="21">
        <f>IF(Y334="","",IFERROR(TRIM(INDEX($A334:$T334,MATCH(Lists!$F$14,$A$1:$T$1,0))&amp;""),""))</f>
        <v/>
      </c>
      <c r="AH334" s="21">
        <f>IF(Y334="","",LEFT(IFERROR(TRIM(INDEX($A334:$T334,MATCH(Lists!$F$10,$A$1:$T$1,0))&amp;""),""),80))</f>
        <v/>
      </c>
      <c r="AI334" s="21">
        <f>IF(Y334="",0,IF(OR(Tally!$B$5="",AA334=Tally!$B$5),1,0))</f>
        <v/>
      </c>
      <c r="AJ334" s="21">
        <f>IF(AI334=1,IF(COUNTIFS($AB$2:AB334,AB334,$AI$2:AI334,1)=1,1,0),0)</f>
        <v/>
      </c>
      <c r="AK334" s="21">
        <f>IF(AJ334=1,SUM($AJ$2:AJ334),"")</f>
        <v/>
      </c>
      <c r="AL334" s="21">
        <f>IF(AND(AI334=1,OR(AD334="In person",AD334="Online"),OR(Speakers!$B$5="",AB334=Speakers!$B$5)),N(Z334)+ROW()/1000000000,"")</f>
        <v/>
      </c>
    </row>
    <row r="335">
      <c r="U335" s="19" t="n"/>
      <c r="V335" s="24" t="n"/>
      <c r="W335" s="24" t="n"/>
      <c r="X335" s="19" t="n"/>
      <c r="Y335" s="21">
        <f>IFERROR(TRIM(INDEX($A335:$T335,MATCH(Lists!$F$2,$A$1:$T$1,0))&amp;""),"")</f>
        <v/>
      </c>
      <c r="Z335" s="22">
        <f>IF(Y335="","",IFERROR(IF(ISNUMBER(INDEX($A335:$T335,MATCH(Lists!$F$3,$A$1:$T$1,0))),INDEX($A335:$T335,MATCH(Lists!$F$3,$A$1:$T$1,0)),DATE(VALUE(LEFT(IFERROR(TRIM(INDEX($A335:$T335,MATCH(Lists!$F$3,$A$1:$T$1,0))&amp;""),""),4)),VALUE(MID(IFERROR(TRIM(INDEX($A335:$T335,MATCH(Lists!$F$3,$A$1:$T$1,0))&amp;""),""),6,2)),VALUE(MID(IFERROR(TRIM(INDEX($A335:$T335,MATCH(Lists!$F$3,$A$1:$T$1,0))&amp;""),""),9,2)))+TIME(VALUE(MID(IFERROR(TRIM(INDEX($A335:$T335,MATCH(Lists!$F$3,$A$1:$T$1,0))&amp;""),""),12,2)),VALUE(MID(IFERROR(TRIM(INDEX($A335:$T335,MATCH(Lists!$F$3,$A$1:$T$1,0))&amp;""),""),15,2)),VALUE(MID(IFERROR(TRIM(INDEX($A335:$T335,MATCH(Lists!$F$3,$A$1:$T$1,0))&amp;""),""),18,2)))),""))</f>
        <v/>
      </c>
      <c r="AA335" s="23">
        <f>IF(Y335="","",IF(ISNUMBER(IFERROR(IF(TRIM(INDEX($A335:$T335,MATCH(Lists!$F$4,$A$1:$T$1,0))&amp;"")="","",IF(ISNUMBER(INDEX($A335:$T335,MATCH(Lists!$F$4,$A$1:$T$1,0))),INT(INDEX($A335:$T335,MATCH(Lists!$F$4,$A$1:$T$1,0))),DATE(VALUE(LEFT(INDEX($A335:$T335,MATCH(Lists!$F$4,$A$1:$T$1,0)),4)),VALUE(MID(INDEX($A335:$T335,MATCH(Lists!$F$4,$A$1:$T$1,0)),6,2)),VALUE(MID(INDEX($A335:$T335,MATCH(Lists!$F$4,$A$1:$T$1,0)),9,2))))),"")),IFERROR(IF(TRIM(INDEX($A335:$T335,MATCH(Lists!$F$4,$A$1:$T$1,0))&amp;"")="","",IF(ISNUMBER(INDEX($A335:$T335,MATCH(Lists!$F$4,$A$1:$T$1,0))),INT(INDEX($A335:$T335,MATCH(Lists!$F$4,$A$1:$T$1,0))),DATE(VALUE(LEFT(INDEX($A335:$T335,MATCH(Lists!$F$4,$A$1:$T$1,0)),4)),VALUE(MID(INDEX($A335:$T335,MATCH(Lists!$F$4,$A$1:$T$1,0)),6,2)),VALUE(MID(INDEX($A335:$T335,MATCH(Lists!$F$4,$A$1:$T$1,0)),9,2))))),""),IFERROR(IF(TRIM(INDEX($A335:$T335,MATCH(Lists!$F$5,$A$1:$T$1,0))&amp;"")="","",IF(ISNUMBER(INDEX($A335:$T335,MATCH(Lists!$F$5,$A$1:$T$1,0))),INT(INDEX($A335:$T335,MATCH(Lists!$F$5,$A$1:$T$1,0))),DATE(VALUE(LEFT(INDEX($A335:$T335,MATCH(Lists!$F$5,$A$1:$T$1,0)),4)),VALUE(MID(INDEX($A335:$T335,MATCH(Lists!$F$5,$A$1:$T$1,0)),6,2)),VALUE(MID(INDEX($A335:$T335,MATCH(Lists!$F$5,$A$1:$T$1,0)),9,2))))),"")))</f>
        <v/>
      </c>
      <c r="AB335" s="21">
        <f>IF(Y335="","",IF(LEFT(IFERROR(TRIM(INDEX($A335:$T335,MATCH(Lists!$F$6,$A$1:$T$1,0))&amp;""),""),2)="No","General comment",IF(IFERROR(TRIM(INDEX($A335:$T335,MATCH(Lists!$F$7,$A$1:$T$1,0))&amp;""),"")&lt;&gt;"",IFERROR(TRIM(INDEX($A335:$T335,MATCH(Lists!$F$7,$A$1:$T$1,0))&amp;""),""),IF(IFERROR(TRIM(INDEX($A335:$T335,MATCH(Lists!$F$8,$A$1:$T$1,0))&amp;""),"")&lt;&gt;"",IFERROR(TRIM(INDEX($A335:$T335,MATCH(Lists!$F$8,$A$1:$T$1,0))&amp;""),""),"(no item given)"))))</f>
        <v/>
      </c>
      <c r="AC335" s="21">
        <f>IF(Y335="","",IF(ISNUMBER(SEARCH("support",IFERROR(TRIM(INDEX($A335:$T335,MATCH(Lists!$F$9,$A$1:$T$1,0))&amp;""),""))),"Support",IF(ISNUMBER(SEARCH("oppose",IFERROR(TRIM(INDEX($A335:$T335,MATCH(Lists!$F$9,$A$1:$T$1,0))&amp;""),""))),"Oppose",IF(IFERROR(TRIM(INDEX($A335:$T335,MATCH(Lists!$F$9,$A$1:$T$1,0))&amp;""),"")="","No position","Neither"))))</f>
        <v/>
      </c>
      <c r="AD335" s="21">
        <f>IF(Y335="","",IF(ISNUMBER(SEARCH("in person",IFERROR(TRIM(INDEX($A335:$T335,MATCH(Lists!$F$13,$A$1:$T$1,0))&amp;""),""))),"In person",IF(ISNUMBER(SEARCH("online",IFERROR(TRIM(INDEX($A335:$T335,MATCH(Lists!$F$13,$A$1:$T$1,0))&amp;""),""))),"Online","Written only")))</f>
        <v/>
      </c>
      <c r="AE335" s="21">
        <f>IF(Y335="","",IFERROR(TRIM(INDEX($A335:$T335,MATCH(Lists!$F$11,$A$1:$T$1,0))&amp;""),""))</f>
        <v/>
      </c>
      <c r="AF335" s="21">
        <f>IF(Y335="","",IFERROR(TRIM(INDEX($A335:$T335,MATCH(Lists!$F$12,$A$1:$T$1,0))&amp;""),""))</f>
        <v/>
      </c>
      <c r="AG335" s="21">
        <f>IF(Y335="","",IFERROR(TRIM(INDEX($A335:$T335,MATCH(Lists!$F$14,$A$1:$T$1,0))&amp;""),""))</f>
        <v/>
      </c>
      <c r="AH335" s="21">
        <f>IF(Y335="","",LEFT(IFERROR(TRIM(INDEX($A335:$T335,MATCH(Lists!$F$10,$A$1:$T$1,0))&amp;""),""),80))</f>
        <v/>
      </c>
      <c r="AI335" s="21">
        <f>IF(Y335="",0,IF(OR(Tally!$B$5="",AA335=Tally!$B$5),1,0))</f>
        <v/>
      </c>
      <c r="AJ335" s="21">
        <f>IF(AI335=1,IF(COUNTIFS($AB$2:AB335,AB335,$AI$2:AI335,1)=1,1,0),0)</f>
        <v/>
      </c>
      <c r="AK335" s="21">
        <f>IF(AJ335=1,SUM($AJ$2:AJ335),"")</f>
        <v/>
      </c>
      <c r="AL335" s="21">
        <f>IF(AND(AI335=1,OR(AD335="In person",AD335="Online"),OR(Speakers!$B$5="",AB335=Speakers!$B$5)),N(Z335)+ROW()/1000000000,"")</f>
        <v/>
      </c>
    </row>
    <row r="336">
      <c r="U336" s="19" t="n"/>
      <c r="V336" s="24" t="n"/>
      <c r="W336" s="24" t="n"/>
      <c r="X336" s="19" t="n"/>
      <c r="Y336" s="21">
        <f>IFERROR(TRIM(INDEX($A336:$T336,MATCH(Lists!$F$2,$A$1:$T$1,0))&amp;""),"")</f>
        <v/>
      </c>
      <c r="Z336" s="22">
        <f>IF(Y336="","",IFERROR(IF(ISNUMBER(INDEX($A336:$T336,MATCH(Lists!$F$3,$A$1:$T$1,0))),INDEX($A336:$T336,MATCH(Lists!$F$3,$A$1:$T$1,0)),DATE(VALUE(LEFT(IFERROR(TRIM(INDEX($A336:$T336,MATCH(Lists!$F$3,$A$1:$T$1,0))&amp;""),""),4)),VALUE(MID(IFERROR(TRIM(INDEX($A336:$T336,MATCH(Lists!$F$3,$A$1:$T$1,0))&amp;""),""),6,2)),VALUE(MID(IFERROR(TRIM(INDEX($A336:$T336,MATCH(Lists!$F$3,$A$1:$T$1,0))&amp;""),""),9,2)))+TIME(VALUE(MID(IFERROR(TRIM(INDEX($A336:$T336,MATCH(Lists!$F$3,$A$1:$T$1,0))&amp;""),""),12,2)),VALUE(MID(IFERROR(TRIM(INDEX($A336:$T336,MATCH(Lists!$F$3,$A$1:$T$1,0))&amp;""),""),15,2)),VALUE(MID(IFERROR(TRIM(INDEX($A336:$T336,MATCH(Lists!$F$3,$A$1:$T$1,0))&amp;""),""),18,2)))),""))</f>
        <v/>
      </c>
      <c r="AA336" s="23">
        <f>IF(Y336="","",IF(ISNUMBER(IFERROR(IF(TRIM(INDEX($A336:$T336,MATCH(Lists!$F$4,$A$1:$T$1,0))&amp;"")="","",IF(ISNUMBER(INDEX($A336:$T336,MATCH(Lists!$F$4,$A$1:$T$1,0))),INT(INDEX($A336:$T336,MATCH(Lists!$F$4,$A$1:$T$1,0))),DATE(VALUE(LEFT(INDEX($A336:$T336,MATCH(Lists!$F$4,$A$1:$T$1,0)),4)),VALUE(MID(INDEX($A336:$T336,MATCH(Lists!$F$4,$A$1:$T$1,0)),6,2)),VALUE(MID(INDEX($A336:$T336,MATCH(Lists!$F$4,$A$1:$T$1,0)),9,2))))),"")),IFERROR(IF(TRIM(INDEX($A336:$T336,MATCH(Lists!$F$4,$A$1:$T$1,0))&amp;"")="","",IF(ISNUMBER(INDEX($A336:$T336,MATCH(Lists!$F$4,$A$1:$T$1,0))),INT(INDEX($A336:$T336,MATCH(Lists!$F$4,$A$1:$T$1,0))),DATE(VALUE(LEFT(INDEX($A336:$T336,MATCH(Lists!$F$4,$A$1:$T$1,0)),4)),VALUE(MID(INDEX($A336:$T336,MATCH(Lists!$F$4,$A$1:$T$1,0)),6,2)),VALUE(MID(INDEX($A336:$T336,MATCH(Lists!$F$4,$A$1:$T$1,0)),9,2))))),""),IFERROR(IF(TRIM(INDEX($A336:$T336,MATCH(Lists!$F$5,$A$1:$T$1,0))&amp;"")="","",IF(ISNUMBER(INDEX($A336:$T336,MATCH(Lists!$F$5,$A$1:$T$1,0))),INT(INDEX($A336:$T336,MATCH(Lists!$F$5,$A$1:$T$1,0))),DATE(VALUE(LEFT(INDEX($A336:$T336,MATCH(Lists!$F$5,$A$1:$T$1,0)),4)),VALUE(MID(INDEX($A336:$T336,MATCH(Lists!$F$5,$A$1:$T$1,0)),6,2)),VALUE(MID(INDEX($A336:$T336,MATCH(Lists!$F$5,$A$1:$T$1,0)),9,2))))),"")))</f>
        <v/>
      </c>
      <c r="AB336" s="21">
        <f>IF(Y336="","",IF(LEFT(IFERROR(TRIM(INDEX($A336:$T336,MATCH(Lists!$F$6,$A$1:$T$1,0))&amp;""),""),2)="No","General comment",IF(IFERROR(TRIM(INDEX($A336:$T336,MATCH(Lists!$F$7,$A$1:$T$1,0))&amp;""),"")&lt;&gt;"",IFERROR(TRIM(INDEX($A336:$T336,MATCH(Lists!$F$7,$A$1:$T$1,0))&amp;""),""),IF(IFERROR(TRIM(INDEX($A336:$T336,MATCH(Lists!$F$8,$A$1:$T$1,0))&amp;""),"")&lt;&gt;"",IFERROR(TRIM(INDEX($A336:$T336,MATCH(Lists!$F$8,$A$1:$T$1,0))&amp;""),""),"(no item given)"))))</f>
        <v/>
      </c>
      <c r="AC336" s="21">
        <f>IF(Y336="","",IF(ISNUMBER(SEARCH("support",IFERROR(TRIM(INDEX($A336:$T336,MATCH(Lists!$F$9,$A$1:$T$1,0))&amp;""),""))),"Support",IF(ISNUMBER(SEARCH("oppose",IFERROR(TRIM(INDEX($A336:$T336,MATCH(Lists!$F$9,$A$1:$T$1,0))&amp;""),""))),"Oppose",IF(IFERROR(TRIM(INDEX($A336:$T336,MATCH(Lists!$F$9,$A$1:$T$1,0))&amp;""),"")="","No position","Neither"))))</f>
        <v/>
      </c>
      <c r="AD336" s="21">
        <f>IF(Y336="","",IF(ISNUMBER(SEARCH("in person",IFERROR(TRIM(INDEX($A336:$T336,MATCH(Lists!$F$13,$A$1:$T$1,0))&amp;""),""))),"In person",IF(ISNUMBER(SEARCH("online",IFERROR(TRIM(INDEX($A336:$T336,MATCH(Lists!$F$13,$A$1:$T$1,0))&amp;""),""))),"Online","Written only")))</f>
        <v/>
      </c>
      <c r="AE336" s="21">
        <f>IF(Y336="","",IFERROR(TRIM(INDEX($A336:$T336,MATCH(Lists!$F$11,$A$1:$T$1,0))&amp;""),""))</f>
        <v/>
      </c>
      <c r="AF336" s="21">
        <f>IF(Y336="","",IFERROR(TRIM(INDEX($A336:$T336,MATCH(Lists!$F$12,$A$1:$T$1,0))&amp;""),""))</f>
        <v/>
      </c>
      <c r="AG336" s="21">
        <f>IF(Y336="","",IFERROR(TRIM(INDEX($A336:$T336,MATCH(Lists!$F$14,$A$1:$T$1,0))&amp;""),""))</f>
        <v/>
      </c>
      <c r="AH336" s="21">
        <f>IF(Y336="","",LEFT(IFERROR(TRIM(INDEX($A336:$T336,MATCH(Lists!$F$10,$A$1:$T$1,0))&amp;""),""),80))</f>
        <v/>
      </c>
      <c r="AI336" s="21">
        <f>IF(Y336="",0,IF(OR(Tally!$B$5="",AA336=Tally!$B$5),1,0))</f>
        <v/>
      </c>
      <c r="AJ336" s="21">
        <f>IF(AI336=1,IF(COUNTIFS($AB$2:AB336,AB336,$AI$2:AI336,1)=1,1,0),0)</f>
        <v/>
      </c>
      <c r="AK336" s="21">
        <f>IF(AJ336=1,SUM($AJ$2:AJ336),"")</f>
        <v/>
      </c>
      <c r="AL336" s="21">
        <f>IF(AND(AI336=1,OR(AD336="In person",AD336="Online"),OR(Speakers!$B$5="",AB336=Speakers!$B$5)),N(Z336)+ROW()/1000000000,"")</f>
        <v/>
      </c>
    </row>
    <row r="337">
      <c r="U337" s="19" t="n"/>
      <c r="V337" s="24" t="n"/>
      <c r="W337" s="24" t="n"/>
      <c r="X337" s="19" t="n"/>
      <c r="Y337" s="21">
        <f>IFERROR(TRIM(INDEX($A337:$T337,MATCH(Lists!$F$2,$A$1:$T$1,0))&amp;""),"")</f>
        <v/>
      </c>
      <c r="Z337" s="22">
        <f>IF(Y337="","",IFERROR(IF(ISNUMBER(INDEX($A337:$T337,MATCH(Lists!$F$3,$A$1:$T$1,0))),INDEX($A337:$T337,MATCH(Lists!$F$3,$A$1:$T$1,0)),DATE(VALUE(LEFT(IFERROR(TRIM(INDEX($A337:$T337,MATCH(Lists!$F$3,$A$1:$T$1,0))&amp;""),""),4)),VALUE(MID(IFERROR(TRIM(INDEX($A337:$T337,MATCH(Lists!$F$3,$A$1:$T$1,0))&amp;""),""),6,2)),VALUE(MID(IFERROR(TRIM(INDEX($A337:$T337,MATCH(Lists!$F$3,$A$1:$T$1,0))&amp;""),""),9,2)))+TIME(VALUE(MID(IFERROR(TRIM(INDEX($A337:$T337,MATCH(Lists!$F$3,$A$1:$T$1,0))&amp;""),""),12,2)),VALUE(MID(IFERROR(TRIM(INDEX($A337:$T337,MATCH(Lists!$F$3,$A$1:$T$1,0))&amp;""),""),15,2)),VALUE(MID(IFERROR(TRIM(INDEX($A337:$T337,MATCH(Lists!$F$3,$A$1:$T$1,0))&amp;""),""),18,2)))),""))</f>
        <v/>
      </c>
      <c r="AA337" s="23">
        <f>IF(Y337="","",IF(ISNUMBER(IFERROR(IF(TRIM(INDEX($A337:$T337,MATCH(Lists!$F$4,$A$1:$T$1,0))&amp;"")="","",IF(ISNUMBER(INDEX($A337:$T337,MATCH(Lists!$F$4,$A$1:$T$1,0))),INT(INDEX($A337:$T337,MATCH(Lists!$F$4,$A$1:$T$1,0))),DATE(VALUE(LEFT(INDEX($A337:$T337,MATCH(Lists!$F$4,$A$1:$T$1,0)),4)),VALUE(MID(INDEX($A337:$T337,MATCH(Lists!$F$4,$A$1:$T$1,0)),6,2)),VALUE(MID(INDEX($A337:$T337,MATCH(Lists!$F$4,$A$1:$T$1,0)),9,2))))),"")),IFERROR(IF(TRIM(INDEX($A337:$T337,MATCH(Lists!$F$4,$A$1:$T$1,0))&amp;"")="","",IF(ISNUMBER(INDEX($A337:$T337,MATCH(Lists!$F$4,$A$1:$T$1,0))),INT(INDEX($A337:$T337,MATCH(Lists!$F$4,$A$1:$T$1,0))),DATE(VALUE(LEFT(INDEX($A337:$T337,MATCH(Lists!$F$4,$A$1:$T$1,0)),4)),VALUE(MID(INDEX($A337:$T337,MATCH(Lists!$F$4,$A$1:$T$1,0)),6,2)),VALUE(MID(INDEX($A337:$T337,MATCH(Lists!$F$4,$A$1:$T$1,0)),9,2))))),""),IFERROR(IF(TRIM(INDEX($A337:$T337,MATCH(Lists!$F$5,$A$1:$T$1,0))&amp;"")="","",IF(ISNUMBER(INDEX($A337:$T337,MATCH(Lists!$F$5,$A$1:$T$1,0))),INT(INDEX($A337:$T337,MATCH(Lists!$F$5,$A$1:$T$1,0))),DATE(VALUE(LEFT(INDEX($A337:$T337,MATCH(Lists!$F$5,$A$1:$T$1,0)),4)),VALUE(MID(INDEX($A337:$T337,MATCH(Lists!$F$5,$A$1:$T$1,0)),6,2)),VALUE(MID(INDEX($A337:$T337,MATCH(Lists!$F$5,$A$1:$T$1,0)),9,2))))),"")))</f>
        <v/>
      </c>
      <c r="AB337" s="21">
        <f>IF(Y337="","",IF(LEFT(IFERROR(TRIM(INDEX($A337:$T337,MATCH(Lists!$F$6,$A$1:$T$1,0))&amp;""),""),2)="No","General comment",IF(IFERROR(TRIM(INDEX($A337:$T337,MATCH(Lists!$F$7,$A$1:$T$1,0))&amp;""),"")&lt;&gt;"",IFERROR(TRIM(INDEX($A337:$T337,MATCH(Lists!$F$7,$A$1:$T$1,0))&amp;""),""),IF(IFERROR(TRIM(INDEX($A337:$T337,MATCH(Lists!$F$8,$A$1:$T$1,0))&amp;""),"")&lt;&gt;"",IFERROR(TRIM(INDEX($A337:$T337,MATCH(Lists!$F$8,$A$1:$T$1,0))&amp;""),""),"(no item given)"))))</f>
        <v/>
      </c>
      <c r="AC337" s="21">
        <f>IF(Y337="","",IF(ISNUMBER(SEARCH("support",IFERROR(TRIM(INDEX($A337:$T337,MATCH(Lists!$F$9,$A$1:$T$1,0))&amp;""),""))),"Support",IF(ISNUMBER(SEARCH("oppose",IFERROR(TRIM(INDEX($A337:$T337,MATCH(Lists!$F$9,$A$1:$T$1,0))&amp;""),""))),"Oppose",IF(IFERROR(TRIM(INDEX($A337:$T337,MATCH(Lists!$F$9,$A$1:$T$1,0))&amp;""),"")="","No position","Neither"))))</f>
        <v/>
      </c>
      <c r="AD337" s="21">
        <f>IF(Y337="","",IF(ISNUMBER(SEARCH("in person",IFERROR(TRIM(INDEX($A337:$T337,MATCH(Lists!$F$13,$A$1:$T$1,0))&amp;""),""))),"In person",IF(ISNUMBER(SEARCH("online",IFERROR(TRIM(INDEX($A337:$T337,MATCH(Lists!$F$13,$A$1:$T$1,0))&amp;""),""))),"Online","Written only")))</f>
        <v/>
      </c>
      <c r="AE337" s="21">
        <f>IF(Y337="","",IFERROR(TRIM(INDEX($A337:$T337,MATCH(Lists!$F$11,$A$1:$T$1,0))&amp;""),""))</f>
        <v/>
      </c>
      <c r="AF337" s="21">
        <f>IF(Y337="","",IFERROR(TRIM(INDEX($A337:$T337,MATCH(Lists!$F$12,$A$1:$T$1,0))&amp;""),""))</f>
        <v/>
      </c>
      <c r="AG337" s="21">
        <f>IF(Y337="","",IFERROR(TRIM(INDEX($A337:$T337,MATCH(Lists!$F$14,$A$1:$T$1,0))&amp;""),""))</f>
        <v/>
      </c>
      <c r="AH337" s="21">
        <f>IF(Y337="","",LEFT(IFERROR(TRIM(INDEX($A337:$T337,MATCH(Lists!$F$10,$A$1:$T$1,0))&amp;""),""),80))</f>
        <v/>
      </c>
      <c r="AI337" s="21">
        <f>IF(Y337="",0,IF(OR(Tally!$B$5="",AA337=Tally!$B$5),1,0))</f>
        <v/>
      </c>
      <c r="AJ337" s="21">
        <f>IF(AI337=1,IF(COUNTIFS($AB$2:AB337,AB337,$AI$2:AI337,1)=1,1,0),0)</f>
        <v/>
      </c>
      <c r="AK337" s="21">
        <f>IF(AJ337=1,SUM($AJ$2:AJ337),"")</f>
        <v/>
      </c>
      <c r="AL337" s="21">
        <f>IF(AND(AI337=1,OR(AD337="In person",AD337="Online"),OR(Speakers!$B$5="",AB337=Speakers!$B$5)),N(Z337)+ROW()/1000000000,"")</f>
        <v/>
      </c>
    </row>
    <row r="338">
      <c r="U338" s="19" t="n"/>
      <c r="V338" s="24" t="n"/>
      <c r="W338" s="24" t="n"/>
      <c r="X338" s="19" t="n"/>
      <c r="Y338" s="21">
        <f>IFERROR(TRIM(INDEX($A338:$T338,MATCH(Lists!$F$2,$A$1:$T$1,0))&amp;""),"")</f>
        <v/>
      </c>
      <c r="Z338" s="22">
        <f>IF(Y338="","",IFERROR(IF(ISNUMBER(INDEX($A338:$T338,MATCH(Lists!$F$3,$A$1:$T$1,0))),INDEX($A338:$T338,MATCH(Lists!$F$3,$A$1:$T$1,0)),DATE(VALUE(LEFT(IFERROR(TRIM(INDEX($A338:$T338,MATCH(Lists!$F$3,$A$1:$T$1,0))&amp;""),""),4)),VALUE(MID(IFERROR(TRIM(INDEX($A338:$T338,MATCH(Lists!$F$3,$A$1:$T$1,0))&amp;""),""),6,2)),VALUE(MID(IFERROR(TRIM(INDEX($A338:$T338,MATCH(Lists!$F$3,$A$1:$T$1,0))&amp;""),""),9,2)))+TIME(VALUE(MID(IFERROR(TRIM(INDEX($A338:$T338,MATCH(Lists!$F$3,$A$1:$T$1,0))&amp;""),""),12,2)),VALUE(MID(IFERROR(TRIM(INDEX($A338:$T338,MATCH(Lists!$F$3,$A$1:$T$1,0))&amp;""),""),15,2)),VALUE(MID(IFERROR(TRIM(INDEX($A338:$T338,MATCH(Lists!$F$3,$A$1:$T$1,0))&amp;""),""),18,2)))),""))</f>
        <v/>
      </c>
      <c r="AA338" s="23">
        <f>IF(Y338="","",IF(ISNUMBER(IFERROR(IF(TRIM(INDEX($A338:$T338,MATCH(Lists!$F$4,$A$1:$T$1,0))&amp;"")="","",IF(ISNUMBER(INDEX($A338:$T338,MATCH(Lists!$F$4,$A$1:$T$1,0))),INT(INDEX($A338:$T338,MATCH(Lists!$F$4,$A$1:$T$1,0))),DATE(VALUE(LEFT(INDEX($A338:$T338,MATCH(Lists!$F$4,$A$1:$T$1,0)),4)),VALUE(MID(INDEX($A338:$T338,MATCH(Lists!$F$4,$A$1:$T$1,0)),6,2)),VALUE(MID(INDEX($A338:$T338,MATCH(Lists!$F$4,$A$1:$T$1,0)),9,2))))),"")),IFERROR(IF(TRIM(INDEX($A338:$T338,MATCH(Lists!$F$4,$A$1:$T$1,0))&amp;"")="","",IF(ISNUMBER(INDEX($A338:$T338,MATCH(Lists!$F$4,$A$1:$T$1,0))),INT(INDEX($A338:$T338,MATCH(Lists!$F$4,$A$1:$T$1,0))),DATE(VALUE(LEFT(INDEX($A338:$T338,MATCH(Lists!$F$4,$A$1:$T$1,0)),4)),VALUE(MID(INDEX($A338:$T338,MATCH(Lists!$F$4,$A$1:$T$1,0)),6,2)),VALUE(MID(INDEX($A338:$T338,MATCH(Lists!$F$4,$A$1:$T$1,0)),9,2))))),""),IFERROR(IF(TRIM(INDEX($A338:$T338,MATCH(Lists!$F$5,$A$1:$T$1,0))&amp;"")="","",IF(ISNUMBER(INDEX($A338:$T338,MATCH(Lists!$F$5,$A$1:$T$1,0))),INT(INDEX($A338:$T338,MATCH(Lists!$F$5,$A$1:$T$1,0))),DATE(VALUE(LEFT(INDEX($A338:$T338,MATCH(Lists!$F$5,$A$1:$T$1,0)),4)),VALUE(MID(INDEX($A338:$T338,MATCH(Lists!$F$5,$A$1:$T$1,0)),6,2)),VALUE(MID(INDEX($A338:$T338,MATCH(Lists!$F$5,$A$1:$T$1,0)),9,2))))),"")))</f>
        <v/>
      </c>
      <c r="AB338" s="21">
        <f>IF(Y338="","",IF(LEFT(IFERROR(TRIM(INDEX($A338:$T338,MATCH(Lists!$F$6,$A$1:$T$1,0))&amp;""),""),2)="No","General comment",IF(IFERROR(TRIM(INDEX($A338:$T338,MATCH(Lists!$F$7,$A$1:$T$1,0))&amp;""),"")&lt;&gt;"",IFERROR(TRIM(INDEX($A338:$T338,MATCH(Lists!$F$7,$A$1:$T$1,0))&amp;""),""),IF(IFERROR(TRIM(INDEX($A338:$T338,MATCH(Lists!$F$8,$A$1:$T$1,0))&amp;""),"")&lt;&gt;"",IFERROR(TRIM(INDEX($A338:$T338,MATCH(Lists!$F$8,$A$1:$T$1,0))&amp;""),""),"(no item given)"))))</f>
        <v/>
      </c>
      <c r="AC338" s="21">
        <f>IF(Y338="","",IF(ISNUMBER(SEARCH("support",IFERROR(TRIM(INDEX($A338:$T338,MATCH(Lists!$F$9,$A$1:$T$1,0))&amp;""),""))),"Support",IF(ISNUMBER(SEARCH("oppose",IFERROR(TRIM(INDEX($A338:$T338,MATCH(Lists!$F$9,$A$1:$T$1,0))&amp;""),""))),"Oppose",IF(IFERROR(TRIM(INDEX($A338:$T338,MATCH(Lists!$F$9,$A$1:$T$1,0))&amp;""),"")="","No position","Neither"))))</f>
        <v/>
      </c>
      <c r="AD338" s="21">
        <f>IF(Y338="","",IF(ISNUMBER(SEARCH("in person",IFERROR(TRIM(INDEX($A338:$T338,MATCH(Lists!$F$13,$A$1:$T$1,0))&amp;""),""))),"In person",IF(ISNUMBER(SEARCH("online",IFERROR(TRIM(INDEX($A338:$T338,MATCH(Lists!$F$13,$A$1:$T$1,0))&amp;""),""))),"Online","Written only")))</f>
        <v/>
      </c>
      <c r="AE338" s="21">
        <f>IF(Y338="","",IFERROR(TRIM(INDEX($A338:$T338,MATCH(Lists!$F$11,$A$1:$T$1,0))&amp;""),""))</f>
        <v/>
      </c>
      <c r="AF338" s="21">
        <f>IF(Y338="","",IFERROR(TRIM(INDEX($A338:$T338,MATCH(Lists!$F$12,$A$1:$T$1,0))&amp;""),""))</f>
        <v/>
      </c>
      <c r="AG338" s="21">
        <f>IF(Y338="","",IFERROR(TRIM(INDEX($A338:$T338,MATCH(Lists!$F$14,$A$1:$T$1,0))&amp;""),""))</f>
        <v/>
      </c>
      <c r="AH338" s="21">
        <f>IF(Y338="","",LEFT(IFERROR(TRIM(INDEX($A338:$T338,MATCH(Lists!$F$10,$A$1:$T$1,0))&amp;""),""),80))</f>
        <v/>
      </c>
      <c r="AI338" s="21">
        <f>IF(Y338="",0,IF(OR(Tally!$B$5="",AA338=Tally!$B$5),1,0))</f>
        <v/>
      </c>
      <c r="AJ338" s="21">
        <f>IF(AI338=1,IF(COUNTIFS($AB$2:AB338,AB338,$AI$2:AI338,1)=1,1,0),0)</f>
        <v/>
      </c>
      <c r="AK338" s="21">
        <f>IF(AJ338=1,SUM($AJ$2:AJ338),"")</f>
        <v/>
      </c>
      <c r="AL338" s="21">
        <f>IF(AND(AI338=1,OR(AD338="In person",AD338="Online"),OR(Speakers!$B$5="",AB338=Speakers!$B$5)),N(Z338)+ROW()/1000000000,"")</f>
        <v/>
      </c>
    </row>
    <row r="339">
      <c r="U339" s="19" t="n"/>
      <c r="V339" s="24" t="n"/>
      <c r="W339" s="24" t="n"/>
      <c r="X339" s="19" t="n"/>
      <c r="Y339" s="21">
        <f>IFERROR(TRIM(INDEX($A339:$T339,MATCH(Lists!$F$2,$A$1:$T$1,0))&amp;""),"")</f>
        <v/>
      </c>
      <c r="Z339" s="22">
        <f>IF(Y339="","",IFERROR(IF(ISNUMBER(INDEX($A339:$T339,MATCH(Lists!$F$3,$A$1:$T$1,0))),INDEX($A339:$T339,MATCH(Lists!$F$3,$A$1:$T$1,0)),DATE(VALUE(LEFT(IFERROR(TRIM(INDEX($A339:$T339,MATCH(Lists!$F$3,$A$1:$T$1,0))&amp;""),""),4)),VALUE(MID(IFERROR(TRIM(INDEX($A339:$T339,MATCH(Lists!$F$3,$A$1:$T$1,0))&amp;""),""),6,2)),VALUE(MID(IFERROR(TRIM(INDEX($A339:$T339,MATCH(Lists!$F$3,$A$1:$T$1,0))&amp;""),""),9,2)))+TIME(VALUE(MID(IFERROR(TRIM(INDEX($A339:$T339,MATCH(Lists!$F$3,$A$1:$T$1,0))&amp;""),""),12,2)),VALUE(MID(IFERROR(TRIM(INDEX($A339:$T339,MATCH(Lists!$F$3,$A$1:$T$1,0))&amp;""),""),15,2)),VALUE(MID(IFERROR(TRIM(INDEX($A339:$T339,MATCH(Lists!$F$3,$A$1:$T$1,0))&amp;""),""),18,2)))),""))</f>
        <v/>
      </c>
      <c r="AA339" s="23">
        <f>IF(Y339="","",IF(ISNUMBER(IFERROR(IF(TRIM(INDEX($A339:$T339,MATCH(Lists!$F$4,$A$1:$T$1,0))&amp;"")="","",IF(ISNUMBER(INDEX($A339:$T339,MATCH(Lists!$F$4,$A$1:$T$1,0))),INT(INDEX($A339:$T339,MATCH(Lists!$F$4,$A$1:$T$1,0))),DATE(VALUE(LEFT(INDEX($A339:$T339,MATCH(Lists!$F$4,$A$1:$T$1,0)),4)),VALUE(MID(INDEX($A339:$T339,MATCH(Lists!$F$4,$A$1:$T$1,0)),6,2)),VALUE(MID(INDEX($A339:$T339,MATCH(Lists!$F$4,$A$1:$T$1,0)),9,2))))),"")),IFERROR(IF(TRIM(INDEX($A339:$T339,MATCH(Lists!$F$4,$A$1:$T$1,0))&amp;"")="","",IF(ISNUMBER(INDEX($A339:$T339,MATCH(Lists!$F$4,$A$1:$T$1,0))),INT(INDEX($A339:$T339,MATCH(Lists!$F$4,$A$1:$T$1,0))),DATE(VALUE(LEFT(INDEX($A339:$T339,MATCH(Lists!$F$4,$A$1:$T$1,0)),4)),VALUE(MID(INDEX($A339:$T339,MATCH(Lists!$F$4,$A$1:$T$1,0)),6,2)),VALUE(MID(INDEX($A339:$T339,MATCH(Lists!$F$4,$A$1:$T$1,0)),9,2))))),""),IFERROR(IF(TRIM(INDEX($A339:$T339,MATCH(Lists!$F$5,$A$1:$T$1,0))&amp;"")="","",IF(ISNUMBER(INDEX($A339:$T339,MATCH(Lists!$F$5,$A$1:$T$1,0))),INT(INDEX($A339:$T339,MATCH(Lists!$F$5,$A$1:$T$1,0))),DATE(VALUE(LEFT(INDEX($A339:$T339,MATCH(Lists!$F$5,$A$1:$T$1,0)),4)),VALUE(MID(INDEX($A339:$T339,MATCH(Lists!$F$5,$A$1:$T$1,0)),6,2)),VALUE(MID(INDEX($A339:$T339,MATCH(Lists!$F$5,$A$1:$T$1,0)),9,2))))),"")))</f>
        <v/>
      </c>
      <c r="AB339" s="21">
        <f>IF(Y339="","",IF(LEFT(IFERROR(TRIM(INDEX($A339:$T339,MATCH(Lists!$F$6,$A$1:$T$1,0))&amp;""),""),2)="No","General comment",IF(IFERROR(TRIM(INDEX($A339:$T339,MATCH(Lists!$F$7,$A$1:$T$1,0))&amp;""),"")&lt;&gt;"",IFERROR(TRIM(INDEX($A339:$T339,MATCH(Lists!$F$7,$A$1:$T$1,0))&amp;""),""),IF(IFERROR(TRIM(INDEX($A339:$T339,MATCH(Lists!$F$8,$A$1:$T$1,0))&amp;""),"")&lt;&gt;"",IFERROR(TRIM(INDEX($A339:$T339,MATCH(Lists!$F$8,$A$1:$T$1,0))&amp;""),""),"(no item given)"))))</f>
        <v/>
      </c>
      <c r="AC339" s="21">
        <f>IF(Y339="","",IF(ISNUMBER(SEARCH("support",IFERROR(TRIM(INDEX($A339:$T339,MATCH(Lists!$F$9,$A$1:$T$1,0))&amp;""),""))),"Support",IF(ISNUMBER(SEARCH("oppose",IFERROR(TRIM(INDEX($A339:$T339,MATCH(Lists!$F$9,$A$1:$T$1,0))&amp;""),""))),"Oppose",IF(IFERROR(TRIM(INDEX($A339:$T339,MATCH(Lists!$F$9,$A$1:$T$1,0))&amp;""),"")="","No position","Neither"))))</f>
        <v/>
      </c>
      <c r="AD339" s="21">
        <f>IF(Y339="","",IF(ISNUMBER(SEARCH("in person",IFERROR(TRIM(INDEX($A339:$T339,MATCH(Lists!$F$13,$A$1:$T$1,0))&amp;""),""))),"In person",IF(ISNUMBER(SEARCH("online",IFERROR(TRIM(INDEX($A339:$T339,MATCH(Lists!$F$13,$A$1:$T$1,0))&amp;""),""))),"Online","Written only")))</f>
        <v/>
      </c>
      <c r="AE339" s="21">
        <f>IF(Y339="","",IFERROR(TRIM(INDEX($A339:$T339,MATCH(Lists!$F$11,$A$1:$T$1,0))&amp;""),""))</f>
        <v/>
      </c>
      <c r="AF339" s="21">
        <f>IF(Y339="","",IFERROR(TRIM(INDEX($A339:$T339,MATCH(Lists!$F$12,$A$1:$T$1,0))&amp;""),""))</f>
        <v/>
      </c>
      <c r="AG339" s="21">
        <f>IF(Y339="","",IFERROR(TRIM(INDEX($A339:$T339,MATCH(Lists!$F$14,$A$1:$T$1,0))&amp;""),""))</f>
        <v/>
      </c>
      <c r="AH339" s="21">
        <f>IF(Y339="","",LEFT(IFERROR(TRIM(INDEX($A339:$T339,MATCH(Lists!$F$10,$A$1:$T$1,0))&amp;""),""),80))</f>
        <v/>
      </c>
      <c r="AI339" s="21">
        <f>IF(Y339="",0,IF(OR(Tally!$B$5="",AA339=Tally!$B$5),1,0))</f>
        <v/>
      </c>
      <c r="AJ339" s="21">
        <f>IF(AI339=1,IF(COUNTIFS($AB$2:AB339,AB339,$AI$2:AI339,1)=1,1,0),0)</f>
        <v/>
      </c>
      <c r="AK339" s="21">
        <f>IF(AJ339=1,SUM($AJ$2:AJ339),"")</f>
        <v/>
      </c>
      <c r="AL339" s="21">
        <f>IF(AND(AI339=1,OR(AD339="In person",AD339="Online"),OR(Speakers!$B$5="",AB339=Speakers!$B$5)),N(Z339)+ROW()/1000000000,"")</f>
        <v/>
      </c>
    </row>
    <row r="340">
      <c r="U340" s="19" t="n"/>
      <c r="V340" s="24" t="n"/>
      <c r="W340" s="24" t="n"/>
      <c r="X340" s="19" t="n"/>
      <c r="Y340" s="21">
        <f>IFERROR(TRIM(INDEX($A340:$T340,MATCH(Lists!$F$2,$A$1:$T$1,0))&amp;""),"")</f>
        <v/>
      </c>
      <c r="Z340" s="22">
        <f>IF(Y340="","",IFERROR(IF(ISNUMBER(INDEX($A340:$T340,MATCH(Lists!$F$3,$A$1:$T$1,0))),INDEX($A340:$T340,MATCH(Lists!$F$3,$A$1:$T$1,0)),DATE(VALUE(LEFT(IFERROR(TRIM(INDEX($A340:$T340,MATCH(Lists!$F$3,$A$1:$T$1,0))&amp;""),""),4)),VALUE(MID(IFERROR(TRIM(INDEX($A340:$T340,MATCH(Lists!$F$3,$A$1:$T$1,0))&amp;""),""),6,2)),VALUE(MID(IFERROR(TRIM(INDEX($A340:$T340,MATCH(Lists!$F$3,$A$1:$T$1,0))&amp;""),""),9,2)))+TIME(VALUE(MID(IFERROR(TRIM(INDEX($A340:$T340,MATCH(Lists!$F$3,$A$1:$T$1,0))&amp;""),""),12,2)),VALUE(MID(IFERROR(TRIM(INDEX($A340:$T340,MATCH(Lists!$F$3,$A$1:$T$1,0))&amp;""),""),15,2)),VALUE(MID(IFERROR(TRIM(INDEX($A340:$T340,MATCH(Lists!$F$3,$A$1:$T$1,0))&amp;""),""),18,2)))),""))</f>
        <v/>
      </c>
      <c r="AA340" s="23">
        <f>IF(Y340="","",IF(ISNUMBER(IFERROR(IF(TRIM(INDEX($A340:$T340,MATCH(Lists!$F$4,$A$1:$T$1,0))&amp;"")="","",IF(ISNUMBER(INDEX($A340:$T340,MATCH(Lists!$F$4,$A$1:$T$1,0))),INT(INDEX($A340:$T340,MATCH(Lists!$F$4,$A$1:$T$1,0))),DATE(VALUE(LEFT(INDEX($A340:$T340,MATCH(Lists!$F$4,$A$1:$T$1,0)),4)),VALUE(MID(INDEX($A340:$T340,MATCH(Lists!$F$4,$A$1:$T$1,0)),6,2)),VALUE(MID(INDEX($A340:$T340,MATCH(Lists!$F$4,$A$1:$T$1,0)),9,2))))),"")),IFERROR(IF(TRIM(INDEX($A340:$T340,MATCH(Lists!$F$4,$A$1:$T$1,0))&amp;"")="","",IF(ISNUMBER(INDEX($A340:$T340,MATCH(Lists!$F$4,$A$1:$T$1,0))),INT(INDEX($A340:$T340,MATCH(Lists!$F$4,$A$1:$T$1,0))),DATE(VALUE(LEFT(INDEX($A340:$T340,MATCH(Lists!$F$4,$A$1:$T$1,0)),4)),VALUE(MID(INDEX($A340:$T340,MATCH(Lists!$F$4,$A$1:$T$1,0)),6,2)),VALUE(MID(INDEX($A340:$T340,MATCH(Lists!$F$4,$A$1:$T$1,0)),9,2))))),""),IFERROR(IF(TRIM(INDEX($A340:$T340,MATCH(Lists!$F$5,$A$1:$T$1,0))&amp;"")="","",IF(ISNUMBER(INDEX($A340:$T340,MATCH(Lists!$F$5,$A$1:$T$1,0))),INT(INDEX($A340:$T340,MATCH(Lists!$F$5,$A$1:$T$1,0))),DATE(VALUE(LEFT(INDEX($A340:$T340,MATCH(Lists!$F$5,$A$1:$T$1,0)),4)),VALUE(MID(INDEX($A340:$T340,MATCH(Lists!$F$5,$A$1:$T$1,0)),6,2)),VALUE(MID(INDEX($A340:$T340,MATCH(Lists!$F$5,$A$1:$T$1,0)),9,2))))),"")))</f>
        <v/>
      </c>
      <c r="AB340" s="21">
        <f>IF(Y340="","",IF(LEFT(IFERROR(TRIM(INDEX($A340:$T340,MATCH(Lists!$F$6,$A$1:$T$1,0))&amp;""),""),2)="No","General comment",IF(IFERROR(TRIM(INDEX($A340:$T340,MATCH(Lists!$F$7,$A$1:$T$1,0))&amp;""),"")&lt;&gt;"",IFERROR(TRIM(INDEX($A340:$T340,MATCH(Lists!$F$7,$A$1:$T$1,0))&amp;""),""),IF(IFERROR(TRIM(INDEX($A340:$T340,MATCH(Lists!$F$8,$A$1:$T$1,0))&amp;""),"")&lt;&gt;"",IFERROR(TRIM(INDEX($A340:$T340,MATCH(Lists!$F$8,$A$1:$T$1,0))&amp;""),""),"(no item given)"))))</f>
        <v/>
      </c>
      <c r="AC340" s="21">
        <f>IF(Y340="","",IF(ISNUMBER(SEARCH("support",IFERROR(TRIM(INDEX($A340:$T340,MATCH(Lists!$F$9,$A$1:$T$1,0))&amp;""),""))),"Support",IF(ISNUMBER(SEARCH("oppose",IFERROR(TRIM(INDEX($A340:$T340,MATCH(Lists!$F$9,$A$1:$T$1,0))&amp;""),""))),"Oppose",IF(IFERROR(TRIM(INDEX($A340:$T340,MATCH(Lists!$F$9,$A$1:$T$1,0))&amp;""),"")="","No position","Neither"))))</f>
        <v/>
      </c>
      <c r="AD340" s="21">
        <f>IF(Y340="","",IF(ISNUMBER(SEARCH("in person",IFERROR(TRIM(INDEX($A340:$T340,MATCH(Lists!$F$13,$A$1:$T$1,0))&amp;""),""))),"In person",IF(ISNUMBER(SEARCH("online",IFERROR(TRIM(INDEX($A340:$T340,MATCH(Lists!$F$13,$A$1:$T$1,0))&amp;""),""))),"Online","Written only")))</f>
        <v/>
      </c>
      <c r="AE340" s="21">
        <f>IF(Y340="","",IFERROR(TRIM(INDEX($A340:$T340,MATCH(Lists!$F$11,$A$1:$T$1,0))&amp;""),""))</f>
        <v/>
      </c>
      <c r="AF340" s="21">
        <f>IF(Y340="","",IFERROR(TRIM(INDEX($A340:$T340,MATCH(Lists!$F$12,$A$1:$T$1,0))&amp;""),""))</f>
        <v/>
      </c>
      <c r="AG340" s="21">
        <f>IF(Y340="","",IFERROR(TRIM(INDEX($A340:$T340,MATCH(Lists!$F$14,$A$1:$T$1,0))&amp;""),""))</f>
        <v/>
      </c>
      <c r="AH340" s="21">
        <f>IF(Y340="","",LEFT(IFERROR(TRIM(INDEX($A340:$T340,MATCH(Lists!$F$10,$A$1:$T$1,0))&amp;""),""),80))</f>
        <v/>
      </c>
      <c r="AI340" s="21">
        <f>IF(Y340="",0,IF(OR(Tally!$B$5="",AA340=Tally!$B$5),1,0))</f>
        <v/>
      </c>
      <c r="AJ340" s="21">
        <f>IF(AI340=1,IF(COUNTIFS($AB$2:AB340,AB340,$AI$2:AI340,1)=1,1,0),0)</f>
        <v/>
      </c>
      <c r="AK340" s="21">
        <f>IF(AJ340=1,SUM($AJ$2:AJ340),"")</f>
        <v/>
      </c>
      <c r="AL340" s="21">
        <f>IF(AND(AI340=1,OR(AD340="In person",AD340="Online"),OR(Speakers!$B$5="",AB340=Speakers!$B$5)),N(Z340)+ROW()/1000000000,"")</f>
        <v/>
      </c>
    </row>
    <row r="341">
      <c r="U341" s="19" t="n"/>
      <c r="V341" s="24" t="n"/>
      <c r="W341" s="24" t="n"/>
      <c r="X341" s="19" t="n"/>
      <c r="Y341" s="21">
        <f>IFERROR(TRIM(INDEX($A341:$T341,MATCH(Lists!$F$2,$A$1:$T$1,0))&amp;""),"")</f>
        <v/>
      </c>
      <c r="Z341" s="22">
        <f>IF(Y341="","",IFERROR(IF(ISNUMBER(INDEX($A341:$T341,MATCH(Lists!$F$3,$A$1:$T$1,0))),INDEX($A341:$T341,MATCH(Lists!$F$3,$A$1:$T$1,0)),DATE(VALUE(LEFT(IFERROR(TRIM(INDEX($A341:$T341,MATCH(Lists!$F$3,$A$1:$T$1,0))&amp;""),""),4)),VALUE(MID(IFERROR(TRIM(INDEX($A341:$T341,MATCH(Lists!$F$3,$A$1:$T$1,0))&amp;""),""),6,2)),VALUE(MID(IFERROR(TRIM(INDEX($A341:$T341,MATCH(Lists!$F$3,$A$1:$T$1,0))&amp;""),""),9,2)))+TIME(VALUE(MID(IFERROR(TRIM(INDEX($A341:$T341,MATCH(Lists!$F$3,$A$1:$T$1,0))&amp;""),""),12,2)),VALUE(MID(IFERROR(TRIM(INDEX($A341:$T341,MATCH(Lists!$F$3,$A$1:$T$1,0))&amp;""),""),15,2)),VALUE(MID(IFERROR(TRIM(INDEX($A341:$T341,MATCH(Lists!$F$3,$A$1:$T$1,0))&amp;""),""),18,2)))),""))</f>
        <v/>
      </c>
      <c r="AA341" s="23">
        <f>IF(Y341="","",IF(ISNUMBER(IFERROR(IF(TRIM(INDEX($A341:$T341,MATCH(Lists!$F$4,$A$1:$T$1,0))&amp;"")="","",IF(ISNUMBER(INDEX($A341:$T341,MATCH(Lists!$F$4,$A$1:$T$1,0))),INT(INDEX($A341:$T341,MATCH(Lists!$F$4,$A$1:$T$1,0))),DATE(VALUE(LEFT(INDEX($A341:$T341,MATCH(Lists!$F$4,$A$1:$T$1,0)),4)),VALUE(MID(INDEX($A341:$T341,MATCH(Lists!$F$4,$A$1:$T$1,0)),6,2)),VALUE(MID(INDEX($A341:$T341,MATCH(Lists!$F$4,$A$1:$T$1,0)),9,2))))),"")),IFERROR(IF(TRIM(INDEX($A341:$T341,MATCH(Lists!$F$4,$A$1:$T$1,0))&amp;"")="","",IF(ISNUMBER(INDEX($A341:$T341,MATCH(Lists!$F$4,$A$1:$T$1,0))),INT(INDEX($A341:$T341,MATCH(Lists!$F$4,$A$1:$T$1,0))),DATE(VALUE(LEFT(INDEX($A341:$T341,MATCH(Lists!$F$4,$A$1:$T$1,0)),4)),VALUE(MID(INDEX($A341:$T341,MATCH(Lists!$F$4,$A$1:$T$1,0)),6,2)),VALUE(MID(INDEX($A341:$T341,MATCH(Lists!$F$4,$A$1:$T$1,0)),9,2))))),""),IFERROR(IF(TRIM(INDEX($A341:$T341,MATCH(Lists!$F$5,$A$1:$T$1,0))&amp;"")="","",IF(ISNUMBER(INDEX($A341:$T341,MATCH(Lists!$F$5,$A$1:$T$1,0))),INT(INDEX($A341:$T341,MATCH(Lists!$F$5,$A$1:$T$1,0))),DATE(VALUE(LEFT(INDEX($A341:$T341,MATCH(Lists!$F$5,$A$1:$T$1,0)),4)),VALUE(MID(INDEX($A341:$T341,MATCH(Lists!$F$5,$A$1:$T$1,0)),6,2)),VALUE(MID(INDEX($A341:$T341,MATCH(Lists!$F$5,$A$1:$T$1,0)),9,2))))),"")))</f>
        <v/>
      </c>
      <c r="AB341" s="21">
        <f>IF(Y341="","",IF(LEFT(IFERROR(TRIM(INDEX($A341:$T341,MATCH(Lists!$F$6,$A$1:$T$1,0))&amp;""),""),2)="No","General comment",IF(IFERROR(TRIM(INDEX($A341:$T341,MATCH(Lists!$F$7,$A$1:$T$1,0))&amp;""),"")&lt;&gt;"",IFERROR(TRIM(INDEX($A341:$T341,MATCH(Lists!$F$7,$A$1:$T$1,0))&amp;""),""),IF(IFERROR(TRIM(INDEX($A341:$T341,MATCH(Lists!$F$8,$A$1:$T$1,0))&amp;""),"")&lt;&gt;"",IFERROR(TRIM(INDEX($A341:$T341,MATCH(Lists!$F$8,$A$1:$T$1,0))&amp;""),""),"(no item given)"))))</f>
        <v/>
      </c>
      <c r="AC341" s="21">
        <f>IF(Y341="","",IF(ISNUMBER(SEARCH("support",IFERROR(TRIM(INDEX($A341:$T341,MATCH(Lists!$F$9,$A$1:$T$1,0))&amp;""),""))),"Support",IF(ISNUMBER(SEARCH("oppose",IFERROR(TRIM(INDEX($A341:$T341,MATCH(Lists!$F$9,$A$1:$T$1,0))&amp;""),""))),"Oppose",IF(IFERROR(TRIM(INDEX($A341:$T341,MATCH(Lists!$F$9,$A$1:$T$1,0))&amp;""),"")="","No position","Neither"))))</f>
        <v/>
      </c>
      <c r="AD341" s="21">
        <f>IF(Y341="","",IF(ISNUMBER(SEARCH("in person",IFERROR(TRIM(INDEX($A341:$T341,MATCH(Lists!$F$13,$A$1:$T$1,0))&amp;""),""))),"In person",IF(ISNUMBER(SEARCH("online",IFERROR(TRIM(INDEX($A341:$T341,MATCH(Lists!$F$13,$A$1:$T$1,0))&amp;""),""))),"Online","Written only")))</f>
        <v/>
      </c>
      <c r="AE341" s="21">
        <f>IF(Y341="","",IFERROR(TRIM(INDEX($A341:$T341,MATCH(Lists!$F$11,$A$1:$T$1,0))&amp;""),""))</f>
        <v/>
      </c>
      <c r="AF341" s="21">
        <f>IF(Y341="","",IFERROR(TRIM(INDEX($A341:$T341,MATCH(Lists!$F$12,$A$1:$T$1,0))&amp;""),""))</f>
        <v/>
      </c>
      <c r="AG341" s="21">
        <f>IF(Y341="","",IFERROR(TRIM(INDEX($A341:$T341,MATCH(Lists!$F$14,$A$1:$T$1,0))&amp;""),""))</f>
        <v/>
      </c>
      <c r="AH341" s="21">
        <f>IF(Y341="","",LEFT(IFERROR(TRIM(INDEX($A341:$T341,MATCH(Lists!$F$10,$A$1:$T$1,0))&amp;""),""),80))</f>
        <v/>
      </c>
      <c r="AI341" s="21">
        <f>IF(Y341="",0,IF(OR(Tally!$B$5="",AA341=Tally!$B$5),1,0))</f>
        <v/>
      </c>
      <c r="AJ341" s="21">
        <f>IF(AI341=1,IF(COUNTIFS($AB$2:AB341,AB341,$AI$2:AI341,1)=1,1,0),0)</f>
        <v/>
      </c>
      <c r="AK341" s="21">
        <f>IF(AJ341=1,SUM($AJ$2:AJ341),"")</f>
        <v/>
      </c>
      <c r="AL341" s="21">
        <f>IF(AND(AI341=1,OR(AD341="In person",AD341="Online"),OR(Speakers!$B$5="",AB341=Speakers!$B$5)),N(Z341)+ROW()/1000000000,"")</f>
        <v/>
      </c>
    </row>
    <row r="342">
      <c r="U342" s="19" t="n"/>
      <c r="V342" s="24" t="n"/>
      <c r="W342" s="24" t="n"/>
      <c r="X342" s="19" t="n"/>
      <c r="Y342" s="21">
        <f>IFERROR(TRIM(INDEX($A342:$T342,MATCH(Lists!$F$2,$A$1:$T$1,0))&amp;""),"")</f>
        <v/>
      </c>
      <c r="Z342" s="22">
        <f>IF(Y342="","",IFERROR(IF(ISNUMBER(INDEX($A342:$T342,MATCH(Lists!$F$3,$A$1:$T$1,0))),INDEX($A342:$T342,MATCH(Lists!$F$3,$A$1:$T$1,0)),DATE(VALUE(LEFT(IFERROR(TRIM(INDEX($A342:$T342,MATCH(Lists!$F$3,$A$1:$T$1,0))&amp;""),""),4)),VALUE(MID(IFERROR(TRIM(INDEX($A342:$T342,MATCH(Lists!$F$3,$A$1:$T$1,0))&amp;""),""),6,2)),VALUE(MID(IFERROR(TRIM(INDEX($A342:$T342,MATCH(Lists!$F$3,$A$1:$T$1,0))&amp;""),""),9,2)))+TIME(VALUE(MID(IFERROR(TRIM(INDEX($A342:$T342,MATCH(Lists!$F$3,$A$1:$T$1,0))&amp;""),""),12,2)),VALUE(MID(IFERROR(TRIM(INDEX($A342:$T342,MATCH(Lists!$F$3,$A$1:$T$1,0))&amp;""),""),15,2)),VALUE(MID(IFERROR(TRIM(INDEX($A342:$T342,MATCH(Lists!$F$3,$A$1:$T$1,0))&amp;""),""),18,2)))),""))</f>
        <v/>
      </c>
      <c r="AA342" s="23">
        <f>IF(Y342="","",IF(ISNUMBER(IFERROR(IF(TRIM(INDEX($A342:$T342,MATCH(Lists!$F$4,$A$1:$T$1,0))&amp;"")="","",IF(ISNUMBER(INDEX($A342:$T342,MATCH(Lists!$F$4,$A$1:$T$1,0))),INT(INDEX($A342:$T342,MATCH(Lists!$F$4,$A$1:$T$1,0))),DATE(VALUE(LEFT(INDEX($A342:$T342,MATCH(Lists!$F$4,$A$1:$T$1,0)),4)),VALUE(MID(INDEX($A342:$T342,MATCH(Lists!$F$4,$A$1:$T$1,0)),6,2)),VALUE(MID(INDEX($A342:$T342,MATCH(Lists!$F$4,$A$1:$T$1,0)),9,2))))),"")),IFERROR(IF(TRIM(INDEX($A342:$T342,MATCH(Lists!$F$4,$A$1:$T$1,0))&amp;"")="","",IF(ISNUMBER(INDEX($A342:$T342,MATCH(Lists!$F$4,$A$1:$T$1,0))),INT(INDEX($A342:$T342,MATCH(Lists!$F$4,$A$1:$T$1,0))),DATE(VALUE(LEFT(INDEX($A342:$T342,MATCH(Lists!$F$4,$A$1:$T$1,0)),4)),VALUE(MID(INDEX($A342:$T342,MATCH(Lists!$F$4,$A$1:$T$1,0)),6,2)),VALUE(MID(INDEX($A342:$T342,MATCH(Lists!$F$4,$A$1:$T$1,0)),9,2))))),""),IFERROR(IF(TRIM(INDEX($A342:$T342,MATCH(Lists!$F$5,$A$1:$T$1,0))&amp;"")="","",IF(ISNUMBER(INDEX($A342:$T342,MATCH(Lists!$F$5,$A$1:$T$1,0))),INT(INDEX($A342:$T342,MATCH(Lists!$F$5,$A$1:$T$1,0))),DATE(VALUE(LEFT(INDEX($A342:$T342,MATCH(Lists!$F$5,$A$1:$T$1,0)),4)),VALUE(MID(INDEX($A342:$T342,MATCH(Lists!$F$5,$A$1:$T$1,0)),6,2)),VALUE(MID(INDEX($A342:$T342,MATCH(Lists!$F$5,$A$1:$T$1,0)),9,2))))),"")))</f>
        <v/>
      </c>
      <c r="AB342" s="21">
        <f>IF(Y342="","",IF(LEFT(IFERROR(TRIM(INDEX($A342:$T342,MATCH(Lists!$F$6,$A$1:$T$1,0))&amp;""),""),2)="No","General comment",IF(IFERROR(TRIM(INDEX($A342:$T342,MATCH(Lists!$F$7,$A$1:$T$1,0))&amp;""),"")&lt;&gt;"",IFERROR(TRIM(INDEX($A342:$T342,MATCH(Lists!$F$7,$A$1:$T$1,0))&amp;""),""),IF(IFERROR(TRIM(INDEX($A342:$T342,MATCH(Lists!$F$8,$A$1:$T$1,0))&amp;""),"")&lt;&gt;"",IFERROR(TRIM(INDEX($A342:$T342,MATCH(Lists!$F$8,$A$1:$T$1,0))&amp;""),""),"(no item given)"))))</f>
        <v/>
      </c>
      <c r="AC342" s="21">
        <f>IF(Y342="","",IF(ISNUMBER(SEARCH("support",IFERROR(TRIM(INDEX($A342:$T342,MATCH(Lists!$F$9,$A$1:$T$1,0))&amp;""),""))),"Support",IF(ISNUMBER(SEARCH("oppose",IFERROR(TRIM(INDEX($A342:$T342,MATCH(Lists!$F$9,$A$1:$T$1,0))&amp;""),""))),"Oppose",IF(IFERROR(TRIM(INDEX($A342:$T342,MATCH(Lists!$F$9,$A$1:$T$1,0))&amp;""),"")="","No position","Neither"))))</f>
        <v/>
      </c>
      <c r="AD342" s="21">
        <f>IF(Y342="","",IF(ISNUMBER(SEARCH("in person",IFERROR(TRIM(INDEX($A342:$T342,MATCH(Lists!$F$13,$A$1:$T$1,0))&amp;""),""))),"In person",IF(ISNUMBER(SEARCH("online",IFERROR(TRIM(INDEX($A342:$T342,MATCH(Lists!$F$13,$A$1:$T$1,0))&amp;""),""))),"Online","Written only")))</f>
        <v/>
      </c>
      <c r="AE342" s="21">
        <f>IF(Y342="","",IFERROR(TRIM(INDEX($A342:$T342,MATCH(Lists!$F$11,$A$1:$T$1,0))&amp;""),""))</f>
        <v/>
      </c>
      <c r="AF342" s="21">
        <f>IF(Y342="","",IFERROR(TRIM(INDEX($A342:$T342,MATCH(Lists!$F$12,$A$1:$T$1,0))&amp;""),""))</f>
        <v/>
      </c>
      <c r="AG342" s="21">
        <f>IF(Y342="","",IFERROR(TRIM(INDEX($A342:$T342,MATCH(Lists!$F$14,$A$1:$T$1,0))&amp;""),""))</f>
        <v/>
      </c>
      <c r="AH342" s="21">
        <f>IF(Y342="","",LEFT(IFERROR(TRIM(INDEX($A342:$T342,MATCH(Lists!$F$10,$A$1:$T$1,0))&amp;""),""),80))</f>
        <v/>
      </c>
      <c r="AI342" s="21">
        <f>IF(Y342="",0,IF(OR(Tally!$B$5="",AA342=Tally!$B$5),1,0))</f>
        <v/>
      </c>
      <c r="AJ342" s="21">
        <f>IF(AI342=1,IF(COUNTIFS($AB$2:AB342,AB342,$AI$2:AI342,1)=1,1,0),0)</f>
        <v/>
      </c>
      <c r="AK342" s="21">
        <f>IF(AJ342=1,SUM($AJ$2:AJ342),"")</f>
        <v/>
      </c>
      <c r="AL342" s="21">
        <f>IF(AND(AI342=1,OR(AD342="In person",AD342="Online"),OR(Speakers!$B$5="",AB342=Speakers!$B$5)),N(Z342)+ROW()/1000000000,"")</f>
        <v/>
      </c>
    </row>
    <row r="343">
      <c r="U343" s="19" t="n"/>
      <c r="V343" s="24" t="n"/>
      <c r="W343" s="24" t="n"/>
      <c r="X343" s="19" t="n"/>
      <c r="Y343" s="21">
        <f>IFERROR(TRIM(INDEX($A343:$T343,MATCH(Lists!$F$2,$A$1:$T$1,0))&amp;""),"")</f>
        <v/>
      </c>
      <c r="Z343" s="22">
        <f>IF(Y343="","",IFERROR(IF(ISNUMBER(INDEX($A343:$T343,MATCH(Lists!$F$3,$A$1:$T$1,0))),INDEX($A343:$T343,MATCH(Lists!$F$3,$A$1:$T$1,0)),DATE(VALUE(LEFT(IFERROR(TRIM(INDEX($A343:$T343,MATCH(Lists!$F$3,$A$1:$T$1,0))&amp;""),""),4)),VALUE(MID(IFERROR(TRIM(INDEX($A343:$T343,MATCH(Lists!$F$3,$A$1:$T$1,0))&amp;""),""),6,2)),VALUE(MID(IFERROR(TRIM(INDEX($A343:$T343,MATCH(Lists!$F$3,$A$1:$T$1,0))&amp;""),""),9,2)))+TIME(VALUE(MID(IFERROR(TRIM(INDEX($A343:$T343,MATCH(Lists!$F$3,$A$1:$T$1,0))&amp;""),""),12,2)),VALUE(MID(IFERROR(TRIM(INDEX($A343:$T343,MATCH(Lists!$F$3,$A$1:$T$1,0))&amp;""),""),15,2)),VALUE(MID(IFERROR(TRIM(INDEX($A343:$T343,MATCH(Lists!$F$3,$A$1:$T$1,0))&amp;""),""),18,2)))),""))</f>
        <v/>
      </c>
      <c r="AA343" s="23">
        <f>IF(Y343="","",IF(ISNUMBER(IFERROR(IF(TRIM(INDEX($A343:$T343,MATCH(Lists!$F$4,$A$1:$T$1,0))&amp;"")="","",IF(ISNUMBER(INDEX($A343:$T343,MATCH(Lists!$F$4,$A$1:$T$1,0))),INT(INDEX($A343:$T343,MATCH(Lists!$F$4,$A$1:$T$1,0))),DATE(VALUE(LEFT(INDEX($A343:$T343,MATCH(Lists!$F$4,$A$1:$T$1,0)),4)),VALUE(MID(INDEX($A343:$T343,MATCH(Lists!$F$4,$A$1:$T$1,0)),6,2)),VALUE(MID(INDEX($A343:$T343,MATCH(Lists!$F$4,$A$1:$T$1,0)),9,2))))),"")),IFERROR(IF(TRIM(INDEX($A343:$T343,MATCH(Lists!$F$4,$A$1:$T$1,0))&amp;"")="","",IF(ISNUMBER(INDEX($A343:$T343,MATCH(Lists!$F$4,$A$1:$T$1,0))),INT(INDEX($A343:$T343,MATCH(Lists!$F$4,$A$1:$T$1,0))),DATE(VALUE(LEFT(INDEX($A343:$T343,MATCH(Lists!$F$4,$A$1:$T$1,0)),4)),VALUE(MID(INDEX($A343:$T343,MATCH(Lists!$F$4,$A$1:$T$1,0)),6,2)),VALUE(MID(INDEX($A343:$T343,MATCH(Lists!$F$4,$A$1:$T$1,0)),9,2))))),""),IFERROR(IF(TRIM(INDEX($A343:$T343,MATCH(Lists!$F$5,$A$1:$T$1,0))&amp;"")="","",IF(ISNUMBER(INDEX($A343:$T343,MATCH(Lists!$F$5,$A$1:$T$1,0))),INT(INDEX($A343:$T343,MATCH(Lists!$F$5,$A$1:$T$1,0))),DATE(VALUE(LEFT(INDEX($A343:$T343,MATCH(Lists!$F$5,$A$1:$T$1,0)),4)),VALUE(MID(INDEX($A343:$T343,MATCH(Lists!$F$5,$A$1:$T$1,0)),6,2)),VALUE(MID(INDEX($A343:$T343,MATCH(Lists!$F$5,$A$1:$T$1,0)),9,2))))),"")))</f>
        <v/>
      </c>
      <c r="AB343" s="21">
        <f>IF(Y343="","",IF(LEFT(IFERROR(TRIM(INDEX($A343:$T343,MATCH(Lists!$F$6,$A$1:$T$1,0))&amp;""),""),2)="No","General comment",IF(IFERROR(TRIM(INDEX($A343:$T343,MATCH(Lists!$F$7,$A$1:$T$1,0))&amp;""),"")&lt;&gt;"",IFERROR(TRIM(INDEX($A343:$T343,MATCH(Lists!$F$7,$A$1:$T$1,0))&amp;""),""),IF(IFERROR(TRIM(INDEX($A343:$T343,MATCH(Lists!$F$8,$A$1:$T$1,0))&amp;""),"")&lt;&gt;"",IFERROR(TRIM(INDEX($A343:$T343,MATCH(Lists!$F$8,$A$1:$T$1,0))&amp;""),""),"(no item given)"))))</f>
        <v/>
      </c>
      <c r="AC343" s="21">
        <f>IF(Y343="","",IF(ISNUMBER(SEARCH("support",IFERROR(TRIM(INDEX($A343:$T343,MATCH(Lists!$F$9,$A$1:$T$1,0))&amp;""),""))),"Support",IF(ISNUMBER(SEARCH("oppose",IFERROR(TRIM(INDEX($A343:$T343,MATCH(Lists!$F$9,$A$1:$T$1,0))&amp;""),""))),"Oppose",IF(IFERROR(TRIM(INDEX($A343:$T343,MATCH(Lists!$F$9,$A$1:$T$1,0))&amp;""),"")="","No position","Neither"))))</f>
        <v/>
      </c>
      <c r="AD343" s="21">
        <f>IF(Y343="","",IF(ISNUMBER(SEARCH("in person",IFERROR(TRIM(INDEX($A343:$T343,MATCH(Lists!$F$13,$A$1:$T$1,0))&amp;""),""))),"In person",IF(ISNUMBER(SEARCH("online",IFERROR(TRIM(INDEX($A343:$T343,MATCH(Lists!$F$13,$A$1:$T$1,0))&amp;""),""))),"Online","Written only")))</f>
        <v/>
      </c>
      <c r="AE343" s="21">
        <f>IF(Y343="","",IFERROR(TRIM(INDEX($A343:$T343,MATCH(Lists!$F$11,$A$1:$T$1,0))&amp;""),""))</f>
        <v/>
      </c>
      <c r="AF343" s="21">
        <f>IF(Y343="","",IFERROR(TRIM(INDEX($A343:$T343,MATCH(Lists!$F$12,$A$1:$T$1,0))&amp;""),""))</f>
        <v/>
      </c>
      <c r="AG343" s="21">
        <f>IF(Y343="","",IFERROR(TRIM(INDEX($A343:$T343,MATCH(Lists!$F$14,$A$1:$T$1,0))&amp;""),""))</f>
        <v/>
      </c>
      <c r="AH343" s="21">
        <f>IF(Y343="","",LEFT(IFERROR(TRIM(INDEX($A343:$T343,MATCH(Lists!$F$10,$A$1:$T$1,0))&amp;""),""),80))</f>
        <v/>
      </c>
      <c r="AI343" s="21">
        <f>IF(Y343="",0,IF(OR(Tally!$B$5="",AA343=Tally!$B$5),1,0))</f>
        <v/>
      </c>
      <c r="AJ343" s="21">
        <f>IF(AI343=1,IF(COUNTIFS($AB$2:AB343,AB343,$AI$2:AI343,1)=1,1,0),0)</f>
        <v/>
      </c>
      <c r="AK343" s="21">
        <f>IF(AJ343=1,SUM($AJ$2:AJ343),"")</f>
        <v/>
      </c>
      <c r="AL343" s="21">
        <f>IF(AND(AI343=1,OR(AD343="In person",AD343="Online"),OR(Speakers!$B$5="",AB343=Speakers!$B$5)),N(Z343)+ROW()/1000000000,"")</f>
        <v/>
      </c>
    </row>
    <row r="344">
      <c r="U344" s="19" t="n"/>
      <c r="V344" s="24" t="n"/>
      <c r="W344" s="24" t="n"/>
      <c r="X344" s="19" t="n"/>
      <c r="Y344" s="21">
        <f>IFERROR(TRIM(INDEX($A344:$T344,MATCH(Lists!$F$2,$A$1:$T$1,0))&amp;""),"")</f>
        <v/>
      </c>
      <c r="Z344" s="22">
        <f>IF(Y344="","",IFERROR(IF(ISNUMBER(INDEX($A344:$T344,MATCH(Lists!$F$3,$A$1:$T$1,0))),INDEX($A344:$T344,MATCH(Lists!$F$3,$A$1:$T$1,0)),DATE(VALUE(LEFT(IFERROR(TRIM(INDEX($A344:$T344,MATCH(Lists!$F$3,$A$1:$T$1,0))&amp;""),""),4)),VALUE(MID(IFERROR(TRIM(INDEX($A344:$T344,MATCH(Lists!$F$3,$A$1:$T$1,0))&amp;""),""),6,2)),VALUE(MID(IFERROR(TRIM(INDEX($A344:$T344,MATCH(Lists!$F$3,$A$1:$T$1,0))&amp;""),""),9,2)))+TIME(VALUE(MID(IFERROR(TRIM(INDEX($A344:$T344,MATCH(Lists!$F$3,$A$1:$T$1,0))&amp;""),""),12,2)),VALUE(MID(IFERROR(TRIM(INDEX($A344:$T344,MATCH(Lists!$F$3,$A$1:$T$1,0))&amp;""),""),15,2)),VALUE(MID(IFERROR(TRIM(INDEX($A344:$T344,MATCH(Lists!$F$3,$A$1:$T$1,0))&amp;""),""),18,2)))),""))</f>
        <v/>
      </c>
      <c r="AA344" s="23">
        <f>IF(Y344="","",IF(ISNUMBER(IFERROR(IF(TRIM(INDEX($A344:$T344,MATCH(Lists!$F$4,$A$1:$T$1,0))&amp;"")="","",IF(ISNUMBER(INDEX($A344:$T344,MATCH(Lists!$F$4,$A$1:$T$1,0))),INT(INDEX($A344:$T344,MATCH(Lists!$F$4,$A$1:$T$1,0))),DATE(VALUE(LEFT(INDEX($A344:$T344,MATCH(Lists!$F$4,$A$1:$T$1,0)),4)),VALUE(MID(INDEX($A344:$T344,MATCH(Lists!$F$4,$A$1:$T$1,0)),6,2)),VALUE(MID(INDEX($A344:$T344,MATCH(Lists!$F$4,$A$1:$T$1,0)),9,2))))),"")),IFERROR(IF(TRIM(INDEX($A344:$T344,MATCH(Lists!$F$4,$A$1:$T$1,0))&amp;"")="","",IF(ISNUMBER(INDEX($A344:$T344,MATCH(Lists!$F$4,$A$1:$T$1,0))),INT(INDEX($A344:$T344,MATCH(Lists!$F$4,$A$1:$T$1,0))),DATE(VALUE(LEFT(INDEX($A344:$T344,MATCH(Lists!$F$4,$A$1:$T$1,0)),4)),VALUE(MID(INDEX($A344:$T344,MATCH(Lists!$F$4,$A$1:$T$1,0)),6,2)),VALUE(MID(INDEX($A344:$T344,MATCH(Lists!$F$4,$A$1:$T$1,0)),9,2))))),""),IFERROR(IF(TRIM(INDEX($A344:$T344,MATCH(Lists!$F$5,$A$1:$T$1,0))&amp;"")="","",IF(ISNUMBER(INDEX($A344:$T344,MATCH(Lists!$F$5,$A$1:$T$1,0))),INT(INDEX($A344:$T344,MATCH(Lists!$F$5,$A$1:$T$1,0))),DATE(VALUE(LEFT(INDEX($A344:$T344,MATCH(Lists!$F$5,$A$1:$T$1,0)),4)),VALUE(MID(INDEX($A344:$T344,MATCH(Lists!$F$5,$A$1:$T$1,0)),6,2)),VALUE(MID(INDEX($A344:$T344,MATCH(Lists!$F$5,$A$1:$T$1,0)),9,2))))),"")))</f>
        <v/>
      </c>
      <c r="AB344" s="21">
        <f>IF(Y344="","",IF(LEFT(IFERROR(TRIM(INDEX($A344:$T344,MATCH(Lists!$F$6,$A$1:$T$1,0))&amp;""),""),2)="No","General comment",IF(IFERROR(TRIM(INDEX($A344:$T344,MATCH(Lists!$F$7,$A$1:$T$1,0))&amp;""),"")&lt;&gt;"",IFERROR(TRIM(INDEX($A344:$T344,MATCH(Lists!$F$7,$A$1:$T$1,0))&amp;""),""),IF(IFERROR(TRIM(INDEX($A344:$T344,MATCH(Lists!$F$8,$A$1:$T$1,0))&amp;""),"")&lt;&gt;"",IFERROR(TRIM(INDEX($A344:$T344,MATCH(Lists!$F$8,$A$1:$T$1,0))&amp;""),""),"(no item given)"))))</f>
        <v/>
      </c>
      <c r="AC344" s="21">
        <f>IF(Y344="","",IF(ISNUMBER(SEARCH("support",IFERROR(TRIM(INDEX($A344:$T344,MATCH(Lists!$F$9,$A$1:$T$1,0))&amp;""),""))),"Support",IF(ISNUMBER(SEARCH("oppose",IFERROR(TRIM(INDEX($A344:$T344,MATCH(Lists!$F$9,$A$1:$T$1,0))&amp;""),""))),"Oppose",IF(IFERROR(TRIM(INDEX($A344:$T344,MATCH(Lists!$F$9,$A$1:$T$1,0))&amp;""),"")="","No position","Neither"))))</f>
        <v/>
      </c>
      <c r="AD344" s="21">
        <f>IF(Y344="","",IF(ISNUMBER(SEARCH("in person",IFERROR(TRIM(INDEX($A344:$T344,MATCH(Lists!$F$13,$A$1:$T$1,0))&amp;""),""))),"In person",IF(ISNUMBER(SEARCH("online",IFERROR(TRIM(INDEX($A344:$T344,MATCH(Lists!$F$13,$A$1:$T$1,0))&amp;""),""))),"Online","Written only")))</f>
        <v/>
      </c>
      <c r="AE344" s="21">
        <f>IF(Y344="","",IFERROR(TRIM(INDEX($A344:$T344,MATCH(Lists!$F$11,$A$1:$T$1,0))&amp;""),""))</f>
        <v/>
      </c>
      <c r="AF344" s="21">
        <f>IF(Y344="","",IFERROR(TRIM(INDEX($A344:$T344,MATCH(Lists!$F$12,$A$1:$T$1,0))&amp;""),""))</f>
        <v/>
      </c>
      <c r="AG344" s="21">
        <f>IF(Y344="","",IFERROR(TRIM(INDEX($A344:$T344,MATCH(Lists!$F$14,$A$1:$T$1,0))&amp;""),""))</f>
        <v/>
      </c>
      <c r="AH344" s="21">
        <f>IF(Y344="","",LEFT(IFERROR(TRIM(INDEX($A344:$T344,MATCH(Lists!$F$10,$A$1:$T$1,0))&amp;""),""),80))</f>
        <v/>
      </c>
      <c r="AI344" s="21">
        <f>IF(Y344="",0,IF(OR(Tally!$B$5="",AA344=Tally!$B$5),1,0))</f>
        <v/>
      </c>
      <c r="AJ344" s="21">
        <f>IF(AI344=1,IF(COUNTIFS($AB$2:AB344,AB344,$AI$2:AI344,1)=1,1,0),0)</f>
        <v/>
      </c>
      <c r="AK344" s="21">
        <f>IF(AJ344=1,SUM($AJ$2:AJ344),"")</f>
        <v/>
      </c>
      <c r="AL344" s="21">
        <f>IF(AND(AI344=1,OR(AD344="In person",AD344="Online"),OR(Speakers!$B$5="",AB344=Speakers!$B$5)),N(Z344)+ROW()/1000000000,"")</f>
        <v/>
      </c>
    </row>
    <row r="345">
      <c r="U345" s="19" t="n"/>
      <c r="V345" s="24" t="n"/>
      <c r="W345" s="24" t="n"/>
      <c r="X345" s="19" t="n"/>
      <c r="Y345" s="21">
        <f>IFERROR(TRIM(INDEX($A345:$T345,MATCH(Lists!$F$2,$A$1:$T$1,0))&amp;""),"")</f>
        <v/>
      </c>
      <c r="Z345" s="22">
        <f>IF(Y345="","",IFERROR(IF(ISNUMBER(INDEX($A345:$T345,MATCH(Lists!$F$3,$A$1:$T$1,0))),INDEX($A345:$T345,MATCH(Lists!$F$3,$A$1:$T$1,0)),DATE(VALUE(LEFT(IFERROR(TRIM(INDEX($A345:$T345,MATCH(Lists!$F$3,$A$1:$T$1,0))&amp;""),""),4)),VALUE(MID(IFERROR(TRIM(INDEX($A345:$T345,MATCH(Lists!$F$3,$A$1:$T$1,0))&amp;""),""),6,2)),VALUE(MID(IFERROR(TRIM(INDEX($A345:$T345,MATCH(Lists!$F$3,$A$1:$T$1,0))&amp;""),""),9,2)))+TIME(VALUE(MID(IFERROR(TRIM(INDEX($A345:$T345,MATCH(Lists!$F$3,$A$1:$T$1,0))&amp;""),""),12,2)),VALUE(MID(IFERROR(TRIM(INDEX($A345:$T345,MATCH(Lists!$F$3,$A$1:$T$1,0))&amp;""),""),15,2)),VALUE(MID(IFERROR(TRIM(INDEX($A345:$T345,MATCH(Lists!$F$3,$A$1:$T$1,0))&amp;""),""),18,2)))),""))</f>
        <v/>
      </c>
      <c r="AA345" s="23">
        <f>IF(Y345="","",IF(ISNUMBER(IFERROR(IF(TRIM(INDEX($A345:$T345,MATCH(Lists!$F$4,$A$1:$T$1,0))&amp;"")="","",IF(ISNUMBER(INDEX($A345:$T345,MATCH(Lists!$F$4,$A$1:$T$1,0))),INT(INDEX($A345:$T345,MATCH(Lists!$F$4,$A$1:$T$1,0))),DATE(VALUE(LEFT(INDEX($A345:$T345,MATCH(Lists!$F$4,$A$1:$T$1,0)),4)),VALUE(MID(INDEX($A345:$T345,MATCH(Lists!$F$4,$A$1:$T$1,0)),6,2)),VALUE(MID(INDEX($A345:$T345,MATCH(Lists!$F$4,$A$1:$T$1,0)),9,2))))),"")),IFERROR(IF(TRIM(INDEX($A345:$T345,MATCH(Lists!$F$4,$A$1:$T$1,0))&amp;"")="","",IF(ISNUMBER(INDEX($A345:$T345,MATCH(Lists!$F$4,$A$1:$T$1,0))),INT(INDEX($A345:$T345,MATCH(Lists!$F$4,$A$1:$T$1,0))),DATE(VALUE(LEFT(INDEX($A345:$T345,MATCH(Lists!$F$4,$A$1:$T$1,0)),4)),VALUE(MID(INDEX($A345:$T345,MATCH(Lists!$F$4,$A$1:$T$1,0)),6,2)),VALUE(MID(INDEX($A345:$T345,MATCH(Lists!$F$4,$A$1:$T$1,0)),9,2))))),""),IFERROR(IF(TRIM(INDEX($A345:$T345,MATCH(Lists!$F$5,$A$1:$T$1,0))&amp;"")="","",IF(ISNUMBER(INDEX($A345:$T345,MATCH(Lists!$F$5,$A$1:$T$1,0))),INT(INDEX($A345:$T345,MATCH(Lists!$F$5,$A$1:$T$1,0))),DATE(VALUE(LEFT(INDEX($A345:$T345,MATCH(Lists!$F$5,$A$1:$T$1,0)),4)),VALUE(MID(INDEX($A345:$T345,MATCH(Lists!$F$5,$A$1:$T$1,0)),6,2)),VALUE(MID(INDEX($A345:$T345,MATCH(Lists!$F$5,$A$1:$T$1,0)),9,2))))),"")))</f>
        <v/>
      </c>
      <c r="AB345" s="21">
        <f>IF(Y345="","",IF(LEFT(IFERROR(TRIM(INDEX($A345:$T345,MATCH(Lists!$F$6,$A$1:$T$1,0))&amp;""),""),2)="No","General comment",IF(IFERROR(TRIM(INDEX($A345:$T345,MATCH(Lists!$F$7,$A$1:$T$1,0))&amp;""),"")&lt;&gt;"",IFERROR(TRIM(INDEX($A345:$T345,MATCH(Lists!$F$7,$A$1:$T$1,0))&amp;""),""),IF(IFERROR(TRIM(INDEX($A345:$T345,MATCH(Lists!$F$8,$A$1:$T$1,0))&amp;""),"")&lt;&gt;"",IFERROR(TRIM(INDEX($A345:$T345,MATCH(Lists!$F$8,$A$1:$T$1,0))&amp;""),""),"(no item given)"))))</f>
        <v/>
      </c>
      <c r="AC345" s="21">
        <f>IF(Y345="","",IF(ISNUMBER(SEARCH("support",IFERROR(TRIM(INDEX($A345:$T345,MATCH(Lists!$F$9,$A$1:$T$1,0))&amp;""),""))),"Support",IF(ISNUMBER(SEARCH("oppose",IFERROR(TRIM(INDEX($A345:$T345,MATCH(Lists!$F$9,$A$1:$T$1,0))&amp;""),""))),"Oppose",IF(IFERROR(TRIM(INDEX($A345:$T345,MATCH(Lists!$F$9,$A$1:$T$1,0))&amp;""),"")="","No position","Neither"))))</f>
        <v/>
      </c>
      <c r="AD345" s="21">
        <f>IF(Y345="","",IF(ISNUMBER(SEARCH("in person",IFERROR(TRIM(INDEX($A345:$T345,MATCH(Lists!$F$13,$A$1:$T$1,0))&amp;""),""))),"In person",IF(ISNUMBER(SEARCH("online",IFERROR(TRIM(INDEX($A345:$T345,MATCH(Lists!$F$13,$A$1:$T$1,0))&amp;""),""))),"Online","Written only")))</f>
        <v/>
      </c>
      <c r="AE345" s="21">
        <f>IF(Y345="","",IFERROR(TRIM(INDEX($A345:$T345,MATCH(Lists!$F$11,$A$1:$T$1,0))&amp;""),""))</f>
        <v/>
      </c>
      <c r="AF345" s="21">
        <f>IF(Y345="","",IFERROR(TRIM(INDEX($A345:$T345,MATCH(Lists!$F$12,$A$1:$T$1,0))&amp;""),""))</f>
        <v/>
      </c>
      <c r="AG345" s="21">
        <f>IF(Y345="","",IFERROR(TRIM(INDEX($A345:$T345,MATCH(Lists!$F$14,$A$1:$T$1,0))&amp;""),""))</f>
        <v/>
      </c>
      <c r="AH345" s="21">
        <f>IF(Y345="","",LEFT(IFERROR(TRIM(INDEX($A345:$T345,MATCH(Lists!$F$10,$A$1:$T$1,0))&amp;""),""),80))</f>
        <v/>
      </c>
      <c r="AI345" s="21">
        <f>IF(Y345="",0,IF(OR(Tally!$B$5="",AA345=Tally!$B$5),1,0))</f>
        <v/>
      </c>
      <c r="AJ345" s="21">
        <f>IF(AI345=1,IF(COUNTIFS($AB$2:AB345,AB345,$AI$2:AI345,1)=1,1,0),0)</f>
        <v/>
      </c>
      <c r="AK345" s="21">
        <f>IF(AJ345=1,SUM($AJ$2:AJ345),"")</f>
        <v/>
      </c>
      <c r="AL345" s="21">
        <f>IF(AND(AI345=1,OR(AD345="In person",AD345="Online"),OR(Speakers!$B$5="",AB345=Speakers!$B$5)),N(Z345)+ROW()/1000000000,"")</f>
        <v/>
      </c>
    </row>
    <row r="346">
      <c r="U346" s="19" t="n"/>
      <c r="V346" s="24" t="n"/>
      <c r="W346" s="24" t="n"/>
      <c r="X346" s="19" t="n"/>
      <c r="Y346" s="21">
        <f>IFERROR(TRIM(INDEX($A346:$T346,MATCH(Lists!$F$2,$A$1:$T$1,0))&amp;""),"")</f>
        <v/>
      </c>
      <c r="Z346" s="22">
        <f>IF(Y346="","",IFERROR(IF(ISNUMBER(INDEX($A346:$T346,MATCH(Lists!$F$3,$A$1:$T$1,0))),INDEX($A346:$T346,MATCH(Lists!$F$3,$A$1:$T$1,0)),DATE(VALUE(LEFT(IFERROR(TRIM(INDEX($A346:$T346,MATCH(Lists!$F$3,$A$1:$T$1,0))&amp;""),""),4)),VALUE(MID(IFERROR(TRIM(INDEX($A346:$T346,MATCH(Lists!$F$3,$A$1:$T$1,0))&amp;""),""),6,2)),VALUE(MID(IFERROR(TRIM(INDEX($A346:$T346,MATCH(Lists!$F$3,$A$1:$T$1,0))&amp;""),""),9,2)))+TIME(VALUE(MID(IFERROR(TRIM(INDEX($A346:$T346,MATCH(Lists!$F$3,$A$1:$T$1,0))&amp;""),""),12,2)),VALUE(MID(IFERROR(TRIM(INDEX($A346:$T346,MATCH(Lists!$F$3,$A$1:$T$1,0))&amp;""),""),15,2)),VALUE(MID(IFERROR(TRIM(INDEX($A346:$T346,MATCH(Lists!$F$3,$A$1:$T$1,0))&amp;""),""),18,2)))),""))</f>
        <v/>
      </c>
      <c r="AA346" s="23">
        <f>IF(Y346="","",IF(ISNUMBER(IFERROR(IF(TRIM(INDEX($A346:$T346,MATCH(Lists!$F$4,$A$1:$T$1,0))&amp;"")="","",IF(ISNUMBER(INDEX($A346:$T346,MATCH(Lists!$F$4,$A$1:$T$1,0))),INT(INDEX($A346:$T346,MATCH(Lists!$F$4,$A$1:$T$1,0))),DATE(VALUE(LEFT(INDEX($A346:$T346,MATCH(Lists!$F$4,$A$1:$T$1,0)),4)),VALUE(MID(INDEX($A346:$T346,MATCH(Lists!$F$4,$A$1:$T$1,0)),6,2)),VALUE(MID(INDEX($A346:$T346,MATCH(Lists!$F$4,$A$1:$T$1,0)),9,2))))),"")),IFERROR(IF(TRIM(INDEX($A346:$T346,MATCH(Lists!$F$4,$A$1:$T$1,0))&amp;"")="","",IF(ISNUMBER(INDEX($A346:$T346,MATCH(Lists!$F$4,$A$1:$T$1,0))),INT(INDEX($A346:$T346,MATCH(Lists!$F$4,$A$1:$T$1,0))),DATE(VALUE(LEFT(INDEX($A346:$T346,MATCH(Lists!$F$4,$A$1:$T$1,0)),4)),VALUE(MID(INDEX($A346:$T346,MATCH(Lists!$F$4,$A$1:$T$1,0)),6,2)),VALUE(MID(INDEX($A346:$T346,MATCH(Lists!$F$4,$A$1:$T$1,0)),9,2))))),""),IFERROR(IF(TRIM(INDEX($A346:$T346,MATCH(Lists!$F$5,$A$1:$T$1,0))&amp;"")="","",IF(ISNUMBER(INDEX($A346:$T346,MATCH(Lists!$F$5,$A$1:$T$1,0))),INT(INDEX($A346:$T346,MATCH(Lists!$F$5,$A$1:$T$1,0))),DATE(VALUE(LEFT(INDEX($A346:$T346,MATCH(Lists!$F$5,$A$1:$T$1,0)),4)),VALUE(MID(INDEX($A346:$T346,MATCH(Lists!$F$5,$A$1:$T$1,0)),6,2)),VALUE(MID(INDEX($A346:$T346,MATCH(Lists!$F$5,$A$1:$T$1,0)),9,2))))),"")))</f>
        <v/>
      </c>
      <c r="AB346" s="21">
        <f>IF(Y346="","",IF(LEFT(IFERROR(TRIM(INDEX($A346:$T346,MATCH(Lists!$F$6,$A$1:$T$1,0))&amp;""),""),2)="No","General comment",IF(IFERROR(TRIM(INDEX($A346:$T346,MATCH(Lists!$F$7,$A$1:$T$1,0))&amp;""),"")&lt;&gt;"",IFERROR(TRIM(INDEX($A346:$T346,MATCH(Lists!$F$7,$A$1:$T$1,0))&amp;""),""),IF(IFERROR(TRIM(INDEX($A346:$T346,MATCH(Lists!$F$8,$A$1:$T$1,0))&amp;""),"")&lt;&gt;"",IFERROR(TRIM(INDEX($A346:$T346,MATCH(Lists!$F$8,$A$1:$T$1,0))&amp;""),""),"(no item given)"))))</f>
        <v/>
      </c>
      <c r="AC346" s="21">
        <f>IF(Y346="","",IF(ISNUMBER(SEARCH("support",IFERROR(TRIM(INDEX($A346:$T346,MATCH(Lists!$F$9,$A$1:$T$1,0))&amp;""),""))),"Support",IF(ISNUMBER(SEARCH("oppose",IFERROR(TRIM(INDEX($A346:$T346,MATCH(Lists!$F$9,$A$1:$T$1,0))&amp;""),""))),"Oppose",IF(IFERROR(TRIM(INDEX($A346:$T346,MATCH(Lists!$F$9,$A$1:$T$1,0))&amp;""),"")="","No position","Neither"))))</f>
        <v/>
      </c>
      <c r="AD346" s="21">
        <f>IF(Y346="","",IF(ISNUMBER(SEARCH("in person",IFERROR(TRIM(INDEX($A346:$T346,MATCH(Lists!$F$13,$A$1:$T$1,0))&amp;""),""))),"In person",IF(ISNUMBER(SEARCH("online",IFERROR(TRIM(INDEX($A346:$T346,MATCH(Lists!$F$13,$A$1:$T$1,0))&amp;""),""))),"Online","Written only")))</f>
        <v/>
      </c>
      <c r="AE346" s="21">
        <f>IF(Y346="","",IFERROR(TRIM(INDEX($A346:$T346,MATCH(Lists!$F$11,$A$1:$T$1,0))&amp;""),""))</f>
        <v/>
      </c>
      <c r="AF346" s="21">
        <f>IF(Y346="","",IFERROR(TRIM(INDEX($A346:$T346,MATCH(Lists!$F$12,$A$1:$T$1,0))&amp;""),""))</f>
        <v/>
      </c>
      <c r="AG346" s="21">
        <f>IF(Y346="","",IFERROR(TRIM(INDEX($A346:$T346,MATCH(Lists!$F$14,$A$1:$T$1,0))&amp;""),""))</f>
        <v/>
      </c>
      <c r="AH346" s="21">
        <f>IF(Y346="","",LEFT(IFERROR(TRIM(INDEX($A346:$T346,MATCH(Lists!$F$10,$A$1:$T$1,0))&amp;""),""),80))</f>
        <v/>
      </c>
      <c r="AI346" s="21">
        <f>IF(Y346="",0,IF(OR(Tally!$B$5="",AA346=Tally!$B$5),1,0))</f>
        <v/>
      </c>
      <c r="AJ346" s="21">
        <f>IF(AI346=1,IF(COUNTIFS($AB$2:AB346,AB346,$AI$2:AI346,1)=1,1,0),0)</f>
        <v/>
      </c>
      <c r="AK346" s="21">
        <f>IF(AJ346=1,SUM($AJ$2:AJ346),"")</f>
        <v/>
      </c>
      <c r="AL346" s="21">
        <f>IF(AND(AI346=1,OR(AD346="In person",AD346="Online"),OR(Speakers!$B$5="",AB346=Speakers!$B$5)),N(Z346)+ROW()/1000000000,"")</f>
        <v/>
      </c>
    </row>
    <row r="347">
      <c r="U347" s="19" t="n"/>
      <c r="V347" s="24" t="n"/>
      <c r="W347" s="24" t="n"/>
      <c r="X347" s="19" t="n"/>
      <c r="Y347" s="21">
        <f>IFERROR(TRIM(INDEX($A347:$T347,MATCH(Lists!$F$2,$A$1:$T$1,0))&amp;""),"")</f>
        <v/>
      </c>
      <c r="Z347" s="22">
        <f>IF(Y347="","",IFERROR(IF(ISNUMBER(INDEX($A347:$T347,MATCH(Lists!$F$3,$A$1:$T$1,0))),INDEX($A347:$T347,MATCH(Lists!$F$3,$A$1:$T$1,0)),DATE(VALUE(LEFT(IFERROR(TRIM(INDEX($A347:$T347,MATCH(Lists!$F$3,$A$1:$T$1,0))&amp;""),""),4)),VALUE(MID(IFERROR(TRIM(INDEX($A347:$T347,MATCH(Lists!$F$3,$A$1:$T$1,0))&amp;""),""),6,2)),VALUE(MID(IFERROR(TRIM(INDEX($A347:$T347,MATCH(Lists!$F$3,$A$1:$T$1,0))&amp;""),""),9,2)))+TIME(VALUE(MID(IFERROR(TRIM(INDEX($A347:$T347,MATCH(Lists!$F$3,$A$1:$T$1,0))&amp;""),""),12,2)),VALUE(MID(IFERROR(TRIM(INDEX($A347:$T347,MATCH(Lists!$F$3,$A$1:$T$1,0))&amp;""),""),15,2)),VALUE(MID(IFERROR(TRIM(INDEX($A347:$T347,MATCH(Lists!$F$3,$A$1:$T$1,0))&amp;""),""),18,2)))),""))</f>
        <v/>
      </c>
      <c r="AA347" s="23">
        <f>IF(Y347="","",IF(ISNUMBER(IFERROR(IF(TRIM(INDEX($A347:$T347,MATCH(Lists!$F$4,$A$1:$T$1,0))&amp;"")="","",IF(ISNUMBER(INDEX($A347:$T347,MATCH(Lists!$F$4,$A$1:$T$1,0))),INT(INDEX($A347:$T347,MATCH(Lists!$F$4,$A$1:$T$1,0))),DATE(VALUE(LEFT(INDEX($A347:$T347,MATCH(Lists!$F$4,$A$1:$T$1,0)),4)),VALUE(MID(INDEX($A347:$T347,MATCH(Lists!$F$4,$A$1:$T$1,0)),6,2)),VALUE(MID(INDEX($A347:$T347,MATCH(Lists!$F$4,$A$1:$T$1,0)),9,2))))),"")),IFERROR(IF(TRIM(INDEX($A347:$T347,MATCH(Lists!$F$4,$A$1:$T$1,0))&amp;"")="","",IF(ISNUMBER(INDEX($A347:$T347,MATCH(Lists!$F$4,$A$1:$T$1,0))),INT(INDEX($A347:$T347,MATCH(Lists!$F$4,$A$1:$T$1,0))),DATE(VALUE(LEFT(INDEX($A347:$T347,MATCH(Lists!$F$4,$A$1:$T$1,0)),4)),VALUE(MID(INDEX($A347:$T347,MATCH(Lists!$F$4,$A$1:$T$1,0)),6,2)),VALUE(MID(INDEX($A347:$T347,MATCH(Lists!$F$4,$A$1:$T$1,0)),9,2))))),""),IFERROR(IF(TRIM(INDEX($A347:$T347,MATCH(Lists!$F$5,$A$1:$T$1,0))&amp;"")="","",IF(ISNUMBER(INDEX($A347:$T347,MATCH(Lists!$F$5,$A$1:$T$1,0))),INT(INDEX($A347:$T347,MATCH(Lists!$F$5,$A$1:$T$1,0))),DATE(VALUE(LEFT(INDEX($A347:$T347,MATCH(Lists!$F$5,$A$1:$T$1,0)),4)),VALUE(MID(INDEX($A347:$T347,MATCH(Lists!$F$5,$A$1:$T$1,0)),6,2)),VALUE(MID(INDEX($A347:$T347,MATCH(Lists!$F$5,$A$1:$T$1,0)),9,2))))),"")))</f>
        <v/>
      </c>
      <c r="AB347" s="21">
        <f>IF(Y347="","",IF(LEFT(IFERROR(TRIM(INDEX($A347:$T347,MATCH(Lists!$F$6,$A$1:$T$1,0))&amp;""),""),2)="No","General comment",IF(IFERROR(TRIM(INDEX($A347:$T347,MATCH(Lists!$F$7,$A$1:$T$1,0))&amp;""),"")&lt;&gt;"",IFERROR(TRIM(INDEX($A347:$T347,MATCH(Lists!$F$7,$A$1:$T$1,0))&amp;""),""),IF(IFERROR(TRIM(INDEX($A347:$T347,MATCH(Lists!$F$8,$A$1:$T$1,0))&amp;""),"")&lt;&gt;"",IFERROR(TRIM(INDEX($A347:$T347,MATCH(Lists!$F$8,$A$1:$T$1,0))&amp;""),""),"(no item given)"))))</f>
        <v/>
      </c>
      <c r="AC347" s="21">
        <f>IF(Y347="","",IF(ISNUMBER(SEARCH("support",IFERROR(TRIM(INDEX($A347:$T347,MATCH(Lists!$F$9,$A$1:$T$1,0))&amp;""),""))),"Support",IF(ISNUMBER(SEARCH("oppose",IFERROR(TRIM(INDEX($A347:$T347,MATCH(Lists!$F$9,$A$1:$T$1,0))&amp;""),""))),"Oppose",IF(IFERROR(TRIM(INDEX($A347:$T347,MATCH(Lists!$F$9,$A$1:$T$1,0))&amp;""),"")="","No position","Neither"))))</f>
        <v/>
      </c>
      <c r="AD347" s="21">
        <f>IF(Y347="","",IF(ISNUMBER(SEARCH("in person",IFERROR(TRIM(INDEX($A347:$T347,MATCH(Lists!$F$13,$A$1:$T$1,0))&amp;""),""))),"In person",IF(ISNUMBER(SEARCH("online",IFERROR(TRIM(INDEX($A347:$T347,MATCH(Lists!$F$13,$A$1:$T$1,0))&amp;""),""))),"Online","Written only")))</f>
        <v/>
      </c>
      <c r="AE347" s="21">
        <f>IF(Y347="","",IFERROR(TRIM(INDEX($A347:$T347,MATCH(Lists!$F$11,$A$1:$T$1,0))&amp;""),""))</f>
        <v/>
      </c>
      <c r="AF347" s="21">
        <f>IF(Y347="","",IFERROR(TRIM(INDEX($A347:$T347,MATCH(Lists!$F$12,$A$1:$T$1,0))&amp;""),""))</f>
        <v/>
      </c>
      <c r="AG347" s="21">
        <f>IF(Y347="","",IFERROR(TRIM(INDEX($A347:$T347,MATCH(Lists!$F$14,$A$1:$T$1,0))&amp;""),""))</f>
        <v/>
      </c>
      <c r="AH347" s="21">
        <f>IF(Y347="","",LEFT(IFERROR(TRIM(INDEX($A347:$T347,MATCH(Lists!$F$10,$A$1:$T$1,0))&amp;""),""),80))</f>
        <v/>
      </c>
      <c r="AI347" s="21">
        <f>IF(Y347="",0,IF(OR(Tally!$B$5="",AA347=Tally!$B$5),1,0))</f>
        <v/>
      </c>
      <c r="AJ347" s="21">
        <f>IF(AI347=1,IF(COUNTIFS($AB$2:AB347,AB347,$AI$2:AI347,1)=1,1,0),0)</f>
        <v/>
      </c>
      <c r="AK347" s="21">
        <f>IF(AJ347=1,SUM($AJ$2:AJ347),"")</f>
        <v/>
      </c>
      <c r="AL347" s="21">
        <f>IF(AND(AI347=1,OR(AD347="In person",AD347="Online"),OR(Speakers!$B$5="",AB347=Speakers!$B$5)),N(Z347)+ROW()/1000000000,"")</f>
        <v/>
      </c>
    </row>
    <row r="348">
      <c r="U348" s="19" t="n"/>
      <c r="V348" s="24" t="n"/>
      <c r="W348" s="24" t="n"/>
      <c r="X348" s="19" t="n"/>
      <c r="Y348" s="21">
        <f>IFERROR(TRIM(INDEX($A348:$T348,MATCH(Lists!$F$2,$A$1:$T$1,0))&amp;""),"")</f>
        <v/>
      </c>
      <c r="Z348" s="22">
        <f>IF(Y348="","",IFERROR(IF(ISNUMBER(INDEX($A348:$T348,MATCH(Lists!$F$3,$A$1:$T$1,0))),INDEX($A348:$T348,MATCH(Lists!$F$3,$A$1:$T$1,0)),DATE(VALUE(LEFT(IFERROR(TRIM(INDEX($A348:$T348,MATCH(Lists!$F$3,$A$1:$T$1,0))&amp;""),""),4)),VALUE(MID(IFERROR(TRIM(INDEX($A348:$T348,MATCH(Lists!$F$3,$A$1:$T$1,0))&amp;""),""),6,2)),VALUE(MID(IFERROR(TRIM(INDEX($A348:$T348,MATCH(Lists!$F$3,$A$1:$T$1,0))&amp;""),""),9,2)))+TIME(VALUE(MID(IFERROR(TRIM(INDEX($A348:$T348,MATCH(Lists!$F$3,$A$1:$T$1,0))&amp;""),""),12,2)),VALUE(MID(IFERROR(TRIM(INDEX($A348:$T348,MATCH(Lists!$F$3,$A$1:$T$1,0))&amp;""),""),15,2)),VALUE(MID(IFERROR(TRIM(INDEX($A348:$T348,MATCH(Lists!$F$3,$A$1:$T$1,0))&amp;""),""),18,2)))),""))</f>
        <v/>
      </c>
      <c r="AA348" s="23">
        <f>IF(Y348="","",IF(ISNUMBER(IFERROR(IF(TRIM(INDEX($A348:$T348,MATCH(Lists!$F$4,$A$1:$T$1,0))&amp;"")="","",IF(ISNUMBER(INDEX($A348:$T348,MATCH(Lists!$F$4,$A$1:$T$1,0))),INT(INDEX($A348:$T348,MATCH(Lists!$F$4,$A$1:$T$1,0))),DATE(VALUE(LEFT(INDEX($A348:$T348,MATCH(Lists!$F$4,$A$1:$T$1,0)),4)),VALUE(MID(INDEX($A348:$T348,MATCH(Lists!$F$4,$A$1:$T$1,0)),6,2)),VALUE(MID(INDEX($A348:$T348,MATCH(Lists!$F$4,$A$1:$T$1,0)),9,2))))),"")),IFERROR(IF(TRIM(INDEX($A348:$T348,MATCH(Lists!$F$4,$A$1:$T$1,0))&amp;"")="","",IF(ISNUMBER(INDEX($A348:$T348,MATCH(Lists!$F$4,$A$1:$T$1,0))),INT(INDEX($A348:$T348,MATCH(Lists!$F$4,$A$1:$T$1,0))),DATE(VALUE(LEFT(INDEX($A348:$T348,MATCH(Lists!$F$4,$A$1:$T$1,0)),4)),VALUE(MID(INDEX($A348:$T348,MATCH(Lists!$F$4,$A$1:$T$1,0)),6,2)),VALUE(MID(INDEX($A348:$T348,MATCH(Lists!$F$4,$A$1:$T$1,0)),9,2))))),""),IFERROR(IF(TRIM(INDEX($A348:$T348,MATCH(Lists!$F$5,$A$1:$T$1,0))&amp;"")="","",IF(ISNUMBER(INDEX($A348:$T348,MATCH(Lists!$F$5,$A$1:$T$1,0))),INT(INDEX($A348:$T348,MATCH(Lists!$F$5,$A$1:$T$1,0))),DATE(VALUE(LEFT(INDEX($A348:$T348,MATCH(Lists!$F$5,$A$1:$T$1,0)),4)),VALUE(MID(INDEX($A348:$T348,MATCH(Lists!$F$5,$A$1:$T$1,0)),6,2)),VALUE(MID(INDEX($A348:$T348,MATCH(Lists!$F$5,$A$1:$T$1,0)),9,2))))),"")))</f>
        <v/>
      </c>
      <c r="AB348" s="21">
        <f>IF(Y348="","",IF(LEFT(IFERROR(TRIM(INDEX($A348:$T348,MATCH(Lists!$F$6,$A$1:$T$1,0))&amp;""),""),2)="No","General comment",IF(IFERROR(TRIM(INDEX($A348:$T348,MATCH(Lists!$F$7,$A$1:$T$1,0))&amp;""),"")&lt;&gt;"",IFERROR(TRIM(INDEX($A348:$T348,MATCH(Lists!$F$7,$A$1:$T$1,0))&amp;""),""),IF(IFERROR(TRIM(INDEX($A348:$T348,MATCH(Lists!$F$8,$A$1:$T$1,0))&amp;""),"")&lt;&gt;"",IFERROR(TRIM(INDEX($A348:$T348,MATCH(Lists!$F$8,$A$1:$T$1,0))&amp;""),""),"(no item given)"))))</f>
        <v/>
      </c>
      <c r="AC348" s="21">
        <f>IF(Y348="","",IF(ISNUMBER(SEARCH("support",IFERROR(TRIM(INDEX($A348:$T348,MATCH(Lists!$F$9,$A$1:$T$1,0))&amp;""),""))),"Support",IF(ISNUMBER(SEARCH("oppose",IFERROR(TRIM(INDEX($A348:$T348,MATCH(Lists!$F$9,$A$1:$T$1,0))&amp;""),""))),"Oppose",IF(IFERROR(TRIM(INDEX($A348:$T348,MATCH(Lists!$F$9,$A$1:$T$1,0))&amp;""),"")="","No position","Neither"))))</f>
        <v/>
      </c>
      <c r="AD348" s="21">
        <f>IF(Y348="","",IF(ISNUMBER(SEARCH("in person",IFERROR(TRIM(INDEX($A348:$T348,MATCH(Lists!$F$13,$A$1:$T$1,0))&amp;""),""))),"In person",IF(ISNUMBER(SEARCH("online",IFERROR(TRIM(INDEX($A348:$T348,MATCH(Lists!$F$13,$A$1:$T$1,0))&amp;""),""))),"Online","Written only")))</f>
        <v/>
      </c>
      <c r="AE348" s="21">
        <f>IF(Y348="","",IFERROR(TRIM(INDEX($A348:$T348,MATCH(Lists!$F$11,$A$1:$T$1,0))&amp;""),""))</f>
        <v/>
      </c>
      <c r="AF348" s="21">
        <f>IF(Y348="","",IFERROR(TRIM(INDEX($A348:$T348,MATCH(Lists!$F$12,$A$1:$T$1,0))&amp;""),""))</f>
        <v/>
      </c>
      <c r="AG348" s="21">
        <f>IF(Y348="","",IFERROR(TRIM(INDEX($A348:$T348,MATCH(Lists!$F$14,$A$1:$T$1,0))&amp;""),""))</f>
        <v/>
      </c>
      <c r="AH348" s="21">
        <f>IF(Y348="","",LEFT(IFERROR(TRIM(INDEX($A348:$T348,MATCH(Lists!$F$10,$A$1:$T$1,0))&amp;""),""),80))</f>
        <v/>
      </c>
      <c r="AI348" s="21">
        <f>IF(Y348="",0,IF(OR(Tally!$B$5="",AA348=Tally!$B$5),1,0))</f>
        <v/>
      </c>
      <c r="AJ348" s="21">
        <f>IF(AI348=1,IF(COUNTIFS($AB$2:AB348,AB348,$AI$2:AI348,1)=1,1,0),0)</f>
        <v/>
      </c>
      <c r="AK348" s="21">
        <f>IF(AJ348=1,SUM($AJ$2:AJ348),"")</f>
        <v/>
      </c>
      <c r="AL348" s="21">
        <f>IF(AND(AI348=1,OR(AD348="In person",AD348="Online"),OR(Speakers!$B$5="",AB348=Speakers!$B$5)),N(Z348)+ROW()/1000000000,"")</f>
        <v/>
      </c>
    </row>
    <row r="349">
      <c r="U349" s="19" t="n"/>
      <c r="V349" s="24" t="n"/>
      <c r="W349" s="24" t="n"/>
      <c r="X349" s="19" t="n"/>
      <c r="Y349" s="21">
        <f>IFERROR(TRIM(INDEX($A349:$T349,MATCH(Lists!$F$2,$A$1:$T$1,0))&amp;""),"")</f>
        <v/>
      </c>
      <c r="Z349" s="22">
        <f>IF(Y349="","",IFERROR(IF(ISNUMBER(INDEX($A349:$T349,MATCH(Lists!$F$3,$A$1:$T$1,0))),INDEX($A349:$T349,MATCH(Lists!$F$3,$A$1:$T$1,0)),DATE(VALUE(LEFT(IFERROR(TRIM(INDEX($A349:$T349,MATCH(Lists!$F$3,$A$1:$T$1,0))&amp;""),""),4)),VALUE(MID(IFERROR(TRIM(INDEX($A349:$T349,MATCH(Lists!$F$3,$A$1:$T$1,0))&amp;""),""),6,2)),VALUE(MID(IFERROR(TRIM(INDEX($A349:$T349,MATCH(Lists!$F$3,$A$1:$T$1,0))&amp;""),""),9,2)))+TIME(VALUE(MID(IFERROR(TRIM(INDEX($A349:$T349,MATCH(Lists!$F$3,$A$1:$T$1,0))&amp;""),""),12,2)),VALUE(MID(IFERROR(TRIM(INDEX($A349:$T349,MATCH(Lists!$F$3,$A$1:$T$1,0))&amp;""),""),15,2)),VALUE(MID(IFERROR(TRIM(INDEX($A349:$T349,MATCH(Lists!$F$3,$A$1:$T$1,0))&amp;""),""),18,2)))),""))</f>
        <v/>
      </c>
      <c r="AA349" s="23">
        <f>IF(Y349="","",IF(ISNUMBER(IFERROR(IF(TRIM(INDEX($A349:$T349,MATCH(Lists!$F$4,$A$1:$T$1,0))&amp;"")="","",IF(ISNUMBER(INDEX($A349:$T349,MATCH(Lists!$F$4,$A$1:$T$1,0))),INT(INDEX($A349:$T349,MATCH(Lists!$F$4,$A$1:$T$1,0))),DATE(VALUE(LEFT(INDEX($A349:$T349,MATCH(Lists!$F$4,$A$1:$T$1,0)),4)),VALUE(MID(INDEX($A349:$T349,MATCH(Lists!$F$4,$A$1:$T$1,0)),6,2)),VALUE(MID(INDEX($A349:$T349,MATCH(Lists!$F$4,$A$1:$T$1,0)),9,2))))),"")),IFERROR(IF(TRIM(INDEX($A349:$T349,MATCH(Lists!$F$4,$A$1:$T$1,0))&amp;"")="","",IF(ISNUMBER(INDEX($A349:$T349,MATCH(Lists!$F$4,$A$1:$T$1,0))),INT(INDEX($A349:$T349,MATCH(Lists!$F$4,$A$1:$T$1,0))),DATE(VALUE(LEFT(INDEX($A349:$T349,MATCH(Lists!$F$4,$A$1:$T$1,0)),4)),VALUE(MID(INDEX($A349:$T349,MATCH(Lists!$F$4,$A$1:$T$1,0)),6,2)),VALUE(MID(INDEX($A349:$T349,MATCH(Lists!$F$4,$A$1:$T$1,0)),9,2))))),""),IFERROR(IF(TRIM(INDEX($A349:$T349,MATCH(Lists!$F$5,$A$1:$T$1,0))&amp;"")="","",IF(ISNUMBER(INDEX($A349:$T349,MATCH(Lists!$F$5,$A$1:$T$1,0))),INT(INDEX($A349:$T349,MATCH(Lists!$F$5,$A$1:$T$1,0))),DATE(VALUE(LEFT(INDEX($A349:$T349,MATCH(Lists!$F$5,$A$1:$T$1,0)),4)),VALUE(MID(INDEX($A349:$T349,MATCH(Lists!$F$5,$A$1:$T$1,0)),6,2)),VALUE(MID(INDEX($A349:$T349,MATCH(Lists!$F$5,$A$1:$T$1,0)),9,2))))),"")))</f>
        <v/>
      </c>
      <c r="AB349" s="21">
        <f>IF(Y349="","",IF(LEFT(IFERROR(TRIM(INDEX($A349:$T349,MATCH(Lists!$F$6,$A$1:$T$1,0))&amp;""),""),2)="No","General comment",IF(IFERROR(TRIM(INDEX($A349:$T349,MATCH(Lists!$F$7,$A$1:$T$1,0))&amp;""),"")&lt;&gt;"",IFERROR(TRIM(INDEX($A349:$T349,MATCH(Lists!$F$7,$A$1:$T$1,0))&amp;""),""),IF(IFERROR(TRIM(INDEX($A349:$T349,MATCH(Lists!$F$8,$A$1:$T$1,0))&amp;""),"")&lt;&gt;"",IFERROR(TRIM(INDEX($A349:$T349,MATCH(Lists!$F$8,$A$1:$T$1,0))&amp;""),""),"(no item given)"))))</f>
        <v/>
      </c>
      <c r="AC349" s="21">
        <f>IF(Y349="","",IF(ISNUMBER(SEARCH("support",IFERROR(TRIM(INDEX($A349:$T349,MATCH(Lists!$F$9,$A$1:$T$1,0))&amp;""),""))),"Support",IF(ISNUMBER(SEARCH("oppose",IFERROR(TRIM(INDEX($A349:$T349,MATCH(Lists!$F$9,$A$1:$T$1,0))&amp;""),""))),"Oppose",IF(IFERROR(TRIM(INDEX($A349:$T349,MATCH(Lists!$F$9,$A$1:$T$1,0))&amp;""),"")="","No position","Neither"))))</f>
        <v/>
      </c>
      <c r="AD349" s="21">
        <f>IF(Y349="","",IF(ISNUMBER(SEARCH("in person",IFERROR(TRIM(INDEX($A349:$T349,MATCH(Lists!$F$13,$A$1:$T$1,0))&amp;""),""))),"In person",IF(ISNUMBER(SEARCH("online",IFERROR(TRIM(INDEX($A349:$T349,MATCH(Lists!$F$13,$A$1:$T$1,0))&amp;""),""))),"Online","Written only")))</f>
        <v/>
      </c>
      <c r="AE349" s="21">
        <f>IF(Y349="","",IFERROR(TRIM(INDEX($A349:$T349,MATCH(Lists!$F$11,$A$1:$T$1,0))&amp;""),""))</f>
        <v/>
      </c>
      <c r="AF349" s="21">
        <f>IF(Y349="","",IFERROR(TRIM(INDEX($A349:$T349,MATCH(Lists!$F$12,$A$1:$T$1,0))&amp;""),""))</f>
        <v/>
      </c>
      <c r="AG349" s="21">
        <f>IF(Y349="","",IFERROR(TRIM(INDEX($A349:$T349,MATCH(Lists!$F$14,$A$1:$T$1,0))&amp;""),""))</f>
        <v/>
      </c>
      <c r="AH349" s="21">
        <f>IF(Y349="","",LEFT(IFERROR(TRIM(INDEX($A349:$T349,MATCH(Lists!$F$10,$A$1:$T$1,0))&amp;""),""),80))</f>
        <v/>
      </c>
      <c r="AI349" s="21">
        <f>IF(Y349="",0,IF(OR(Tally!$B$5="",AA349=Tally!$B$5),1,0))</f>
        <v/>
      </c>
      <c r="AJ349" s="21">
        <f>IF(AI349=1,IF(COUNTIFS($AB$2:AB349,AB349,$AI$2:AI349,1)=1,1,0),0)</f>
        <v/>
      </c>
      <c r="AK349" s="21">
        <f>IF(AJ349=1,SUM($AJ$2:AJ349),"")</f>
        <v/>
      </c>
      <c r="AL349" s="21">
        <f>IF(AND(AI349=1,OR(AD349="In person",AD349="Online"),OR(Speakers!$B$5="",AB349=Speakers!$B$5)),N(Z349)+ROW()/1000000000,"")</f>
        <v/>
      </c>
    </row>
    <row r="350">
      <c r="U350" s="19" t="n"/>
      <c r="V350" s="24" t="n"/>
      <c r="W350" s="24" t="n"/>
      <c r="X350" s="19" t="n"/>
      <c r="Y350" s="21">
        <f>IFERROR(TRIM(INDEX($A350:$T350,MATCH(Lists!$F$2,$A$1:$T$1,0))&amp;""),"")</f>
        <v/>
      </c>
      <c r="Z350" s="22">
        <f>IF(Y350="","",IFERROR(IF(ISNUMBER(INDEX($A350:$T350,MATCH(Lists!$F$3,$A$1:$T$1,0))),INDEX($A350:$T350,MATCH(Lists!$F$3,$A$1:$T$1,0)),DATE(VALUE(LEFT(IFERROR(TRIM(INDEX($A350:$T350,MATCH(Lists!$F$3,$A$1:$T$1,0))&amp;""),""),4)),VALUE(MID(IFERROR(TRIM(INDEX($A350:$T350,MATCH(Lists!$F$3,$A$1:$T$1,0))&amp;""),""),6,2)),VALUE(MID(IFERROR(TRIM(INDEX($A350:$T350,MATCH(Lists!$F$3,$A$1:$T$1,0))&amp;""),""),9,2)))+TIME(VALUE(MID(IFERROR(TRIM(INDEX($A350:$T350,MATCH(Lists!$F$3,$A$1:$T$1,0))&amp;""),""),12,2)),VALUE(MID(IFERROR(TRIM(INDEX($A350:$T350,MATCH(Lists!$F$3,$A$1:$T$1,0))&amp;""),""),15,2)),VALUE(MID(IFERROR(TRIM(INDEX($A350:$T350,MATCH(Lists!$F$3,$A$1:$T$1,0))&amp;""),""),18,2)))),""))</f>
        <v/>
      </c>
      <c r="AA350" s="23">
        <f>IF(Y350="","",IF(ISNUMBER(IFERROR(IF(TRIM(INDEX($A350:$T350,MATCH(Lists!$F$4,$A$1:$T$1,0))&amp;"")="","",IF(ISNUMBER(INDEX($A350:$T350,MATCH(Lists!$F$4,$A$1:$T$1,0))),INT(INDEX($A350:$T350,MATCH(Lists!$F$4,$A$1:$T$1,0))),DATE(VALUE(LEFT(INDEX($A350:$T350,MATCH(Lists!$F$4,$A$1:$T$1,0)),4)),VALUE(MID(INDEX($A350:$T350,MATCH(Lists!$F$4,$A$1:$T$1,0)),6,2)),VALUE(MID(INDEX($A350:$T350,MATCH(Lists!$F$4,$A$1:$T$1,0)),9,2))))),"")),IFERROR(IF(TRIM(INDEX($A350:$T350,MATCH(Lists!$F$4,$A$1:$T$1,0))&amp;"")="","",IF(ISNUMBER(INDEX($A350:$T350,MATCH(Lists!$F$4,$A$1:$T$1,0))),INT(INDEX($A350:$T350,MATCH(Lists!$F$4,$A$1:$T$1,0))),DATE(VALUE(LEFT(INDEX($A350:$T350,MATCH(Lists!$F$4,$A$1:$T$1,0)),4)),VALUE(MID(INDEX($A350:$T350,MATCH(Lists!$F$4,$A$1:$T$1,0)),6,2)),VALUE(MID(INDEX($A350:$T350,MATCH(Lists!$F$4,$A$1:$T$1,0)),9,2))))),""),IFERROR(IF(TRIM(INDEX($A350:$T350,MATCH(Lists!$F$5,$A$1:$T$1,0))&amp;"")="","",IF(ISNUMBER(INDEX($A350:$T350,MATCH(Lists!$F$5,$A$1:$T$1,0))),INT(INDEX($A350:$T350,MATCH(Lists!$F$5,$A$1:$T$1,0))),DATE(VALUE(LEFT(INDEX($A350:$T350,MATCH(Lists!$F$5,$A$1:$T$1,0)),4)),VALUE(MID(INDEX($A350:$T350,MATCH(Lists!$F$5,$A$1:$T$1,0)),6,2)),VALUE(MID(INDEX($A350:$T350,MATCH(Lists!$F$5,$A$1:$T$1,0)),9,2))))),"")))</f>
        <v/>
      </c>
      <c r="AB350" s="21">
        <f>IF(Y350="","",IF(LEFT(IFERROR(TRIM(INDEX($A350:$T350,MATCH(Lists!$F$6,$A$1:$T$1,0))&amp;""),""),2)="No","General comment",IF(IFERROR(TRIM(INDEX($A350:$T350,MATCH(Lists!$F$7,$A$1:$T$1,0))&amp;""),"")&lt;&gt;"",IFERROR(TRIM(INDEX($A350:$T350,MATCH(Lists!$F$7,$A$1:$T$1,0))&amp;""),""),IF(IFERROR(TRIM(INDEX($A350:$T350,MATCH(Lists!$F$8,$A$1:$T$1,0))&amp;""),"")&lt;&gt;"",IFERROR(TRIM(INDEX($A350:$T350,MATCH(Lists!$F$8,$A$1:$T$1,0))&amp;""),""),"(no item given)"))))</f>
        <v/>
      </c>
      <c r="AC350" s="21">
        <f>IF(Y350="","",IF(ISNUMBER(SEARCH("support",IFERROR(TRIM(INDEX($A350:$T350,MATCH(Lists!$F$9,$A$1:$T$1,0))&amp;""),""))),"Support",IF(ISNUMBER(SEARCH("oppose",IFERROR(TRIM(INDEX($A350:$T350,MATCH(Lists!$F$9,$A$1:$T$1,0))&amp;""),""))),"Oppose",IF(IFERROR(TRIM(INDEX($A350:$T350,MATCH(Lists!$F$9,$A$1:$T$1,0))&amp;""),"")="","No position","Neither"))))</f>
        <v/>
      </c>
      <c r="AD350" s="21">
        <f>IF(Y350="","",IF(ISNUMBER(SEARCH("in person",IFERROR(TRIM(INDEX($A350:$T350,MATCH(Lists!$F$13,$A$1:$T$1,0))&amp;""),""))),"In person",IF(ISNUMBER(SEARCH("online",IFERROR(TRIM(INDEX($A350:$T350,MATCH(Lists!$F$13,$A$1:$T$1,0))&amp;""),""))),"Online","Written only")))</f>
        <v/>
      </c>
      <c r="AE350" s="21">
        <f>IF(Y350="","",IFERROR(TRIM(INDEX($A350:$T350,MATCH(Lists!$F$11,$A$1:$T$1,0))&amp;""),""))</f>
        <v/>
      </c>
      <c r="AF350" s="21">
        <f>IF(Y350="","",IFERROR(TRIM(INDEX($A350:$T350,MATCH(Lists!$F$12,$A$1:$T$1,0))&amp;""),""))</f>
        <v/>
      </c>
      <c r="AG350" s="21">
        <f>IF(Y350="","",IFERROR(TRIM(INDEX($A350:$T350,MATCH(Lists!$F$14,$A$1:$T$1,0))&amp;""),""))</f>
        <v/>
      </c>
      <c r="AH350" s="21">
        <f>IF(Y350="","",LEFT(IFERROR(TRIM(INDEX($A350:$T350,MATCH(Lists!$F$10,$A$1:$T$1,0))&amp;""),""),80))</f>
        <v/>
      </c>
      <c r="AI350" s="21">
        <f>IF(Y350="",0,IF(OR(Tally!$B$5="",AA350=Tally!$B$5),1,0))</f>
        <v/>
      </c>
      <c r="AJ350" s="21">
        <f>IF(AI350=1,IF(COUNTIFS($AB$2:AB350,AB350,$AI$2:AI350,1)=1,1,0),0)</f>
        <v/>
      </c>
      <c r="AK350" s="21">
        <f>IF(AJ350=1,SUM($AJ$2:AJ350),"")</f>
        <v/>
      </c>
      <c r="AL350" s="21">
        <f>IF(AND(AI350=1,OR(AD350="In person",AD350="Online"),OR(Speakers!$B$5="",AB350=Speakers!$B$5)),N(Z350)+ROW()/1000000000,"")</f>
        <v/>
      </c>
    </row>
    <row r="351">
      <c r="U351" s="19" t="n"/>
      <c r="V351" s="24" t="n"/>
      <c r="W351" s="24" t="n"/>
      <c r="X351" s="19" t="n"/>
      <c r="Y351" s="21">
        <f>IFERROR(TRIM(INDEX($A351:$T351,MATCH(Lists!$F$2,$A$1:$T$1,0))&amp;""),"")</f>
        <v/>
      </c>
      <c r="Z351" s="22">
        <f>IF(Y351="","",IFERROR(IF(ISNUMBER(INDEX($A351:$T351,MATCH(Lists!$F$3,$A$1:$T$1,0))),INDEX($A351:$T351,MATCH(Lists!$F$3,$A$1:$T$1,0)),DATE(VALUE(LEFT(IFERROR(TRIM(INDEX($A351:$T351,MATCH(Lists!$F$3,$A$1:$T$1,0))&amp;""),""),4)),VALUE(MID(IFERROR(TRIM(INDEX($A351:$T351,MATCH(Lists!$F$3,$A$1:$T$1,0))&amp;""),""),6,2)),VALUE(MID(IFERROR(TRIM(INDEX($A351:$T351,MATCH(Lists!$F$3,$A$1:$T$1,0))&amp;""),""),9,2)))+TIME(VALUE(MID(IFERROR(TRIM(INDEX($A351:$T351,MATCH(Lists!$F$3,$A$1:$T$1,0))&amp;""),""),12,2)),VALUE(MID(IFERROR(TRIM(INDEX($A351:$T351,MATCH(Lists!$F$3,$A$1:$T$1,0))&amp;""),""),15,2)),VALUE(MID(IFERROR(TRIM(INDEX($A351:$T351,MATCH(Lists!$F$3,$A$1:$T$1,0))&amp;""),""),18,2)))),""))</f>
        <v/>
      </c>
      <c r="AA351" s="23">
        <f>IF(Y351="","",IF(ISNUMBER(IFERROR(IF(TRIM(INDEX($A351:$T351,MATCH(Lists!$F$4,$A$1:$T$1,0))&amp;"")="","",IF(ISNUMBER(INDEX($A351:$T351,MATCH(Lists!$F$4,$A$1:$T$1,0))),INT(INDEX($A351:$T351,MATCH(Lists!$F$4,$A$1:$T$1,0))),DATE(VALUE(LEFT(INDEX($A351:$T351,MATCH(Lists!$F$4,$A$1:$T$1,0)),4)),VALUE(MID(INDEX($A351:$T351,MATCH(Lists!$F$4,$A$1:$T$1,0)),6,2)),VALUE(MID(INDEX($A351:$T351,MATCH(Lists!$F$4,$A$1:$T$1,0)),9,2))))),"")),IFERROR(IF(TRIM(INDEX($A351:$T351,MATCH(Lists!$F$4,$A$1:$T$1,0))&amp;"")="","",IF(ISNUMBER(INDEX($A351:$T351,MATCH(Lists!$F$4,$A$1:$T$1,0))),INT(INDEX($A351:$T351,MATCH(Lists!$F$4,$A$1:$T$1,0))),DATE(VALUE(LEFT(INDEX($A351:$T351,MATCH(Lists!$F$4,$A$1:$T$1,0)),4)),VALUE(MID(INDEX($A351:$T351,MATCH(Lists!$F$4,$A$1:$T$1,0)),6,2)),VALUE(MID(INDEX($A351:$T351,MATCH(Lists!$F$4,$A$1:$T$1,0)),9,2))))),""),IFERROR(IF(TRIM(INDEX($A351:$T351,MATCH(Lists!$F$5,$A$1:$T$1,0))&amp;"")="","",IF(ISNUMBER(INDEX($A351:$T351,MATCH(Lists!$F$5,$A$1:$T$1,0))),INT(INDEX($A351:$T351,MATCH(Lists!$F$5,$A$1:$T$1,0))),DATE(VALUE(LEFT(INDEX($A351:$T351,MATCH(Lists!$F$5,$A$1:$T$1,0)),4)),VALUE(MID(INDEX($A351:$T351,MATCH(Lists!$F$5,$A$1:$T$1,0)),6,2)),VALUE(MID(INDEX($A351:$T351,MATCH(Lists!$F$5,$A$1:$T$1,0)),9,2))))),"")))</f>
        <v/>
      </c>
      <c r="AB351" s="21">
        <f>IF(Y351="","",IF(LEFT(IFERROR(TRIM(INDEX($A351:$T351,MATCH(Lists!$F$6,$A$1:$T$1,0))&amp;""),""),2)="No","General comment",IF(IFERROR(TRIM(INDEX($A351:$T351,MATCH(Lists!$F$7,$A$1:$T$1,0))&amp;""),"")&lt;&gt;"",IFERROR(TRIM(INDEX($A351:$T351,MATCH(Lists!$F$7,$A$1:$T$1,0))&amp;""),""),IF(IFERROR(TRIM(INDEX($A351:$T351,MATCH(Lists!$F$8,$A$1:$T$1,0))&amp;""),"")&lt;&gt;"",IFERROR(TRIM(INDEX($A351:$T351,MATCH(Lists!$F$8,$A$1:$T$1,0))&amp;""),""),"(no item given)"))))</f>
        <v/>
      </c>
      <c r="AC351" s="21">
        <f>IF(Y351="","",IF(ISNUMBER(SEARCH("support",IFERROR(TRIM(INDEX($A351:$T351,MATCH(Lists!$F$9,$A$1:$T$1,0))&amp;""),""))),"Support",IF(ISNUMBER(SEARCH("oppose",IFERROR(TRIM(INDEX($A351:$T351,MATCH(Lists!$F$9,$A$1:$T$1,0))&amp;""),""))),"Oppose",IF(IFERROR(TRIM(INDEX($A351:$T351,MATCH(Lists!$F$9,$A$1:$T$1,0))&amp;""),"")="","No position","Neither"))))</f>
        <v/>
      </c>
      <c r="AD351" s="21">
        <f>IF(Y351="","",IF(ISNUMBER(SEARCH("in person",IFERROR(TRIM(INDEX($A351:$T351,MATCH(Lists!$F$13,$A$1:$T$1,0))&amp;""),""))),"In person",IF(ISNUMBER(SEARCH("online",IFERROR(TRIM(INDEX($A351:$T351,MATCH(Lists!$F$13,$A$1:$T$1,0))&amp;""),""))),"Online","Written only")))</f>
        <v/>
      </c>
      <c r="AE351" s="21">
        <f>IF(Y351="","",IFERROR(TRIM(INDEX($A351:$T351,MATCH(Lists!$F$11,$A$1:$T$1,0))&amp;""),""))</f>
        <v/>
      </c>
      <c r="AF351" s="21">
        <f>IF(Y351="","",IFERROR(TRIM(INDEX($A351:$T351,MATCH(Lists!$F$12,$A$1:$T$1,0))&amp;""),""))</f>
        <v/>
      </c>
      <c r="AG351" s="21">
        <f>IF(Y351="","",IFERROR(TRIM(INDEX($A351:$T351,MATCH(Lists!$F$14,$A$1:$T$1,0))&amp;""),""))</f>
        <v/>
      </c>
      <c r="AH351" s="21">
        <f>IF(Y351="","",LEFT(IFERROR(TRIM(INDEX($A351:$T351,MATCH(Lists!$F$10,$A$1:$T$1,0))&amp;""),""),80))</f>
        <v/>
      </c>
      <c r="AI351" s="21">
        <f>IF(Y351="",0,IF(OR(Tally!$B$5="",AA351=Tally!$B$5),1,0))</f>
        <v/>
      </c>
      <c r="AJ351" s="21">
        <f>IF(AI351=1,IF(COUNTIFS($AB$2:AB351,AB351,$AI$2:AI351,1)=1,1,0),0)</f>
        <v/>
      </c>
      <c r="AK351" s="21">
        <f>IF(AJ351=1,SUM($AJ$2:AJ351),"")</f>
        <v/>
      </c>
      <c r="AL351" s="21">
        <f>IF(AND(AI351=1,OR(AD351="In person",AD351="Online"),OR(Speakers!$B$5="",AB351=Speakers!$B$5)),N(Z351)+ROW()/1000000000,"")</f>
        <v/>
      </c>
    </row>
    <row r="352">
      <c r="U352" s="19" t="n"/>
      <c r="V352" s="24" t="n"/>
      <c r="W352" s="24" t="n"/>
      <c r="X352" s="19" t="n"/>
      <c r="Y352" s="21">
        <f>IFERROR(TRIM(INDEX($A352:$T352,MATCH(Lists!$F$2,$A$1:$T$1,0))&amp;""),"")</f>
        <v/>
      </c>
      <c r="Z352" s="22">
        <f>IF(Y352="","",IFERROR(IF(ISNUMBER(INDEX($A352:$T352,MATCH(Lists!$F$3,$A$1:$T$1,0))),INDEX($A352:$T352,MATCH(Lists!$F$3,$A$1:$T$1,0)),DATE(VALUE(LEFT(IFERROR(TRIM(INDEX($A352:$T352,MATCH(Lists!$F$3,$A$1:$T$1,0))&amp;""),""),4)),VALUE(MID(IFERROR(TRIM(INDEX($A352:$T352,MATCH(Lists!$F$3,$A$1:$T$1,0))&amp;""),""),6,2)),VALUE(MID(IFERROR(TRIM(INDEX($A352:$T352,MATCH(Lists!$F$3,$A$1:$T$1,0))&amp;""),""),9,2)))+TIME(VALUE(MID(IFERROR(TRIM(INDEX($A352:$T352,MATCH(Lists!$F$3,$A$1:$T$1,0))&amp;""),""),12,2)),VALUE(MID(IFERROR(TRIM(INDEX($A352:$T352,MATCH(Lists!$F$3,$A$1:$T$1,0))&amp;""),""),15,2)),VALUE(MID(IFERROR(TRIM(INDEX($A352:$T352,MATCH(Lists!$F$3,$A$1:$T$1,0))&amp;""),""),18,2)))),""))</f>
        <v/>
      </c>
      <c r="AA352" s="23">
        <f>IF(Y352="","",IF(ISNUMBER(IFERROR(IF(TRIM(INDEX($A352:$T352,MATCH(Lists!$F$4,$A$1:$T$1,0))&amp;"")="","",IF(ISNUMBER(INDEX($A352:$T352,MATCH(Lists!$F$4,$A$1:$T$1,0))),INT(INDEX($A352:$T352,MATCH(Lists!$F$4,$A$1:$T$1,0))),DATE(VALUE(LEFT(INDEX($A352:$T352,MATCH(Lists!$F$4,$A$1:$T$1,0)),4)),VALUE(MID(INDEX($A352:$T352,MATCH(Lists!$F$4,$A$1:$T$1,0)),6,2)),VALUE(MID(INDEX($A352:$T352,MATCH(Lists!$F$4,$A$1:$T$1,0)),9,2))))),"")),IFERROR(IF(TRIM(INDEX($A352:$T352,MATCH(Lists!$F$4,$A$1:$T$1,0))&amp;"")="","",IF(ISNUMBER(INDEX($A352:$T352,MATCH(Lists!$F$4,$A$1:$T$1,0))),INT(INDEX($A352:$T352,MATCH(Lists!$F$4,$A$1:$T$1,0))),DATE(VALUE(LEFT(INDEX($A352:$T352,MATCH(Lists!$F$4,$A$1:$T$1,0)),4)),VALUE(MID(INDEX($A352:$T352,MATCH(Lists!$F$4,$A$1:$T$1,0)),6,2)),VALUE(MID(INDEX($A352:$T352,MATCH(Lists!$F$4,$A$1:$T$1,0)),9,2))))),""),IFERROR(IF(TRIM(INDEX($A352:$T352,MATCH(Lists!$F$5,$A$1:$T$1,0))&amp;"")="","",IF(ISNUMBER(INDEX($A352:$T352,MATCH(Lists!$F$5,$A$1:$T$1,0))),INT(INDEX($A352:$T352,MATCH(Lists!$F$5,$A$1:$T$1,0))),DATE(VALUE(LEFT(INDEX($A352:$T352,MATCH(Lists!$F$5,$A$1:$T$1,0)),4)),VALUE(MID(INDEX($A352:$T352,MATCH(Lists!$F$5,$A$1:$T$1,0)),6,2)),VALUE(MID(INDEX($A352:$T352,MATCH(Lists!$F$5,$A$1:$T$1,0)),9,2))))),"")))</f>
        <v/>
      </c>
      <c r="AB352" s="21">
        <f>IF(Y352="","",IF(LEFT(IFERROR(TRIM(INDEX($A352:$T352,MATCH(Lists!$F$6,$A$1:$T$1,0))&amp;""),""),2)="No","General comment",IF(IFERROR(TRIM(INDEX($A352:$T352,MATCH(Lists!$F$7,$A$1:$T$1,0))&amp;""),"")&lt;&gt;"",IFERROR(TRIM(INDEX($A352:$T352,MATCH(Lists!$F$7,$A$1:$T$1,0))&amp;""),""),IF(IFERROR(TRIM(INDEX($A352:$T352,MATCH(Lists!$F$8,$A$1:$T$1,0))&amp;""),"")&lt;&gt;"",IFERROR(TRIM(INDEX($A352:$T352,MATCH(Lists!$F$8,$A$1:$T$1,0))&amp;""),""),"(no item given)"))))</f>
        <v/>
      </c>
      <c r="AC352" s="21">
        <f>IF(Y352="","",IF(ISNUMBER(SEARCH("support",IFERROR(TRIM(INDEX($A352:$T352,MATCH(Lists!$F$9,$A$1:$T$1,0))&amp;""),""))),"Support",IF(ISNUMBER(SEARCH("oppose",IFERROR(TRIM(INDEX($A352:$T352,MATCH(Lists!$F$9,$A$1:$T$1,0))&amp;""),""))),"Oppose",IF(IFERROR(TRIM(INDEX($A352:$T352,MATCH(Lists!$F$9,$A$1:$T$1,0))&amp;""),"")="","No position","Neither"))))</f>
        <v/>
      </c>
      <c r="AD352" s="21">
        <f>IF(Y352="","",IF(ISNUMBER(SEARCH("in person",IFERROR(TRIM(INDEX($A352:$T352,MATCH(Lists!$F$13,$A$1:$T$1,0))&amp;""),""))),"In person",IF(ISNUMBER(SEARCH("online",IFERROR(TRIM(INDEX($A352:$T352,MATCH(Lists!$F$13,$A$1:$T$1,0))&amp;""),""))),"Online","Written only")))</f>
        <v/>
      </c>
      <c r="AE352" s="21">
        <f>IF(Y352="","",IFERROR(TRIM(INDEX($A352:$T352,MATCH(Lists!$F$11,$A$1:$T$1,0))&amp;""),""))</f>
        <v/>
      </c>
      <c r="AF352" s="21">
        <f>IF(Y352="","",IFERROR(TRIM(INDEX($A352:$T352,MATCH(Lists!$F$12,$A$1:$T$1,0))&amp;""),""))</f>
        <v/>
      </c>
      <c r="AG352" s="21">
        <f>IF(Y352="","",IFERROR(TRIM(INDEX($A352:$T352,MATCH(Lists!$F$14,$A$1:$T$1,0))&amp;""),""))</f>
        <v/>
      </c>
      <c r="AH352" s="21">
        <f>IF(Y352="","",LEFT(IFERROR(TRIM(INDEX($A352:$T352,MATCH(Lists!$F$10,$A$1:$T$1,0))&amp;""),""),80))</f>
        <v/>
      </c>
      <c r="AI352" s="21">
        <f>IF(Y352="",0,IF(OR(Tally!$B$5="",AA352=Tally!$B$5),1,0))</f>
        <v/>
      </c>
      <c r="AJ352" s="21">
        <f>IF(AI352=1,IF(COUNTIFS($AB$2:AB352,AB352,$AI$2:AI352,1)=1,1,0),0)</f>
        <v/>
      </c>
      <c r="AK352" s="21">
        <f>IF(AJ352=1,SUM($AJ$2:AJ352),"")</f>
        <v/>
      </c>
      <c r="AL352" s="21">
        <f>IF(AND(AI352=1,OR(AD352="In person",AD352="Online"),OR(Speakers!$B$5="",AB352=Speakers!$B$5)),N(Z352)+ROW()/1000000000,"")</f>
        <v/>
      </c>
    </row>
    <row r="353">
      <c r="U353" s="19" t="n"/>
      <c r="V353" s="24" t="n"/>
      <c r="W353" s="24" t="n"/>
      <c r="X353" s="19" t="n"/>
      <c r="Y353" s="21">
        <f>IFERROR(TRIM(INDEX($A353:$T353,MATCH(Lists!$F$2,$A$1:$T$1,0))&amp;""),"")</f>
        <v/>
      </c>
      <c r="Z353" s="22">
        <f>IF(Y353="","",IFERROR(IF(ISNUMBER(INDEX($A353:$T353,MATCH(Lists!$F$3,$A$1:$T$1,0))),INDEX($A353:$T353,MATCH(Lists!$F$3,$A$1:$T$1,0)),DATE(VALUE(LEFT(IFERROR(TRIM(INDEX($A353:$T353,MATCH(Lists!$F$3,$A$1:$T$1,0))&amp;""),""),4)),VALUE(MID(IFERROR(TRIM(INDEX($A353:$T353,MATCH(Lists!$F$3,$A$1:$T$1,0))&amp;""),""),6,2)),VALUE(MID(IFERROR(TRIM(INDEX($A353:$T353,MATCH(Lists!$F$3,$A$1:$T$1,0))&amp;""),""),9,2)))+TIME(VALUE(MID(IFERROR(TRIM(INDEX($A353:$T353,MATCH(Lists!$F$3,$A$1:$T$1,0))&amp;""),""),12,2)),VALUE(MID(IFERROR(TRIM(INDEX($A353:$T353,MATCH(Lists!$F$3,$A$1:$T$1,0))&amp;""),""),15,2)),VALUE(MID(IFERROR(TRIM(INDEX($A353:$T353,MATCH(Lists!$F$3,$A$1:$T$1,0))&amp;""),""),18,2)))),""))</f>
        <v/>
      </c>
      <c r="AA353" s="23">
        <f>IF(Y353="","",IF(ISNUMBER(IFERROR(IF(TRIM(INDEX($A353:$T353,MATCH(Lists!$F$4,$A$1:$T$1,0))&amp;"")="","",IF(ISNUMBER(INDEX($A353:$T353,MATCH(Lists!$F$4,$A$1:$T$1,0))),INT(INDEX($A353:$T353,MATCH(Lists!$F$4,$A$1:$T$1,0))),DATE(VALUE(LEFT(INDEX($A353:$T353,MATCH(Lists!$F$4,$A$1:$T$1,0)),4)),VALUE(MID(INDEX($A353:$T353,MATCH(Lists!$F$4,$A$1:$T$1,0)),6,2)),VALUE(MID(INDEX($A353:$T353,MATCH(Lists!$F$4,$A$1:$T$1,0)),9,2))))),"")),IFERROR(IF(TRIM(INDEX($A353:$T353,MATCH(Lists!$F$4,$A$1:$T$1,0))&amp;"")="","",IF(ISNUMBER(INDEX($A353:$T353,MATCH(Lists!$F$4,$A$1:$T$1,0))),INT(INDEX($A353:$T353,MATCH(Lists!$F$4,$A$1:$T$1,0))),DATE(VALUE(LEFT(INDEX($A353:$T353,MATCH(Lists!$F$4,$A$1:$T$1,0)),4)),VALUE(MID(INDEX($A353:$T353,MATCH(Lists!$F$4,$A$1:$T$1,0)),6,2)),VALUE(MID(INDEX($A353:$T353,MATCH(Lists!$F$4,$A$1:$T$1,0)),9,2))))),""),IFERROR(IF(TRIM(INDEX($A353:$T353,MATCH(Lists!$F$5,$A$1:$T$1,0))&amp;"")="","",IF(ISNUMBER(INDEX($A353:$T353,MATCH(Lists!$F$5,$A$1:$T$1,0))),INT(INDEX($A353:$T353,MATCH(Lists!$F$5,$A$1:$T$1,0))),DATE(VALUE(LEFT(INDEX($A353:$T353,MATCH(Lists!$F$5,$A$1:$T$1,0)),4)),VALUE(MID(INDEX($A353:$T353,MATCH(Lists!$F$5,$A$1:$T$1,0)),6,2)),VALUE(MID(INDEX($A353:$T353,MATCH(Lists!$F$5,$A$1:$T$1,0)),9,2))))),"")))</f>
        <v/>
      </c>
      <c r="AB353" s="21">
        <f>IF(Y353="","",IF(LEFT(IFERROR(TRIM(INDEX($A353:$T353,MATCH(Lists!$F$6,$A$1:$T$1,0))&amp;""),""),2)="No","General comment",IF(IFERROR(TRIM(INDEX($A353:$T353,MATCH(Lists!$F$7,$A$1:$T$1,0))&amp;""),"")&lt;&gt;"",IFERROR(TRIM(INDEX($A353:$T353,MATCH(Lists!$F$7,$A$1:$T$1,0))&amp;""),""),IF(IFERROR(TRIM(INDEX($A353:$T353,MATCH(Lists!$F$8,$A$1:$T$1,0))&amp;""),"")&lt;&gt;"",IFERROR(TRIM(INDEX($A353:$T353,MATCH(Lists!$F$8,$A$1:$T$1,0))&amp;""),""),"(no item given)"))))</f>
        <v/>
      </c>
      <c r="AC353" s="21">
        <f>IF(Y353="","",IF(ISNUMBER(SEARCH("support",IFERROR(TRIM(INDEX($A353:$T353,MATCH(Lists!$F$9,$A$1:$T$1,0))&amp;""),""))),"Support",IF(ISNUMBER(SEARCH("oppose",IFERROR(TRIM(INDEX($A353:$T353,MATCH(Lists!$F$9,$A$1:$T$1,0))&amp;""),""))),"Oppose",IF(IFERROR(TRIM(INDEX($A353:$T353,MATCH(Lists!$F$9,$A$1:$T$1,0))&amp;""),"")="","No position","Neither"))))</f>
        <v/>
      </c>
      <c r="AD353" s="21">
        <f>IF(Y353="","",IF(ISNUMBER(SEARCH("in person",IFERROR(TRIM(INDEX($A353:$T353,MATCH(Lists!$F$13,$A$1:$T$1,0))&amp;""),""))),"In person",IF(ISNUMBER(SEARCH("online",IFERROR(TRIM(INDEX($A353:$T353,MATCH(Lists!$F$13,$A$1:$T$1,0))&amp;""),""))),"Online","Written only")))</f>
        <v/>
      </c>
      <c r="AE353" s="21">
        <f>IF(Y353="","",IFERROR(TRIM(INDEX($A353:$T353,MATCH(Lists!$F$11,$A$1:$T$1,0))&amp;""),""))</f>
        <v/>
      </c>
      <c r="AF353" s="21">
        <f>IF(Y353="","",IFERROR(TRIM(INDEX($A353:$T353,MATCH(Lists!$F$12,$A$1:$T$1,0))&amp;""),""))</f>
        <v/>
      </c>
      <c r="AG353" s="21">
        <f>IF(Y353="","",IFERROR(TRIM(INDEX($A353:$T353,MATCH(Lists!$F$14,$A$1:$T$1,0))&amp;""),""))</f>
        <v/>
      </c>
      <c r="AH353" s="21">
        <f>IF(Y353="","",LEFT(IFERROR(TRIM(INDEX($A353:$T353,MATCH(Lists!$F$10,$A$1:$T$1,0))&amp;""),""),80))</f>
        <v/>
      </c>
      <c r="AI353" s="21">
        <f>IF(Y353="",0,IF(OR(Tally!$B$5="",AA353=Tally!$B$5),1,0))</f>
        <v/>
      </c>
      <c r="AJ353" s="21">
        <f>IF(AI353=1,IF(COUNTIFS($AB$2:AB353,AB353,$AI$2:AI353,1)=1,1,0),0)</f>
        <v/>
      </c>
      <c r="AK353" s="21">
        <f>IF(AJ353=1,SUM($AJ$2:AJ353),"")</f>
        <v/>
      </c>
      <c r="AL353" s="21">
        <f>IF(AND(AI353=1,OR(AD353="In person",AD353="Online"),OR(Speakers!$B$5="",AB353=Speakers!$B$5)),N(Z353)+ROW()/1000000000,"")</f>
        <v/>
      </c>
    </row>
    <row r="354">
      <c r="U354" s="19" t="n"/>
      <c r="V354" s="24" t="n"/>
      <c r="W354" s="24" t="n"/>
      <c r="X354" s="19" t="n"/>
      <c r="Y354" s="21">
        <f>IFERROR(TRIM(INDEX($A354:$T354,MATCH(Lists!$F$2,$A$1:$T$1,0))&amp;""),"")</f>
        <v/>
      </c>
      <c r="Z354" s="22">
        <f>IF(Y354="","",IFERROR(IF(ISNUMBER(INDEX($A354:$T354,MATCH(Lists!$F$3,$A$1:$T$1,0))),INDEX($A354:$T354,MATCH(Lists!$F$3,$A$1:$T$1,0)),DATE(VALUE(LEFT(IFERROR(TRIM(INDEX($A354:$T354,MATCH(Lists!$F$3,$A$1:$T$1,0))&amp;""),""),4)),VALUE(MID(IFERROR(TRIM(INDEX($A354:$T354,MATCH(Lists!$F$3,$A$1:$T$1,0))&amp;""),""),6,2)),VALUE(MID(IFERROR(TRIM(INDEX($A354:$T354,MATCH(Lists!$F$3,$A$1:$T$1,0))&amp;""),""),9,2)))+TIME(VALUE(MID(IFERROR(TRIM(INDEX($A354:$T354,MATCH(Lists!$F$3,$A$1:$T$1,0))&amp;""),""),12,2)),VALUE(MID(IFERROR(TRIM(INDEX($A354:$T354,MATCH(Lists!$F$3,$A$1:$T$1,0))&amp;""),""),15,2)),VALUE(MID(IFERROR(TRIM(INDEX($A354:$T354,MATCH(Lists!$F$3,$A$1:$T$1,0))&amp;""),""),18,2)))),""))</f>
        <v/>
      </c>
      <c r="AA354" s="23">
        <f>IF(Y354="","",IF(ISNUMBER(IFERROR(IF(TRIM(INDEX($A354:$T354,MATCH(Lists!$F$4,$A$1:$T$1,0))&amp;"")="","",IF(ISNUMBER(INDEX($A354:$T354,MATCH(Lists!$F$4,$A$1:$T$1,0))),INT(INDEX($A354:$T354,MATCH(Lists!$F$4,$A$1:$T$1,0))),DATE(VALUE(LEFT(INDEX($A354:$T354,MATCH(Lists!$F$4,$A$1:$T$1,0)),4)),VALUE(MID(INDEX($A354:$T354,MATCH(Lists!$F$4,$A$1:$T$1,0)),6,2)),VALUE(MID(INDEX($A354:$T354,MATCH(Lists!$F$4,$A$1:$T$1,0)),9,2))))),"")),IFERROR(IF(TRIM(INDEX($A354:$T354,MATCH(Lists!$F$4,$A$1:$T$1,0))&amp;"")="","",IF(ISNUMBER(INDEX($A354:$T354,MATCH(Lists!$F$4,$A$1:$T$1,0))),INT(INDEX($A354:$T354,MATCH(Lists!$F$4,$A$1:$T$1,0))),DATE(VALUE(LEFT(INDEX($A354:$T354,MATCH(Lists!$F$4,$A$1:$T$1,0)),4)),VALUE(MID(INDEX($A354:$T354,MATCH(Lists!$F$4,$A$1:$T$1,0)),6,2)),VALUE(MID(INDEX($A354:$T354,MATCH(Lists!$F$4,$A$1:$T$1,0)),9,2))))),""),IFERROR(IF(TRIM(INDEX($A354:$T354,MATCH(Lists!$F$5,$A$1:$T$1,0))&amp;"")="","",IF(ISNUMBER(INDEX($A354:$T354,MATCH(Lists!$F$5,$A$1:$T$1,0))),INT(INDEX($A354:$T354,MATCH(Lists!$F$5,$A$1:$T$1,0))),DATE(VALUE(LEFT(INDEX($A354:$T354,MATCH(Lists!$F$5,$A$1:$T$1,0)),4)),VALUE(MID(INDEX($A354:$T354,MATCH(Lists!$F$5,$A$1:$T$1,0)),6,2)),VALUE(MID(INDEX($A354:$T354,MATCH(Lists!$F$5,$A$1:$T$1,0)),9,2))))),"")))</f>
        <v/>
      </c>
      <c r="AB354" s="21">
        <f>IF(Y354="","",IF(LEFT(IFERROR(TRIM(INDEX($A354:$T354,MATCH(Lists!$F$6,$A$1:$T$1,0))&amp;""),""),2)="No","General comment",IF(IFERROR(TRIM(INDEX($A354:$T354,MATCH(Lists!$F$7,$A$1:$T$1,0))&amp;""),"")&lt;&gt;"",IFERROR(TRIM(INDEX($A354:$T354,MATCH(Lists!$F$7,$A$1:$T$1,0))&amp;""),""),IF(IFERROR(TRIM(INDEX($A354:$T354,MATCH(Lists!$F$8,$A$1:$T$1,0))&amp;""),"")&lt;&gt;"",IFERROR(TRIM(INDEX($A354:$T354,MATCH(Lists!$F$8,$A$1:$T$1,0))&amp;""),""),"(no item given)"))))</f>
        <v/>
      </c>
      <c r="AC354" s="21">
        <f>IF(Y354="","",IF(ISNUMBER(SEARCH("support",IFERROR(TRIM(INDEX($A354:$T354,MATCH(Lists!$F$9,$A$1:$T$1,0))&amp;""),""))),"Support",IF(ISNUMBER(SEARCH("oppose",IFERROR(TRIM(INDEX($A354:$T354,MATCH(Lists!$F$9,$A$1:$T$1,0))&amp;""),""))),"Oppose",IF(IFERROR(TRIM(INDEX($A354:$T354,MATCH(Lists!$F$9,$A$1:$T$1,0))&amp;""),"")="","No position","Neither"))))</f>
        <v/>
      </c>
      <c r="AD354" s="21">
        <f>IF(Y354="","",IF(ISNUMBER(SEARCH("in person",IFERROR(TRIM(INDEX($A354:$T354,MATCH(Lists!$F$13,$A$1:$T$1,0))&amp;""),""))),"In person",IF(ISNUMBER(SEARCH("online",IFERROR(TRIM(INDEX($A354:$T354,MATCH(Lists!$F$13,$A$1:$T$1,0))&amp;""),""))),"Online","Written only")))</f>
        <v/>
      </c>
      <c r="AE354" s="21">
        <f>IF(Y354="","",IFERROR(TRIM(INDEX($A354:$T354,MATCH(Lists!$F$11,$A$1:$T$1,0))&amp;""),""))</f>
        <v/>
      </c>
      <c r="AF354" s="21">
        <f>IF(Y354="","",IFERROR(TRIM(INDEX($A354:$T354,MATCH(Lists!$F$12,$A$1:$T$1,0))&amp;""),""))</f>
        <v/>
      </c>
      <c r="AG354" s="21">
        <f>IF(Y354="","",IFERROR(TRIM(INDEX($A354:$T354,MATCH(Lists!$F$14,$A$1:$T$1,0))&amp;""),""))</f>
        <v/>
      </c>
      <c r="AH354" s="21">
        <f>IF(Y354="","",LEFT(IFERROR(TRIM(INDEX($A354:$T354,MATCH(Lists!$F$10,$A$1:$T$1,0))&amp;""),""),80))</f>
        <v/>
      </c>
      <c r="AI354" s="21">
        <f>IF(Y354="",0,IF(OR(Tally!$B$5="",AA354=Tally!$B$5),1,0))</f>
        <v/>
      </c>
      <c r="AJ354" s="21">
        <f>IF(AI354=1,IF(COUNTIFS($AB$2:AB354,AB354,$AI$2:AI354,1)=1,1,0),0)</f>
        <v/>
      </c>
      <c r="AK354" s="21">
        <f>IF(AJ354=1,SUM($AJ$2:AJ354),"")</f>
        <v/>
      </c>
      <c r="AL354" s="21">
        <f>IF(AND(AI354=1,OR(AD354="In person",AD354="Online"),OR(Speakers!$B$5="",AB354=Speakers!$B$5)),N(Z354)+ROW()/1000000000,"")</f>
        <v/>
      </c>
    </row>
    <row r="355">
      <c r="U355" s="19" t="n"/>
      <c r="V355" s="24" t="n"/>
      <c r="W355" s="24" t="n"/>
      <c r="X355" s="19" t="n"/>
      <c r="Y355" s="21">
        <f>IFERROR(TRIM(INDEX($A355:$T355,MATCH(Lists!$F$2,$A$1:$T$1,0))&amp;""),"")</f>
        <v/>
      </c>
      <c r="Z355" s="22">
        <f>IF(Y355="","",IFERROR(IF(ISNUMBER(INDEX($A355:$T355,MATCH(Lists!$F$3,$A$1:$T$1,0))),INDEX($A355:$T355,MATCH(Lists!$F$3,$A$1:$T$1,0)),DATE(VALUE(LEFT(IFERROR(TRIM(INDEX($A355:$T355,MATCH(Lists!$F$3,$A$1:$T$1,0))&amp;""),""),4)),VALUE(MID(IFERROR(TRIM(INDEX($A355:$T355,MATCH(Lists!$F$3,$A$1:$T$1,0))&amp;""),""),6,2)),VALUE(MID(IFERROR(TRIM(INDEX($A355:$T355,MATCH(Lists!$F$3,$A$1:$T$1,0))&amp;""),""),9,2)))+TIME(VALUE(MID(IFERROR(TRIM(INDEX($A355:$T355,MATCH(Lists!$F$3,$A$1:$T$1,0))&amp;""),""),12,2)),VALUE(MID(IFERROR(TRIM(INDEX($A355:$T355,MATCH(Lists!$F$3,$A$1:$T$1,0))&amp;""),""),15,2)),VALUE(MID(IFERROR(TRIM(INDEX($A355:$T355,MATCH(Lists!$F$3,$A$1:$T$1,0))&amp;""),""),18,2)))),""))</f>
        <v/>
      </c>
      <c r="AA355" s="23">
        <f>IF(Y355="","",IF(ISNUMBER(IFERROR(IF(TRIM(INDEX($A355:$T355,MATCH(Lists!$F$4,$A$1:$T$1,0))&amp;"")="","",IF(ISNUMBER(INDEX($A355:$T355,MATCH(Lists!$F$4,$A$1:$T$1,0))),INT(INDEX($A355:$T355,MATCH(Lists!$F$4,$A$1:$T$1,0))),DATE(VALUE(LEFT(INDEX($A355:$T355,MATCH(Lists!$F$4,$A$1:$T$1,0)),4)),VALUE(MID(INDEX($A355:$T355,MATCH(Lists!$F$4,$A$1:$T$1,0)),6,2)),VALUE(MID(INDEX($A355:$T355,MATCH(Lists!$F$4,$A$1:$T$1,0)),9,2))))),"")),IFERROR(IF(TRIM(INDEX($A355:$T355,MATCH(Lists!$F$4,$A$1:$T$1,0))&amp;"")="","",IF(ISNUMBER(INDEX($A355:$T355,MATCH(Lists!$F$4,$A$1:$T$1,0))),INT(INDEX($A355:$T355,MATCH(Lists!$F$4,$A$1:$T$1,0))),DATE(VALUE(LEFT(INDEX($A355:$T355,MATCH(Lists!$F$4,$A$1:$T$1,0)),4)),VALUE(MID(INDEX($A355:$T355,MATCH(Lists!$F$4,$A$1:$T$1,0)),6,2)),VALUE(MID(INDEX($A355:$T355,MATCH(Lists!$F$4,$A$1:$T$1,0)),9,2))))),""),IFERROR(IF(TRIM(INDEX($A355:$T355,MATCH(Lists!$F$5,$A$1:$T$1,0))&amp;"")="","",IF(ISNUMBER(INDEX($A355:$T355,MATCH(Lists!$F$5,$A$1:$T$1,0))),INT(INDEX($A355:$T355,MATCH(Lists!$F$5,$A$1:$T$1,0))),DATE(VALUE(LEFT(INDEX($A355:$T355,MATCH(Lists!$F$5,$A$1:$T$1,0)),4)),VALUE(MID(INDEX($A355:$T355,MATCH(Lists!$F$5,$A$1:$T$1,0)),6,2)),VALUE(MID(INDEX($A355:$T355,MATCH(Lists!$F$5,$A$1:$T$1,0)),9,2))))),"")))</f>
        <v/>
      </c>
      <c r="AB355" s="21">
        <f>IF(Y355="","",IF(LEFT(IFERROR(TRIM(INDEX($A355:$T355,MATCH(Lists!$F$6,$A$1:$T$1,0))&amp;""),""),2)="No","General comment",IF(IFERROR(TRIM(INDEX($A355:$T355,MATCH(Lists!$F$7,$A$1:$T$1,0))&amp;""),"")&lt;&gt;"",IFERROR(TRIM(INDEX($A355:$T355,MATCH(Lists!$F$7,$A$1:$T$1,0))&amp;""),""),IF(IFERROR(TRIM(INDEX($A355:$T355,MATCH(Lists!$F$8,$A$1:$T$1,0))&amp;""),"")&lt;&gt;"",IFERROR(TRIM(INDEX($A355:$T355,MATCH(Lists!$F$8,$A$1:$T$1,0))&amp;""),""),"(no item given)"))))</f>
        <v/>
      </c>
      <c r="AC355" s="21">
        <f>IF(Y355="","",IF(ISNUMBER(SEARCH("support",IFERROR(TRIM(INDEX($A355:$T355,MATCH(Lists!$F$9,$A$1:$T$1,0))&amp;""),""))),"Support",IF(ISNUMBER(SEARCH("oppose",IFERROR(TRIM(INDEX($A355:$T355,MATCH(Lists!$F$9,$A$1:$T$1,0))&amp;""),""))),"Oppose",IF(IFERROR(TRIM(INDEX($A355:$T355,MATCH(Lists!$F$9,$A$1:$T$1,0))&amp;""),"")="","No position","Neither"))))</f>
        <v/>
      </c>
      <c r="AD355" s="21">
        <f>IF(Y355="","",IF(ISNUMBER(SEARCH("in person",IFERROR(TRIM(INDEX($A355:$T355,MATCH(Lists!$F$13,$A$1:$T$1,0))&amp;""),""))),"In person",IF(ISNUMBER(SEARCH("online",IFERROR(TRIM(INDEX($A355:$T355,MATCH(Lists!$F$13,$A$1:$T$1,0))&amp;""),""))),"Online","Written only")))</f>
        <v/>
      </c>
      <c r="AE355" s="21">
        <f>IF(Y355="","",IFERROR(TRIM(INDEX($A355:$T355,MATCH(Lists!$F$11,$A$1:$T$1,0))&amp;""),""))</f>
        <v/>
      </c>
      <c r="AF355" s="21">
        <f>IF(Y355="","",IFERROR(TRIM(INDEX($A355:$T355,MATCH(Lists!$F$12,$A$1:$T$1,0))&amp;""),""))</f>
        <v/>
      </c>
      <c r="AG355" s="21">
        <f>IF(Y355="","",IFERROR(TRIM(INDEX($A355:$T355,MATCH(Lists!$F$14,$A$1:$T$1,0))&amp;""),""))</f>
        <v/>
      </c>
      <c r="AH355" s="21">
        <f>IF(Y355="","",LEFT(IFERROR(TRIM(INDEX($A355:$T355,MATCH(Lists!$F$10,$A$1:$T$1,0))&amp;""),""),80))</f>
        <v/>
      </c>
      <c r="AI355" s="21">
        <f>IF(Y355="",0,IF(OR(Tally!$B$5="",AA355=Tally!$B$5),1,0))</f>
        <v/>
      </c>
      <c r="AJ355" s="21">
        <f>IF(AI355=1,IF(COUNTIFS($AB$2:AB355,AB355,$AI$2:AI355,1)=1,1,0),0)</f>
        <v/>
      </c>
      <c r="AK355" s="21">
        <f>IF(AJ355=1,SUM($AJ$2:AJ355),"")</f>
        <v/>
      </c>
      <c r="AL355" s="21">
        <f>IF(AND(AI355=1,OR(AD355="In person",AD355="Online"),OR(Speakers!$B$5="",AB355=Speakers!$B$5)),N(Z355)+ROW()/1000000000,"")</f>
        <v/>
      </c>
    </row>
    <row r="356">
      <c r="U356" s="19" t="n"/>
      <c r="V356" s="24" t="n"/>
      <c r="W356" s="24" t="n"/>
      <c r="X356" s="19" t="n"/>
      <c r="Y356" s="21">
        <f>IFERROR(TRIM(INDEX($A356:$T356,MATCH(Lists!$F$2,$A$1:$T$1,0))&amp;""),"")</f>
        <v/>
      </c>
      <c r="Z356" s="22">
        <f>IF(Y356="","",IFERROR(IF(ISNUMBER(INDEX($A356:$T356,MATCH(Lists!$F$3,$A$1:$T$1,0))),INDEX($A356:$T356,MATCH(Lists!$F$3,$A$1:$T$1,0)),DATE(VALUE(LEFT(IFERROR(TRIM(INDEX($A356:$T356,MATCH(Lists!$F$3,$A$1:$T$1,0))&amp;""),""),4)),VALUE(MID(IFERROR(TRIM(INDEX($A356:$T356,MATCH(Lists!$F$3,$A$1:$T$1,0))&amp;""),""),6,2)),VALUE(MID(IFERROR(TRIM(INDEX($A356:$T356,MATCH(Lists!$F$3,$A$1:$T$1,0))&amp;""),""),9,2)))+TIME(VALUE(MID(IFERROR(TRIM(INDEX($A356:$T356,MATCH(Lists!$F$3,$A$1:$T$1,0))&amp;""),""),12,2)),VALUE(MID(IFERROR(TRIM(INDEX($A356:$T356,MATCH(Lists!$F$3,$A$1:$T$1,0))&amp;""),""),15,2)),VALUE(MID(IFERROR(TRIM(INDEX($A356:$T356,MATCH(Lists!$F$3,$A$1:$T$1,0))&amp;""),""),18,2)))),""))</f>
        <v/>
      </c>
      <c r="AA356" s="23">
        <f>IF(Y356="","",IF(ISNUMBER(IFERROR(IF(TRIM(INDEX($A356:$T356,MATCH(Lists!$F$4,$A$1:$T$1,0))&amp;"")="","",IF(ISNUMBER(INDEX($A356:$T356,MATCH(Lists!$F$4,$A$1:$T$1,0))),INT(INDEX($A356:$T356,MATCH(Lists!$F$4,$A$1:$T$1,0))),DATE(VALUE(LEFT(INDEX($A356:$T356,MATCH(Lists!$F$4,$A$1:$T$1,0)),4)),VALUE(MID(INDEX($A356:$T356,MATCH(Lists!$F$4,$A$1:$T$1,0)),6,2)),VALUE(MID(INDEX($A356:$T356,MATCH(Lists!$F$4,$A$1:$T$1,0)),9,2))))),"")),IFERROR(IF(TRIM(INDEX($A356:$T356,MATCH(Lists!$F$4,$A$1:$T$1,0))&amp;"")="","",IF(ISNUMBER(INDEX($A356:$T356,MATCH(Lists!$F$4,$A$1:$T$1,0))),INT(INDEX($A356:$T356,MATCH(Lists!$F$4,$A$1:$T$1,0))),DATE(VALUE(LEFT(INDEX($A356:$T356,MATCH(Lists!$F$4,$A$1:$T$1,0)),4)),VALUE(MID(INDEX($A356:$T356,MATCH(Lists!$F$4,$A$1:$T$1,0)),6,2)),VALUE(MID(INDEX($A356:$T356,MATCH(Lists!$F$4,$A$1:$T$1,0)),9,2))))),""),IFERROR(IF(TRIM(INDEX($A356:$T356,MATCH(Lists!$F$5,$A$1:$T$1,0))&amp;"")="","",IF(ISNUMBER(INDEX($A356:$T356,MATCH(Lists!$F$5,$A$1:$T$1,0))),INT(INDEX($A356:$T356,MATCH(Lists!$F$5,$A$1:$T$1,0))),DATE(VALUE(LEFT(INDEX($A356:$T356,MATCH(Lists!$F$5,$A$1:$T$1,0)),4)),VALUE(MID(INDEX($A356:$T356,MATCH(Lists!$F$5,$A$1:$T$1,0)),6,2)),VALUE(MID(INDEX($A356:$T356,MATCH(Lists!$F$5,$A$1:$T$1,0)),9,2))))),"")))</f>
        <v/>
      </c>
      <c r="AB356" s="21">
        <f>IF(Y356="","",IF(LEFT(IFERROR(TRIM(INDEX($A356:$T356,MATCH(Lists!$F$6,$A$1:$T$1,0))&amp;""),""),2)="No","General comment",IF(IFERROR(TRIM(INDEX($A356:$T356,MATCH(Lists!$F$7,$A$1:$T$1,0))&amp;""),"")&lt;&gt;"",IFERROR(TRIM(INDEX($A356:$T356,MATCH(Lists!$F$7,$A$1:$T$1,0))&amp;""),""),IF(IFERROR(TRIM(INDEX($A356:$T356,MATCH(Lists!$F$8,$A$1:$T$1,0))&amp;""),"")&lt;&gt;"",IFERROR(TRIM(INDEX($A356:$T356,MATCH(Lists!$F$8,$A$1:$T$1,0))&amp;""),""),"(no item given)"))))</f>
        <v/>
      </c>
      <c r="AC356" s="21">
        <f>IF(Y356="","",IF(ISNUMBER(SEARCH("support",IFERROR(TRIM(INDEX($A356:$T356,MATCH(Lists!$F$9,$A$1:$T$1,0))&amp;""),""))),"Support",IF(ISNUMBER(SEARCH("oppose",IFERROR(TRIM(INDEX($A356:$T356,MATCH(Lists!$F$9,$A$1:$T$1,0))&amp;""),""))),"Oppose",IF(IFERROR(TRIM(INDEX($A356:$T356,MATCH(Lists!$F$9,$A$1:$T$1,0))&amp;""),"")="","No position","Neither"))))</f>
        <v/>
      </c>
      <c r="AD356" s="21">
        <f>IF(Y356="","",IF(ISNUMBER(SEARCH("in person",IFERROR(TRIM(INDEX($A356:$T356,MATCH(Lists!$F$13,$A$1:$T$1,0))&amp;""),""))),"In person",IF(ISNUMBER(SEARCH("online",IFERROR(TRIM(INDEX($A356:$T356,MATCH(Lists!$F$13,$A$1:$T$1,0))&amp;""),""))),"Online","Written only")))</f>
        <v/>
      </c>
      <c r="AE356" s="21">
        <f>IF(Y356="","",IFERROR(TRIM(INDEX($A356:$T356,MATCH(Lists!$F$11,$A$1:$T$1,0))&amp;""),""))</f>
        <v/>
      </c>
      <c r="AF356" s="21">
        <f>IF(Y356="","",IFERROR(TRIM(INDEX($A356:$T356,MATCH(Lists!$F$12,$A$1:$T$1,0))&amp;""),""))</f>
        <v/>
      </c>
      <c r="AG356" s="21">
        <f>IF(Y356="","",IFERROR(TRIM(INDEX($A356:$T356,MATCH(Lists!$F$14,$A$1:$T$1,0))&amp;""),""))</f>
        <v/>
      </c>
      <c r="AH356" s="21">
        <f>IF(Y356="","",LEFT(IFERROR(TRIM(INDEX($A356:$T356,MATCH(Lists!$F$10,$A$1:$T$1,0))&amp;""),""),80))</f>
        <v/>
      </c>
      <c r="AI356" s="21">
        <f>IF(Y356="",0,IF(OR(Tally!$B$5="",AA356=Tally!$B$5),1,0))</f>
        <v/>
      </c>
      <c r="AJ356" s="21">
        <f>IF(AI356=1,IF(COUNTIFS($AB$2:AB356,AB356,$AI$2:AI356,1)=1,1,0),0)</f>
        <v/>
      </c>
      <c r="AK356" s="21">
        <f>IF(AJ356=1,SUM($AJ$2:AJ356),"")</f>
        <v/>
      </c>
      <c r="AL356" s="21">
        <f>IF(AND(AI356=1,OR(AD356="In person",AD356="Online"),OR(Speakers!$B$5="",AB356=Speakers!$B$5)),N(Z356)+ROW()/1000000000,"")</f>
        <v/>
      </c>
    </row>
    <row r="357">
      <c r="U357" s="19" t="n"/>
      <c r="V357" s="24" t="n"/>
      <c r="W357" s="24" t="n"/>
      <c r="X357" s="19" t="n"/>
      <c r="Y357" s="21">
        <f>IFERROR(TRIM(INDEX($A357:$T357,MATCH(Lists!$F$2,$A$1:$T$1,0))&amp;""),"")</f>
        <v/>
      </c>
      <c r="Z357" s="22">
        <f>IF(Y357="","",IFERROR(IF(ISNUMBER(INDEX($A357:$T357,MATCH(Lists!$F$3,$A$1:$T$1,0))),INDEX($A357:$T357,MATCH(Lists!$F$3,$A$1:$T$1,0)),DATE(VALUE(LEFT(IFERROR(TRIM(INDEX($A357:$T357,MATCH(Lists!$F$3,$A$1:$T$1,0))&amp;""),""),4)),VALUE(MID(IFERROR(TRIM(INDEX($A357:$T357,MATCH(Lists!$F$3,$A$1:$T$1,0))&amp;""),""),6,2)),VALUE(MID(IFERROR(TRIM(INDEX($A357:$T357,MATCH(Lists!$F$3,$A$1:$T$1,0))&amp;""),""),9,2)))+TIME(VALUE(MID(IFERROR(TRIM(INDEX($A357:$T357,MATCH(Lists!$F$3,$A$1:$T$1,0))&amp;""),""),12,2)),VALUE(MID(IFERROR(TRIM(INDEX($A357:$T357,MATCH(Lists!$F$3,$A$1:$T$1,0))&amp;""),""),15,2)),VALUE(MID(IFERROR(TRIM(INDEX($A357:$T357,MATCH(Lists!$F$3,$A$1:$T$1,0))&amp;""),""),18,2)))),""))</f>
        <v/>
      </c>
      <c r="AA357" s="23">
        <f>IF(Y357="","",IF(ISNUMBER(IFERROR(IF(TRIM(INDEX($A357:$T357,MATCH(Lists!$F$4,$A$1:$T$1,0))&amp;"")="","",IF(ISNUMBER(INDEX($A357:$T357,MATCH(Lists!$F$4,$A$1:$T$1,0))),INT(INDEX($A357:$T357,MATCH(Lists!$F$4,$A$1:$T$1,0))),DATE(VALUE(LEFT(INDEX($A357:$T357,MATCH(Lists!$F$4,$A$1:$T$1,0)),4)),VALUE(MID(INDEX($A357:$T357,MATCH(Lists!$F$4,$A$1:$T$1,0)),6,2)),VALUE(MID(INDEX($A357:$T357,MATCH(Lists!$F$4,$A$1:$T$1,0)),9,2))))),"")),IFERROR(IF(TRIM(INDEX($A357:$T357,MATCH(Lists!$F$4,$A$1:$T$1,0))&amp;"")="","",IF(ISNUMBER(INDEX($A357:$T357,MATCH(Lists!$F$4,$A$1:$T$1,0))),INT(INDEX($A357:$T357,MATCH(Lists!$F$4,$A$1:$T$1,0))),DATE(VALUE(LEFT(INDEX($A357:$T357,MATCH(Lists!$F$4,$A$1:$T$1,0)),4)),VALUE(MID(INDEX($A357:$T357,MATCH(Lists!$F$4,$A$1:$T$1,0)),6,2)),VALUE(MID(INDEX($A357:$T357,MATCH(Lists!$F$4,$A$1:$T$1,0)),9,2))))),""),IFERROR(IF(TRIM(INDEX($A357:$T357,MATCH(Lists!$F$5,$A$1:$T$1,0))&amp;"")="","",IF(ISNUMBER(INDEX($A357:$T357,MATCH(Lists!$F$5,$A$1:$T$1,0))),INT(INDEX($A357:$T357,MATCH(Lists!$F$5,$A$1:$T$1,0))),DATE(VALUE(LEFT(INDEX($A357:$T357,MATCH(Lists!$F$5,$A$1:$T$1,0)),4)),VALUE(MID(INDEX($A357:$T357,MATCH(Lists!$F$5,$A$1:$T$1,0)),6,2)),VALUE(MID(INDEX($A357:$T357,MATCH(Lists!$F$5,$A$1:$T$1,0)),9,2))))),"")))</f>
        <v/>
      </c>
      <c r="AB357" s="21">
        <f>IF(Y357="","",IF(LEFT(IFERROR(TRIM(INDEX($A357:$T357,MATCH(Lists!$F$6,$A$1:$T$1,0))&amp;""),""),2)="No","General comment",IF(IFERROR(TRIM(INDEX($A357:$T357,MATCH(Lists!$F$7,$A$1:$T$1,0))&amp;""),"")&lt;&gt;"",IFERROR(TRIM(INDEX($A357:$T357,MATCH(Lists!$F$7,$A$1:$T$1,0))&amp;""),""),IF(IFERROR(TRIM(INDEX($A357:$T357,MATCH(Lists!$F$8,$A$1:$T$1,0))&amp;""),"")&lt;&gt;"",IFERROR(TRIM(INDEX($A357:$T357,MATCH(Lists!$F$8,$A$1:$T$1,0))&amp;""),""),"(no item given)"))))</f>
        <v/>
      </c>
      <c r="AC357" s="21">
        <f>IF(Y357="","",IF(ISNUMBER(SEARCH("support",IFERROR(TRIM(INDEX($A357:$T357,MATCH(Lists!$F$9,$A$1:$T$1,0))&amp;""),""))),"Support",IF(ISNUMBER(SEARCH("oppose",IFERROR(TRIM(INDEX($A357:$T357,MATCH(Lists!$F$9,$A$1:$T$1,0))&amp;""),""))),"Oppose",IF(IFERROR(TRIM(INDEX($A357:$T357,MATCH(Lists!$F$9,$A$1:$T$1,0))&amp;""),"")="","No position","Neither"))))</f>
        <v/>
      </c>
      <c r="AD357" s="21">
        <f>IF(Y357="","",IF(ISNUMBER(SEARCH("in person",IFERROR(TRIM(INDEX($A357:$T357,MATCH(Lists!$F$13,$A$1:$T$1,0))&amp;""),""))),"In person",IF(ISNUMBER(SEARCH("online",IFERROR(TRIM(INDEX($A357:$T357,MATCH(Lists!$F$13,$A$1:$T$1,0))&amp;""),""))),"Online","Written only")))</f>
        <v/>
      </c>
      <c r="AE357" s="21">
        <f>IF(Y357="","",IFERROR(TRIM(INDEX($A357:$T357,MATCH(Lists!$F$11,$A$1:$T$1,0))&amp;""),""))</f>
        <v/>
      </c>
      <c r="AF357" s="21">
        <f>IF(Y357="","",IFERROR(TRIM(INDEX($A357:$T357,MATCH(Lists!$F$12,$A$1:$T$1,0))&amp;""),""))</f>
        <v/>
      </c>
      <c r="AG357" s="21">
        <f>IF(Y357="","",IFERROR(TRIM(INDEX($A357:$T357,MATCH(Lists!$F$14,$A$1:$T$1,0))&amp;""),""))</f>
        <v/>
      </c>
      <c r="AH357" s="21">
        <f>IF(Y357="","",LEFT(IFERROR(TRIM(INDEX($A357:$T357,MATCH(Lists!$F$10,$A$1:$T$1,0))&amp;""),""),80))</f>
        <v/>
      </c>
      <c r="AI357" s="21">
        <f>IF(Y357="",0,IF(OR(Tally!$B$5="",AA357=Tally!$B$5),1,0))</f>
        <v/>
      </c>
      <c r="AJ357" s="21">
        <f>IF(AI357=1,IF(COUNTIFS($AB$2:AB357,AB357,$AI$2:AI357,1)=1,1,0),0)</f>
        <v/>
      </c>
      <c r="AK357" s="21">
        <f>IF(AJ357=1,SUM($AJ$2:AJ357),"")</f>
        <v/>
      </c>
      <c r="AL357" s="21">
        <f>IF(AND(AI357=1,OR(AD357="In person",AD357="Online"),OR(Speakers!$B$5="",AB357=Speakers!$B$5)),N(Z357)+ROW()/1000000000,"")</f>
        <v/>
      </c>
    </row>
    <row r="358">
      <c r="U358" s="19" t="n"/>
      <c r="V358" s="24" t="n"/>
      <c r="W358" s="24" t="n"/>
      <c r="X358" s="19" t="n"/>
      <c r="Y358" s="21">
        <f>IFERROR(TRIM(INDEX($A358:$T358,MATCH(Lists!$F$2,$A$1:$T$1,0))&amp;""),"")</f>
        <v/>
      </c>
      <c r="Z358" s="22">
        <f>IF(Y358="","",IFERROR(IF(ISNUMBER(INDEX($A358:$T358,MATCH(Lists!$F$3,$A$1:$T$1,0))),INDEX($A358:$T358,MATCH(Lists!$F$3,$A$1:$T$1,0)),DATE(VALUE(LEFT(IFERROR(TRIM(INDEX($A358:$T358,MATCH(Lists!$F$3,$A$1:$T$1,0))&amp;""),""),4)),VALUE(MID(IFERROR(TRIM(INDEX($A358:$T358,MATCH(Lists!$F$3,$A$1:$T$1,0))&amp;""),""),6,2)),VALUE(MID(IFERROR(TRIM(INDEX($A358:$T358,MATCH(Lists!$F$3,$A$1:$T$1,0))&amp;""),""),9,2)))+TIME(VALUE(MID(IFERROR(TRIM(INDEX($A358:$T358,MATCH(Lists!$F$3,$A$1:$T$1,0))&amp;""),""),12,2)),VALUE(MID(IFERROR(TRIM(INDEX($A358:$T358,MATCH(Lists!$F$3,$A$1:$T$1,0))&amp;""),""),15,2)),VALUE(MID(IFERROR(TRIM(INDEX($A358:$T358,MATCH(Lists!$F$3,$A$1:$T$1,0))&amp;""),""),18,2)))),""))</f>
        <v/>
      </c>
      <c r="AA358" s="23">
        <f>IF(Y358="","",IF(ISNUMBER(IFERROR(IF(TRIM(INDEX($A358:$T358,MATCH(Lists!$F$4,$A$1:$T$1,0))&amp;"")="","",IF(ISNUMBER(INDEX($A358:$T358,MATCH(Lists!$F$4,$A$1:$T$1,0))),INT(INDEX($A358:$T358,MATCH(Lists!$F$4,$A$1:$T$1,0))),DATE(VALUE(LEFT(INDEX($A358:$T358,MATCH(Lists!$F$4,$A$1:$T$1,0)),4)),VALUE(MID(INDEX($A358:$T358,MATCH(Lists!$F$4,$A$1:$T$1,0)),6,2)),VALUE(MID(INDEX($A358:$T358,MATCH(Lists!$F$4,$A$1:$T$1,0)),9,2))))),"")),IFERROR(IF(TRIM(INDEX($A358:$T358,MATCH(Lists!$F$4,$A$1:$T$1,0))&amp;"")="","",IF(ISNUMBER(INDEX($A358:$T358,MATCH(Lists!$F$4,$A$1:$T$1,0))),INT(INDEX($A358:$T358,MATCH(Lists!$F$4,$A$1:$T$1,0))),DATE(VALUE(LEFT(INDEX($A358:$T358,MATCH(Lists!$F$4,$A$1:$T$1,0)),4)),VALUE(MID(INDEX($A358:$T358,MATCH(Lists!$F$4,$A$1:$T$1,0)),6,2)),VALUE(MID(INDEX($A358:$T358,MATCH(Lists!$F$4,$A$1:$T$1,0)),9,2))))),""),IFERROR(IF(TRIM(INDEX($A358:$T358,MATCH(Lists!$F$5,$A$1:$T$1,0))&amp;"")="","",IF(ISNUMBER(INDEX($A358:$T358,MATCH(Lists!$F$5,$A$1:$T$1,0))),INT(INDEX($A358:$T358,MATCH(Lists!$F$5,$A$1:$T$1,0))),DATE(VALUE(LEFT(INDEX($A358:$T358,MATCH(Lists!$F$5,$A$1:$T$1,0)),4)),VALUE(MID(INDEX($A358:$T358,MATCH(Lists!$F$5,$A$1:$T$1,0)),6,2)),VALUE(MID(INDEX($A358:$T358,MATCH(Lists!$F$5,$A$1:$T$1,0)),9,2))))),"")))</f>
        <v/>
      </c>
      <c r="AB358" s="21">
        <f>IF(Y358="","",IF(LEFT(IFERROR(TRIM(INDEX($A358:$T358,MATCH(Lists!$F$6,$A$1:$T$1,0))&amp;""),""),2)="No","General comment",IF(IFERROR(TRIM(INDEX($A358:$T358,MATCH(Lists!$F$7,$A$1:$T$1,0))&amp;""),"")&lt;&gt;"",IFERROR(TRIM(INDEX($A358:$T358,MATCH(Lists!$F$7,$A$1:$T$1,0))&amp;""),""),IF(IFERROR(TRIM(INDEX($A358:$T358,MATCH(Lists!$F$8,$A$1:$T$1,0))&amp;""),"")&lt;&gt;"",IFERROR(TRIM(INDEX($A358:$T358,MATCH(Lists!$F$8,$A$1:$T$1,0))&amp;""),""),"(no item given)"))))</f>
        <v/>
      </c>
      <c r="AC358" s="21">
        <f>IF(Y358="","",IF(ISNUMBER(SEARCH("support",IFERROR(TRIM(INDEX($A358:$T358,MATCH(Lists!$F$9,$A$1:$T$1,0))&amp;""),""))),"Support",IF(ISNUMBER(SEARCH("oppose",IFERROR(TRIM(INDEX($A358:$T358,MATCH(Lists!$F$9,$A$1:$T$1,0))&amp;""),""))),"Oppose",IF(IFERROR(TRIM(INDEX($A358:$T358,MATCH(Lists!$F$9,$A$1:$T$1,0))&amp;""),"")="","No position","Neither"))))</f>
        <v/>
      </c>
      <c r="AD358" s="21">
        <f>IF(Y358="","",IF(ISNUMBER(SEARCH("in person",IFERROR(TRIM(INDEX($A358:$T358,MATCH(Lists!$F$13,$A$1:$T$1,0))&amp;""),""))),"In person",IF(ISNUMBER(SEARCH("online",IFERROR(TRIM(INDEX($A358:$T358,MATCH(Lists!$F$13,$A$1:$T$1,0))&amp;""),""))),"Online","Written only")))</f>
        <v/>
      </c>
      <c r="AE358" s="21">
        <f>IF(Y358="","",IFERROR(TRIM(INDEX($A358:$T358,MATCH(Lists!$F$11,$A$1:$T$1,0))&amp;""),""))</f>
        <v/>
      </c>
      <c r="AF358" s="21">
        <f>IF(Y358="","",IFERROR(TRIM(INDEX($A358:$T358,MATCH(Lists!$F$12,$A$1:$T$1,0))&amp;""),""))</f>
        <v/>
      </c>
      <c r="AG358" s="21">
        <f>IF(Y358="","",IFERROR(TRIM(INDEX($A358:$T358,MATCH(Lists!$F$14,$A$1:$T$1,0))&amp;""),""))</f>
        <v/>
      </c>
      <c r="AH358" s="21">
        <f>IF(Y358="","",LEFT(IFERROR(TRIM(INDEX($A358:$T358,MATCH(Lists!$F$10,$A$1:$T$1,0))&amp;""),""),80))</f>
        <v/>
      </c>
      <c r="AI358" s="21">
        <f>IF(Y358="",0,IF(OR(Tally!$B$5="",AA358=Tally!$B$5),1,0))</f>
        <v/>
      </c>
      <c r="AJ358" s="21">
        <f>IF(AI358=1,IF(COUNTIFS($AB$2:AB358,AB358,$AI$2:AI358,1)=1,1,0),0)</f>
        <v/>
      </c>
      <c r="AK358" s="21">
        <f>IF(AJ358=1,SUM($AJ$2:AJ358),"")</f>
        <v/>
      </c>
      <c r="AL358" s="21">
        <f>IF(AND(AI358=1,OR(AD358="In person",AD358="Online"),OR(Speakers!$B$5="",AB358=Speakers!$B$5)),N(Z358)+ROW()/1000000000,"")</f>
        <v/>
      </c>
    </row>
    <row r="359">
      <c r="U359" s="19" t="n"/>
      <c r="V359" s="24" t="n"/>
      <c r="W359" s="24" t="n"/>
      <c r="X359" s="19" t="n"/>
      <c r="Y359" s="21">
        <f>IFERROR(TRIM(INDEX($A359:$T359,MATCH(Lists!$F$2,$A$1:$T$1,0))&amp;""),"")</f>
        <v/>
      </c>
      <c r="Z359" s="22">
        <f>IF(Y359="","",IFERROR(IF(ISNUMBER(INDEX($A359:$T359,MATCH(Lists!$F$3,$A$1:$T$1,0))),INDEX($A359:$T359,MATCH(Lists!$F$3,$A$1:$T$1,0)),DATE(VALUE(LEFT(IFERROR(TRIM(INDEX($A359:$T359,MATCH(Lists!$F$3,$A$1:$T$1,0))&amp;""),""),4)),VALUE(MID(IFERROR(TRIM(INDEX($A359:$T359,MATCH(Lists!$F$3,$A$1:$T$1,0))&amp;""),""),6,2)),VALUE(MID(IFERROR(TRIM(INDEX($A359:$T359,MATCH(Lists!$F$3,$A$1:$T$1,0))&amp;""),""),9,2)))+TIME(VALUE(MID(IFERROR(TRIM(INDEX($A359:$T359,MATCH(Lists!$F$3,$A$1:$T$1,0))&amp;""),""),12,2)),VALUE(MID(IFERROR(TRIM(INDEX($A359:$T359,MATCH(Lists!$F$3,$A$1:$T$1,0))&amp;""),""),15,2)),VALUE(MID(IFERROR(TRIM(INDEX($A359:$T359,MATCH(Lists!$F$3,$A$1:$T$1,0))&amp;""),""),18,2)))),""))</f>
        <v/>
      </c>
      <c r="AA359" s="23">
        <f>IF(Y359="","",IF(ISNUMBER(IFERROR(IF(TRIM(INDEX($A359:$T359,MATCH(Lists!$F$4,$A$1:$T$1,0))&amp;"")="","",IF(ISNUMBER(INDEX($A359:$T359,MATCH(Lists!$F$4,$A$1:$T$1,0))),INT(INDEX($A359:$T359,MATCH(Lists!$F$4,$A$1:$T$1,0))),DATE(VALUE(LEFT(INDEX($A359:$T359,MATCH(Lists!$F$4,$A$1:$T$1,0)),4)),VALUE(MID(INDEX($A359:$T359,MATCH(Lists!$F$4,$A$1:$T$1,0)),6,2)),VALUE(MID(INDEX($A359:$T359,MATCH(Lists!$F$4,$A$1:$T$1,0)),9,2))))),"")),IFERROR(IF(TRIM(INDEX($A359:$T359,MATCH(Lists!$F$4,$A$1:$T$1,0))&amp;"")="","",IF(ISNUMBER(INDEX($A359:$T359,MATCH(Lists!$F$4,$A$1:$T$1,0))),INT(INDEX($A359:$T359,MATCH(Lists!$F$4,$A$1:$T$1,0))),DATE(VALUE(LEFT(INDEX($A359:$T359,MATCH(Lists!$F$4,$A$1:$T$1,0)),4)),VALUE(MID(INDEX($A359:$T359,MATCH(Lists!$F$4,$A$1:$T$1,0)),6,2)),VALUE(MID(INDEX($A359:$T359,MATCH(Lists!$F$4,$A$1:$T$1,0)),9,2))))),""),IFERROR(IF(TRIM(INDEX($A359:$T359,MATCH(Lists!$F$5,$A$1:$T$1,0))&amp;"")="","",IF(ISNUMBER(INDEX($A359:$T359,MATCH(Lists!$F$5,$A$1:$T$1,0))),INT(INDEX($A359:$T359,MATCH(Lists!$F$5,$A$1:$T$1,0))),DATE(VALUE(LEFT(INDEX($A359:$T359,MATCH(Lists!$F$5,$A$1:$T$1,0)),4)),VALUE(MID(INDEX($A359:$T359,MATCH(Lists!$F$5,$A$1:$T$1,0)),6,2)),VALUE(MID(INDEX($A359:$T359,MATCH(Lists!$F$5,$A$1:$T$1,0)),9,2))))),"")))</f>
        <v/>
      </c>
      <c r="AB359" s="21">
        <f>IF(Y359="","",IF(LEFT(IFERROR(TRIM(INDEX($A359:$T359,MATCH(Lists!$F$6,$A$1:$T$1,0))&amp;""),""),2)="No","General comment",IF(IFERROR(TRIM(INDEX($A359:$T359,MATCH(Lists!$F$7,$A$1:$T$1,0))&amp;""),"")&lt;&gt;"",IFERROR(TRIM(INDEX($A359:$T359,MATCH(Lists!$F$7,$A$1:$T$1,0))&amp;""),""),IF(IFERROR(TRIM(INDEX($A359:$T359,MATCH(Lists!$F$8,$A$1:$T$1,0))&amp;""),"")&lt;&gt;"",IFERROR(TRIM(INDEX($A359:$T359,MATCH(Lists!$F$8,$A$1:$T$1,0))&amp;""),""),"(no item given)"))))</f>
        <v/>
      </c>
      <c r="AC359" s="21">
        <f>IF(Y359="","",IF(ISNUMBER(SEARCH("support",IFERROR(TRIM(INDEX($A359:$T359,MATCH(Lists!$F$9,$A$1:$T$1,0))&amp;""),""))),"Support",IF(ISNUMBER(SEARCH("oppose",IFERROR(TRIM(INDEX($A359:$T359,MATCH(Lists!$F$9,$A$1:$T$1,0))&amp;""),""))),"Oppose",IF(IFERROR(TRIM(INDEX($A359:$T359,MATCH(Lists!$F$9,$A$1:$T$1,0))&amp;""),"")="","No position","Neither"))))</f>
        <v/>
      </c>
      <c r="AD359" s="21">
        <f>IF(Y359="","",IF(ISNUMBER(SEARCH("in person",IFERROR(TRIM(INDEX($A359:$T359,MATCH(Lists!$F$13,$A$1:$T$1,0))&amp;""),""))),"In person",IF(ISNUMBER(SEARCH("online",IFERROR(TRIM(INDEX($A359:$T359,MATCH(Lists!$F$13,$A$1:$T$1,0))&amp;""),""))),"Online","Written only")))</f>
        <v/>
      </c>
      <c r="AE359" s="21">
        <f>IF(Y359="","",IFERROR(TRIM(INDEX($A359:$T359,MATCH(Lists!$F$11,$A$1:$T$1,0))&amp;""),""))</f>
        <v/>
      </c>
      <c r="AF359" s="21">
        <f>IF(Y359="","",IFERROR(TRIM(INDEX($A359:$T359,MATCH(Lists!$F$12,$A$1:$T$1,0))&amp;""),""))</f>
        <v/>
      </c>
      <c r="AG359" s="21">
        <f>IF(Y359="","",IFERROR(TRIM(INDEX($A359:$T359,MATCH(Lists!$F$14,$A$1:$T$1,0))&amp;""),""))</f>
        <v/>
      </c>
      <c r="AH359" s="21">
        <f>IF(Y359="","",LEFT(IFERROR(TRIM(INDEX($A359:$T359,MATCH(Lists!$F$10,$A$1:$T$1,0))&amp;""),""),80))</f>
        <v/>
      </c>
      <c r="AI359" s="21">
        <f>IF(Y359="",0,IF(OR(Tally!$B$5="",AA359=Tally!$B$5),1,0))</f>
        <v/>
      </c>
      <c r="AJ359" s="21">
        <f>IF(AI359=1,IF(COUNTIFS($AB$2:AB359,AB359,$AI$2:AI359,1)=1,1,0),0)</f>
        <v/>
      </c>
      <c r="AK359" s="21">
        <f>IF(AJ359=1,SUM($AJ$2:AJ359),"")</f>
        <v/>
      </c>
      <c r="AL359" s="21">
        <f>IF(AND(AI359=1,OR(AD359="In person",AD359="Online"),OR(Speakers!$B$5="",AB359=Speakers!$B$5)),N(Z359)+ROW()/1000000000,"")</f>
        <v/>
      </c>
    </row>
    <row r="360">
      <c r="U360" s="19" t="n"/>
      <c r="V360" s="24" t="n"/>
      <c r="W360" s="24" t="n"/>
      <c r="X360" s="19" t="n"/>
      <c r="Y360" s="21">
        <f>IFERROR(TRIM(INDEX($A360:$T360,MATCH(Lists!$F$2,$A$1:$T$1,0))&amp;""),"")</f>
        <v/>
      </c>
      <c r="Z360" s="22">
        <f>IF(Y360="","",IFERROR(IF(ISNUMBER(INDEX($A360:$T360,MATCH(Lists!$F$3,$A$1:$T$1,0))),INDEX($A360:$T360,MATCH(Lists!$F$3,$A$1:$T$1,0)),DATE(VALUE(LEFT(IFERROR(TRIM(INDEX($A360:$T360,MATCH(Lists!$F$3,$A$1:$T$1,0))&amp;""),""),4)),VALUE(MID(IFERROR(TRIM(INDEX($A360:$T360,MATCH(Lists!$F$3,$A$1:$T$1,0))&amp;""),""),6,2)),VALUE(MID(IFERROR(TRIM(INDEX($A360:$T360,MATCH(Lists!$F$3,$A$1:$T$1,0))&amp;""),""),9,2)))+TIME(VALUE(MID(IFERROR(TRIM(INDEX($A360:$T360,MATCH(Lists!$F$3,$A$1:$T$1,0))&amp;""),""),12,2)),VALUE(MID(IFERROR(TRIM(INDEX($A360:$T360,MATCH(Lists!$F$3,$A$1:$T$1,0))&amp;""),""),15,2)),VALUE(MID(IFERROR(TRIM(INDEX($A360:$T360,MATCH(Lists!$F$3,$A$1:$T$1,0))&amp;""),""),18,2)))),""))</f>
        <v/>
      </c>
      <c r="AA360" s="23">
        <f>IF(Y360="","",IF(ISNUMBER(IFERROR(IF(TRIM(INDEX($A360:$T360,MATCH(Lists!$F$4,$A$1:$T$1,0))&amp;"")="","",IF(ISNUMBER(INDEX($A360:$T360,MATCH(Lists!$F$4,$A$1:$T$1,0))),INT(INDEX($A360:$T360,MATCH(Lists!$F$4,$A$1:$T$1,0))),DATE(VALUE(LEFT(INDEX($A360:$T360,MATCH(Lists!$F$4,$A$1:$T$1,0)),4)),VALUE(MID(INDEX($A360:$T360,MATCH(Lists!$F$4,$A$1:$T$1,0)),6,2)),VALUE(MID(INDEX($A360:$T360,MATCH(Lists!$F$4,$A$1:$T$1,0)),9,2))))),"")),IFERROR(IF(TRIM(INDEX($A360:$T360,MATCH(Lists!$F$4,$A$1:$T$1,0))&amp;"")="","",IF(ISNUMBER(INDEX($A360:$T360,MATCH(Lists!$F$4,$A$1:$T$1,0))),INT(INDEX($A360:$T360,MATCH(Lists!$F$4,$A$1:$T$1,0))),DATE(VALUE(LEFT(INDEX($A360:$T360,MATCH(Lists!$F$4,$A$1:$T$1,0)),4)),VALUE(MID(INDEX($A360:$T360,MATCH(Lists!$F$4,$A$1:$T$1,0)),6,2)),VALUE(MID(INDEX($A360:$T360,MATCH(Lists!$F$4,$A$1:$T$1,0)),9,2))))),""),IFERROR(IF(TRIM(INDEX($A360:$T360,MATCH(Lists!$F$5,$A$1:$T$1,0))&amp;"")="","",IF(ISNUMBER(INDEX($A360:$T360,MATCH(Lists!$F$5,$A$1:$T$1,0))),INT(INDEX($A360:$T360,MATCH(Lists!$F$5,$A$1:$T$1,0))),DATE(VALUE(LEFT(INDEX($A360:$T360,MATCH(Lists!$F$5,$A$1:$T$1,0)),4)),VALUE(MID(INDEX($A360:$T360,MATCH(Lists!$F$5,$A$1:$T$1,0)),6,2)),VALUE(MID(INDEX($A360:$T360,MATCH(Lists!$F$5,$A$1:$T$1,0)),9,2))))),"")))</f>
        <v/>
      </c>
      <c r="AB360" s="21">
        <f>IF(Y360="","",IF(LEFT(IFERROR(TRIM(INDEX($A360:$T360,MATCH(Lists!$F$6,$A$1:$T$1,0))&amp;""),""),2)="No","General comment",IF(IFERROR(TRIM(INDEX($A360:$T360,MATCH(Lists!$F$7,$A$1:$T$1,0))&amp;""),"")&lt;&gt;"",IFERROR(TRIM(INDEX($A360:$T360,MATCH(Lists!$F$7,$A$1:$T$1,0))&amp;""),""),IF(IFERROR(TRIM(INDEX($A360:$T360,MATCH(Lists!$F$8,$A$1:$T$1,0))&amp;""),"")&lt;&gt;"",IFERROR(TRIM(INDEX($A360:$T360,MATCH(Lists!$F$8,$A$1:$T$1,0))&amp;""),""),"(no item given)"))))</f>
        <v/>
      </c>
      <c r="AC360" s="21">
        <f>IF(Y360="","",IF(ISNUMBER(SEARCH("support",IFERROR(TRIM(INDEX($A360:$T360,MATCH(Lists!$F$9,$A$1:$T$1,0))&amp;""),""))),"Support",IF(ISNUMBER(SEARCH("oppose",IFERROR(TRIM(INDEX($A360:$T360,MATCH(Lists!$F$9,$A$1:$T$1,0))&amp;""),""))),"Oppose",IF(IFERROR(TRIM(INDEX($A360:$T360,MATCH(Lists!$F$9,$A$1:$T$1,0))&amp;""),"")="","No position","Neither"))))</f>
        <v/>
      </c>
      <c r="AD360" s="21">
        <f>IF(Y360="","",IF(ISNUMBER(SEARCH("in person",IFERROR(TRIM(INDEX($A360:$T360,MATCH(Lists!$F$13,$A$1:$T$1,0))&amp;""),""))),"In person",IF(ISNUMBER(SEARCH("online",IFERROR(TRIM(INDEX($A360:$T360,MATCH(Lists!$F$13,$A$1:$T$1,0))&amp;""),""))),"Online","Written only")))</f>
        <v/>
      </c>
      <c r="AE360" s="21">
        <f>IF(Y360="","",IFERROR(TRIM(INDEX($A360:$T360,MATCH(Lists!$F$11,$A$1:$T$1,0))&amp;""),""))</f>
        <v/>
      </c>
      <c r="AF360" s="21">
        <f>IF(Y360="","",IFERROR(TRIM(INDEX($A360:$T360,MATCH(Lists!$F$12,$A$1:$T$1,0))&amp;""),""))</f>
        <v/>
      </c>
      <c r="AG360" s="21">
        <f>IF(Y360="","",IFERROR(TRIM(INDEX($A360:$T360,MATCH(Lists!$F$14,$A$1:$T$1,0))&amp;""),""))</f>
        <v/>
      </c>
      <c r="AH360" s="21">
        <f>IF(Y360="","",LEFT(IFERROR(TRIM(INDEX($A360:$T360,MATCH(Lists!$F$10,$A$1:$T$1,0))&amp;""),""),80))</f>
        <v/>
      </c>
      <c r="AI360" s="21">
        <f>IF(Y360="",0,IF(OR(Tally!$B$5="",AA360=Tally!$B$5),1,0))</f>
        <v/>
      </c>
      <c r="AJ360" s="21">
        <f>IF(AI360=1,IF(COUNTIFS($AB$2:AB360,AB360,$AI$2:AI360,1)=1,1,0),0)</f>
        <v/>
      </c>
      <c r="AK360" s="21">
        <f>IF(AJ360=1,SUM($AJ$2:AJ360),"")</f>
        <v/>
      </c>
      <c r="AL360" s="21">
        <f>IF(AND(AI360=1,OR(AD360="In person",AD360="Online"),OR(Speakers!$B$5="",AB360=Speakers!$B$5)),N(Z360)+ROW()/1000000000,"")</f>
        <v/>
      </c>
    </row>
    <row r="361">
      <c r="U361" s="19" t="n"/>
      <c r="V361" s="24" t="n"/>
      <c r="W361" s="24" t="n"/>
      <c r="X361" s="19" t="n"/>
      <c r="Y361" s="21">
        <f>IFERROR(TRIM(INDEX($A361:$T361,MATCH(Lists!$F$2,$A$1:$T$1,0))&amp;""),"")</f>
        <v/>
      </c>
      <c r="Z361" s="22">
        <f>IF(Y361="","",IFERROR(IF(ISNUMBER(INDEX($A361:$T361,MATCH(Lists!$F$3,$A$1:$T$1,0))),INDEX($A361:$T361,MATCH(Lists!$F$3,$A$1:$T$1,0)),DATE(VALUE(LEFT(IFERROR(TRIM(INDEX($A361:$T361,MATCH(Lists!$F$3,$A$1:$T$1,0))&amp;""),""),4)),VALUE(MID(IFERROR(TRIM(INDEX($A361:$T361,MATCH(Lists!$F$3,$A$1:$T$1,0))&amp;""),""),6,2)),VALUE(MID(IFERROR(TRIM(INDEX($A361:$T361,MATCH(Lists!$F$3,$A$1:$T$1,0))&amp;""),""),9,2)))+TIME(VALUE(MID(IFERROR(TRIM(INDEX($A361:$T361,MATCH(Lists!$F$3,$A$1:$T$1,0))&amp;""),""),12,2)),VALUE(MID(IFERROR(TRIM(INDEX($A361:$T361,MATCH(Lists!$F$3,$A$1:$T$1,0))&amp;""),""),15,2)),VALUE(MID(IFERROR(TRIM(INDEX($A361:$T361,MATCH(Lists!$F$3,$A$1:$T$1,0))&amp;""),""),18,2)))),""))</f>
        <v/>
      </c>
      <c r="AA361" s="23">
        <f>IF(Y361="","",IF(ISNUMBER(IFERROR(IF(TRIM(INDEX($A361:$T361,MATCH(Lists!$F$4,$A$1:$T$1,0))&amp;"")="","",IF(ISNUMBER(INDEX($A361:$T361,MATCH(Lists!$F$4,$A$1:$T$1,0))),INT(INDEX($A361:$T361,MATCH(Lists!$F$4,$A$1:$T$1,0))),DATE(VALUE(LEFT(INDEX($A361:$T361,MATCH(Lists!$F$4,$A$1:$T$1,0)),4)),VALUE(MID(INDEX($A361:$T361,MATCH(Lists!$F$4,$A$1:$T$1,0)),6,2)),VALUE(MID(INDEX($A361:$T361,MATCH(Lists!$F$4,$A$1:$T$1,0)),9,2))))),"")),IFERROR(IF(TRIM(INDEX($A361:$T361,MATCH(Lists!$F$4,$A$1:$T$1,0))&amp;"")="","",IF(ISNUMBER(INDEX($A361:$T361,MATCH(Lists!$F$4,$A$1:$T$1,0))),INT(INDEX($A361:$T361,MATCH(Lists!$F$4,$A$1:$T$1,0))),DATE(VALUE(LEFT(INDEX($A361:$T361,MATCH(Lists!$F$4,$A$1:$T$1,0)),4)),VALUE(MID(INDEX($A361:$T361,MATCH(Lists!$F$4,$A$1:$T$1,0)),6,2)),VALUE(MID(INDEX($A361:$T361,MATCH(Lists!$F$4,$A$1:$T$1,0)),9,2))))),""),IFERROR(IF(TRIM(INDEX($A361:$T361,MATCH(Lists!$F$5,$A$1:$T$1,0))&amp;"")="","",IF(ISNUMBER(INDEX($A361:$T361,MATCH(Lists!$F$5,$A$1:$T$1,0))),INT(INDEX($A361:$T361,MATCH(Lists!$F$5,$A$1:$T$1,0))),DATE(VALUE(LEFT(INDEX($A361:$T361,MATCH(Lists!$F$5,$A$1:$T$1,0)),4)),VALUE(MID(INDEX($A361:$T361,MATCH(Lists!$F$5,$A$1:$T$1,0)),6,2)),VALUE(MID(INDEX($A361:$T361,MATCH(Lists!$F$5,$A$1:$T$1,0)),9,2))))),"")))</f>
        <v/>
      </c>
      <c r="AB361" s="21">
        <f>IF(Y361="","",IF(LEFT(IFERROR(TRIM(INDEX($A361:$T361,MATCH(Lists!$F$6,$A$1:$T$1,0))&amp;""),""),2)="No","General comment",IF(IFERROR(TRIM(INDEX($A361:$T361,MATCH(Lists!$F$7,$A$1:$T$1,0))&amp;""),"")&lt;&gt;"",IFERROR(TRIM(INDEX($A361:$T361,MATCH(Lists!$F$7,$A$1:$T$1,0))&amp;""),""),IF(IFERROR(TRIM(INDEX($A361:$T361,MATCH(Lists!$F$8,$A$1:$T$1,0))&amp;""),"")&lt;&gt;"",IFERROR(TRIM(INDEX($A361:$T361,MATCH(Lists!$F$8,$A$1:$T$1,0))&amp;""),""),"(no item given)"))))</f>
        <v/>
      </c>
      <c r="AC361" s="21">
        <f>IF(Y361="","",IF(ISNUMBER(SEARCH("support",IFERROR(TRIM(INDEX($A361:$T361,MATCH(Lists!$F$9,$A$1:$T$1,0))&amp;""),""))),"Support",IF(ISNUMBER(SEARCH("oppose",IFERROR(TRIM(INDEX($A361:$T361,MATCH(Lists!$F$9,$A$1:$T$1,0))&amp;""),""))),"Oppose",IF(IFERROR(TRIM(INDEX($A361:$T361,MATCH(Lists!$F$9,$A$1:$T$1,0))&amp;""),"")="","No position","Neither"))))</f>
        <v/>
      </c>
      <c r="AD361" s="21">
        <f>IF(Y361="","",IF(ISNUMBER(SEARCH("in person",IFERROR(TRIM(INDEX($A361:$T361,MATCH(Lists!$F$13,$A$1:$T$1,0))&amp;""),""))),"In person",IF(ISNUMBER(SEARCH("online",IFERROR(TRIM(INDEX($A361:$T361,MATCH(Lists!$F$13,$A$1:$T$1,0))&amp;""),""))),"Online","Written only")))</f>
        <v/>
      </c>
      <c r="AE361" s="21">
        <f>IF(Y361="","",IFERROR(TRIM(INDEX($A361:$T361,MATCH(Lists!$F$11,$A$1:$T$1,0))&amp;""),""))</f>
        <v/>
      </c>
      <c r="AF361" s="21">
        <f>IF(Y361="","",IFERROR(TRIM(INDEX($A361:$T361,MATCH(Lists!$F$12,$A$1:$T$1,0))&amp;""),""))</f>
        <v/>
      </c>
      <c r="AG361" s="21">
        <f>IF(Y361="","",IFERROR(TRIM(INDEX($A361:$T361,MATCH(Lists!$F$14,$A$1:$T$1,0))&amp;""),""))</f>
        <v/>
      </c>
      <c r="AH361" s="21">
        <f>IF(Y361="","",LEFT(IFERROR(TRIM(INDEX($A361:$T361,MATCH(Lists!$F$10,$A$1:$T$1,0))&amp;""),""),80))</f>
        <v/>
      </c>
      <c r="AI361" s="21">
        <f>IF(Y361="",0,IF(OR(Tally!$B$5="",AA361=Tally!$B$5),1,0))</f>
        <v/>
      </c>
      <c r="AJ361" s="21">
        <f>IF(AI361=1,IF(COUNTIFS($AB$2:AB361,AB361,$AI$2:AI361,1)=1,1,0),0)</f>
        <v/>
      </c>
      <c r="AK361" s="21">
        <f>IF(AJ361=1,SUM($AJ$2:AJ361),"")</f>
        <v/>
      </c>
      <c r="AL361" s="21">
        <f>IF(AND(AI361=1,OR(AD361="In person",AD361="Online"),OR(Speakers!$B$5="",AB361=Speakers!$B$5)),N(Z361)+ROW()/1000000000,"")</f>
        <v/>
      </c>
    </row>
    <row r="362">
      <c r="U362" s="19" t="n"/>
      <c r="V362" s="24" t="n"/>
      <c r="W362" s="24" t="n"/>
      <c r="X362" s="19" t="n"/>
      <c r="Y362" s="21">
        <f>IFERROR(TRIM(INDEX($A362:$T362,MATCH(Lists!$F$2,$A$1:$T$1,0))&amp;""),"")</f>
        <v/>
      </c>
      <c r="Z362" s="22">
        <f>IF(Y362="","",IFERROR(IF(ISNUMBER(INDEX($A362:$T362,MATCH(Lists!$F$3,$A$1:$T$1,0))),INDEX($A362:$T362,MATCH(Lists!$F$3,$A$1:$T$1,0)),DATE(VALUE(LEFT(IFERROR(TRIM(INDEX($A362:$T362,MATCH(Lists!$F$3,$A$1:$T$1,0))&amp;""),""),4)),VALUE(MID(IFERROR(TRIM(INDEX($A362:$T362,MATCH(Lists!$F$3,$A$1:$T$1,0))&amp;""),""),6,2)),VALUE(MID(IFERROR(TRIM(INDEX($A362:$T362,MATCH(Lists!$F$3,$A$1:$T$1,0))&amp;""),""),9,2)))+TIME(VALUE(MID(IFERROR(TRIM(INDEX($A362:$T362,MATCH(Lists!$F$3,$A$1:$T$1,0))&amp;""),""),12,2)),VALUE(MID(IFERROR(TRIM(INDEX($A362:$T362,MATCH(Lists!$F$3,$A$1:$T$1,0))&amp;""),""),15,2)),VALUE(MID(IFERROR(TRIM(INDEX($A362:$T362,MATCH(Lists!$F$3,$A$1:$T$1,0))&amp;""),""),18,2)))),""))</f>
        <v/>
      </c>
      <c r="AA362" s="23">
        <f>IF(Y362="","",IF(ISNUMBER(IFERROR(IF(TRIM(INDEX($A362:$T362,MATCH(Lists!$F$4,$A$1:$T$1,0))&amp;"")="","",IF(ISNUMBER(INDEX($A362:$T362,MATCH(Lists!$F$4,$A$1:$T$1,0))),INT(INDEX($A362:$T362,MATCH(Lists!$F$4,$A$1:$T$1,0))),DATE(VALUE(LEFT(INDEX($A362:$T362,MATCH(Lists!$F$4,$A$1:$T$1,0)),4)),VALUE(MID(INDEX($A362:$T362,MATCH(Lists!$F$4,$A$1:$T$1,0)),6,2)),VALUE(MID(INDEX($A362:$T362,MATCH(Lists!$F$4,$A$1:$T$1,0)),9,2))))),"")),IFERROR(IF(TRIM(INDEX($A362:$T362,MATCH(Lists!$F$4,$A$1:$T$1,0))&amp;"")="","",IF(ISNUMBER(INDEX($A362:$T362,MATCH(Lists!$F$4,$A$1:$T$1,0))),INT(INDEX($A362:$T362,MATCH(Lists!$F$4,$A$1:$T$1,0))),DATE(VALUE(LEFT(INDEX($A362:$T362,MATCH(Lists!$F$4,$A$1:$T$1,0)),4)),VALUE(MID(INDEX($A362:$T362,MATCH(Lists!$F$4,$A$1:$T$1,0)),6,2)),VALUE(MID(INDEX($A362:$T362,MATCH(Lists!$F$4,$A$1:$T$1,0)),9,2))))),""),IFERROR(IF(TRIM(INDEX($A362:$T362,MATCH(Lists!$F$5,$A$1:$T$1,0))&amp;"")="","",IF(ISNUMBER(INDEX($A362:$T362,MATCH(Lists!$F$5,$A$1:$T$1,0))),INT(INDEX($A362:$T362,MATCH(Lists!$F$5,$A$1:$T$1,0))),DATE(VALUE(LEFT(INDEX($A362:$T362,MATCH(Lists!$F$5,$A$1:$T$1,0)),4)),VALUE(MID(INDEX($A362:$T362,MATCH(Lists!$F$5,$A$1:$T$1,0)),6,2)),VALUE(MID(INDEX($A362:$T362,MATCH(Lists!$F$5,$A$1:$T$1,0)),9,2))))),"")))</f>
        <v/>
      </c>
      <c r="AB362" s="21">
        <f>IF(Y362="","",IF(LEFT(IFERROR(TRIM(INDEX($A362:$T362,MATCH(Lists!$F$6,$A$1:$T$1,0))&amp;""),""),2)="No","General comment",IF(IFERROR(TRIM(INDEX($A362:$T362,MATCH(Lists!$F$7,$A$1:$T$1,0))&amp;""),"")&lt;&gt;"",IFERROR(TRIM(INDEX($A362:$T362,MATCH(Lists!$F$7,$A$1:$T$1,0))&amp;""),""),IF(IFERROR(TRIM(INDEX($A362:$T362,MATCH(Lists!$F$8,$A$1:$T$1,0))&amp;""),"")&lt;&gt;"",IFERROR(TRIM(INDEX($A362:$T362,MATCH(Lists!$F$8,$A$1:$T$1,0))&amp;""),""),"(no item given)"))))</f>
        <v/>
      </c>
      <c r="AC362" s="21">
        <f>IF(Y362="","",IF(ISNUMBER(SEARCH("support",IFERROR(TRIM(INDEX($A362:$T362,MATCH(Lists!$F$9,$A$1:$T$1,0))&amp;""),""))),"Support",IF(ISNUMBER(SEARCH("oppose",IFERROR(TRIM(INDEX($A362:$T362,MATCH(Lists!$F$9,$A$1:$T$1,0))&amp;""),""))),"Oppose",IF(IFERROR(TRIM(INDEX($A362:$T362,MATCH(Lists!$F$9,$A$1:$T$1,0))&amp;""),"")="","No position","Neither"))))</f>
        <v/>
      </c>
      <c r="AD362" s="21">
        <f>IF(Y362="","",IF(ISNUMBER(SEARCH("in person",IFERROR(TRIM(INDEX($A362:$T362,MATCH(Lists!$F$13,$A$1:$T$1,0))&amp;""),""))),"In person",IF(ISNUMBER(SEARCH("online",IFERROR(TRIM(INDEX($A362:$T362,MATCH(Lists!$F$13,$A$1:$T$1,0))&amp;""),""))),"Online","Written only")))</f>
        <v/>
      </c>
      <c r="AE362" s="21">
        <f>IF(Y362="","",IFERROR(TRIM(INDEX($A362:$T362,MATCH(Lists!$F$11,$A$1:$T$1,0))&amp;""),""))</f>
        <v/>
      </c>
      <c r="AF362" s="21">
        <f>IF(Y362="","",IFERROR(TRIM(INDEX($A362:$T362,MATCH(Lists!$F$12,$A$1:$T$1,0))&amp;""),""))</f>
        <v/>
      </c>
      <c r="AG362" s="21">
        <f>IF(Y362="","",IFERROR(TRIM(INDEX($A362:$T362,MATCH(Lists!$F$14,$A$1:$T$1,0))&amp;""),""))</f>
        <v/>
      </c>
      <c r="AH362" s="21">
        <f>IF(Y362="","",LEFT(IFERROR(TRIM(INDEX($A362:$T362,MATCH(Lists!$F$10,$A$1:$T$1,0))&amp;""),""),80))</f>
        <v/>
      </c>
      <c r="AI362" s="21">
        <f>IF(Y362="",0,IF(OR(Tally!$B$5="",AA362=Tally!$B$5),1,0))</f>
        <v/>
      </c>
      <c r="AJ362" s="21">
        <f>IF(AI362=1,IF(COUNTIFS($AB$2:AB362,AB362,$AI$2:AI362,1)=1,1,0),0)</f>
        <v/>
      </c>
      <c r="AK362" s="21">
        <f>IF(AJ362=1,SUM($AJ$2:AJ362),"")</f>
        <v/>
      </c>
      <c r="AL362" s="21">
        <f>IF(AND(AI362=1,OR(AD362="In person",AD362="Online"),OR(Speakers!$B$5="",AB362=Speakers!$B$5)),N(Z362)+ROW()/1000000000,"")</f>
        <v/>
      </c>
    </row>
    <row r="363">
      <c r="U363" s="19" t="n"/>
      <c r="V363" s="24" t="n"/>
      <c r="W363" s="24" t="n"/>
      <c r="X363" s="19" t="n"/>
      <c r="Y363" s="21">
        <f>IFERROR(TRIM(INDEX($A363:$T363,MATCH(Lists!$F$2,$A$1:$T$1,0))&amp;""),"")</f>
        <v/>
      </c>
      <c r="Z363" s="22">
        <f>IF(Y363="","",IFERROR(IF(ISNUMBER(INDEX($A363:$T363,MATCH(Lists!$F$3,$A$1:$T$1,0))),INDEX($A363:$T363,MATCH(Lists!$F$3,$A$1:$T$1,0)),DATE(VALUE(LEFT(IFERROR(TRIM(INDEX($A363:$T363,MATCH(Lists!$F$3,$A$1:$T$1,0))&amp;""),""),4)),VALUE(MID(IFERROR(TRIM(INDEX($A363:$T363,MATCH(Lists!$F$3,$A$1:$T$1,0))&amp;""),""),6,2)),VALUE(MID(IFERROR(TRIM(INDEX($A363:$T363,MATCH(Lists!$F$3,$A$1:$T$1,0))&amp;""),""),9,2)))+TIME(VALUE(MID(IFERROR(TRIM(INDEX($A363:$T363,MATCH(Lists!$F$3,$A$1:$T$1,0))&amp;""),""),12,2)),VALUE(MID(IFERROR(TRIM(INDEX($A363:$T363,MATCH(Lists!$F$3,$A$1:$T$1,0))&amp;""),""),15,2)),VALUE(MID(IFERROR(TRIM(INDEX($A363:$T363,MATCH(Lists!$F$3,$A$1:$T$1,0))&amp;""),""),18,2)))),""))</f>
        <v/>
      </c>
      <c r="AA363" s="23">
        <f>IF(Y363="","",IF(ISNUMBER(IFERROR(IF(TRIM(INDEX($A363:$T363,MATCH(Lists!$F$4,$A$1:$T$1,0))&amp;"")="","",IF(ISNUMBER(INDEX($A363:$T363,MATCH(Lists!$F$4,$A$1:$T$1,0))),INT(INDEX($A363:$T363,MATCH(Lists!$F$4,$A$1:$T$1,0))),DATE(VALUE(LEFT(INDEX($A363:$T363,MATCH(Lists!$F$4,$A$1:$T$1,0)),4)),VALUE(MID(INDEX($A363:$T363,MATCH(Lists!$F$4,$A$1:$T$1,0)),6,2)),VALUE(MID(INDEX($A363:$T363,MATCH(Lists!$F$4,$A$1:$T$1,0)),9,2))))),"")),IFERROR(IF(TRIM(INDEX($A363:$T363,MATCH(Lists!$F$4,$A$1:$T$1,0))&amp;"")="","",IF(ISNUMBER(INDEX($A363:$T363,MATCH(Lists!$F$4,$A$1:$T$1,0))),INT(INDEX($A363:$T363,MATCH(Lists!$F$4,$A$1:$T$1,0))),DATE(VALUE(LEFT(INDEX($A363:$T363,MATCH(Lists!$F$4,$A$1:$T$1,0)),4)),VALUE(MID(INDEX($A363:$T363,MATCH(Lists!$F$4,$A$1:$T$1,0)),6,2)),VALUE(MID(INDEX($A363:$T363,MATCH(Lists!$F$4,$A$1:$T$1,0)),9,2))))),""),IFERROR(IF(TRIM(INDEX($A363:$T363,MATCH(Lists!$F$5,$A$1:$T$1,0))&amp;"")="","",IF(ISNUMBER(INDEX($A363:$T363,MATCH(Lists!$F$5,$A$1:$T$1,0))),INT(INDEX($A363:$T363,MATCH(Lists!$F$5,$A$1:$T$1,0))),DATE(VALUE(LEFT(INDEX($A363:$T363,MATCH(Lists!$F$5,$A$1:$T$1,0)),4)),VALUE(MID(INDEX($A363:$T363,MATCH(Lists!$F$5,$A$1:$T$1,0)),6,2)),VALUE(MID(INDEX($A363:$T363,MATCH(Lists!$F$5,$A$1:$T$1,0)),9,2))))),"")))</f>
        <v/>
      </c>
      <c r="AB363" s="21">
        <f>IF(Y363="","",IF(LEFT(IFERROR(TRIM(INDEX($A363:$T363,MATCH(Lists!$F$6,$A$1:$T$1,0))&amp;""),""),2)="No","General comment",IF(IFERROR(TRIM(INDEX($A363:$T363,MATCH(Lists!$F$7,$A$1:$T$1,0))&amp;""),"")&lt;&gt;"",IFERROR(TRIM(INDEX($A363:$T363,MATCH(Lists!$F$7,$A$1:$T$1,0))&amp;""),""),IF(IFERROR(TRIM(INDEX($A363:$T363,MATCH(Lists!$F$8,$A$1:$T$1,0))&amp;""),"")&lt;&gt;"",IFERROR(TRIM(INDEX($A363:$T363,MATCH(Lists!$F$8,$A$1:$T$1,0))&amp;""),""),"(no item given)"))))</f>
        <v/>
      </c>
      <c r="AC363" s="21">
        <f>IF(Y363="","",IF(ISNUMBER(SEARCH("support",IFERROR(TRIM(INDEX($A363:$T363,MATCH(Lists!$F$9,$A$1:$T$1,0))&amp;""),""))),"Support",IF(ISNUMBER(SEARCH("oppose",IFERROR(TRIM(INDEX($A363:$T363,MATCH(Lists!$F$9,$A$1:$T$1,0))&amp;""),""))),"Oppose",IF(IFERROR(TRIM(INDEX($A363:$T363,MATCH(Lists!$F$9,$A$1:$T$1,0))&amp;""),"")="","No position","Neither"))))</f>
        <v/>
      </c>
      <c r="AD363" s="21">
        <f>IF(Y363="","",IF(ISNUMBER(SEARCH("in person",IFERROR(TRIM(INDEX($A363:$T363,MATCH(Lists!$F$13,$A$1:$T$1,0))&amp;""),""))),"In person",IF(ISNUMBER(SEARCH("online",IFERROR(TRIM(INDEX($A363:$T363,MATCH(Lists!$F$13,$A$1:$T$1,0))&amp;""),""))),"Online","Written only")))</f>
        <v/>
      </c>
      <c r="AE363" s="21">
        <f>IF(Y363="","",IFERROR(TRIM(INDEX($A363:$T363,MATCH(Lists!$F$11,$A$1:$T$1,0))&amp;""),""))</f>
        <v/>
      </c>
      <c r="AF363" s="21">
        <f>IF(Y363="","",IFERROR(TRIM(INDEX($A363:$T363,MATCH(Lists!$F$12,$A$1:$T$1,0))&amp;""),""))</f>
        <v/>
      </c>
      <c r="AG363" s="21">
        <f>IF(Y363="","",IFERROR(TRIM(INDEX($A363:$T363,MATCH(Lists!$F$14,$A$1:$T$1,0))&amp;""),""))</f>
        <v/>
      </c>
      <c r="AH363" s="21">
        <f>IF(Y363="","",LEFT(IFERROR(TRIM(INDEX($A363:$T363,MATCH(Lists!$F$10,$A$1:$T$1,0))&amp;""),""),80))</f>
        <v/>
      </c>
      <c r="AI363" s="21">
        <f>IF(Y363="",0,IF(OR(Tally!$B$5="",AA363=Tally!$B$5),1,0))</f>
        <v/>
      </c>
      <c r="AJ363" s="21">
        <f>IF(AI363=1,IF(COUNTIFS($AB$2:AB363,AB363,$AI$2:AI363,1)=1,1,0),0)</f>
        <v/>
      </c>
      <c r="AK363" s="21">
        <f>IF(AJ363=1,SUM($AJ$2:AJ363),"")</f>
        <v/>
      </c>
      <c r="AL363" s="21">
        <f>IF(AND(AI363=1,OR(AD363="In person",AD363="Online"),OR(Speakers!$B$5="",AB363=Speakers!$B$5)),N(Z363)+ROW()/1000000000,"")</f>
        <v/>
      </c>
    </row>
    <row r="364">
      <c r="U364" s="19" t="n"/>
      <c r="V364" s="24" t="n"/>
      <c r="W364" s="24" t="n"/>
      <c r="X364" s="19" t="n"/>
      <c r="Y364" s="21">
        <f>IFERROR(TRIM(INDEX($A364:$T364,MATCH(Lists!$F$2,$A$1:$T$1,0))&amp;""),"")</f>
        <v/>
      </c>
      <c r="Z364" s="22">
        <f>IF(Y364="","",IFERROR(IF(ISNUMBER(INDEX($A364:$T364,MATCH(Lists!$F$3,$A$1:$T$1,0))),INDEX($A364:$T364,MATCH(Lists!$F$3,$A$1:$T$1,0)),DATE(VALUE(LEFT(IFERROR(TRIM(INDEX($A364:$T364,MATCH(Lists!$F$3,$A$1:$T$1,0))&amp;""),""),4)),VALUE(MID(IFERROR(TRIM(INDEX($A364:$T364,MATCH(Lists!$F$3,$A$1:$T$1,0))&amp;""),""),6,2)),VALUE(MID(IFERROR(TRIM(INDEX($A364:$T364,MATCH(Lists!$F$3,$A$1:$T$1,0))&amp;""),""),9,2)))+TIME(VALUE(MID(IFERROR(TRIM(INDEX($A364:$T364,MATCH(Lists!$F$3,$A$1:$T$1,0))&amp;""),""),12,2)),VALUE(MID(IFERROR(TRIM(INDEX($A364:$T364,MATCH(Lists!$F$3,$A$1:$T$1,0))&amp;""),""),15,2)),VALUE(MID(IFERROR(TRIM(INDEX($A364:$T364,MATCH(Lists!$F$3,$A$1:$T$1,0))&amp;""),""),18,2)))),""))</f>
        <v/>
      </c>
      <c r="AA364" s="23">
        <f>IF(Y364="","",IF(ISNUMBER(IFERROR(IF(TRIM(INDEX($A364:$T364,MATCH(Lists!$F$4,$A$1:$T$1,0))&amp;"")="","",IF(ISNUMBER(INDEX($A364:$T364,MATCH(Lists!$F$4,$A$1:$T$1,0))),INT(INDEX($A364:$T364,MATCH(Lists!$F$4,$A$1:$T$1,0))),DATE(VALUE(LEFT(INDEX($A364:$T364,MATCH(Lists!$F$4,$A$1:$T$1,0)),4)),VALUE(MID(INDEX($A364:$T364,MATCH(Lists!$F$4,$A$1:$T$1,0)),6,2)),VALUE(MID(INDEX($A364:$T364,MATCH(Lists!$F$4,$A$1:$T$1,0)),9,2))))),"")),IFERROR(IF(TRIM(INDEX($A364:$T364,MATCH(Lists!$F$4,$A$1:$T$1,0))&amp;"")="","",IF(ISNUMBER(INDEX($A364:$T364,MATCH(Lists!$F$4,$A$1:$T$1,0))),INT(INDEX($A364:$T364,MATCH(Lists!$F$4,$A$1:$T$1,0))),DATE(VALUE(LEFT(INDEX($A364:$T364,MATCH(Lists!$F$4,$A$1:$T$1,0)),4)),VALUE(MID(INDEX($A364:$T364,MATCH(Lists!$F$4,$A$1:$T$1,0)),6,2)),VALUE(MID(INDEX($A364:$T364,MATCH(Lists!$F$4,$A$1:$T$1,0)),9,2))))),""),IFERROR(IF(TRIM(INDEX($A364:$T364,MATCH(Lists!$F$5,$A$1:$T$1,0))&amp;"")="","",IF(ISNUMBER(INDEX($A364:$T364,MATCH(Lists!$F$5,$A$1:$T$1,0))),INT(INDEX($A364:$T364,MATCH(Lists!$F$5,$A$1:$T$1,0))),DATE(VALUE(LEFT(INDEX($A364:$T364,MATCH(Lists!$F$5,$A$1:$T$1,0)),4)),VALUE(MID(INDEX($A364:$T364,MATCH(Lists!$F$5,$A$1:$T$1,0)),6,2)),VALUE(MID(INDEX($A364:$T364,MATCH(Lists!$F$5,$A$1:$T$1,0)),9,2))))),"")))</f>
        <v/>
      </c>
      <c r="AB364" s="21">
        <f>IF(Y364="","",IF(LEFT(IFERROR(TRIM(INDEX($A364:$T364,MATCH(Lists!$F$6,$A$1:$T$1,0))&amp;""),""),2)="No","General comment",IF(IFERROR(TRIM(INDEX($A364:$T364,MATCH(Lists!$F$7,$A$1:$T$1,0))&amp;""),"")&lt;&gt;"",IFERROR(TRIM(INDEX($A364:$T364,MATCH(Lists!$F$7,$A$1:$T$1,0))&amp;""),""),IF(IFERROR(TRIM(INDEX($A364:$T364,MATCH(Lists!$F$8,$A$1:$T$1,0))&amp;""),"")&lt;&gt;"",IFERROR(TRIM(INDEX($A364:$T364,MATCH(Lists!$F$8,$A$1:$T$1,0))&amp;""),""),"(no item given)"))))</f>
        <v/>
      </c>
      <c r="AC364" s="21">
        <f>IF(Y364="","",IF(ISNUMBER(SEARCH("support",IFERROR(TRIM(INDEX($A364:$T364,MATCH(Lists!$F$9,$A$1:$T$1,0))&amp;""),""))),"Support",IF(ISNUMBER(SEARCH("oppose",IFERROR(TRIM(INDEX($A364:$T364,MATCH(Lists!$F$9,$A$1:$T$1,0))&amp;""),""))),"Oppose",IF(IFERROR(TRIM(INDEX($A364:$T364,MATCH(Lists!$F$9,$A$1:$T$1,0))&amp;""),"")="","No position","Neither"))))</f>
        <v/>
      </c>
      <c r="AD364" s="21">
        <f>IF(Y364="","",IF(ISNUMBER(SEARCH("in person",IFERROR(TRIM(INDEX($A364:$T364,MATCH(Lists!$F$13,$A$1:$T$1,0))&amp;""),""))),"In person",IF(ISNUMBER(SEARCH("online",IFERROR(TRIM(INDEX($A364:$T364,MATCH(Lists!$F$13,$A$1:$T$1,0))&amp;""),""))),"Online","Written only")))</f>
        <v/>
      </c>
      <c r="AE364" s="21">
        <f>IF(Y364="","",IFERROR(TRIM(INDEX($A364:$T364,MATCH(Lists!$F$11,$A$1:$T$1,0))&amp;""),""))</f>
        <v/>
      </c>
      <c r="AF364" s="21">
        <f>IF(Y364="","",IFERROR(TRIM(INDEX($A364:$T364,MATCH(Lists!$F$12,$A$1:$T$1,0))&amp;""),""))</f>
        <v/>
      </c>
      <c r="AG364" s="21">
        <f>IF(Y364="","",IFERROR(TRIM(INDEX($A364:$T364,MATCH(Lists!$F$14,$A$1:$T$1,0))&amp;""),""))</f>
        <v/>
      </c>
      <c r="AH364" s="21">
        <f>IF(Y364="","",LEFT(IFERROR(TRIM(INDEX($A364:$T364,MATCH(Lists!$F$10,$A$1:$T$1,0))&amp;""),""),80))</f>
        <v/>
      </c>
      <c r="AI364" s="21">
        <f>IF(Y364="",0,IF(OR(Tally!$B$5="",AA364=Tally!$B$5),1,0))</f>
        <v/>
      </c>
      <c r="AJ364" s="21">
        <f>IF(AI364=1,IF(COUNTIFS($AB$2:AB364,AB364,$AI$2:AI364,1)=1,1,0),0)</f>
        <v/>
      </c>
      <c r="AK364" s="21">
        <f>IF(AJ364=1,SUM($AJ$2:AJ364),"")</f>
        <v/>
      </c>
      <c r="AL364" s="21">
        <f>IF(AND(AI364=1,OR(AD364="In person",AD364="Online"),OR(Speakers!$B$5="",AB364=Speakers!$B$5)),N(Z364)+ROW()/1000000000,"")</f>
        <v/>
      </c>
    </row>
    <row r="365">
      <c r="U365" s="19" t="n"/>
      <c r="V365" s="24" t="n"/>
      <c r="W365" s="24" t="n"/>
      <c r="X365" s="19" t="n"/>
      <c r="Y365" s="21">
        <f>IFERROR(TRIM(INDEX($A365:$T365,MATCH(Lists!$F$2,$A$1:$T$1,0))&amp;""),"")</f>
        <v/>
      </c>
      <c r="Z365" s="22">
        <f>IF(Y365="","",IFERROR(IF(ISNUMBER(INDEX($A365:$T365,MATCH(Lists!$F$3,$A$1:$T$1,0))),INDEX($A365:$T365,MATCH(Lists!$F$3,$A$1:$T$1,0)),DATE(VALUE(LEFT(IFERROR(TRIM(INDEX($A365:$T365,MATCH(Lists!$F$3,$A$1:$T$1,0))&amp;""),""),4)),VALUE(MID(IFERROR(TRIM(INDEX($A365:$T365,MATCH(Lists!$F$3,$A$1:$T$1,0))&amp;""),""),6,2)),VALUE(MID(IFERROR(TRIM(INDEX($A365:$T365,MATCH(Lists!$F$3,$A$1:$T$1,0))&amp;""),""),9,2)))+TIME(VALUE(MID(IFERROR(TRIM(INDEX($A365:$T365,MATCH(Lists!$F$3,$A$1:$T$1,0))&amp;""),""),12,2)),VALUE(MID(IFERROR(TRIM(INDEX($A365:$T365,MATCH(Lists!$F$3,$A$1:$T$1,0))&amp;""),""),15,2)),VALUE(MID(IFERROR(TRIM(INDEX($A365:$T365,MATCH(Lists!$F$3,$A$1:$T$1,0))&amp;""),""),18,2)))),""))</f>
        <v/>
      </c>
      <c r="AA365" s="23">
        <f>IF(Y365="","",IF(ISNUMBER(IFERROR(IF(TRIM(INDEX($A365:$T365,MATCH(Lists!$F$4,$A$1:$T$1,0))&amp;"")="","",IF(ISNUMBER(INDEX($A365:$T365,MATCH(Lists!$F$4,$A$1:$T$1,0))),INT(INDEX($A365:$T365,MATCH(Lists!$F$4,$A$1:$T$1,0))),DATE(VALUE(LEFT(INDEX($A365:$T365,MATCH(Lists!$F$4,$A$1:$T$1,0)),4)),VALUE(MID(INDEX($A365:$T365,MATCH(Lists!$F$4,$A$1:$T$1,0)),6,2)),VALUE(MID(INDEX($A365:$T365,MATCH(Lists!$F$4,$A$1:$T$1,0)),9,2))))),"")),IFERROR(IF(TRIM(INDEX($A365:$T365,MATCH(Lists!$F$4,$A$1:$T$1,0))&amp;"")="","",IF(ISNUMBER(INDEX($A365:$T365,MATCH(Lists!$F$4,$A$1:$T$1,0))),INT(INDEX($A365:$T365,MATCH(Lists!$F$4,$A$1:$T$1,0))),DATE(VALUE(LEFT(INDEX($A365:$T365,MATCH(Lists!$F$4,$A$1:$T$1,0)),4)),VALUE(MID(INDEX($A365:$T365,MATCH(Lists!$F$4,$A$1:$T$1,0)),6,2)),VALUE(MID(INDEX($A365:$T365,MATCH(Lists!$F$4,$A$1:$T$1,0)),9,2))))),""),IFERROR(IF(TRIM(INDEX($A365:$T365,MATCH(Lists!$F$5,$A$1:$T$1,0))&amp;"")="","",IF(ISNUMBER(INDEX($A365:$T365,MATCH(Lists!$F$5,$A$1:$T$1,0))),INT(INDEX($A365:$T365,MATCH(Lists!$F$5,$A$1:$T$1,0))),DATE(VALUE(LEFT(INDEX($A365:$T365,MATCH(Lists!$F$5,$A$1:$T$1,0)),4)),VALUE(MID(INDEX($A365:$T365,MATCH(Lists!$F$5,$A$1:$T$1,0)),6,2)),VALUE(MID(INDEX($A365:$T365,MATCH(Lists!$F$5,$A$1:$T$1,0)),9,2))))),"")))</f>
        <v/>
      </c>
      <c r="AB365" s="21">
        <f>IF(Y365="","",IF(LEFT(IFERROR(TRIM(INDEX($A365:$T365,MATCH(Lists!$F$6,$A$1:$T$1,0))&amp;""),""),2)="No","General comment",IF(IFERROR(TRIM(INDEX($A365:$T365,MATCH(Lists!$F$7,$A$1:$T$1,0))&amp;""),"")&lt;&gt;"",IFERROR(TRIM(INDEX($A365:$T365,MATCH(Lists!$F$7,$A$1:$T$1,0))&amp;""),""),IF(IFERROR(TRIM(INDEX($A365:$T365,MATCH(Lists!$F$8,$A$1:$T$1,0))&amp;""),"")&lt;&gt;"",IFERROR(TRIM(INDEX($A365:$T365,MATCH(Lists!$F$8,$A$1:$T$1,0))&amp;""),""),"(no item given)"))))</f>
        <v/>
      </c>
      <c r="AC365" s="21">
        <f>IF(Y365="","",IF(ISNUMBER(SEARCH("support",IFERROR(TRIM(INDEX($A365:$T365,MATCH(Lists!$F$9,$A$1:$T$1,0))&amp;""),""))),"Support",IF(ISNUMBER(SEARCH("oppose",IFERROR(TRIM(INDEX($A365:$T365,MATCH(Lists!$F$9,$A$1:$T$1,0))&amp;""),""))),"Oppose",IF(IFERROR(TRIM(INDEX($A365:$T365,MATCH(Lists!$F$9,$A$1:$T$1,0))&amp;""),"")="","No position","Neither"))))</f>
        <v/>
      </c>
      <c r="AD365" s="21">
        <f>IF(Y365="","",IF(ISNUMBER(SEARCH("in person",IFERROR(TRIM(INDEX($A365:$T365,MATCH(Lists!$F$13,$A$1:$T$1,0))&amp;""),""))),"In person",IF(ISNUMBER(SEARCH("online",IFERROR(TRIM(INDEX($A365:$T365,MATCH(Lists!$F$13,$A$1:$T$1,0))&amp;""),""))),"Online","Written only")))</f>
        <v/>
      </c>
      <c r="AE365" s="21">
        <f>IF(Y365="","",IFERROR(TRIM(INDEX($A365:$T365,MATCH(Lists!$F$11,$A$1:$T$1,0))&amp;""),""))</f>
        <v/>
      </c>
      <c r="AF365" s="21">
        <f>IF(Y365="","",IFERROR(TRIM(INDEX($A365:$T365,MATCH(Lists!$F$12,$A$1:$T$1,0))&amp;""),""))</f>
        <v/>
      </c>
      <c r="AG365" s="21">
        <f>IF(Y365="","",IFERROR(TRIM(INDEX($A365:$T365,MATCH(Lists!$F$14,$A$1:$T$1,0))&amp;""),""))</f>
        <v/>
      </c>
      <c r="AH365" s="21">
        <f>IF(Y365="","",LEFT(IFERROR(TRIM(INDEX($A365:$T365,MATCH(Lists!$F$10,$A$1:$T$1,0))&amp;""),""),80))</f>
        <v/>
      </c>
      <c r="AI365" s="21">
        <f>IF(Y365="",0,IF(OR(Tally!$B$5="",AA365=Tally!$B$5),1,0))</f>
        <v/>
      </c>
      <c r="AJ365" s="21">
        <f>IF(AI365=1,IF(COUNTIFS($AB$2:AB365,AB365,$AI$2:AI365,1)=1,1,0),0)</f>
        <v/>
      </c>
      <c r="AK365" s="21">
        <f>IF(AJ365=1,SUM($AJ$2:AJ365),"")</f>
        <v/>
      </c>
      <c r="AL365" s="21">
        <f>IF(AND(AI365=1,OR(AD365="In person",AD365="Online"),OR(Speakers!$B$5="",AB365=Speakers!$B$5)),N(Z365)+ROW()/1000000000,"")</f>
        <v/>
      </c>
    </row>
    <row r="366">
      <c r="U366" s="19" t="n"/>
      <c r="V366" s="24" t="n"/>
      <c r="W366" s="24" t="n"/>
      <c r="X366" s="19" t="n"/>
      <c r="Y366" s="21">
        <f>IFERROR(TRIM(INDEX($A366:$T366,MATCH(Lists!$F$2,$A$1:$T$1,0))&amp;""),"")</f>
        <v/>
      </c>
      <c r="Z366" s="22">
        <f>IF(Y366="","",IFERROR(IF(ISNUMBER(INDEX($A366:$T366,MATCH(Lists!$F$3,$A$1:$T$1,0))),INDEX($A366:$T366,MATCH(Lists!$F$3,$A$1:$T$1,0)),DATE(VALUE(LEFT(IFERROR(TRIM(INDEX($A366:$T366,MATCH(Lists!$F$3,$A$1:$T$1,0))&amp;""),""),4)),VALUE(MID(IFERROR(TRIM(INDEX($A366:$T366,MATCH(Lists!$F$3,$A$1:$T$1,0))&amp;""),""),6,2)),VALUE(MID(IFERROR(TRIM(INDEX($A366:$T366,MATCH(Lists!$F$3,$A$1:$T$1,0))&amp;""),""),9,2)))+TIME(VALUE(MID(IFERROR(TRIM(INDEX($A366:$T366,MATCH(Lists!$F$3,$A$1:$T$1,0))&amp;""),""),12,2)),VALUE(MID(IFERROR(TRIM(INDEX($A366:$T366,MATCH(Lists!$F$3,$A$1:$T$1,0))&amp;""),""),15,2)),VALUE(MID(IFERROR(TRIM(INDEX($A366:$T366,MATCH(Lists!$F$3,$A$1:$T$1,0))&amp;""),""),18,2)))),""))</f>
        <v/>
      </c>
      <c r="AA366" s="23">
        <f>IF(Y366="","",IF(ISNUMBER(IFERROR(IF(TRIM(INDEX($A366:$T366,MATCH(Lists!$F$4,$A$1:$T$1,0))&amp;"")="","",IF(ISNUMBER(INDEX($A366:$T366,MATCH(Lists!$F$4,$A$1:$T$1,0))),INT(INDEX($A366:$T366,MATCH(Lists!$F$4,$A$1:$T$1,0))),DATE(VALUE(LEFT(INDEX($A366:$T366,MATCH(Lists!$F$4,$A$1:$T$1,0)),4)),VALUE(MID(INDEX($A366:$T366,MATCH(Lists!$F$4,$A$1:$T$1,0)),6,2)),VALUE(MID(INDEX($A366:$T366,MATCH(Lists!$F$4,$A$1:$T$1,0)),9,2))))),"")),IFERROR(IF(TRIM(INDEX($A366:$T366,MATCH(Lists!$F$4,$A$1:$T$1,0))&amp;"")="","",IF(ISNUMBER(INDEX($A366:$T366,MATCH(Lists!$F$4,$A$1:$T$1,0))),INT(INDEX($A366:$T366,MATCH(Lists!$F$4,$A$1:$T$1,0))),DATE(VALUE(LEFT(INDEX($A366:$T366,MATCH(Lists!$F$4,$A$1:$T$1,0)),4)),VALUE(MID(INDEX($A366:$T366,MATCH(Lists!$F$4,$A$1:$T$1,0)),6,2)),VALUE(MID(INDEX($A366:$T366,MATCH(Lists!$F$4,$A$1:$T$1,0)),9,2))))),""),IFERROR(IF(TRIM(INDEX($A366:$T366,MATCH(Lists!$F$5,$A$1:$T$1,0))&amp;"")="","",IF(ISNUMBER(INDEX($A366:$T366,MATCH(Lists!$F$5,$A$1:$T$1,0))),INT(INDEX($A366:$T366,MATCH(Lists!$F$5,$A$1:$T$1,0))),DATE(VALUE(LEFT(INDEX($A366:$T366,MATCH(Lists!$F$5,$A$1:$T$1,0)),4)),VALUE(MID(INDEX($A366:$T366,MATCH(Lists!$F$5,$A$1:$T$1,0)),6,2)),VALUE(MID(INDEX($A366:$T366,MATCH(Lists!$F$5,$A$1:$T$1,0)),9,2))))),"")))</f>
        <v/>
      </c>
      <c r="AB366" s="21">
        <f>IF(Y366="","",IF(LEFT(IFERROR(TRIM(INDEX($A366:$T366,MATCH(Lists!$F$6,$A$1:$T$1,0))&amp;""),""),2)="No","General comment",IF(IFERROR(TRIM(INDEX($A366:$T366,MATCH(Lists!$F$7,$A$1:$T$1,0))&amp;""),"")&lt;&gt;"",IFERROR(TRIM(INDEX($A366:$T366,MATCH(Lists!$F$7,$A$1:$T$1,0))&amp;""),""),IF(IFERROR(TRIM(INDEX($A366:$T366,MATCH(Lists!$F$8,$A$1:$T$1,0))&amp;""),"")&lt;&gt;"",IFERROR(TRIM(INDEX($A366:$T366,MATCH(Lists!$F$8,$A$1:$T$1,0))&amp;""),""),"(no item given)"))))</f>
        <v/>
      </c>
      <c r="AC366" s="21">
        <f>IF(Y366="","",IF(ISNUMBER(SEARCH("support",IFERROR(TRIM(INDEX($A366:$T366,MATCH(Lists!$F$9,$A$1:$T$1,0))&amp;""),""))),"Support",IF(ISNUMBER(SEARCH("oppose",IFERROR(TRIM(INDEX($A366:$T366,MATCH(Lists!$F$9,$A$1:$T$1,0))&amp;""),""))),"Oppose",IF(IFERROR(TRIM(INDEX($A366:$T366,MATCH(Lists!$F$9,$A$1:$T$1,0))&amp;""),"")="","No position","Neither"))))</f>
        <v/>
      </c>
      <c r="AD366" s="21">
        <f>IF(Y366="","",IF(ISNUMBER(SEARCH("in person",IFERROR(TRIM(INDEX($A366:$T366,MATCH(Lists!$F$13,$A$1:$T$1,0))&amp;""),""))),"In person",IF(ISNUMBER(SEARCH("online",IFERROR(TRIM(INDEX($A366:$T366,MATCH(Lists!$F$13,$A$1:$T$1,0))&amp;""),""))),"Online","Written only")))</f>
        <v/>
      </c>
      <c r="AE366" s="21">
        <f>IF(Y366="","",IFERROR(TRIM(INDEX($A366:$T366,MATCH(Lists!$F$11,$A$1:$T$1,0))&amp;""),""))</f>
        <v/>
      </c>
      <c r="AF366" s="21">
        <f>IF(Y366="","",IFERROR(TRIM(INDEX($A366:$T366,MATCH(Lists!$F$12,$A$1:$T$1,0))&amp;""),""))</f>
        <v/>
      </c>
      <c r="AG366" s="21">
        <f>IF(Y366="","",IFERROR(TRIM(INDEX($A366:$T366,MATCH(Lists!$F$14,$A$1:$T$1,0))&amp;""),""))</f>
        <v/>
      </c>
      <c r="AH366" s="21">
        <f>IF(Y366="","",LEFT(IFERROR(TRIM(INDEX($A366:$T366,MATCH(Lists!$F$10,$A$1:$T$1,0))&amp;""),""),80))</f>
        <v/>
      </c>
      <c r="AI366" s="21">
        <f>IF(Y366="",0,IF(OR(Tally!$B$5="",AA366=Tally!$B$5),1,0))</f>
        <v/>
      </c>
      <c r="AJ366" s="21">
        <f>IF(AI366=1,IF(COUNTIFS($AB$2:AB366,AB366,$AI$2:AI366,1)=1,1,0),0)</f>
        <v/>
      </c>
      <c r="AK366" s="21">
        <f>IF(AJ366=1,SUM($AJ$2:AJ366),"")</f>
        <v/>
      </c>
      <c r="AL366" s="21">
        <f>IF(AND(AI366=1,OR(AD366="In person",AD366="Online"),OR(Speakers!$B$5="",AB366=Speakers!$B$5)),N(Z366)+ROW()/1000000000,"")</f>
        <v/>
      </c>
    </row>
    <row r="367">
      <c r="U367" s="19" t="n"/>
      <c r="V367" s="24" t="n"/>
      <c r="W367" s="24" t="n"/>
      <c r="X367" s="19" t="n"/>
      <c r="Y367" s="21">
        <f>IFERROR(TRIM(INDEX($A367:$T367,MATCH(Lists!$F$2,$A$1:$T$1,0))&amp;""),"")</f>
        <v/>
      </c>
      <c r="Z367" s="22">
        <f>IF(Y367="","",IFERROR(IF(ISNUMBER(INDEX($A367:$T367,MATCH(Lists!$F$3,$A$1:$T$1,0))),INDEX($A367:$T367,MATCH(Lists!$F$3,$A$1:$T$1,0)),DATE(VALUE(LEFT(IFERROR(TRIM(INDEX($A367:$T367,MATCH(Lists!$F$3,$A$1:$T$1,0))&amp;""),""),4)),VALUE(MID(IFERROR(TRIM(INDEX($A367:$T367,MATCH(Lists!$F$3,$A$1:$T$1,0))&amp;""),""),6,2)),VALUE(MID(IFERROR(TRIM(INDEX($A367:$T367,MATCH(Lists!$F$3,$A$1:$T$1,0))&amp;""),""),9,2)))+TIME(VALUE(MID(IFERROR(TRIM(INDEX($A367:$T367,MATCH(Lists!$F$3,$A$1:$T$1,0))&amp;""),""),12,2)),VALUE(MID(IFERROR(TRIM(INDEX($A367:$T367,MATCH(Lists!$F$3,$A$1:$T$1,0))&amp;""),""),15,2)),VALUE(MID(IFERROR(TRIM(INDEX($A367:$T367,MATCH(Lists!$F$3,$A$1:$T$1,0))&amp;""),""),18,2)))),""))</f>
        <v/>
      </c>
      <c r="AA367" s="23">
        <f>IF(Y367="","",IF(ISNUMBER(IFERROR(IF(TRIM(INDEX($A367:$T367,MATCH(Lists!$F$4,$A$1:$T$1,0))&amp;"")="","",IF(ISNUMBER(INDEX($A367:$T367,MATCH(Lists!$F$4,$A$1:$T$1,0))),INT(INDEX($A367:$T367,MATCH(Lists!$F$4,$A$1:$T$1,0))),DATE(VALUE(LEFT(INDEX($A367:$T367,MATCH(Lists!$F$4,$A$1:$T$1,0)),4)),VALUE(MID(INDEX($A367:$T367,MATCH(Lists!$F$4,$A$1:$T$1,0)),6,2)),VALUE(MID(INDEX($A367:$T367,MATCH(Lists!$F$4,$A$1:$T$1,0)),9,2))))),"")),IFERROR(IF(TRIM(INDEX($A367:$T367,MATCH(Lists!$F$4,$A$1:$T$1,0))&amp;"")="","",IF(ISNUMBER(INDEX($A367:$T367,MATCH(Lists!$F$4,$A$1:$T$1,0))),INT(INDEX($A367:$T367,MATCH(Lists!$F$4,$A$1:$T$1,0))),DATE(VALUE(LEFT(INDEX($A367:$T367,MATCH(Lists!$F$4,$A$1:$T$1,0)),4)),VALUE(MID(INDEX($A367:$T367,MATCH(Lists!$F$4,$A$1:$T$1,0)),6,2)),VALUE(MID(INDEX($A367:$T367,MATCH(Lists!$F$4,$A$1:$T$1,0)),9,2))))),""),IFERROR(IF(TRIM(INDEX($A367:$T367,MATCH(Lists!$F$5,$A$1:$T$1,0))&amp;"")="","",IF(ISNUMBER(INDEX($A367:$T367,MATCH(Lists!$F$5,$A$1:$T$1,0))),INT(INDEX($A367:$T367,MATCH(Lists!$F$5,$A$1:$T$1,0))),DATE(VALUE(LEFT(INDEX($A367:$T367,MATCH(Lists!$F$5,$A$1:$T$1,0)),4)),VALUE(MID(INDEX($A367:$T367,MATCH(Lists!$F$5,$A$1:$T$1,0)),6,2)),VALUE(MID(INDEX($A367:$T367,MATCH(Lists!$F$5,$A$1:$T$1,0)),9,2))))),"")))</f>
        <v/>
      </c>
      <c r="AB367" s="21">
        <f>IF(Y367="","",IF(LEFT(IFERROR(TRIM(INDEX($A367:$T367,MATCH(Lists!$F$6,$A$1:$T$1,0))&amp;""),""),2)="No","General comment",IF(IFERROR(TRIM(INDEX($A367:$T367,MATCH(Lists!$F$7,$A$1:$T$1,0))&amp;""),"")&lt;&gt;"",IFERROR(TRIM(INDEX($A367:$T367,MATCH(Lists!$F$7,$A$1:$T$1,0))&amp;""),""),IF(IFERROR(TRIM(INDEX($A367:$T367,MATCH(Lists!$F$8,$A$1:$T$1,0))&amp;""),"")&lt;&gt;"",IFERROR(TRIM(INDEX($A367:$T367,MATCH(Lists!$F$8,$A$1:$T$1,0))&amp;""),""),"(no item given)"))))</f>
        <v/>
      </c>
      <c r="AC367" s="21">
        <f>IF(Y367="","",IF(ISNUMBER(SEARCH("support",IFERROR(TRIM(INDEX($A367:$T367,MATCH(Lists!$F$9,$A$1:$T$1,0))&amp;""),""))),"Support",IF(ISNUMBER(SEARCH("oppose",IFERROR(TRIM(INDEX($A367:$T367,MATCH(Lists!$F$9,$A$1:$T$1,0))&amp;""),""))),"Oppose",IF(IFERROR(TRIM(INDEX($A367:$T367,MATCH(Lists!$F$9,$A$1:$T$1,0))&amp;""),"")="","No position","Neither"))))</f>
        <v/>
      </c>
      <c r="AD367" s="21">
        <f>IF(Y367="","",IF(ISNUMBER(SEARCH("in person",IFERROR(TRIM(INDEX($A367:$T367,MATCH(Lists!$F$13,$A$1:$T$1,0))&amp;""),""))),"In person",IF(ISNUMBER(SEARCH("online",IFERROR(TRIM(INDEX($A367:$T367,MATCH(Lists!$F$13,$A$1:$T$1,0))&amp;""),""))),"Online","Written only")))</f>
        <v/>
      </c>
      <c r="AE367" s="21">
        <f>IF(Y367="","",IFERROR(TRIM(INDEX($A367:$T367,MATCH(Lists!$F$11,$A$1:$T$1,0))&amp;""),""))</f>
        <v/>
      </c>
      <c r="AF367" s="21">
        <f>IF(Y367="","",IFERROR(TRIM(INDEX($A367:$T367,MATCH(Lists!$F$12,$A$1:$T$1,0))&amp;""),""))</f>
        <v/>
      </c>
      <c r="AG367" s="21">
        <f>IF(Y367="","",IFERROR(TRIM(INDEX($A367:$T367,MATCH(Lists!$F$14,$A$1:$T$1,0))&amp;""),""))</f>
        <v/>
      </c>
      <c r="AH367" s="21">
        <f>IF(Y367="","",LEFT(IFERROR(TRIM(INDEX($A367:$T367,MATCH(Lists!$F$10,$A$1:$T$1,0))&amp;""),""),80))</f>
        <v/>
      </c>
      <c r="AI367" s="21">
        <f>IF(Y367="",0,IF(OR(Tally!$B$5="",AA367=Tally!$B$5),1,0))</f>
        <v/>
      </c>
      <c r="AJ367" s="21">
        <f>IF(AI367=1,IF(COUNTIFS($AB$2:AB367,AB367,$AI$2:AI367,1)=1,1,0),0)</f>
        <v/>
      </c>
      <c r="AK367" s="21">
        <f>IF(AJ367=1,SUM($AJ$2:AJ367),"")</f>
        <v/>
      </c>
      <c r="AL367" s="21">
        <f>IF(AND(AI367=1,OR(AD367="In person",AD367="Online"),OR(Speakers!$B$5="",AB367=Speakers!$B$5)),N(Z367)+ROW()/1000000000,"")</f>
        <v/>
      </c>
    </row>
    <row r="368">
      <c r="U368" s="19" t="n"/>
      <c r="V368" s="24" t="n"/>
      <c r="W368" s="24" t="n"/>
      <c r="X368" s="19" t="n"/>
      <c r="Y368" s="21">
        <f>IFERROR(TRIM(INDEX($A368:$T368,MATCH(Lists!$F$2,$A$1:$T$1,0))&amp;""),"")</f>
        <v/>
      </c>
      <c r="Z368" s="22">
        <f>IF(Y368="","",IFERROR(IF(ISNUMBER(INDEX($A368:$T368,MATCH(Lists!$F$3,$A$1:$T$1,0))),INDEX($A368:$T368,MATCH(Lists!$F$3,$A$1:$T$1,0)),DATE(VALUE(LEFT(IFERROR(TRIM(INDEX($A368:$T368,MATCH(Lists!$F$3,$A$1:$T$1,0))&amp;""),""),4)),VALUE(MID(IFERROR(TRIM(INDEX($A368:$T368,MATCH(Lists!$F$3,$A$1:$T$1,0))&amp;""),""),6,2)),VALUE(MID(IFERROR(TRIM(INDEX($A368:$T368,MATCH(Lists!$F$3,$A$1:$T$1,0))&amp;""),""),9,2)))+TIME(VALUE(MID(IFERROR(TRIM(INDEX($A368:$T368,MATCH(Lists!$F$3,$A$1:$T$1,0))&amp;""),""),12,2)),VALUE(MID(IFERROR(TRIM(INDEX($A368:$T368,MATCH(Lists!$F$3,$A$1:$T$1,0))&amp;""),""),15,2)),VALUE(MID(IFERROR(TRIM(INDEX($A368:$T368,MATCH(Lists!$F$3,$A$1:$T$1,0))&amp;""),""),18,2)))),""))</f>
        <v/>
      </c>
      <c r="AA368" s="23">
        <f>IF(Y368="","",IF(ISNUMBER(IFERROR(IF(TRIM(INDEX($A368:$T368,MATCH(Lists!$F$4,$A$1:$T$1,0))&amp;"")="","",IF(ISNUMBER(INDEX($A368:$T368,MATCH(Lists!$F$4,$A$1:$T$1,0))),INT(INDEX($A368:$T368,MATCH(Lists!$F$4,$A$1:$T$1,0))),DATE(VALUE(LEFT(INDEX($A368:$T368,MATCH(Lists!$F$4,$A$1:$T$1,0)),4)),VALUE(MID(INDEX($A368:$T368,MATCH(Lists!$F$4,$A$1:$T$1,0)),6,2)),VALUE(MID(INDEX($A368:$T368,MATCH(Lists!$F$4,$A$1:$T$1,0)),9,2))))),"")),IFERROR(IF(TRIM(INDEX($A368:$T368,MATCH(Lists!$F$4,$A$1:$T$1,0))&amp;"")="","",IF(ISNUMBER(INDEX($A368:$T368,MATCH(Lists!$F$4,$A$1:$T$1,0))),INT(INDEX($A368:$T368,MATCH(Lists!$F$4,$A$1:$T$1,0))),DATE(VALUE(LEFT(INDEX($A368:$T368,MATCH(Lists!$F$4,$A$1:$T$1,0)),4)),VALUE(MID(INDEX($A368:$T368,MATCH(Lists!$F$4,$A$1:$T$1,0)),6,2)),VALUE(MID(INDEX($A368:$T368,MATCH(Lists!$F$4,$A$1:$T$1,0)),9,2))))),""),IFERROR(IF(TRIM(INDEX($A368:$T368,MATCH(Lists!$F$5,$A$1:$T$1,0))&amp;"")="","",IF(ISNUMBER(INDEX($A368:$T368,MATCH(Lists!$F$5,$A$1:$T$1,0))),INT(INDEX($A368:$T368,MATCH(Lists!$F$5,$A$1:$T$1,0))),DATE(VALUE(LEFT(INDEX($A368:$T368,MATCH(Lists!$F$5,$A$1:$T$1,0)),4)),VALUE(MID(INDEX($A368:$T368,MATCH(Lists!$F$5,$A$1:$T$1,0)),6,2)),VALUE(MID(INDEX($A368:$T368,MATCH(Lists!$F$5,$A$1:$T$1,0)),9,2))))),"")))</f>
        <v/>
      </c>
      <c r="AB368" s="21">
        <f>IF(Y368="","",IF(LEFT(IFERROR(TRIM(INDEX($A368:$T368,MATCH(Lists!$F$6,$A$1:$T$1,0))&amp;""),""),2)="No","General comment",IF(IFERROR(TRIM(INDEX($A368:$T368,MATCH(Lists!$F$7,$A$1:$T$1,0))&amp;""),"")&lt;&gt;"",IFERROR(TRIM(INDEX($A368:$T368,MATCH(Lists!$F$7,$A$1:$T$1,0))&amp;""),""),IF(IFERROR(TRIM(INDEX($A368:$T368,MATCH(Lists!$F$8,$A$1:$T$1,0))&amp;""),"")&lt;&gt;"",IFERROR(TRIM(INDEX($A368:$T368,MATCH(Lists!$F$8,$A$1:$T$1,0))&amp;""),""),"(no item given)"))))</f>
        <v/>
      </c>
      <c r="AC368" s="21">
        <f>IF(Y368="","",IF(ISNUMBER(SEARCH("support",IFERROR(TRIM(INDEX($A368:$T368,MATCH(Lists!$F$9,$A$1:$T$1,0))&amp;""),""))),"Support",IF(ISNUMBER(SEARCH("oppose",IFERROR(TRIM(INDEX($A368:$T368,MATCH(Lists!$F$9,$A$1:$T$1,0))&amp;""),""))),"Oppose",IF(IFERROR(TRIM(INDEX($A368:$T368,MATCH(Lists!$F$9,$A$1:$T$1,0))&amp;""),"")="","No position","Neither"))))</f>
        <v/>
      </c>
      <c r="AD368" s="21">
        <f>IF(Y368="","",IF(ISNUMBER(SEARCH("in person",IFERROR(TRIM(INDEX($A368:$T368,MATCH(Lists!$F$13,$A$1:$T$1,0))&amp;""),""))),"In person",IF(ISNUMBER(SEARCH("online",IFERROR(TRIM(INDEX($A368:$T368,MATCH(Lists!$F$13,$A$1:$T$1,0))&amp;""),""))),"Online","Written only")))</f>
        <v/>
      </c>
      <c r="AE368" s="21">
        <f>IF(Y368="","",IFERROR(TRIM(INDEX($A368:$T368,MATCH(Lists!$F$11,$A$1:$T$1,0))&amp;""),""))</f>
        <v/>
      </c>
      <c r="AF368" s="21">
        <f>IF(Y368="","",IFERROR(TRIM(INDEX($A368:$T368,MATCH(Lists!$F$12,$A$1:$T$1,0))&amp;""),""))</f>
        <v/>
      </c>
      <c r="AG368" s="21">
        <f>IF(Y368="","",IFERROR(TRIM(INDEX($A368:$T368,MATCH(Lists!$F$14,$A$1:$T$1,0))&amp;""),""))</f>
        <v/>
      </c>
      <c r="AH368" s="21">
        <f>IF(Y368="","",LEFT(IFERROR(TRIM(INDEX($A368:$T368,MATCH(Lists!$F$10,$A$1:$T$1,0))&amp;""),""),80))</f>
        <v/>
      </c>
      <c r="AI368" s="21">
        <f>IF(Y368="",0,IF(OR(Tally!$B$5="",AA368=Tally!$B$5),1,0))</f>
        <v/>
      </c>
      <c r="AJ368" s="21">
        <f>IF(AI368=1,IF(COUNTIFS($AB$2:AB368,AB368,$AI$2:AI368,1)=1,1,0),0)</f>
        <v/>
      </c>
      <c r="AK368" s="21">
        <f>IF(AJ368=1,SUM($AJ$2:AJ368),"")</f>
        <v/>
      </c>
      <c r="AL368" s="21">
        <f>IF(AND(AI368=1,OR(AD368="In person",AD368="Online"),OR(Speakers!$B$5="",AB368=Speakers!$B$5)),N(Z368)+ROW()/1000000000,"")</f>
        <v/>
      </c>
    </row>
    <row r="369">
      <c r="U369" s="19" t="n"/>
      <c r="V369" s="24" t="n"/>
      <c r="W369" s="24" t="n"/>
      <c r="X369" s="19" t="n"/>
      <c r="Y369" s="21">
        <f>IFERROR(TRIM(INDEX($A369:$T369,MATCH(Lists!$F$2,$A$1:$T$1,0))&amp;""),"")</f>
        <v/>
      </c>
      <c r="Z369" s="22">
        <f>IF(Y369="","",IFERROR(IF(ISNUMBER(INDEX($A369:$T369,MATCH(Lists!$F$3,$A$1:$T$1,0))),INDEX($A369:$T369,MATCH(Lists!$F$3,$A$1:$T$1,0)),DATE(VALUE(LEFT(IFERROR(TRIM(INDEX($A369:$T369,MATCH(Lists!$F$3,$A$1:$T$1,0))&amp;""),""),4)),VALUE(MID(IFERROR(TRIM(INDEX($A369:$T369,MATCH(Lists!$F$3,$A$1:$T$1,0))&amp;""),""),6,2)),VALUE(MID(IFERROR(TRIM(INDEX($A369:$T369,MATCH(Lists!$F$3,$A$1:$T$1,0))&amp;""),""),9,2)))+TIME(VALUE(MID(IFERROR(TRIM(INDEX($A369:$T369,MATCH(Lists!$F$3,$A$1:$T$1,0))&amp;""),""),12,2)),VALUE(MID(IFERROR(TRIM(INDEX($A369:$T369,MATCH(Lists!$F$3,$A$1:$T$1,0))&amp;""),""),15,2)),VALUE(MID(IFERROR(TRIM(INDEX($A369:$T369,MATCH(Lists!$F$3,$A$1:$T$1,0))&amp;""),""),18,2)))),""))</f>
        <v/>
      </c>
      <c r="AA369" s="23">
        <f>IF(Y369="","",IF(ISNUMBER(IFERROR(IF(TRIM(INDEX($A369:$T369,MATCH(Lists!$F$4,$A$1:$T$1,0))&amp;"")="","",IF(ISNUMBER(INDEX($A369:$T369,MATCH(Lists!$F$4,$A$1:$T$1,0))),INT(INDEX($A369:$T369,MATCH(Lists!$F$4,$A$1:$T$1,0))),DATE(VALUE(LEFT(INDEX($A369:$T369,MATCH(Lists!$F$4,$A$1:$T$1,0)),4)),VALUE(MID(INDEX($A369:$T369,MATCH(Lists!$F$4,$A$1:$T$1,0)),6,2)),VALUE(MID(INDEX($A369:$T369,MATCH(Lists!$F$4,$A$1:$T$1,0)),9,2))))),"")),IFERROR(IF(TRIM(INDEX($A369:$T369,MATCH(Lists!$F$4,$A$1:$T$1,0))&amp;"")="","",IF(ISNUMBER(INDEX($A369:$T369,MATCH(Lists!$F$4,$A$1:$T$1,0))),INT(INDEX($A369:$T369,MATCH(Lists!$F$4,$A$1:$T$1,0))),DATE(VALUE(LEFT(INDEX($A369:$T369,MATCH(Lists!$F$4,$A$1:$T$1,0)),4)),VALUE(MID(INDEX($A369:$T369,MATCH(Lists!$F$4,$A$1:$T$1,0)),6,2)),VALUE(MID(INDEX($A369:$T369,MATCH(Lists!$F$4,$A$1:$T$1,0)),9,2))))),""),IFERROR(IF(TRIM(INDEX($A369:$T369,MATCH(Lists!$F$5,$A$1:$T$1,0))&amp;"")="","",IF(ISNUMBER(INDEX($A369:$T369,MATCH(Lists!$F$5,$A$1:$T$1,0))),INT(INDEX($A369:$T369,MATCH(Lists!$F$5,$A$1:$T$1,0))),DATE(VALUE(LEFT(INDEX($A369:$T369,MATCH(Lists!$F$5,$A$1:$T$1,0)),4)),VALUE(MID(INDEX($A369:$T369,MATCH(Lists!$F$5,$A$1:$T$1,0)),6,2)),VALUE(MID(INDEX($A369:$T369,MATCH(Lists!$F$5,$A$1:$T$1,0)),9,2))))),"")))</f>
        <v/>
      </c>
      <c r="AB369" s="21">
        <f>IF(Y369="","",IF(LEFT(IFERROR(TRIM(INDEX($A369:$T369,MATCH(Lists!$F$6,$A$1:$T$1,0))&amp;""),""),2)="No","General comment",IF(IFERROR(TRIM(INDEX($A369:$T369,MATCH(Lists!$F$7,$A$1:$T$1,0))&amp;""),"")&lt;&gt;"",IFERROR(TRIM(INDEX($A369:$T369,MATCH(Lists!$F$7,$A$1:$T$1,0))&amp;""),""),IF(IFERROR(TRIM(INDEX($A369:$T369,MATCH(Lists!$F$8,$A$1:$T$1,0))&amp;""),"")&lt;&gt;"",IFERROR(TRIM(INDEX($A369:$T369,MATCH(Lists!$F$8,$A$1:$T$1,0))&amp;""),""),"(no item given)"))))</f>
        <v/>
      </c>
      <c r="AC369" s="21">
        <f>IF(Y369="","",IF(ISNUMBER(SEARCH("support",IFERROR(TRIM(INDEX($A369:$T369,MATCH(Lists!$F$9,$A$1:$T$1,0))&amp;""),""))),"Support",IF(ISNUMBER(SEARCH("oppose",IFERROR(TRIM(INDEX($A369:$T369,MATCH(Lists!$F$9,$A$1:$T$1,0))&amp;""),""))),"Oppose",IF(IFERROR(TRIM(INDEX($A369:$T369,MATCH(Lists!$F$9,$A$1:$T$1,0))&amp;""),"")="","No position","Neither"))))</f>
        <v/>
      </c>
      <c r="AD369" s="21">
        <f>IF(Y369="","",IF(ISNUMBER(SEARCH("in person",IFERROR(TRIM(INDEX($A369:$T369,MATCH(Lists!$F$13,$A$1:$T$1,0))&amp;""),""))),"In person",IF(ISNUMBER(SEARCH("online",IFERROR(TRIM(INDEX($A369:$T369,MATCH(Lists!$F$13,$A$1:$T$1,0))&amp;""),""))),"Online","Written only")))</f>
        <v/>
      </c>
      <c r="AE369" s="21">
        <f>IF(Y369="","",IFERROR(TRIM(INDEX($A369:$T369,MATCH(Lists!$F$11,$A$1:$T$1,0))&amp;""),""))</f>
        <v/>
      </c>
      <c r="AF369" s="21">
        <f>IF(Y369="","",IFERROR(TRIM(INDEX($A369:$T369,MATCH(Lists!$F$12,$A$1:$T$1,0))&amp;""),""))</f>
        <v/>
      </c>
      <c r="AG369" s="21">
        <f>IF(Y369="","",IFERROR(TRIM(INDEX($A369:$T369,MATCH(Lists!$F$14,$A$1:$T$1,0))&amp;""),""))</f>
        <v/>
      </c>
      <c r="AH369" s="21">
        <f>IF(Y369="","",LEFT(IFERROR(TRIM(INDEX($A369:$T369,MATCH(Lists!$F$10,$A$1:$T$1,0))&amp;""),""),80))</f>
        <v/>
      </c>
      <c r="AI369" s="21">
        <f>IF(Y369="",0,IF(OR(Tally!$B$5="",AA369=Tally!$B$5),1,0))</f>
        <v/>
      </c>
      <c r="AJ369" s="21">
        <f>IF(AI369=1,IF(COUNTIFS($AB$2:AB369,AB369,$AI$2:AI369,1)=1,1,0),0)</f>
        <v/>
      </c>
      <c r="AK369" s="21">
        <f>IF(AJ369=1,SUM($AJ$2:AJ369),"")</f>
        <v/>
      </c>
      <c r="AL369" s="21">
        <f>IF(AND(AI369=1,OR(AD369="In person",AD369="Online"),OR(Speakers!$B$5="",AB369=Speakers!$B$5)),N(Z369)+ROW()/1000000000,"")</f>
        <v/>
      </c>
    </row>
    <row r="370">
      <c r="U370" s="19" t="n"/>
      <c r="V370" s="24" t="n"/>
      <c r="W370" s="24" t="n"/>
      <c r="X370" s="19" t="n"/>
      <c r="Y370" s="21">
        <f>IFERROR(TRIM(INDEX($A370:$T370,MATCH(Lists!$F$2,$A$1:$T$1,0))&amp;""),"")</f>
        <v/>
      </c>
      <c r="Z370" s="22">
        <f>IF(Y370="","",IFERROR(IF(ISNUMBER(INDEX($A370:$T370,MATCH(Lists!$F$3,$A$1:$T$1,0))),INDEX($A370:$T370,MATCH(Lists!$F$3,$A$1:$T$1,0)),DATE(VALUE(LEFT(IFERROR(TRIM(INDEX($A370:$T370,MATCH(Lists!$F$3,$A$1:$T$1,0))&amp;""),""),4)),VALUE(MID(IFERROR(TRIM(INDEX($A370:$T370,MATCH(Lists!$F$3,$A$1:$T$1,0))&amp;""),""),6,2)),VALUE(MID(IFERROR(TRIM(INDEX($A370:$T370,MATCH(Lists!$F$3,$A$1:$T$1,0))&amp;""),""),9,2)))+TIME(VALUE(MID(IFERROR(TRIM(INDEX($A370:$T370,MATCH(Lists!$F$3,$A$1:$T$1,0))&amp;""),""),12,2)),VALUE(MID(IFERROR(TRIM(INDEX($A370:$T370,MATCH(Lists!$F$3,$A$1:$T$1,0))&amp;""),""),15,2)),VALUE(MID(IFERROR(TRIM(INDEX($A370:$T370,MATCH(Lists!$F$3,$A$1:$T$1,0))&amp;""),""),18,2)))),""))</f>
        <v/>
      </c>
      <c r="AA370" s="23">
        <f>IF(Y370="","",IF(ISNUMBER(IFERROR(IF(TRIM(INDEX($A370:$T370,MATCH(Lists!$F$4,$A$1:$T$1,0))&amp;"")="","",IF(ISNUMBER(INDEX($A370:$T370,MATCH(Lists!$F$4,$A$1:$T$1,0))),INT(INDEX($A370:$T370,MATCH(Lists!$F$4,$A$1:$T$1,0))),DATE(VALUE(LEFT(INDEX($A370:$T370,MATCH(Lists!$F$4,$A$1:$T$1,0)),4)),VALUE(MID(INDEX($A370:$T370,MATCH(Lists!$F$4,$A$1:$T$1,0)),6,2)),VALUE(MID(INDEX($A370:$T370,MATCH(Lists!$F$4,$A$1:$T$1,0)),9,2))))),"")),IFERROR(IF(TRIM(INDEX($A370:$T370,MATCH(Lists!$F$4,$A$1:$T$1,0))&amp;"")="","",IF(ISNUMBER(INDEX($A370:$T370,MATCH(Lists!$F$4,$A$1:$T$1,0))),INT(INDEX($A370:$T370,MATCH(Lists!$F$4,$A$1:$T$1,0))),DATE(VALUE(LEFT(INDEX($A370:$T370,MATCH(Lists!$F$4,$A$1:$T$1,0)),4)),VALUE(MID(INDEX($A370:$T370,MATCH(Lists!$F$4,$A$1:$T$1,0)),6,2)),VALUE(MID(INDEX($A370:$T370,MATCH(Lists!$F$4,$A$1:$T$1,0)),9,2))))),""),IFERROR(IF(TRIM(INDEX($A370:$T370,MATCH(Lists!$F$5,$A$1:$T$1,0))&amp;"")="","",IF(ISNUMBER(INDEX($A370:$T370,MATCH(Lists!$F$5,$A$1:$T$1,0))),INT(INDEX($A370:$T370,MATCH(Lists!$F$5,$A$1:$T$1,0))),DATE(VALUE(LEFT(INDEX($A370:$T370,MATCH(Lists!$F$5,$A$1:$T$1,0)),4)),VALUE(MID(INDEX($A370:$T370,MATCH(Lists!$F$5,$A$1:$T$1,0)),6,2)),VALUE(MID(INDEX($A370:$T370,MATCH(Lists!$F$5,$A$1:$T$1,0)),9,2))))),"")))</f>
        <v/>
      </c>
      <c r="AB370" s="21">
        <f>IF(Y370="","",IF(LEFT(IFERROR(TRIM(INDEX($A370:$T370,MATCH(Lists!$F$6,$A$1:$T$1,0))&amp;""),""),2)="No","General comment",IF(IFERROR(TRIM(INDEX($A370:$T370,MATCH(Lists!$F$7,$A$1:$T$1,0))&amp;""),"")&lt;&gt;"",IFERROR(TRIM(INDEX($A370:$T370,MATCH(Lists!$F$7,$A$1:$T$1,0))&amp;""),""),IF(IFERROR(TRIM(INDEX($A370:$T370,MATCH(Lists!$F$8,$A$1:$T$1,0))&amp;""),"")&lt;&gt;"",IFERROR(TRIM(INDEX($A370:$T370,MATCH(Lists!$F$8,$A$1:$T$1,0))&amp;""),""),"(no item given)"))))</f>
        <v/>
      </c>
      <c r="AC370" s="21">
        <f>IF(Y370="","",IF(ISNUMBER(SEARCH("support",IFERROR(TRIM(INDEX($A370:$T370,MATCH(Lists!$F$9,$A$1:$T$1,0))&amp;""),""))),"Support",IF(ISNUMBER(SEARCH("oppose",IFERROR(TRIM(INDEX($A370:$T370,MATCH(Lists!$F$9,$A$1:$T$1,0))&amp;""),""))),"Oppose",IF(IFERROR(TRIM(INDEX($A370:$T370,MATCH(Lists!$F$9,$A$1:$T$1,0))&amp;""),"")="","No position","Neither"))))</f>
        <v/>
      </c>
      <c r="AD370" s="21">
        <f>IF(Y370="","",IF(ISNUMBER(SEARCH("in person",IFERROR(TRIM(INDEX($A370:$T370,MATCH(Lists!$F$13,$A$1:$T$1,0))&amp;""),""))),"In person",IF(ISNUMBER(SEARCH("online",IFERROR(TRIM(INDEX($A370:$T370,MATCH(Lists!$F$13,$A$1:$T$1,0))&amp;""),""))),"Online","Written only")))</f>
        <v/>
      </c>
      <c r="AE370" s="21">
        <f>IF(Y370="","",IFERROR(TRIM(INDEX($A370:$T370,MATCH(Lists!$F$11,$A$1:$T$1,0))&amp;""),""))</f>
        <v/>
      </c>
      <c r="AF370" s="21">
        <f>IF(Y370="","",IFERROR(TRIM(INDEX($A370:$T370,MATCH(Lists!$F$12,$A$1:$T$1,0))&amp;""),""))</f>
        <v/>
      </c>
      <c r="AG370" s="21">
        <f>IF(Y370="","",IFERROR(TRIM(INDEX($A370:$T370,MATCH(Lists!$F$14,$A$1:$T$1,0))&amp;""),""))</f>
        <v/>
      </c>
      <c r="AH370" s="21">
        <f>IF(Y370="","",LEFT(IFERROR(TRIM(INDEX($A370:$T370,MATCH(Lists!$F$10,$A$1:$T$1,0))&amp;""),""),80))</f>
        <v/>
      </c>
      <c r="AI370" s="21">
        <f>IF(Y370="",0,IF(OR(Tally!$B$5="",AA370=Tally!$B$5),1,0))</f>
        <v/>
      </c>
      <c r="AJ370" s="21">
        <f>IF(AI370=1,IF(COUNTIFS($AB$2:AB370,AB370,$AI$2:AI370,1)=1,1,0),0)</f>
        <v/>
      </c>
      <c r="AK370" s="21">
        <f>IF(AJ370=1,SUM($AJ$2:AJ370),"")</f>
        <v/>
      </c>
      <c r="AL370" s="21">
        <f>IF(AND(AI370=1,OR(AD370="In person",AD370="Online"),OR(Speakers!$B$5="",AB370=Speakers!$B$5)),N(Z370)+ROW()/1000000000,"")</f>
        <v/>
      </c>
    </row>
    <row r="371">
      <c r="U371" s="19" t="n"/>
      <c r="V371" s="24" t="n"/>
      <c r="W371" s="24" t="n"/>
      <c r="X371" s="19" t="n"/>
      <c r="Y371" s="21">
        <f>IFERROR(TRIM(INDEX($A371:$T371,MATCH(Lists!$F$2,$A$1:$T$1,0))&amp;""),"")</f>
        <v/>
      </c>
      <c r="Z371" s="22">
        <f>IF(Y371="","",IFERROR(IF(ISNUMBER(INDEX($A371:$T371,MATCH(Lists!$F$3,$A$1:$T$1,0))),INDEX($A371:$T371,MATCH(Lists!$F$3,$A$1:$T$1,0)),DATE(VALUE(LEFT(IFERROR(TRIM(INDEX($A371:$T371,MATCH(Lists!$F$3,$A$1:$T$1,0))&amp;""),""),4)),VALUE(MID(IFERROR(TRIM(INDEX($A371:$T371,MATCH(Lists!$F$3,$A$1:$T$1,0))&amp;""),""),6,2)),VALUE(MID(IFERROR(TRIM(INDEX($A371:$T371,MATCH(Lists!$F$3,$A$1:$T$1,0))&amp;""),""),9,2)))+TIME(VALUE(MID(IFERROR(TRIM(INDEX($A371:$T371,MATCH(Lists!$F$3,$A$1:$T$1,0))&amp;""),""),12,2)),VALUE(MID(IFERROR(TRIM(INDEX($A371:$T371,MATCH(Lists!$F$3,$A$1:$T$1,0))&amp;""),""),15,2)),VALUE(MID(IFERROR(TRIM(INDEX($A371:$T371,MATCH(Lists!$F$3,$A$1:$T$1,0))&amp;""),""),18,2)))),""))</f>
        <v/>
      </c>
      <c r="AA371" s="23">
        <f>IF(Y371="","",IF(ISNUMBER(IFERROR(IF(TRIM(INDEX($A371:$T371,MATCH(Lists!$F$4,$A$1:$T$1,0))&amp;"")="","",IF(ISNUMBER(INDEX($A371:$T371,MATCH(Lists!$F$4,$A$1:$T$1,0))),INT(INDEX($A371:$T371,MATCH(Lists!$F$4,$A$1:$T$1,0))),DATE(VALUE(LEFT(INDEX($A371:$T371,MATCH(Lists!$F$4,$A$1:$T$1,0)),4)),VALUE(MID(INDEX($A371:$T371,MATCH(Lists!$F$4,$A$1:$T$1,0)),6,2)),VALUE(MID(INDEX($A371:$T371,MATCH(Lists!$F$4,$A$1:$T$1,0)),9,2))))),"")),IFERROR(IF(TRIM(INDEX($A371:$T371,MATCH(Lists!$F$4,$A$1:$T$1,0))&amp;"")="","",IF(ISNUMBER(INDEX($A371:$T371,MATCH(Lists!$F$4,$A$1:$T$1,0))),INT(INDEX($A371:$T371,MATCH(Lists!$F$4,$A$1:$T$1,0))),DATE(VALUE(LEFT(INDEX($A371:$T371,MATCH(Lists!$F$4,$A$1:$T$1,0)),4)),VALUE(MID(INDEX($A371:$T371,MATCH(Lists!$F$4,$A$1:$T$1,0)),6,2)),VALUE(MID(INDEX($A371:$T371,MATCH(Lists!$F$4,$A$1:$T$1,0)),9,2))))),""),IFERROR(IF(TRIM(INDEX($A371:$T371,MATCH(Lists!$F$5,$A$1:$T$1,0))&amp;"")="","",IF(ISNUMBER(INDEX($A371:$T371,MATCH(Lists!$F$5,$A$1:$T$1,0))),INT(INDEX($A371:$T371,MATCH(Lists!$F$5,$A$1:$T$1,0))),DATE(VALUE(LEFT(INDEX($A371:$T371,MATCH(Lists!$F$5,$A$1:$T$1,0)),4)),VALUE(MID(INDEX($A371:$T371,MATCH(Lists!$F$5,$A$1:$T$1,0)),6,2)),VALUE(MID(INDEX($A371:$T371,MATCH(Lists!$F$5,$A$1:$T$1,0)),9,2))))),"")))</f>
        <v/>
      </c>
      <c r="AB371" s="21">
        <f>IF(Y371="","",IF(LEFT(IFERROR(TRIM(INDEX($A371:$T371,MATCH(Lists!$F$6,$A$1:$T$1,0))&amp;""),""),2)="No","General comment",IF(IFERROR(TRIM(INDEX($A371:$T371,MATCH(Lists!$F$7,$A$1:$T$1,0))&amp;""),"")&lt;&gt;"",IFERROR(TRIM(INDEX($A371:$T371,MATCH(Lists!$F$7,$A$1:$T$1,0))&amp;""),""),IF(IFERROR(TRIM(INDEX($A371:$T371,MATCH(Lists!$F$8,$A$1:$T$1,0))&amp;""),"")&lt;&gt;"",IFERROR(TRIM(INDEX($A371:$T371,MATCH(Lists!$F$8,$A$1:$T$1,0))&amp;""),""),"(no item given)"))))</f>
        <v/>
      </c>
      <c r="AC371" s="21">
        <f>IF(Y371="","",IF(ISNUMBER(SEARCH("support",IFERROR(TRIM(INDEX($A371:$T371,MATCH(Lists!$F$9,$A$1:$T$1,0))&amp;""),""))),"Support",IF(ISNUMBER(SEARCH("oppose",IFERROR(TRIM(INDEX($A371:$T371,MATCH(Lists!$F$9,$A$1:$T$1,0))&amp;""),""))),"Oppose",IF(IFERROR(TRIM(INDEX($A371:$T371,MATCH(Lists!$F$9,$A$1:$T$1,0))&amp;""),"")="","No position","Neither"))))</f>
        <v/>
      </c>
      <c r="AD371" s="21">
        <f>IF(Y371="","",IF(ISNUMBER(SEARCH("in person",IFERROR(TRIM(INDEX($A371:$T371,MATCH(Lists!$F$13,$A$1:$T$1,0))&amp;""),""))),"In person",IF(ISNUMBER(SEARCH("online",IFERROR(TRIM(INDEX($A371:$T371,MATCH(Lists!$F$13,$A$1:$T$1,0))&amp;""),""))),"Online","Written only")))</f>
        <v/>
      </c>
      <c r="AE371" s="21">
        <f>IF(Y371="","",IFERROR(TRIM(INDEX($A371:$T371,MATCH(Lists!$F$11,$A$1:$T$1,0))&amp;""),""))</f>
        <v/>
      </c>
      <c r="AF371" s="21">
        <f>IF(Y371="","",IFERROR(TRIM(INDEX($A371:$T371,MATCH(Lists!$F$12,$A$1:$T$1,0))&amp;""),""))</f>
        <v/>
      </c>
      <c r="AG371" s="21">
        <f>IF(Y371="","",IFERROR(TRIM(INDEX($A371:$T371,MATCH(Lists!$F$14,$A$1:$T$1,0))&amp;""),""))</f>
        <v/>
      </c>
      <c r="AH371" s="21">
        <f>IF(Y371="","",LEFT(IFERROR(TRIM(INDEX($A371:$T371,MATCH(Lists!$F$10,$A$1:$T$1,0))&amp;""),""),80))</f>
        <v/>
      </c>
      <c r="AI371" s="21">
        <f>IF(Y371="",0,IF(OR(Tally!$B$5="",AA371=Tally!$B$5),1,0))</f>
        <v/>
      </c>
      <c r="AJ371" s="21">
        <f>IF(AI371=1,IF(COUNTIFS($AB$2:AB371,AB371,$AI$2:AI371,1)=1,1,0),0)</f>
        <v/>
      </c>
      <c r="AK371" s="21">
        <f>IF(AJ371=1,SUM($AJ$2:AJ371),"")</f>
        <v/>
      </c>
      <c r="AL371" s="21">
        <f>IF(AND(AI371=1,OR(AD371="In person",AD371="Online"),OR(Speakers!$B$5="",AB371=Speakers!$B$5)),N(Z371)+ROW()/1000000000,"")</f>
        <v/>
      </c>
    </row>
    <row r="372">
      <c r="U372" s="19" t="n"/>
      <c r="V372" s="24" t="n"/>
      <c r="W372" s="24" t="n"/>
      <c r="X372" s="19" t="n"/>
      <c r="Y372" s="21">
        <f>IFERROR(TRIM(INDEX($A372:$T372,MATCH(Lists!$F$2,$A$1:$T$1,0))&amp;""),"")</f>
        <v/>
      </c>
      <c r="Z372" s="22">
        <f>IF(Y372="","",IFERROR(IF(ISNUMBER(INDEX($A372:$T372,MATCH(Lists!$F$3,$A$1:$T$1,0))),INDEX($A372:$T372,MATCH(Lists!$F$3,$A$1:$T$1,0)),DATE(VALUE(LEFT(IFERROR(TRIM(INDEX($A372:$T372,MATCH(Lists!$F$3,$A$1:$T$1,0))&amp;""),""),4)),VALUE(MID(IFERROR(TRIM(INDEX($A372:$T372,MATCH(Lists!$F$3,$A$1:$T$1,0))&amp;""),""),6,2)),VALUE(MID(IFERROR(TRIM(INDEX($A372:$T372,MATCH(Lists!$F$3,$A$1:$T$1,0))&amp;""),""),9,2)))+TIME(VALUE(MID(IFERROR(TRIM(INDEX($A372:$T372,MATCH(Lists!$F$3,$A$1:$T$1,0))&amp;""),""),12,2)),VALUE(MID(IFERROR(TRIM(INDEX($A372:$T372,MATCH(Lists!$F$3,$A$1:$T$1,0))&amp;""),""),15,2)),VALUE(MID(IFERROR(TRIM(INDEX($A372:$T372,MATCH(Lists!$F$3,$A$1:$T$1,0))&amp;""),""),18,2)))),""))</f>
        <v/>
      </c>
      <c r="AA372" s="23">
        <f>IF(Y372="","",IF(ISNUMBER(IFERROR(IF(TRIM(INDEX($A372:$T372,MATCH(Lists!$F$4,$A$1:$T$1,0))&amp;"")="","",IF(ISNUMBER(INDEX($A372:$T372,MATCH(Lists!$F$4,$A$1:$T$1,0))),INT(INDEX($A372:$T372,MATCH(Lists!$F$4,$A$1:$T$1,0))),DATE(VALUE(LEFT(INDEX($A372:$T372,MATCH(Lists!$F$4,$A$1:$T$1,0)),4)),VALUE(MID(INDEX($A372:$T372,MATCH(Lists!$F$4,$A$1:$T$1,0)),6,2)),VALUE(MID(INDEX($A372:$T372,MATCH(Lists!$F$4,$A$1:$T$1,0)),9,2))))),"")),IFERROR(IF(TRIM(INDEX($A372:$T372,MATCH(Lists!$F$4,$A$1:$T$1,0))&amp;"")="","",IF(ISNUMBER(INDEX($A372:$T372,MATCH(Lists!$F$4,$A$1:$T$1,0))),INT(INDEX($A372:$T372,MATCH(Lists!$F$4,$A$1:$T$1,0))),DATE(VALUE(LEFT(INDEX($A372:$T372,MATCH(Lists!$F$4,$A$1:$T$1,0)),4)),VALUE(MID(INDEX($A372:$T372,MATCH(Lists!$F$4,$A$1:$T$1,0)),6,2)),VALUE(MID(INDEX($A372:$T372,MATCH(Lists!$F$4,$A$1:$T$1,0)),9,2))))),""),IFERROR(IF(TRIM(INDEX($A372:$T372,MATCH(Lists!$F$5,$A$1:$T$1,0))&amp;"")="","",IF(ISNUMBER(INDEX($A372:$T372,MATCH(Lists!$F$5,$A$1:$T$1,0))),INT(INDEX($A372:$T372,MATCH(Lists!$F$5,$A$1:$T$1,0))),DATE(VALUE(LEFT(INDEX($A372:$T372,MATCH(Lists!$F$5,$A$1:$T$1,0)),4)),VALUE(MID(INDEX($A372:$T372,MATCH(Lists!$F$5,$A$1:$T$1,0)),6,2)),VALUE(MID(INDEX($A372:$T372,MATCH(Lists!$F$5,$A$1:$T$1,0)),9,2))))),"")))</f>
        <v/>
      </c>
      <c r="AB372" s="21">
        <f>IF(Y372="","",IF(LEFT(IFERROR(TRIM(INDEX($A372:$T372,MATCH(Lists!$F$6,$A$1:$T$1,0))&amp;""),""),2)="No","General comment",IF(IFERROR(TRIM(INDEX($A372:$T372,MATCH(Lists!$F$7,$A$1:$T$1,0))&amp;""),"")&lt;&gt;"",IFERROR(TRIM(INDEX($A372:$T372,MATCH(Lists!$F$7,$A$1:$T$1,0))&amp;""),""),IF(IFERROR(TRIM(INDEX($A372:$T372,MATCH(Lists!$F$8,$A$1:$T$1,0))&amp;""),"")&lt;&gt;"",IFERROR(TRIM(INDEX($A372:$T372,MATCH(Lists!$F$8,$A$1:$T$1,0))&amp;""),""),"(no item given)"))))</f>
        <v/>
      </c>
      <c r="AC372" s="21">
        <f>IF(Y372="","",IF(ISNUMBER(SEARCH("support",IFERROR(TRIM(INDEX($A372:$T372,MATCH(Lists!$F$9,$A$1:$T$1,0))&amp;""),""))),"Support",IF(ISNUMBER(SEARCH("oppose",IFERROR(TRIM(INDEX($A372:$T372,MATCH(Lists!$F$9,$A$1:$T$1,0))&amp;""),""))),"Oppose",IF(IFERROR(TRIM(INDEX($A372:$T372,MATCH(Lists!$F$9,$A$1:$T$1,0))&amp;""),"")="","No position","Neither"))))</f>
        <v/>
      </c>
      <c r="AD372" s="21">
        <f>IF(Y372="","",IF(ISNUMBER(SEARCH("in person",IFERROR(TRIM(INDEX($A372:$T372,MATCH(Lists!$F$13,$A$1:$T$1,0))&amp;""),""))),"In person",IF(ISNUMBER(SEARCH("online",IFERROR(TRIM(INDEX($A372:$T372,MATCH(Lists!$F$13,$A$1:$T$1,0))&amp;""),""))),"Online","Written only")))</f>
        <v/>
      </c>
      <c r="AE372" s="21">
        <f>IF(Y372="","",IFERROR(TRIM(INDEX($A372:$T372,MATCH(Lists!$F$11,$A$1:$T$1,0))&amp;""),""))</f>
        <v/>
      </c>
      <c r="AF372" s="21">
        <f>IF(Y372="","",IFERROR(TRIM(INDEX($A372:$T372,MATCH(Lists!$F$12,$A$1:$T$1,0))&amp;""),""))</f>
        <v/>
      </c>
      <c r="AG372" s="21">
        <f>IF(Y372="","",IFERROR(TRIM(INDEX($A372:$T372,MATCH(Lists!$F$14,$A$1:$T$1,0))&amp;""),""))</f>
        <v/>
      </c>
      <c r="AH372" s="21">
        <f>IF(Y372="","",LEFT(IFERROR(TRIM(INDEX($A372:$T372,MATCH(Lists!$F$10,$A$1:$T$1,0))&amp;""),""),80))</f>
        <v/>
      </c>
      <c r="AI372" s="21">
        <f>IF(Y372="",0,IF(OR(Tally!$B$5="",AA372=Tally!$B$5),1,0))</f>
        <v/>
      </c>
      <c r="AJ372" s="21">
        <f>IF(AI372=1,IF(COUNTIFS($AB$2:AB372,AB372,$AI$2:AI372,1)=1,1,0),0)</f>
        <v/>
      </c>
      <c r="AK372" s="21">
        <f>IF(AJ372=1,SUM($AJ$2:AJ372),"")</f>
        <v/>
      </c>
      <c r="AL372" s="21">
        <f>IF(AND(AI372=1,OR(AD372="In person",AD372="Online"),OR(Speakers!$B$5="",AB372=Speakers!$B$5)),N(Z372)+ROW()/1000000000,"")</f>
        <v/>
      </c>
    </row>
    <row r="373">
      <c r="U373" s="19" t="n"/>
      <c r="V373" s="24" t="n"/>
      <c r="W373" s="24" t="n"/>
      <c r="X373" s="19" t="n"/>
      <c r="Y373" s="21">
        <f>IFERROR(TRIM(INDEX($A373:$T373,MATCH(Lists!$F$2,$A$1:$T$1,0))&amp;""),"")</f>
        <v/>
      </c>
      <c r="Z373" s="22">
        <f>IF(Y373="","",IFERROR(IF(ISNUMBER(INDEX($A373:$T373,MATCH(Lists!$F$3,$A$1:$T$1,0))),INDEX($A373:$T373,MATCH(Lists!$F$3,$A$1:$T$1,0)),DATE(VALUE(LEFT(IFERROR(TRIM(INDEX($A373:$T373,MATCH(Lists!$F$3,$A$1:$T$1,0))&amp;""),""),4)),VALUE(MID(IFERROR(TRIM(INDEX($A373:$T373,MATCH(Lists!$F$3,$A$1:$T$1,0))&amp;""),""),6,2)),VALUE(MID(IFERROR(TRIM(INDEX($A373:$T373,MATCH(Lists!$F$3,$A$1:$T$1,0))&amp;""),""),9,2)))+TIME(VALUE(MID(IFERROR(TRIM(INDEX($A373:$T373,MATCH(Lists!$F$3,$A$1:$T$1,0))&amp;""),""),12,2)),VALUE(MID(IFERROR(TRIM(INDEX($A373:$T373,MATCH(Lists!$F$3,$A$1:$T$1,0))&amp;""),""),15,2)),VALUE(MID(IFERROR(TRIM(INDEX($A373:$T373,MATCH(Lists!$F$3,$A$1:$T$1,0))&amp;""),""),18,2)))),""))</f>
        <v/>
      </c>
      <c r="AA373" s="23">
        <f>IF(Y373="","",IF(ISNUMBER(IFERROR(IF(TRIM(INDEX($A373:$T373,MATCH(Lists!$F$4,$A$1:$T$1,0))&amp;"")="","",IF(ISNUMBER(INDEX($A373:$T373,MATCH(Lists!$F$4,$A$1:$T$1,0))),INT(INDEX($A373:$T373,MATCH(Lists!$F$4,$A$1:$T$1,0))),DATE(VALUE(LEFT(INDEX($A373:$T373,MATCH(Lists!$F$4,$A$1:$T$1,0)),4)),VALUE(MID(INDEX($A373:$T373,MATCH(Lists!$F$4,$A$1:$T$1,0)),6,2)),VALUE(MID(INDEX($A373:$T373,MATCH(Lists!$F$4,$A$1:$T$1,0)),9,2))))),"")),IFERROR(IF(TRIM(INDEX($A373:$T373,MATCH(Lists!$F$4,$A$1:$T$1,0))&amp;"")="","",IF(ISNUMBER(INDEX($A373:$T373,MATCH(Lists!$F$4,$A$1:$T$1,0))),INT(INDEX($A373:$T373,MATCH(Lists!$F$4,$A$1:$T$1,0))),DATE(VALUE(LEFT(INDEX($A373:$T373,MATCH(Lists!$F$4,$A$1:$T$1,0)),4)),VALUE(MID(INDEX($A373:$T373,MATCH(Lists!$F$4,$A$1:$T$1,0)),6,2)),VALUE(MID(INDEX($A373:$T373,MATCH(Lists!$F$4,$A$1:$T$1,0)),9,2))))),""),IFERROR(IF(TRIM(INDEX($A373:$T373,MATCH(Lists!$F$5,$A$1:$T$1,0))&amp;"")="","",IF(ISNUMBER(INDEX($A373:$T373,MATCH(Lists!$F$5,$A$1:$T$1,0))),INT(INDEX($A373:$T373,MATCH(Lists!$F$5,$A$1:$T$1,0))),DATE(VALUE(LEFT(INDEX($A373:$T373,MATCH(Lists!$F$5,$A$1:$T$1,0)),4)),VALUE(MID(INDEX($A373:$T373,MATCH(Lists!$F$5,$A$1:$T$1,0)),6,2)),VALUE(MID(INDEX($A373:$T373,MATCH(Lists!$F$5,$A$1:$T$1,0)),9,2))))),"")))</f>
        <v/>
      </c>
      <c r="AB373" s="21">
        <f>IF(Y373="","",IF(LEFT(IFERROR(TRIM(INDEX($A373:$T373,MATCH(Lists!$F$6,$A$1:$T$1,0))&amp;""),""),2)="No","General comment",IF(IFERROR(TRIM(INDEX($A373:$T373,MATCH(Lists!$F$7,$A$1:$T$1,0))&amp;""),"")&lt;&gt;"",IFERROR(TRIM(INDEX($A373:$T373,MATCH(Lists!$F$7,$A$1:$T$1,0))&amp;""),""),IF(IFERROR(TRIM(INDEX($A373:$T373,MATCH(Lists!$F$8,$A$1:$T$1,0))&amp;""),"")&lt;&gt;"",IFERROR(TRIM(INDEX($A373:$T373,MATCH(Lists!$F$8,$A$1:$T$1,0))&amp;""),""),"(no item given)"))))</f>
        <v/>
      </c>
      <c r="AC373" s="21">
        <f>IF(Y373="","",IF(ISNUMBER(SEARCH("support",IFERROR(TRIM(INDEX($A373:$T373,MATCH(Lists!$F$9,$A$1:$T$1,0))&amp;""),""))),"Support",IF(ISNUMBER(SEARCH("oppose",IFERROR(TRIM(INDEX($A373:$T373,MATCH(Lists!$F$9,$A$1:$T$1,0))&amp;""),""))),"Oppose",IF(IFERROR(TRIM(INDEX($A373:$T373,MATCH(Lists!$F$9,$A$1:$T$1,0))&amp;""),"")="","No position","Neither"))))</f>
        <v/>
      </c>
      <c r="AD373" s="21">
        <f>IF(Y373="","",IF(ISNUMBER(SEARCH("in person",IFERROR(TRIM(INDEX($A373:$T373,MATCH(Lists!$F$13,$A$1:$T$1,0))&amp;""),""))),"In person",IF(ISNUMBER(SEARCH("online",IFERROR(TRIM(INDEX($A373:$T373,MATCH(Lists!$F$13,$A$1:$T$1,0))&amp;""),""))),"Online","Written only")))</f>
        <v/>
      </c>
      <c r="AE373" s="21">
        <f>IF(Y373="","",IFERROR(TRIM(INDEX($A373:$T373,MATCH(Lists!$F$11,$A$1:$T$1,0))&amp;""),""))</f>
        <v/>
      </c>
      <c r="AF373" s="21">
        <f>IF(Y373="","",IFERROR(TRIM(INDEX($A373:$T373,MATCH(Lists!$F$12,$A$1:$T$1,0))&amp;""),""))</f>
        <v/>
      </c>
      <c r="AG373" s="21">
        <f>IF(Y373="","",IFERROR(TRIM(INDEX($A373:$T373,MATCH(Lists!$F$14,$A$1:$T$1,0))&amp;""),""))</f>
        <v/>
      </c>
      <c r="AH373" s="21">
        <f>IF(Y373="","",LEFT(IFERROR(TRIM(INDEX($A373:$T373,MATCH(Lists!$F$10,$A$1:$T$1,0))&amp;""),""),80))</f>
        <v/>
      </c>
      <c r="AI373" s="21">
        <f>IF(Y373="",0,IF(OR(Tally!$B$5="",AA373=Tally!$B$5),1,0))</f>
        <v/>
      </c>
      <c r="AJ373" s="21">
        <f>IF(AI373=1,IF(COUNTIFS($AB$2:AB373,AB373,$AI$2:AI373,1)=1,1,0),0)</f>
        <v/>
      </c>
      <c r="AK373" s="21">
        <f>IF(AJ373=1,SUM($AJ$2:AJ373),"")</f>
        <v/>
      </c>
      <c r="AL373" s="21">
        <f>IF(AND(AI373=1,OR(AD373="In person",AD373="Online"),OR(Speakers!$B$5="",AB373=Speakers!$B$5)),N(Z373)+ROW()/1000000000,"")</f>
        <v/>
      </c>
    </row>
    <row r="374">
      <c r="U374" s="19" t="n"/>
      <c r="V374" s="24" t="n"/>
      <c r="W374" s="24" t="n"/>
      <c r="X374" s="19" t="n"/>
      <c r="Y374" s="21">
        <f>IFERROR(TRIM(INDEX($A374:$T374,MATCH(Lists!$F$2,$A$1:$T$1,0))&amp;""),"")</f>
        <v/>
      </c>
      <c r="Z374" s="22">
        <f>IF(Y374="","",IFERROR(IF(ISNUMBER(INDEX($A374:$T374,MATCH(Lists!$F$3,$A$1:$T$1,0))),INDEX($A374:$T374,MATCH(Lists!$F$3,$A$1:$T$1,0)),DATE(VALUE(LEFT(IFERROR(TRIM(INDEX($A374:$T374,MATCH(Lists!$F$3,$A$1:$T$1,0))&amp;""),""),4)),VALUE(MID(IFERROR(TRIM(INDEX($A374:$T374,MATCH(Lists!$F$3,$A$1:$T$1,0))&amp;""),""),6,2)),VALUE(MID(IFERROR(TRIM(INDEX($A374:$T374,MATCH(Lists!$F$3,$A$1:$T$1,0))&amp;""),""),9,2)))+TIME(VALUE(MID(IFERROR(TRIM(INDEX($A374:$T374,MATCH(Lists!$F$3,$A$1:$T$1,0))&amp;""),""),12,2)),VALUE(MID(IFERROR(TRIM(INDEX($A374:$T374,MATCH(Lists!$F$3,$A$1:$T$1,0))&amp;""),""),15,2)),VALUE(MID(IFERROR(TRIM(INDEX($A374:$T374,MATCH(Lists!$F$3,$A$1:$T$1,0))&amp;""),""),18,2)))),""))</f>
        <v/>
      </c>
      <c r="AA374" s="23">
        <f>IF(Y374="","",IF(ISNUMBER(IFERROR(IF(TRIM(INDEX($A374:$T374,MATCH(Lists!$F$4,$A$1:$T$1,0))&amp;"")="","",IF(ISNUMBER(INDEX($A374:$T374,MATCH(Lists!$F$4,$A$1:$T$1,0))),INT(INDEX($A374:$T374,MATCH(Lists!$F$4,$A$1:$T$1,0))),DATE(VALUE(LEFT(INDEX($A374:$T374,MATCH(Lists!$F$4,$A$1:$T$1,0)),4)),VALUE(MID(INDEX($A374:$T374,MATCH(Lists!$F$4,$A$1:$T$1,0)),6,2)),VALUE(MID(INDEX($A374:$T374,MATCH(Lists!$F$4,$A$1:$T$1,0)),9,2))))),"")),IFERROR(IF(TRIM(INDEX($A374:$T374,MATCH(Lists!$F$4,$A$1:$T$1,0))&amp;"")="","",IF(ISNUMBER(INDEX($A374:$T374,MATCH(Lists!$F$4,$A$1:$T$1,0))),INT(INDEX($A374:$T374,MATCH(Lists!$F$4,$A$1:$T$1,0))),DATE(VALUE(LEFT(INDEX($A374:$T374,MATCH(Lists!$F$4,$A$1:$T$1,0)),4)),VALUE(MID(INDEX($A374:$T374,MATCH(Lists!$F$4,$A$1:$T$1,0)),6,2)),VALUE(MID(INDEX($A374:$T374,MATCH(Lists!$F$4,$A$1:$T$1,0)),9,2))))),""),IFERROR(IF(TRIM(INDEX($A374:$T374,MATCH(Lists!$F$5,$A$1:$T$1,0))&amp;"")="","",IF(ISNUMBER(INDEX($A374:$T374,MATCH(Lists!$F$5,$A$1:$T$1,0))),INT(INDEX($A374:$T374,MATCH(Lists!$F$5,$A$1:$T$1,0))),DATE(VALUE(LEFT(INDEX($A374:$T374,MATCH(Lists!$F$5,$A$1:$T$1,0)),4)),VALUE(MID(INDEX($A374:$T374,MATCH(Lists!$F$5,$A$1:$T$1,0)),6,2)),VALUE(MID(INDEX($A374:$T374,MATCH(Lists!$F$5,$A$1:$T$1,0)),9,2))))),"")))</f>
        <v/>
      </c>
      <c r="AB374" s="21">
        <f>IF(Y374="","",IF(LEFT(IFERROR(TRIM(INDEX($A374:$T374,MATCH(Lists!$F$6,$A$1:$T$1,0))&amp;""),""),2)="No","General comment",IF(IFERROR(TRIM(INDEX($A374:$T374,MATCH(Lists!$F$7,$A$1:$T$1,0))&amp;""),"")&lt;&gt;"",IFERROR(TRIM(INDEX($A374:$T374,MATCH(Lists!$F$7,$A$1:$T$1,0))&amp;""),""),IF(IFERROR(TRIM(INDEX($A374:$T374,MATCH(Lists!$F$8,$A$1:$T$1,0))&amp;""),"")&lt;&gt;"",IFERROR(TRIM(INDEX($A374:$T374,MATCH(Lists!$F$8,$A$1:$T$1,0))&amp;""),""),"(no item given)"))))</f>
        <v/>
      </c>
      <c r="AC374" s="21">
        <f>IF(Y374="","",IF(ISNUMBER(SEARCH("support",IFERROR(TRIM(INDEX($A374:$T374,MATCH(Lists!$F$9,$A$1:$T$1,0))&amp;""),""))),"Support",IF(ISNUMBER(SEARCH("oppose",IFERROR(TRIM(INDEX($A374:$T374,MATCH(Lists!$F$9,$A$1:$T$1,0))&amp;""),""))),"Oppose",IF(IFERROR(TRIM(INDEX($A374:$T374,MATCH(Lists!$F$9,$A$1:$T$1,0))&amp;""),"")="","No position","Neither"))))</f>
        <v/>
      </c>
      <c r="AD374" s="21">
        <f>IF(Y374="","",IF(ISNUMBER(SEARCH("in person",IFERROR(TRIM(INDEX($A374:$T374,MATCH(Lists!$F$13,$A$1:$T$1,0))&amp;""),""))),"In person",IF(ISNUMBER(SEARCH("online",IFERROR(TRIM(INDEX($A374:$T374,MATCH(Lists!$F$13,$A$1:$T$1,0))&amp;""),""))),"Online","Written only")))</f>
        <v/>
      </c>
      <c r="AE374" s="21">
        <f>IF(Y374="","",IFERROR(TRIM(INDEX($A374:$T374,MATCH(Lists!$F$11,$A$1:$T$1,0))&amp;""),""))</f>
        <v/>
      </c>
      <c r="AF374" s="21">
        <f>IF(Y374="","",IFERROR(TRIM(INDEX($A374:$T374,MATCH(Lists!$F$12,$A$1:$T$1,0))&amp;""),""))</f>
        <v/>
      </c>
      <c r="AG374" s="21">
        <f>IF(Y374="","",IFERROR(TRIM(INDEX($A374:$T374,MATCH(Lists!$F$14,$A$1:$T$1,0))&amp;""),""))</f>
        <v/>
      </c>
      <c r="AH374" s="21">
        <f>IF(Y374="","",LEFT(IFERROR(TRIM(INDEX($A374:$T374,MATCH(Lists!$F$10,$A$1:$T$1,0))&amp;""),""),80))</f>
        <v/>
      </c>
      <c r="AI374" s="21">
        <f>IF(Y374="",0,IF(OR(Tally!$B$5="",AA374=Tally!$B$5),1,0))</f>
        <v/>
      </c>
      <c r="AJ374" s="21">
        <f>IF(AI374=1,IF(COUNTIFS($AB$2:AB374,AB374,$AI$2:AI374,1)=1,1,0),0)</f>
        <v/>
      </c>
      <c r="AK374" s="21">
        <f>IF(AJ374=1,SUM($AJ$2:AJ374),"")</f>
        <v/>
      </c>
      <c r="AL374" s="21">
        <f>IF(AND(AI374=1,OR(AD374="In person",AD374="Online"),OR(Speakers!$B$5="",AB374=Speakers!$B$5)),N(Z374)+ROW()/1000000000,"")</f>
        <v/>
      </c>
    </row>
    <row r="375">
      <c r="U375" s="19" t="n"/>
      <c r="V375" s="24" t="n"/>
      <c r="W375" s="24" t="n"/>
      <c r="X375" s="19" t="n"/>
      <c r="Y375" s="21">
        <f>IFERROR(TRIM(INDEX($A375:$T375,MATCH(Lists!$F$2,$A$1:$T$1,0))&amp;""),"")</f>
        <v/>
      </c>
      <c r="Z375" s="22">
        <f>IF(Y375="","",IFERROR(IF(ISNUMBER(INDEX($A375:$T375,MATCH(Lists!$F$3,$A$1:$T$1,0))),INDEX($A375:$T375,MATCH(Lists!$F$3,$A$1:$T$1,0)),DATE(VALUE(LEFT(IFERROR(TRIM(INDEX($A375:$T375,MATCH(Lists!$F$3,$A$1:$T$1,0))&amp;""),""),4)),VALUE(MID(IFERROR(TRIM(INDEX($A375:$T375,MATCH(Lists!$F$3,$A$1:$T$1,0))&amp;""),""),6,2)),VALUE(MID(IFERROR(TRIM(INDEX($A375:$T375,MATCH(Lists!$F$3,$A$1:$T$1,0))&amp;""),""),9,2)))+TIME(VALUE(MID(IFERROR(TRIM(INDEX($A375:$T375,MATCH(Lists!$F$3,$A$1:$T$1,0))&amp;""),""),12,2)),VALUE(MID(IFERROR(TRIM(INDEX($A375:$T375,MATCH(Lists!$F$3,$A$1:$T$1,0))&amp;""),""),15,2)),VALUE(MID(IFERROR(TRIM(INDEX($A375:$T375,MATCH(Lists!$F$3,$A$1:$T$1,0))&amp;""),""),18,2)))),""))</f>
        <v/>
      </c>
      <c r="AA375" s="23">
        <f>IF(Y375="","",IF(ISNUMBER(IFERROR(IF(TRIM(INDEX($A375:$T375,MATCH(Lists!$F$4,$A$1:$T$1,0))&amp;"")="","",IF(ISNUMBER(INDEX($A375:$T375,MATCH(Lists!$F$4,$A$1:$T$1,0))),INT(INDEX($A375:$T375,MATCH(Lists!$F$4,$A$1:$T$1,0))),DATE(VALUE(LEFT(INDEX($A375:$T375,MATCH(Lists!$F$4,$A$1:$T$1,0)),4)),VALUE(MID(INDEX($A375:$T375,MATCH(Lists!$F$4,$A$1:$T$1,0)),6,2)),VALUE(MID(INDEX($A375:$T375,MATCH(Lists!$F$4,$A$1:$T$1,0)),9,2))))),"")),IFERROR(IF(TRIM(INDEX($A375:$T375,MATCH(Lists!$F$4,$A$1:$T$1,0))&amp;"")="","",IF(ISNUMBER(INDEX($A375:$T375,MATCH(Lists!$F$4,$A$1:$T$1,0))),INT(INDEX($A375:$T375,MATCH(Lists!$F$4,$A$1:$T$1,0))),DATE(VALUE(LEFT(INDEX($A375:$T375,MATCH(Lists!$F$4,$A$1:$T$1,0)),4)),VALUE(MID(INDEX($A375:$T375,MATCH(Lists!$F$4,$A$1:$T$1,0)),6,2)),VALUE(MID(INDEX($A375:$T375,MATCH(Lists!$F$4,$A$1:$T$1,0)),9,2))))),""),IFERROR(IF(TRIM(INDEX($A375:$T375,MATCH(Lists!$F$5,$A$1:$T$1,0))&amp;"")="","",IF(ISNUMBER(INDEX($A375:$T375,MATCH(Lists!$F$5,$A$1:$T$1,0))),INT(INDEX($A375:$T375,MATCH(Lists!$F$5,$A$1:$T$1,0))),DATE(VALUE(LEFT(INDEX($A375:$T375,MATCH(Lists!$F$5,$A$1:$T$1,0)),4)),VALUE(MID(INDEX($A375:$T375,MATCH(Lists!$F$5,$A$1:$T$1,0)),6,2)),VALUE(MID(INDEX($A375:$T375,MATCH(Lists!$F$5,$A$1:$T$1,0)),9,2))))),"")))</f>
        <v/>
      </c>
      <c r="AB375" s="21">
        <f>IF(Y375="","",IF(LEFT(IFERROR(TRIM(INDEX($A375:$T375,MATCH(Lists!$F$6,$A$1:$T$1,0))&amp;""),""),2)="No","General comment",IF(IFERROR(TRIM(INDEX($A375:$T375,MATCH(Lists!$F$7,$A$1:$T$1,0))&amp;""),"")&lt;&gt;"",IFERROR(TRIM(INDEX($A375:$T375,MATCH(Lists!$F$7,$A$1:$T$1,0))&amp;""),""),IF(IFERROR(TRIM(INDEX($A375:$T375,MATCH(Lists!$F$8,$A$1:$T$1,0))&amp;""),"")&lt;&gt;"",IFERROR(TRIM(INDEX($A375:$T375,MATCH(Lists!$F$8,$A$1:$T$1,0))&amp;""),""),"(no item given)"))))</f>
        <v/>
      </c>
      <c r="AC375" s="21">
        <f>IF(Y375="","",IF(ISNUMBER(SEARCH("support",IFERROR(TRIM(INDEX($A375:$T375,MATCH(Lists!$F$9,$A$1:$T$1,0))&amp;""),""))),"Support",IF(ISNUMBER(SEARCH("oppose",IFERROR(TRIM(INDEX($A375:$T375,MATCH(Lists!$F$9,$A$1:$T$1,0))&amp;""),""))),"Oppose",IF(IFERROR(TRIM(INDEX($A375:$T375,MATCH(Lists!$F$9,$A$1:$T$1,0))&amp;""),"")="","No position","Neither"))))</f>
        <v/>
      </c>
      <c r="AD375" s="21">
        <f>IF(Y375="","",IF(ISNUMBER(SEARCH("in person",IFERROR(TRIM(INDEX($A375:$T375,MATCH(Lists!$F$13,$A$1:$T$1,0))&amp;""),""))),"In person",IF(ISNUMBER(SEARCH("online",IFERROR(TRIM(INDEX($A375:$T375,MATCH(Lists!$F$13,$A$1:$T$1,0))&amp;""),""))),"Online","Written only")))</f>
        <v/>
      </c>
      <c r="AE375" s="21">
        <f>IF(Y375="","",IFERROR(TRIM(INDEX($A375:$T375,MATCH(Lists!$F$11,$A$1:$T$1,0))&amp;""),""))</f>
        <v/>
      </c>
      <c r="AF375" s="21">
        <f>IF(Y375="","",IFERROR(TRIM(INDEX($A375:$T375,MATCH(Lists!$F$12,$A$1:$T$1,0))&amp;""),""))</f>
        <v/>
      </c>
      <c r="AG375" s="21">
        <f>IF(Y375="","",IFERROR(TRIM(INDEX($A375:$T375,MATCH(Lists!$F$14,$A$1:$T$1,0))&amp;""),""))</f>
        <v/>
      </c>
      <c r="AH375" s="21">
        <f>IF(Y375="","",LEFT(IFERROR(TRIM(INDEX($A375:$T375,MATCH(Lists!$F$10,$A$1:$T$1,0))&amp;""),""),80))</f>
        <v/>
      </c>
      <c r="AI375" s="21">
        <f>IF(Y375="",0,IF(OR(Tally!$B$5="",AA375=Tally!$B$5),1,0))</f>
        <v/>
      </c>
      <c r="AJ375" s="21">
        <f>IF(AI375=1,IF(COUNTIFS($AB$2:AB375,AB375,$AI$2:AI375,1)=1,1,0),0)</f>
        <v/>
      </c>
      <c r="AK375" s="21">
        <f>IF(AJ375=1,SUM($AJ$2:AJ375),"")</f>
        <v/>
      </c>
      <c r="AL375" s="21">
        <f>IF(AND(AI375=1,OR(AD375="In person",AD375="Online"),OR(Speakers!$B$5="",AB375=Speakers!$B$5)),N(Z375)+ROW()/1000000000,"")</f>
        <v/>
      </c>
    </row>
    <row r="376">
      <c r="U376" s="19" t="n"/>
      <c r="V376" s="24" t="n"/>
      <c r="W376" s="24" t="n"/>
      <c r="X376" s="19" t="n"/>
      <c r="Y376" s="21">
        <f>IFERROR(TRIM(INDEX($A376:$T376,MATCH(Lists!$F$2,$A$1:$T$1,0))&amp;""),"")</f>
        <v/>
      </c>
      <c r="Z376" s="22">
        <f>IF(Y376="","",IFERROR(IF(ISNUMBER(INDEX($A376:$T376,MATCH(Lists!$F$3,$A$1:$T$1,0))),INDEX($A376:$T376,MATCH(Lists!$F$3,$A$1:$T$1,0)),DATE(VALUE(LEFT(IFERROR(TRIM(INDEX($A376:$T376,MATCH(Lists!$F$3,$A$1:$T$1,0))&amp;""),""),4)),VALUE(MID(IFERROR(TRIM(INDEX($A376:$T376,MATCH(Lists!$F$3,$A$1:$T$1,0))&amp;""),""),6,2)),VALUE(MID(IFERROR(TRIM(INDEX($A376:$T376,MATCH(Lists!$F$3,$A$1:$T$1,0))&amp;""),""),9,2)))+TIME(VALUE(MID(IFERROR(TRIM(INDEX($A376:$T376,MATCH(Lists!$F$3,$A$1:$T$1,0))&amp;""),""),12,2)),VALUE(MID(IFERROR(TRIM(INDEX($A376:$T376,MATCH(Lists!$F$3,$A$1:$T$1,0))&amp;""),""),15,2)),VALUE(MID(IFERROR(TRIM(INDEX($A376:$T376,MATCH(Lists!$F$3,$A$1:$T$1,0))&amp;""),""),18,2)))),""))</f>
        <v/>
      </c>
      <c r="AA376" s="23">
        <f>IF(Y376="","",IF(ISNUMBER(IFERROR(IF(TRIM(INDEX($A376:$T376,MATCH(Lists!$F$4,$A$1:$T$1,0))&amp;"")="","",IF(ISNUMBER(INDEX($A376:$T376,MATCH(Lists!$F$4,$A$1:$T$1,0))),INT(INDEX($A376:$T376,MATCH(Lists!$F$4,$A$1:$T$1,0))),DATE(VALUE(LEFT(INDEX($A376:$T376,MATCH(Lists!$F$4,$A$1:$T$1,0)),4)),VALUE(MID(INDEX($A376:$T376,MATCH(Lists!$F$4,$A$1:$T$1,0)),6,2)),VALUE(MID(INDEX($A376:$T376,MATCH(Lists!$F$4,$A$1:$T$1,0)),9,2))))),"")),IFERROR(IF(TRIM(INDEX($A376:$T376,MATCH(Lists!$F$4,$A$1:$T$1,0))&amp;"")="","",IF(ISNUMBER(INDEX($A376:$T376,MATCH(Lists!$F$4,$A$1:$T$1,0))),INT(INDEX($A376:$T376,MATCH(Lists!$F$4,$A$1:$T$1,0))),DATE(VALUE(LEFT(INDEX($A376:$T376,MATCH(Lists!$F$4,$A$1:$T$1,0)),4)),VALUE(MID(INDEX($A376:$T376,MATCH(Lists!$F$4,$A$1:$T$1,0)),6,2)),VALUE(MID(INDEX($A376:$T376,MATCH(Lists!$F$4,$A$1:$T$1,0)),9,2))))),""),IFERROR(IF(TRIM(INDEX($A376:$T376,MATCH(Lists!$F$5,$A$1:$T$1,0))&amp;"")="","",IF(ISNUMBER(INDEX($A376:$T376,MATCH(Lists!$F$5,$A$1:$T$1,0))),INT(INDEX($A376:$T376,MATCH(Lists!$F$5,$A$1:$T$1,0))),DATE(VALUE(LEFT(INDEX($A376:$T376,MATCH(Lists!$F$5,$A$1:$T$1,0)),4)),VALUE(MID(INDEX($A376:$T376,MATCH(Lists!$F$5,$A$1:$T$1,0)),6,2)),VALUE(MID(INDEX($A376:$T376,MATCH(Lists!$F$5,$A$1:$T$1,0)),9,2))))),"")))</f>
        <v/>
      </c>
      <c r="AB376" s="21">
        <f>IF(Y376="","",IF(LEFT(IFERROR(TRIM(INDEX($A376:$T376,MATCH(Lists!$F$6,$A$1:$T$1,0))&amp;""),""),2)="No","General comment",IF(IFERROR(TRIM(INDEX($A376:$T376,MATCH(Lists!$F$7,$A$1:$T$1,0))&amp;""),"")&lt;&gt;"",IFERROR(TRIM(INDEX($A376:$T376,MATCH(Lists!$F$7,$A$1:$T$1,0))&amp;""),""),IF(IFERROR(TRIM(INDEX($A376:$T376,MATCH(Lists!$F$8,$A$1:$T$1,0))&amp;""),"")&lt;&gt;"",IFERROR(TRIM(INDEX($A376:$T376,MATCH(Lists!$F$8,$A$1:$T$1,0))&amp;""),""),"(no item given)"))))</f>
        <v/>
      </c>
      <c r="AC376" s="21">
        <f>IF(Y376="","",IF(ISNUMBER(SEARCH("support",IFERROR(TRIM(INDEX($A376:$T376,MATCH(Lists!$F$9,$A$1:$T$1,0))&amp;""),""))),"Support",IF(ISNUMBER(SEARCH("oppose",IFERROR(TRIM(INDEX($A376:$T376,MATCH(Lists!$F$9,$A$1:$T$1,0))&amp;""),""))),"Oppose",IF(IFERROR(TRIM(INDEX($A376:$T376,MATCH(Lists!$F$9,$A$1:$T$1,0))&amp;""),"")="","No position","Neither"))))</f>
        <v/>
      </c>
      <c r="AD376" s="21">
        <f>IF(Y376="","",IF(ISNUMBER(SEARCH("in person",IFERROR(TRIM(INDEX($A376:$T376,MATCH(Lists!$F$13,$A$1:$T$1,0))&amp;""),""))),"In person",IF(ISNUMBER(SEARCH("online",IFERROR(TRIM(INDEX($A376:$T376,MATCH(Lists!$F$13,$A$1:$T$1,0))&amp;""),""))),"Online","Written only")))</f>
        <v/>
      </c>
      <c r="AE376" s="21">
        <f>IF(Y376="","",IFERROR(TRIM(INDEX($A376:$T376,MATCH(Lists!$F$11,$A$1:$T$1,0))&amp;""),""))</f>
        <v/>
      </c>
      <c r="AF376" s="21">
        <f>IF(Y376="","",IFERROR(TRIM(INDEX($A376:$T376,MATCH(Lists!$F$12,$A$1:$T$1,0))&amp;""),""))</f>
        <v/>
      </c>
      <c r="AG376" s="21">
        <f>IF(Y376="","",IFERROR(TRIM(INDEX($A376:$T376,MATCH(Lists!$F$14,$A$1:$T$1,0))&amp;""),""))</f>
        <v/>
      </c>
      <c r="AH376" s="21">
        <f>IF(Y376="","",LEFT(IFERROR(TRIM(INDEX($A376:$T376,MATCH(Lists!$F$10,$A$1:$T$1,0))&amp;""),""),80))</f>
        <v/>
      </c>
      <c r="AI376" s="21">
        <f>IF(Y376="",0,IF(OR(Tally!$B$5="",AA376=Tally!$B$5),1,0))</f>
        <v/>
      </c>
      <c r="AJ376" s="21">
        <f>IF(AI376=1,IF(COUNTIFS($AB$2:AB376,AB376,$AI$2:AI376,1)=1,1,0),0)</f>
        <v/>
      </c>
      <c r="AK376" s="21">
        <f>IF(AJ376=1,SUM($AJ$2:AJ376),"")</f>
        <v/>
      </c>
      <c r="AL376" s="21">
        <f>IF(AND(AI376=1,OR(AD376="In person",AD376="Online"),OR(Speakers!$B$5="",AB376=Speakers!$B$5)),N(Z376)+ROW()/1000000000,"")</f>
        <v/>
      </c>
    </row>
    <row r="377">
      <c r="U377" s="19" t="n"/>
      <c r="V377" s="24" t="n"/>
      <c r="W377" s="24" t="n"/>
      <c r="X377" s="19" t="n"/>
      <c r="Y377" s="21">
        <f>IFERROR(TRIM(INDEX($A377:$T377,MATCH(Lists!$F$2,$A$1:$T$1,0))&amp;""),"")</f>
        <v/>
      </c>
      <c r="Z377" s="22">
        <f>IF(Y377="","",IFERROR(IF(ISNUMBER(INDEX($A377:$T377,MATCH(Lists!$F$3,$A$1:$T$1,0))),INDEX($A377:$T377,MATCH(Lists!$F$3,$A$1:$T$1,0)),DATE(VALUE(LEFT(IFERROR(TRIM(INDEX($A377:$T377,MATCH(Lists!$F$3,$A$1:$T$1,0))&amp;""),""),4)),VALUE(MID(IFERROR(TRIM(INDEX($A377:$T377,MATCH(Lists!$F$3,$A$1:$T$1,0))&amp;""),""),6,2)),VALUE(MID(IFERROR(TRIM(INDEX($A377:$T377,MATCH(Lists!$F$3,$A$1:$T$1,0))&amp;""),""),9,2)))+TIME(VALUE(MID(IFERROR(TRIM(INDEX($A377:$T377,MATCH(Lists!$F$3,$A$1:$T$1,0))&amp;""),""),12,2)),VALUE(MID(IFERROR(TRIM(INDEX($A377:$T377,MATCH(Lists!$F$3,$A$1:$T$1,0))&amp;""),""),15,2)),VALUE(MID(IFERROR(TRIM(INDEX($A377:$T377,MATCH(Lists!$F$3,$A$1:$T$1,0))&amp;""),""),18,2)))),""))</f>
        <v/>
      </c>
      <c r="AA377" s="23">
        <f>IF(Y377="","",IF(ISNUMBER(IFERROR(IF(TRIM(INDEX($A377:$T377,MATCH(Lists!$F$4,$A$1:$T$1,0))&amp;"")="","",IF(ISNUMBER(INDEX($A377:$T377,MATCH(Lists!$F$4,$A$1:$T$1,0))),INT(INDEX($A377:$T377,MATCH(Lists!$F$4,$A$1:$T$1,0))),DATE(VALUE(LEFT(INDEX($A377:$T377,MATCH(Lists!$F$4,$A$1:$T$1,0)),4)),VALUE(MID(INDEX($A377:$T377,MATCH(Lists!$F$4,$A$1:$T$1,0)),6,2)),VALUE(MID(INDEX($A377:$T377,MATCH(Lists!$F$4,$A$1:$T$1,0)),9,2))))),"")),IFERROR(IF(TRIM(INDEX($A377:$T377,MATCH(Lists!$F$4,$A$1:$T$1,0))&amp;"")="","",IF(ISNUMBER(INDEX($A377:$T377,MATCH(Lists!$F$4,$A$1:$T$1,0))),INT(INDEX($A377:$T377,MATCH(Lists!$F$4,$A$1:$T$1,0))),DATE(VALUE(LEFT(INDEX($A377:$T377,MATCH(Lists!$F$4,$A$1:$T$1,0)),4)),VALUE(MID(INDEX($A377:$T377,MATCH(Lists!$F$4,$A$1:$T$1,0)),6,2)),VALUE(MID(INDEX($A377:$T377,MATCH(Lists!$F$4,$A$1:$T$1,0)),9,2))))),""),IFERROR(IF(TRIM(INDEX($A377:$T377,MATCH(Lists!$F$5,$A$1:$T$1,0))&amp;"")="","",IF(ISNUMBER(INDEX($A377:$T377,MATCH(Lists!$F$5,$A$1:$T$1,0))),INT(INDEX($A377:$T377,MATCH(Lists!$F$5,$A$1:$T$1,0))),DATE(VALUE(LEFT(INDEX($A377:$T377,MATCH(Lists!$F$5,$A$1:$T$1,0)),4)),VALUE(MID(INDEX($A377:$T377,MATCH(Lists!$F$5,$A$1:$T$1,0)),6,2)),VALUE(MID(INDEX($A377:$T377,MATCH(Lists!$F$5,$A$1:$T$1,0)),9,2))))),"")))</f>
        <v/>
      </c>
      <c r="AB377" s="21">
        <f>IF(Y377="","",IF(LEFT(IFERROR(TRIM(INDEX($A377:$T377,MATCH(Lists!$F$6,$A$1:$T$1,0))&amp;""),""),2)="No","General comment",IF(IFERROR(TRIM(INDEX($A377:$T377,MATCH(Lists!$F$7,$A$1:$T$1,0))&amp;""),"")&lt;&gt;"",IFERROR(TRIM(INDEX($A377:$T377,MATCH(Lists!$F$7,$A$1:$T$1,0))&amp;""),""),IF(IFERROR(TRIM(INDEX($A377:$T377,MATCH(Lists!$F$8,$A$1:$T$1,0))&amp;""),"")&lt;&gt;"",IFERROR(TRIM(INDEX($A377:$T377,MATCH(Lists!$F$8,$A$1:$T$1,0))&amp;""),""),"(no item given)"))))</f>
        <v/>
      </c>
      <c r="AC377" s="21">
        <f>IF(Y377="","",IF(ISNUMBER(SEARCH("support",IFERROR(TRIM(INDEX($A377:$T377,MATCH(Lists!$F$9,$A$1:$T$1,0))&amp;""),""))),"Support",IF(ISNUMBER(SEARCH("oppose",IFERROR(TRIM(INDEX($A377:$T377,MATCH(Lists!$F$9,$A$1:$T$1,0))&amp;""),""))),"Oppose",IF(IFERROR(TRIM(INDEX($A377:$T377,MATCH(Lists!$F$9,$A$1:$T$1,0))&amp;""),"")="","No position","Neither"))))</f>
        <v/>
      </c>
      <c r="AD377" s="21">
        <f>IF(Y377="","",IF(ISNUMBER(SEARCH("in person",IFERROR(TRIM(INDEX($A377:$T377,MATCH(Lists!$F$13,$A$1:$T$1,0))&amp;""),""))),"In person",IF(ISNUMBER(SEARCH("online",IFERROR(TRIM(INDEX($A377:$T377,MATCH(Lists!$F$13,$A$1:$T$1,0))&amp;""),""))),"Online","Written only")))</f>
        <v/>
      </c>
      <c r="AE377" s="21">
        <f>IF(Y377="","",IFERROR(TRIM(INDEX($A377:$T377,MATCH(Lists!$F$11,$A$1:$T$1,0))&amp;""),""))</f>
        <v/>
      </c>
      <c r="AF377" s="21">
        <f>IF(Y377="","",IFERROR(TRIM(INDEX($A377:$T377,MATCH(Lists!$F$12,$A$1:$T$1,0))&amp;""),""))</f>
        <v/>
      </c>
      <c r="AG377" s="21">
        <f>IF(Y377="","",IFERROR(TRIM(INDEX($A377:$T377,MATCH(Lists!$F$14,$A$1:$T$1,0))&amp;""),""))</f>
        <v/>
      </c>
      <c r="AH377" s="21">
        <f>IF(Y377="","",LEFT(IFERROR(TRIM(INDEX($A377:$T377,MATCH(Lists!$F$10,$A$1:$T$1,0))&amp;""),""),80))</f>
        <v/>
      </c>
      <c r="AI377" s="21">
        <f>IF(Y377="",0,IF(OR(Tally!$B$5="",AA377=Tally!$B$5),1,0))</f>
        <v/>
      </c>
      <c r="AJ377" s="21">
        <f>IF(AI377=1,IF(COUNTIFS($AB$2:AB377,AB377,$AI$2:AI377,1)=1,1,0),0)</f>
        <v/>
      </c>
      <c r="AK377" s="21">
        <f>IF(AJ377=1,SUM($AJ$2:AJ377),"")</f>
        <v/>
      </c>
      <c r="AL377" s="21">
        <f>IF(AND(AI377=1,OR(AD377="In person",AD377="Online"),OR(Speakers!$B$5="",AB377=Speakers!$B$5)),N(Z377)+ROW()/1000000000,"")</f>
        <v/>
      </c>
    </row>
    <row r="378">
      <c r="U378" s="19" t="n"/>
      <c r="V378" s="24" t="n"/>
      <c r="W378" s="24" t="n"/>
      <c r="X378" s="19" t="n"/>
      <c r="Y378" s="21">
        <f>IFERROR(TRIM(INDEX($A378:$T378,MATCH(Lists!$F$2,$A$1:$T$1,0))&amp;""),"")</f>
        <v/>
      </c>
      <c r="Z378" s="22">
        <f>IF(Y378="","",IFERROR(IF(ISNUMBER(INDEX($A378:$T378,MATCH(Lists!$F$3,$A$1:$T$1,0))),INDEX($A378:$T378,MATCH(Lists!$F$3,$A$1:$T$1,0)),DATE(VALUE(LEFT(IFERROR(TRIM(INDEX($A378:$T378,MATCH(Lists!$F$3,$A$1:$T$1,0))&amp;""),""),4)),VALUE(MID(IFERROR(TRIM(INDEX($A378:$T378,MATCH(Lists!$F$3,$A$1:$T$1,0))&amp;""),""),6,2)),VALUE(MID(IFERROR(TRIM(INDEX($A378:$T378,MATCH(Lists!$F$3,$A$1:$T$1,0))&amp;""),""),9,2)))+TIME(VALUE(MID(IFERROR(TRIM(INDEX($A378:$T378,MATCH(Lists!$F$3,$A$1:$T$1,0))&amp;""),""),12,2)),VALUE(MID(IFERROR(TRIM(INDEX($A378:$T378,MATCH(Lists!$F$3,$A$1:$T$1,0))&amp;""),""),15,2)),VALUE(MID(IFERROR(TRIM(INDEX($A378:$T378,MATCH(Lists!$F$3,$A$1:$T$1,0))&amp;""),""),18,2)))),""))</f>
        <v/>
      </c>
      <c r="AA378" s="23">
        <f>IF(Y378="","",IF(ISNUMBER(IFERROR(IF(TRIM(INDEX($A378:$T378,MATCH(Lists!$F$4,$A$1:$T$1,0))&amp;"")="","",IF(ISNUMBER(INDEX($A378:$T378,MATCH(Lists!$F$4,$A$1:$T$1,0))),INT(INDEX($A378:$T378,MATCH(Lists!$F$4,$A$1:$T$1,0))),DATE(VALUE(LEFT(INDEX($A378:$T378,MATCH(Lists!$F$4,$A$1:$T$1,0)),4)),VALUE(MID(INDEX($A378:$T378,MATCH(Lists!$F$4,$A$1:$T$1,0)),6,2)),VALUE(MID(INDEX($A378:$T378,MATCH(Lists!$F$4,$A$1:$T$1,0)),9,2))))),"")),IFERROR(IF(TRIM(INDEX($A378:$T378,MATCH(Lists!$F$4,$A$1:$T$1,0))&amp;"")="","",IF(ISNUMBER(INDEX($A378:$T378,MATCH(Lists!$F$4,$A$1:$T$1,0))),INT(INDEX($A378:$T378,MATCH(Lists!$F$4,$A$1:$T$1,0))),DATE(VALUE(LEFT(INDEX($A378:$T378,MATCH(Lists!$F$4,$A$1:$T$1,0)),4)),VALUE(MID(INDEX($A378:$T378,MATCH(Lists!$F$4,$A$1:$T$1,0)),6,2)),VALUE(MID(INDEX($A378:$T378,MATCH(Lists!$F$4,$A$1:$T$1,0)),9,2))))),""),IFERROR(IF(TRIM(INDEX($A378:$T378,MATCH(Lists!$F$5,$A$1:$T$1,0))&amp;"")="","",IF(ISNUMBER(INDEX($A378:$T378,MATCH(Lists!$F$5,$A$1:$T$1,0))),INT(INDEX($A378:$T378,MATCH(Lists!$F$5,$A$1:$T$1,0))),DATE(VALUE(LEFT(INDEX($A378:$T378,MATCH(Lists!$F$5,$A$1:$T$1,0)),4)),VALUE(MID(INDEX($A378:$T378,MATCH(Lists!$F$5,$A$1:$T$1,0)),6,2)),VALUE(MID(INDEX($A378:$T378,MATCH(Lists!$F$5,$A$1:$T$1,0)),9,2))))),"")))</f>
        <v/>
      </c>
      <c r="AB378" s="21">
        <f>IF(Y378="","",IF(LEFT(IFERROR(TRIM(INDEX($A378:$T378,MATCH(Lists!$F$6,$A$1:$T$1,0))&amp;""),""),2)="No","General comment",IF(IFERROR(TRIM(INDEX($A378:$T378,MATCH(Lists!$F$7,$A$1:$T$1,0))&amp;""),"")&lt;&gt;"",IFERROR(TRIM(INDEX($A378:$T378,MATCH(Lists!$F$7,$A$1:$T$1,0))&amp;""),""),IF(IFERROR(TRIM(INDEX($A378:$T378,MATCH(Lists!$F$8,$A$1:$T$1,0))&amp;""),"")&lt;&gt;"",IFERROR(TRIM(INDEX($A378:$T378,MATCH(Lists!$F$8,$A$1:$T$1,0))&amp;""),""),"(no item given)"))))</f>
        <v/>
      </c>
      <c r="AC378" s="21">
        <f>IF(Y378="","",IF(ISNUMBER(SEARCH("support",IFERROR(TRIM(INDEX($A378:$T378,MATCH(Lists!$F$9,$A$1:$T$1,0))&amp;""),""))),"Support",IF(ISNUMBER(SEARCH("oppose",IFERROR(TRIM(INDEX($A378:$T378,MATCH(Lists!$F$9,$A$1:$T$1,0))&amp;""),""))),"Oppose",IF(IFERROR(TRIM(INDEX($A378:$T378,MATCH(Lists!$F$9,$A$1:$T$1,0))&amp;""),"")="","No position","Neither"))))</f>
        <v/>
      </c>
      <c r="AD378" s="21">
        <f>IF(Y378="","",IF(ISNUMBER(SEARCH("in person",IFERROR(TRIM(INDEX($A378:$T378,MATCH(Lists!$F$13,$A$1:$T$1,0))&amp;""),""))),"In person",IF(ISNUMBER(SEARCH("online",IFERROR(TRIM(INDEX($A378:$T378,MATCH(Lists!$F$13,$A$1:$T$1,0))&amp;""),""))),"Online","Written only")))</f>
        <v/>
      </c>
      <c r="AE378" s="21">
        <f>IF(Y378="","",IFERROR(TRIM(INDEX($A378:$T378,MATCH(Lists!$F$11,$A$1:$T$1,0))&amp;""),""))</f>
        <v/>
      </c>
      <c r="AF378" s="21">
        <f>IF(Y378="","",IFERROR(TRIM(INDEX($A378:$T378,MATCH(Lists!$F$12,$A$1:$T$1,0))&amp;""),""))</f>
        <v/>
      </c>
      <c r="AG378" s="21">
        <f>IF(Y378="","",IFERROR(TRIM(INDEX($A378:$T378,MATCH(Lists!$F$14,$A$1:$T$1,0))&amp;""),""))</f>
        <v/>
      </c>
      <c r="AH378" s="21">
        <f>IF(Y378="","",LEFT(IFERROR(TRIM(INDEX($A378:$T378,MATCH(Lists!$F$10,$A$1:$T$1,0))&amp;""),""),80))</f>
        <v/>
      </c>
      <c r="AI378" s="21">
        <f>IF(Y378="",0,IF(OR(Tally!$B$5="",AA378=Tally!$B$5),1,0))</f>
        <v/>
      </c>
      <c r="AJ378" s="21">
        <f>IF(AI378=1,IF(COUNTIFS($AB$2:AB378,AB378,$AI$2:AI378,1)=1,1,0),0)</f>
        <v/>
      </c>
      <c r="AK378" s="21">
        <f>IF(AJ378=1,SUM($AJ$2:AJ378),"")</f>
        <v/>
      </c>
      <c r="AL378" s="21">
        <f>IF(AND(AI378=1,OR(AD378="In person",AD378="Online"),OR(Speakers!$B$5="",AB378=Speakers!$B$5)),N(Z378)+ROW()/1000000000,"")</f>
        <v/>
      </c>
    </row>
    <row r="379">
      <c r="U379" s="19" t="n"/>
      <c r="V379" s="24" t="n"/>
      <c r="W379" s="24" t="n"/>
      <c r="X379" s="19" t="n"/>
      <c r="Y379" s="21">
        <f>IFERROR(TRIM(INDEX($A379:$T379,MATCH(Lists!$F$2,$A$1:$T$1,0))&amp;""),"")</f>
        <v/>
      </c>
      <c r="Z379" s="22">
        <f>IF(Y379="","",IFERROR(IF(ISNUMBER(INDEX($A379:$T379,MATCH(Lists!$F$3,$A$1:$T$1,0))),INDEX($A379:$T379,MATCH(Lists!$F$3,$A$1:$T$1,0)),DATE(VALUE(LEFT(IFERROR(TRIM(INDEX($A379:$T379,MATCH(Lists!$F$3,$A$1:$T$1,0))&amp;""),""),4)),VALUE(MID(IFERROR(TRIM(INDEX($A379:$T379,MATCH(Lists!$F$3,$A$1:$T$1,0))&amp;""),""),6,2)),VALUE(MID(IFERROR(TRIM(INDEX($A379:$T379,MATCH(Lists!$F$3,$A$1:$T$1,0))&amp;""),""),9,2)))+TIME(VALUE(MID(IFERROR(TRIM(INDEX($A379:$T379,MATCH(Lists!$F$3,$A$1:$T$1,0))&amp;""),""),12,2)),VALUE(MID(IFERROR(TRIM(INDEX($A379:$T379,MATCH(Lists!$F$3,$A$1:$T$1,0))&amp;""),""),15,2)),VALUE(MID(IFERROR(TRIM(INDEX($A379:$T379,MATCH(Lists!$F$3,$A$1:$T$1,0))&amp;""),""),18,2)))),""))</f>
        <v/>
      </c>
      <c r="AA379" s="23">
        <f>IF(Y379="","",IF(ISNUMBER(IFERROR(IF(TRIM(INDEX($A379:$T379,MATCH(Lists!$F$4,$A$1:$T$1,0))&amp;"")="","",IF(ISNUMBER(INDEX($A379:$T379,MATCH(Lists!$F$4,$A$1:$T$1,0))),INT(INDEX($A379:$T379,MATCH(Lists!$F$4,$A$1:$T$1,0))),DATE(VALUE(LEFT(INDEX($A379:$T379,MATCH(Lists!$F$4,$A$1:$T$1,0)),4)),VALUE(MID(INDEX($A379:$T379,MATCH(Lists!$F$4,$A$1:$T$1,0)),6,2)),VALUE(MID(INDEX($A379:$T379,MATCH(Lists!$F$4,$A$1:$T$1,0)),9,2))))),"")),IFERROR(IF(TRIM(INDEX($A379:$T379,MATCH(Lists!$F$4,$A$1:$T$1,0))&amp;"")="","",IF(ISNUMBER(INDEX($A379:$T379,MATCH(Lists!$F$4,$A$1:$T$1,0))),INT(INDEX($A379:$T379,MATCH(Lists!$F$4,$A$1:$T$1,0))),DATE(VALUE(LEFT(INDEX($A379:$T379,MATCH(Lists!$F$4,$A$1:$T$1,0)),4)),VALUE(MID(INDEX($A379:$T379,MATCH(Lists!$F$4,$A$1:$T$1,0)),6,2)),VALUE(MID(INDEX($A379:$T379,MATCH(Lists!$F$4,$A$1:$T$1,0)),9,2))))),""),IFERROR(IF(TRIM(INDEX($A379:$T379,MATCH(Lists!$F$5,$A$1:$T$1,0))&amp;"")="","",IF(ISNUMBER(INDEX($A379:$T379,MATCH(Lists!$F$5,$A$1:$T$1,0))),INT(INDEX($A379:$T379,MATCH(Lists!$F$5,$A$1:$T$1,0))),DATE(VALUE(LEFT(INDEX($A379:$T379,MATCH(Lists!$F$5,$A$1:$T$1,0)),4)),VALUE(MID(INDEX($A379:$T379,MATCH(Lists!$F$5,$A$1:$T$1,0)),6,2)),VALUE(MID(INDEX($A379:$T379,MATCH(Lists!$F$5,$A$1:$T$1,0)),9,2))))),"")))</f>
        <v/>
      </c>
      <c r="AB379" s="21">
        <f>IF(Y379="","",IF(LEFT(IFERROR(TRIM(INDEX($A379:$T379,MATCH(Lists!$F$6,$A$1:$T$1,0))&amp;""),""),2)="No","General comment",IF(IFERROR(TRIM(INDEX($A379:$T379,MATCH(Lists!$F$7,$A$1:$T$1,0))&amp;""),"")&lt;&gt;"",IFERROR(TRIM(INDEX($A379:$T379,MATCH(Lists!$F$7,$A$1:$T$1,0))&amp;""),""),IF(IFERROR(TRIM(INDEX($A379:$T379,MATCH(Lists!$F$8,$A$1:$T$1,0))&amp;""),"")&lt;&gt;"",IFERROR(TRIM(INDEX($A379:$T379,MATCH(Lists!$F$8,$A$1:$T$1,0))&amp;""),""),"(no item given)"))))</f>
        <v/>
      </c>
      <c r="AC379" s="21">
        <f>IF(Y379="","",IF(ISNUMBER(SEARCH("support",IFERROR(TRIM(INDEX($A379:$T379,MATCH(Lists!$F$9,$A$1:$T$1,0))&amp;""),""))),"Support",IF(ISNUMBER(SEARCH("oppose",IFERROR(TRIM(INDEX($A379:$T379,MATCH(Lists!$F$9,$A$1:$T$1,0))&amp;""),""))),"Oppose",IF(IFERROR(TRIM(INDEX($A379:$T379,MATCH(Lists!$F$9,$A$1:$T$1,0))&amp;""),"")="","No position","Neither"))))</f>
        <v/>
      </c>
      <c r="AD379" s="21">
        <f>IF(Y379="","",IF(ISNUMBER(SEARCH("in person",IFERROR(TRIM(INDEX($A379:$T379,MATCH(Lists!$F$13,$A$1:$T$1,0))&amp;""),""))),"In person",IF(ISNUMBER(SEARCH("online",IFERROR(TRIM(INDEX($A379:$T379,MATCH(Lists!$F$13,$A$1:$T$1,0))&amp;""),""))),"Online","Written only")))</f>
        <v/>
      </c>
      <c r="AE379" s="21">
        <f>IF(Y379="","",IFERROR(TRIM(INDEX($A379:$T379,MATCH(Lists!$F$11,$A$1:$T$1,0))&amp;""),""))</f>
        <v/>
      </c>
      <c r="AF379" s="21">
        <f>IF(Y379="","",IFERROR(TRIM(INDEX($A379:$T379,MATCH(Lists!$F$12,$A$1:$T$1,0))&amp;""),""))</f>
        <v/>
      </c>
      <c r="AG379" s="21">
        <f>IF(Y379="","",IFERROR(TRIM(INDEX($A379:$T379,MATCH(Lists!$F$14,$A$1:$T$1,0))&amp;""),""))</f>
        <v/>
      </c>
      <c r="AH379" s="21">
        <f>IF(Y379="","",LEFT(IFERROR(TRIM(INDEX($A379:$T379,MATCH(Lists!$F$10,$A$1:$T$1,0))&amp;""),""),80))</f>
        <v/>
      </c>
      <c r="AI379" s="21">
        <f>IF(Y379="",0,IF(OR(Tally!$B$5="",AA379=Tally!$B$5),1,0))</f>
        <v/>
      </c>
      <c r="AJ379" s="21">
        <f>IF(AI379=1,IF(COUNTIFS($AB$2:AB379,AB379,$AI$2:AI379,1)=1,1,0),0)</f>
        <v/>
      </c>
      <c r="AK379" s="21">
        <f>IF(AJ379=1,SUM($AJ$2:AJ379),"")</f>
        <v/>
      </c>
      <c r="AL379" s="21">
        <f>IF(AND(AI379=1,OR(AD379="In person",AD379="Online"),OR(Speakers!$B$5="",AB379=Speakers!$B$5)),N(Z379)+ROW()/1000000000,"")</f>
        <v/>
      </c>
    </row>
    <row r="380">
      <c r="U380" s="19" t="n"/>
      <c r="V380" s="24" t="n"/>
      <c r="W380" s="24" t="n"/>
      <c r="X380" s="19" t="n"/>
      <c r="Y380" s="21">
        <f>IFERROR(TRIM(INDEX($A380:$T380,MATCH(Lists!$F$2,$A$1:$T$1,0))&amp;""),"")</f>
        <v/>
      </c>
      <c r="Z380" s="22">
        <f>IF(Y380="","",IFERROR(IF(ISNUMBER(INDEX($A380:$T380,MATCH(Lists!$F$3,$A$1:$T$1,0))),INDEX($A380:$T380,MATCH(Lists!$F$3,$A$1:$T$1,0)),DATE(VALUE(LEFT(IFERROR(TRIM(INDEX($A380:$T380,MATCH(Lists!$F$3,$A$1:$T$1,0))&amp;""),""),4)),VALUE(MID(IFERROR(TRIM(INDEX($A380:$T380,MATCH(Lists!$F$3,$A$1:$T$1,0))&amp;""),""),6,2)),VALUE(MID(IFERROR(TRIM(INDEX($A380:$T380,MATCH(Lists!$F$3,$A$1:$T$1,0))&amp;""),""),9,2)))+TIME(VALUE(MID(IFERROR(TRIM(INDEX($A380:$T380,MATCH(Lists!$F$3,$A$1:$T$1,0))&amp;""),""),12,2)),VALUE(MID(IFERROR(TRIM(INDEX($A380:$T380,MATCH(Lists!$F$3,$A$1:$T$1,0))&amp;""),""),15,2)),VALUE(MID(IFERROR(TRIM(INDEX($A380:$T380,MATCH(Lists!$F$3,$A$1:$T$1,0))&amp;""),""),18,2)))),""))</f>
        <v/>
      </c>
      <c r="AA380" s="23">
        <f>IF(Y380="","",IF(ISNUMBER(IFERROR(IF(TRIM(INDEX($A380:$T380,MATCH(Lists!$F$4,$A$1:$T$1,0))&amp;"")="","",IF(ISNUMBER(INDEX($A380:$T380,MATCH(Lists!$F$4,$A$1:$T$1,0))),INT(INDEX($A380:$T380,MATCH(Lists!$F$4,$A$1:$T$1,0))),DATE(VALUE(LEFT(INDEX($A380:$T380,MATCH(Lists!$F$4,$A$1:$T$1,0)),4)),VALUE(MID(INDEX($A380:$T380,MATCH(Lists!$F$4,$A$1:$T$1,0)),6,2)),VALUE(MID(INDEX($A380:$T380,MATCH(Lists!$F$4,$A$1:$T$1,0)),9,2))))),"")),IFERROR(IF(TRIM(INDEX($A380:$T380,MATCH(Lists!$F$4,$A$1:$T$1,0))&amp;"")="","",IF(ISNUMBER(INDEX($A380:$T380,MATCH(Lists!$F$4,$A$1:$T$1,0))),INT(INDEX($A380:$T380,MATCH(Lists!$F$4,$A$1:$T$1,0))),DATE(VALUE(LEFT(INDEX($A380:$T380,MATCH(Lists!$F$4,$A$1:$T$1,0)),4)),VALUE(MID(INDEX($A380:$T380,MATCH(Lists!$F$4,$A$1:$T$1,0)),6,2)),VALUE(MID(INDEX($A380:$T380,MATCH(Lists!$F$4,$A$1:$T$1,0)),9,2))))),""),IFERROR(IF(TRIM(INDEX($A380:$T380,MATCH(Lists!$F$5,$A$1:$T$1,0))&amp;"")="","",IF(ISNUMBER(INDEX($A380:$T380,MATCH(Lists!$F$5,$A$1:$T$1,0))),INT(INDEX($A380:$T380,MATCH(Lists!$F$5,$A$1:$T$1,0))),DATE(VALUE(LEFT(INDEX($A380:$T380,MATCH(Lists!$F$5,$A$1:$T$1,0)),4)),VALUE(MID(INDEX($A380:$T380,MATCH(Lists!$F$5,$A$1:$T$1,0)),6,2)),VALUE(MID(INDEX($A380:$T380,MATCH(Lists!$F$5,$A$1:$T$1,0)),9,2))))),"")))</f>
        <v/>
      </c>
      <c r="AB380" s="21">
        <f>IF(Y380="","",IF(LEFT(IFERROR(TRIM(INDEX($A380:$T380,MATCH(Lists!$F$6,$A$1:$T$1,0))&amp;""),""),2)="No","General comment",IF(IFERROR(TRIM(INDEX($A380:$T380,MATCH(Lists!$F$7,$A$1:$T$1,0))&amp;""),"")&lt;&gt;"",IFERROR(TRIM(INDEX($A380:$T380,MATCH(Lists!$F$7,$A$1:$T$1,0))&amp;""),""),IF(IFERROR(TRIM(INDEX($A380:$T380,MATCH(Lists!$F$8,$A$1:$T$1,0))&amp;""),"")&lt;&gt;"",IFERROR(TRIM(INDEX($A380:$T380,MATCH(Lists!$F$8,$A$1:$T$1,0))&amp;""),""),"(no item given)"))))</f>
        <v/>
      </c>
      <c r="AC380" s="21">
        <f>IF(Y380="","",IF(ISNUMBER(SEARCH("support",IFERROR(TRIM(INDEX($A380:$T380,MATCH(Lists!$F$9,$A$1:$T$1,0))&amp;""),""))),"Support",IF(ISNUMBER(SEARCH("oppose",IFERROR(TRIM(INDEX($A380:$T380,MATCH(Lists!$F$9,$A$1:$T$1,0))&amp;""),""))),"Oppose",IF(IFERROR(TRIM(INDEX($A380:$T380,MATCH(Lists!$F$9,$A$1:$T$1,0))&amp;""),"")="","No position","Neither"))))</f>
        <v/>
      </c>
      <c r="AD380" s="21">
        <f>IF(Y380="","",IF(ISNUMBER(SEARCH("in person",IFERROR(TRIM(INDEX($A380:$T380,MATCH(Lists!$F$13,$A$1:$T$1,0))&amp;""),""))),"In person",IF(ISNUMBER(SEARCH("online",IFERROR(TRIM(INDEX($A380:$T380,MATCH(Lists!$F$13,$A$1:$T$1,0))&amp;""),""))),"Online","Written only")))</f>
        <v/>
      </c>
      <c r="AE380" s="21">
        <f>IF(Y380="","",IFERROR(TRIM(INDEX($A380:$T380,MATCH(Lists!$F$11,$A$1:$T$1,0))&amp;""),""))</f>
        <v/>
      </c>
      <c r="AF380" s="21">
        <f>IF(Y380="","",IFERROR(TRIM(INDEX($A380:$T380,MATCH(Lists!$F$12,$A$1:$T$1,0))&amp;""),""))</f>
        <v/>
      </c>
      <c r="AG380" s="21">
        <f>IF(Y380="","",IFERROR(TRIM(INDEX($A380:$T380,MATCH(Lists!$F$14,$A$1:$T$1,0))&amp;""),""))</f>
        <v/>
      </c>
      <c r="AH380" s="21">
        <f>IF(Y380="","",LEFT(IFERROR(TRIM(INDEX($A380:$T380,MATCH(Lists!$F$10,$A$1:$T$1,0))&amp;""),""),80))</f>
        <v/>
      </c>
      <c r="AI380" s="21">
        <f>IF(Y380="",0,IF(OR(Tally!$B$5="",AA380=Tally!$B$5),1,0))</f>
        <v/>
      </c>
      <c r="AJ380" s="21">
        <f>IF(AI380=1,IF(COUNTIFS($AB$2:AB380,AB380,$AI$2:AI380,1)=1,1,0),0)</f>
        <v/>
      </c>
      <c r="AK380" s="21">
        <f>IF(AJ380=1,SUM($AJ$2:AJ380),"")</f>
        <v/>
      </c>
      <c r="AL380" s="21">
        <f>IF(AND(AI380=1,OR(AD380="In person",AD380="Online"),OR(Speakers!$B$5="",AB380=Speakers!$B$5)),N(Z380)+ROW()/1000000000,"")</f>
        <v/>
      </c>
    </row>
    <row r="381">
      <c r="U381" s="19" t="n"/>
      <c r="V381" s="24" t="n"/>
      <c r="W381" s="24" t="n"/>
      <c r="X381" s="19" t="n"/>
      <c r="Y381" s="21">
        <f>IFERROR(TRIM(INDEX($A381:$T381,MATCH(Lists!$F$2,$A$1:$T$1,0))&amp;""),"")</f>
        <v/>
      </c>
      <c r="Z381" s="22">
        <f>IF(Y381="","",IFERROR(IF(ISNUMBER(INDEX($A381:$T381,MATCH(Lists!$F$3,$A$1:$T$1,0))),INDEX($A381:$T381,MATCH(Lists!$F$3,$A$1:$T$1,0)),DATE(VALUE(LEFT(IFERROR(TRIM(INDEX($A381:$T381,MATCH(Lists!$F$3,$A$1:$T$1,0))&amp;""),""),4)),VALUE(MID(IFERROR(TRIM(INDEX($A381:$T381,MATCH(Lists!$F$3,$A$1:$T$1,0))&amp;""),""),6,2)),VALUE(MID(IFERROR(TRIM(INDEX($A381:$T381,MATCH(Lists!$F$3,$A$1:$T$1,0))&amp;""),""),9,2)))+TIME(VALUE(MID(IFERROR(TRIM(INDEX($A381:$T381,MATCH(Lists!$F$3,$A$1:$T$1,0))&amp;""),""),12,2)),VALUE(MID(IFERROR(TRIM(INDEX($A381:$T381,MATCH(Lists!$F$3,$A$1:$T$1,0))&amp;""),""),15,2)),VALUE(MID(IFERROR(TRIM(INDEX($A381:$T381,MATCH(Lists!$F$3,$A$1:$T$1,0))&amp;""),""),18,2)))),""))</f>
        <v/>
      </c>
      <c r="AA381" s="23">
        <f>IF(Y381="","",IF(ISNUMBER(IFERROR(IF(TRIM(INDEX($A381:$T381,MATCH(Lists!$F$4,$A$1:$T$1,0))&amp;"")="","",IF(ISNUMBER(INDEX($A381:$T381,MATCH(Lists!$F$4,$A$1:$T$1,0))),INT(INDEX($A381:$T381,MATCH(Lists!$F$4,$A$1:$T$1,0))),DATE(VALUE(LEFT(INDEX($A381:$T381,MATCH(Lists!$F$4,$A$1:$T$1,0)),4)),VALUE(MID(INDEX($A381:$T381,MATCH(Lists!$F$4,$A$1:$T$1,0)),6,2)),VALUE(MID(INDEX($A381:$T381,MATCH(Lists!$F$4,$A$1:$T$1,0)),9,2))))),"")),IFERROR(IF(TRIM(INDEX($A381:$T381,MATCH(Lists!$F$4,$A$1:$T$1,0))&amp;"")="","",IF(ISNUMBER(INDEX($A381:$T381,MATCH(Lists!$F$4,$A$1:$T$1,0))),INT(INDEX($A381:$T381,MATCH(Lists!$F$4,$A$1:$T$1,0))),DATE(VALUE(LEFT(INDEX($A381:$T381,MATCH(Lists!$F$4,$A$1:$T$1,0)),4)),VALUE(MID(INDEX($A381:$T381,MATCH(Lists!$F$4,$A$1:$T$1,0)),6,2)),VALUE(MID(INDEX($A381:$T381,MATCH(Lists!$F$4,$A$1:$T$1,0)),9,2))))),""),IFERROR(IF(TRIM(INDEX($A381:$T381,MATCH(Lists!$F$5,$A$1:$T$1,0))&amp;"")="","",IF(ISNUMBER(INDEX($A381:$T381,MATCH(Lists!$F$5,$A$1:$T$1,0))),INT(INDEX($A381:$T381,MATCH(Lists!$F$5,$A$1:$T$1,0))),DATE(VALUE(LEFT(INDEX($A381:$T381,MATCH(Lists!$F$5,$A$1:$T$1,0)),4)),VALUE(MID(INDEX($A381:$T381,MATCH(Lists!$F$5,$A$1:$T$1,0)),6,2)),VALUE(MID(INDEX($A381:$T381,MATCH(Lists!$F$5,$A$1:$T$1,0)),9,2))))),"")))</f>
        <v/>
      </c>
      <c r="AB381" s="21">
        <f>IF(Y381="","",IF(LEFT(IFERROR(TRIM(INDEX($A381:$T381,MATCH(Lists!$F$6,$A$1:$T$1,0))&amp;""),""),2)="No","General comment",IF(IFERROR(TRIM(INDEX($A381:$T381,MATCH(Lists!$F$7,$A$1:$T$1,0))&amp;""),"")&lt;&gt;"",IFERROR(TRIM(INDEX($A381:$T381,MATCH(Lists!$F$7,$A$1:$T$1,0))&amp;""),""),IF(IFERROR(TRIM(INDEX($A381:$T381,MATCH(Lists!$F$8,$A$1:$T$1,0))&amp;""),"")&lt;&gt;"",IFERROR(TRIM(INDEX($A381:$T381,MATCH(Lists!$F$8,$A$1:$T$1,0))&amp;""),""),"(no item given)"))))</f>
        <v/>
      </c>
      <c r="AC381" s="21">
        <f>IF(Y381="","",IF(ISNUMBER(SEARCH("support",IFERROR(TRIM(INDEX($A381:$T381,MATCH(Lists!$F$9,$A$1:$T$1,0))&amp;""),""))),"Support",IF(ISNUMBER(SEARCH("oppose",IFERROR(TRIM(INDEX($A381:$T381,MATCH(Lists!$F$9,$A$1:$T$1,0))&amp;""),""))),"Oppose",IF(IFERROR(TRIM(INDEX($A381:$T381,MATCH(Lists!$F$9,$A$1:$T$1,0))&amp;""),"")="","No position","Neither"))))</f>
        <v/>
      </c>
      <c r="AD381" s="21">
        <f>IF(Y381="","",IF(ISNUMBER(SEARCH("in person",IFERROR(TRIM(INDEX($A381:$T381,MATCH(Lists!$F$13,$A$1:$T$1,0))&amp;""),""))),"In person",IF(ISNUMBER(SEARCH("online",IFERROR(TRIM(INDEX($A381:$T381,MATCH(Lists!$F$13,$A$1:$T$1,0))&amp;""),""))),"Online","Written only")))</f>
        <v/>
      </c>
      <c r="AE381" s="21">
        <f>IF(Y381="","",IFERROR(TRIM(INDEX($A381:$T381,MATCH(Lists!$F$11,$A$1:$T$1,0))&amp;""),""))</f>
        <v/>
      </c>
      <c r="AF381" s="21">
        <f>IF(Y381="","",IFERROR(TRIM(INDEX($A381:$T381,MATCH(Lists!$F$12,$A$1:$T$1,0))&amp;""),""))</f>
        <v/>
      </c>
      <c r="AG381" s="21">
        <f>IF(Y381="","",IFERROR(TRIM(INDEX($A381:$T381,MATCH(Lists!$F$14,$A$1:$T$1,0))&amp;""),""))</f>
        <v/>
      </c>
      <c r="AH381" s="21">
        <f>IF(Y381="","",LEFT(IFERROR(TRIM(INDEX($A381:$T381,MATCH(Lists!$F$10,$A$1:$T$1,0))&amp;""),""),80))</f>
        <v/>
      </c>
      <c r="AI381" s="21">
        <f>IF(Y381="",0,IF(OR(Tally!$B$5="",AA381=Tally!$B$5),1,0))</f>
        <v/>
      </c>
      <c r="AJ381" s="21">
        <f>IF(AI381=1,IF(COUNTIFS($AB$2:AB381,AB381,$AI$2:AI381,1)=1,1,0),0)</f>
        <v/>
      </c>
      <c r="AK381" s="21">
        <f>IF(AJ381=1,SUM($AJ$2:AJ381),"")</f>
        <v/>
      </c>
      <c r="AL381" s="21">
        <f>IF(AND(AI381=1,OR(AD381="In person",AD381="Online"),OR(Speakers!$B$5="",AB381=Speakers!$B$5)),N(Z381)+ROW()/1000000000,"")</f>
        <v/>
      </c>
    </row>
    <row r="382">
      <c r="U382" s="19" t="n"/>
      <c r="V382" s="24" t="n"/>
      <c r="W382" s="24" t="n"/>
      <c r="X382" s="19" t="n"/>
      <c r="Y382" s="21">
        <f>IFERROR(TRIM(INDEX($A382:$T382,MATCH(Lists!$F$2,$A$1:$T$1,0))&amp;""),"")</f>
        <v/>
      </c>
      <c r="Z382" s="22">
        <f>IF(Y382="","",IFERROR(IF(ISNUMBER(INDEX($A382:$T382,MATCH(Lists!$F$3,$A$1:$T$1,0))),INDEX($A382:$T382,MATCH(Lists!$F$3,$A$1:$T$1,0)),DATE(VALUE(LEFT(IFERROR(TRIM(INDEX($A382:$T382,MATCH(Lists!$F$3,$A$1:$T$1,0))&amp;""),""),4)),VALUE(MID(IFERROR(TRIM(INDEX($A382:$T382,MATCH(Lists!$F$3,$A$1:$T$1,0))&amp;""),""),6,2)),VALUE(MID(IFERROR(TRIM(INDEX($A382:$T382,MATCH(Lists!$F$3,$A$1:$T$1,0))&amp;""),""),9,2)))+TIME(VALUE(MID(IFERROR(TRIM(INDEX($A382:$T382,MATCH(Lists!$F$3,$A$1:$T$1,0))&amp;""),""),12,2)),VALUE(MID(IFERROR(TRIM(INDEX($A382:$T382,MATCH(Lists!$F$3,$A$1:$T$1,0))&amp;""),""),15,2)),VALUE(MID(IFERROR(TRIM(INDEX($A382:$T382,MATCH(Lists!$F$3,$A$1:$T$1,0))&amp;""),""),18,2)))),""))</f>
        <v/>
      </c>
      <c r="AA382" s="23">
        <f>IF(Y382="","",IF(ISNUMBER(IFERROR(IF(TRIM(INDEX($A382:$T382,MATCH(Lists!$F$4,$A$1:$T$1,0))&amp;"")="","",IF(ISNUMBER(INDEX($A382:$T382,MATCH(Lists!$F$4,$A$1:$T$1,0))),INT(INDEX($A382:$T382,MATCH(Lists!$F$4,$A$1:$T$1,0))),DATE(VALUE(LEFT(INDEX($A382:$T382,MATCH(Lists!$F$4,$A$1:$T$1,0)),4)),VALUE(MID(INDEX($A382:$T382,MATCH(Lists!$F$4,$A$1:$T$1,0)),6,2)),VALUE(MID(INDEX($A382:$T382,MATCH(Lists!$F$4,$A$1:$T$1,0)),9,2))))),"")),IFERROR(IF(TRIM(INDEX($A382:$T382,MATCH(Lists!$F$4,$A$1:$T$1,0))&amp;"")="","",IF(ISNUMBER(INDEX($A382:$T382,MATCH(Lists!$F$4,$A$1:$T$1,0))),INT(INDEX($A382:$T382,MATCH(Lists!$F$4,$A$1:$T$1,0))),DATE(VALUE(LEFT(INDEX($A382:$T382,MATCH(Lists!$F$4,$A$1:$T$1,0)),4)),VALUE(MID(INDEX($A382:$T382,MATCH(Lists!$F$4,$A$1:$T$1,0)),6,2)),VALUE(MID(INDEX($A382:$T382,MATCH(Lists!$F$4,$A$1:$T$1,0)),9,2))))),""),IFERROR(IF(TRIM(INDEX($A382:$T382,MATCH(Lists!$F$5,$A$1:$T$1,0))&amp;"")="","",IF(ISNUMBER(INDEX($A382:$T382,MATCH(Lists!$F$5,$A$1:$T$1,0))),INT(INDEX($A382:$T382,MATCH(Lists!$F$5,$A$1:$T$1,0))),DATE(VALUE(LEFT(INDEX($A382:$T382,MATCH(Lists!$F$5,$A$1:$T$1,0)),4)),VALUE(MID(INDEX($A382:$T382,MATCH(Lists!$F$5,$A$1:$T$1,0)),6,2)),VALUE(MID(INDEX($A382:$T382,MATCH(Lists!$F$5,$A$1:$T$1,0)),9,2))))),"")))</f>
        <v/>
      </c>
      <c r="AB382" s="21">
        <f>IF(Y382="","",IF(LEFT(IFERROR(TRIM(INDEX($A382:$T382,MATCH(Lists!$F$6,$A$1:$T$1,0))&amp;""),""),2)="No","General comment",IF(IFERROR(TRIM(INDEX($A382:$T382,MATCH(Lists!$F$7,$A$1:$T$1,0))&amp;""),"")&lt;&gt;"",IFERROR(TRIM(INDEX($A382:$T382,MATCH(Lists!$F$7,$A$1:$T$1,0))&amp;""),""),IF(IFERROR(TRIM(INDEX($A382:$T382,MATCH(Lists!$F$8,$A$1:$T$1,0))&amp;""),"")&lt;&gt;"",IFERROR(TRIM(INDEX($A382:$T382,MATCH(Lists!$F$8,$A$1:$T$1,0))&amp;""),""),"(no item given)"))))</f>
        <v/>
      </c>
      <c r="AC382" s="21">
        <f>IF(Y382="","",IF(ISNUMBER(SEARCH("support",IFERROR(TRIM(INDEX($A382:$T382,MATCH(Lists!$F$9,$A$1:$T$1,0))&amp;""),""))),"Support",IF(ISNUMBER(SEARCH("oppose",IFERROR(TRIM(INDEX($A382:$T382,MATCH(Lists!$F$9,$A$1:$T$1,0))&amp;""),""))),"Oppose",IF(IFERROR(TRIM(INDEX($A382:$T382,MATCH(Lists!$F$9,$A$1:$T$1,0))&amp;""),"")="","No position","Neither"))))</f>
        <v/>
      </c>
      <c r="AD382" s="21">
        <f>IF(Y382="","",IF(ISNUMBER(SEARCH("in person",IFERROR(TRIM(INDEX($A382:$T382,MATCH(Lists!$F$13,$A$1:$T$1,0))&amp;""),""))),"In person",IF(ISNUMBER(SEARCH("online",IFERROR(TRIM(INDEX($A382:$T382,MATCH(Lists!$F$13,$A$1:$T$1,0))&amp;""),""))),"Online","Written only")))</f>
        <v/>
      </c>
      <c r="AE382" s="21">
        <f>IF(Y382="","",IFERROR(TRIM(INDEX($A382:$T382,MATCH(Lists!$F$11,$A$1:$T$1,0))&amp;""),""))</f>
        <v/>
      </c>
      <c r="AF382" s="21">
        <f>IF(Y382="","",IFERROR(TRIM(INDEX($A382:$T382,MATCH(Lists!$F$12,$A$1:$T$1,0))&amp;""),""))</f>
        <v/>
      </c>
      <c r="AG382" s="21">
        <f>IF(Y382="","",IFERROR(TRIM(INDEX($A382:$T382,MATCH(Lists!$F$14,$A$1:$T$1,0))&amp;""),""))</f>
        <v/>
      </c>
      <c r="AH382" s="21">
        <f>IF(Y382="","",LEFT(IFERROR(TRIM(INDEX($A382:$T382,MATCH(Lists!$F$10,$A$1:$T$1,0))&amp;""),""),80))</f>
        <v/>
      </c>
      <c r="AI382" s="21">
        <f>IF(Y382="",0,IF(OR(Tally!$B$5="",AA382=Tally!$B$5),1,0))</f>
        <v/>
      </c>
      <c r="AJ382" s="21">
        <f>IF(AI382=1,IF(COUNTIFS($AB$2:AB382,AB382,$AI$2:AI382,1)=1,1,0),0)</f>
        <v/>
      </c>
      <c r="AK382" s="21">
        <f>IF(AJ382=1,SUM($AJ$2:AJ382),"")</f>
        <v/>
      </c>
      <c r="AL382" s="21">
        <f>IF(AND(AI382=1,OR(AD382="In person",AD382="Online"),OR(Speakers!$B$5="",AB382=Speakers!$B$5)),N(Z382)+ROW()/1000000000,"")</f>
        <v/>
      </c>
    </row>
    <row r="383">
      <c r="U383" s="19" t="n"/>
      <c r="V383" s="24" t="n"/>
      <c r="W383" s="24" t="n"/>
      <c r="X383" s="19" t="n"/>
      <c r="Y383" s="21">
        <f>IFERROR(TRIM(INDEX($A383:$T383,MATCH(Lists!$F$2,$A$1:$T$1,0))&amp;""),"")</f>
        <v/>
      </c>
      <c r="Z383" s="22">
        <f>IF(Y383="","",IFERROR(IF(ISNUMBER(INDEX($A383:$T383,MATCH(Lists!$F$3,$A$1:$T$1,0))),INDEX($A383:$T383,MATCH(Lists!$F$3,$A$1:$T$1,0)),DATE(VALUE(LEFT(IFERROR(TRIM(INDEX($A383:$T383,MATCH(Lists!$F$3,$A$1:$T$1,0))&amp;""),""),4)),VALUE(MID(IFERROR(TRIM(INDEX($A383:$T383,MATCH(Lists!$F$3,$A$1:$T$1,0))&amp;""),""),6,2)),VALUE(MID(IFERROR(TRIM(INDEX($A383:$T383,MATCH(Lists!$F$3,$A$1:$T$1,0))&amp;""),""),9,2)))+TIME(VALUE(MID(IFERROR(TRIM(INDEX($A383:$T383,MATCH(Lists!$F$3,$A$1:$T$1,0))&amp;""),""),12,2)),VALUE(MID(IFERROR(TRIM(INDEX($A383:$T383,MATCH(Lists!$F$3,$A$1:$T$1,0))&amp;""),""),15,2)),VALUE(MID(IFERROR(TRIM(INDEX($A383:$T383,MATCH(Lists!$F$3,$A$1:$T$1,0))&amp;""),""),18,2)))),""))</f>
        <v/>
      </c>
      <c r="AA383" s="23">
        <f>IF(Y383="","",IF(ISNUMBER(IFERROR(IF(TRIM(INDEX($A383:$T383,MATCH(Lists!$F$4,$A$1:$T$1,0))&amp;"")="","",IF(ISNUMBER(INDEX($A383:$T383,MATCH(Lists!$F$4,$A$1:$T$1,0))),INT(INDEX($A383:$T383,MATCH(Lists!$F$4,$A$1:$T$1,0))),DATE(VALUE(LEFT(INDEX($A383:$T383,MATCH(Lists!$F$4,$A$1:$T$1,0)),4)),VALUE(MID(INDEX($A383:$T383,MATCH(Lists!$F$4,$A$1:$T$1,0)),6,2)),VALUE(MID(INDEX($A383:$T383,MATCH(Lists!$F$4,$A$1:$T$1,0)),9,2))))),"")),IFERROR(IF(TRIM(INDEX($A383:$T383,MATCH(Lists!$F$4,$A$1:$T$1,0))&amp;"")="","",IF(ISNUMBER(INDEX($A383:$T383,MATCH(Lists!$F$4,$A$1:$T$1,0))),INT(INDEX($A383:$T383,MATCH(Lists!$F$4,$A$1:$T$1,0))),DATE(VALUE(LEFT(INDEX($A383:$T383,MATCH(Lists!$F$4,$A$1:$T$1,0)),4)),VALUE(MID(INDEX($A383:$T383,MATCH(Lists!$F$4,$A$1:$T$1,0)),6,2)),VALUE(MID(INDEX($A383:$T383,MATCH(Lists!$F$4,$A$1:$T$1,0)),9,2))))),""),IFERROR(IF(TRIM(INDEX($A383:$T383,MATCH(Lists!$F$5,$A$1:$T$1,0))&amp;"")="","",IF(ISNUMBER(INDEX($A383:$T383,MATCH(Lists!$F$5,$A$1:$T$1,0))),INT(INDEX($A383:$T383,MATCH(Lists!$F$5,$A$1:$T$1,0))),DATE(VALUE(LEFT(INDEX($A383:$T383,MATCH(Lists!$F$5,$A$1:$T$1,0)),4)),VALUE(MID(INDEX($A383:$T383,MATCH(Lists!$F$5,$A$1:$T$1,0)),6,2)),VALUE(MID(INDEX($A383:$T383,MATCH(Lists!$F$5,$A$1:$T$1,0)),9,2))))),"")))</f>
        <v/>
      </c>
      <c r="AB383" s="21">
        <f>IF(Y383="","",IF(LEFT(IFERROR(TRIM(INDEX($A383:$T383,MATCH(Lists!$F$6,$A$1:$T$1,0))&amp;""),""),2)="No","General comment",IF(IFERROR(TRIM(INDEX($A383:$T383,MATCH(Lists!$F$7,$A$1:$T$1,0))&amp;""),"")&lt;&gt;"",IFERROR(TRIM(INDEX($A383:$T383,MATCH(Lists!$F$7,$A$1:$T$1,0))&amp;""),""),IF(IFERROR(TRIM(INDEX($A383:$T383,MATCH(Lists!$F$8,$A$1:$T$1,0))&amp;""),"")&lt;&gt;"",IFERROR(TRIM(INDEX($A383:$T383,MATCH(Lists!$F$8,$A$1:$T$1,0))&amp;""),""),"(no item given)"))))</f>
        <v/>
      </c>
      <c r="AC383" s="21">
        <f>IF(Y383="","",IF(ISNUMBER(SEARCH("support",IFERROR(TRIM(INDEX($A383:$T383,MATCH(Lists!$F$9,$A$1:$T$1,0))&amp;""),""))),"Support",IF(ISNUMBER(SEARCH("oppose",IFERROR(TRIM(INDEX($A383:$T383,MATCH(Lists!$F$9,$A$1:$T$1,0))&amp;""),""))),"Oppose",IF(IFERROR(TRIM(INDEX($A383:$T383,MATCH(Lists!$F$9,$A$1:$T$1,0))&amp;""),"")="","No position","Neither"))))</f>
        <v/>
      </c>
      <c r="AD383" s="21">
        <f>IF(Y383="","",IF(ISNUMBER(SEARCH("in person",IFERROR(TRIM(INDEX($A383:$T383,MATCH(Lists!$F$13,$A$1:$T$1,0))&amp;""),""))),"In person",IF(ISNUMBER(SEARCH("online",IFERROR(TRIM(INDEX($A383:$T383,MATCH(Lists!$F$13,$A$1:$T$1,0))&amp;""),""))),"Online","Written only")))</f>
        <v/>
      </c>
      <c r="AE383" s="21">
        <f>IF(Y383="","",IFERROR(TRIM(INDEX($A383:$T383,MATCH(Lists!$F$11,$A$1:$T$1,0))&amp;""),""))</f>
        <v/>
      </c>
      <c r="AF383" s="21">
        <f>IF(Y383="","",IFERROR(TRIM(INDEX($A383:$T383,MATCH(Lists!$F$12,$A$1:$T$1,0))&amp;""),""))</f>
        <v/>
      </c>
      <c r="AG383" s="21">
        <f>IF(Y383="","",IFERROR(TRIM(INDEX($A383:$T383,MATCH(Lists!$F$14,$A$1:$T$1,0))&amp;""),""))</f>
        <v/>
      </c>
      <c r="AH383" s="21">
        <f>IF(Y383="","",LEFT(IFERROR(TRIM(INDEX($A383:$T383,MATCH(Lists!$F$10,$A$1:$T$1,0))&amp;""),""),80))</f>
        <v/>
      </c>
      <c r="AI383" s="21">
        <f>IF(Y383="",0,IF(OR(Tally!$B$5="",AA383=Tally!$B$5),1,0))</f>
        <v/>
      </c>
      <c r="AJ383" s="21">
        <f>IF(AI383=1,IF(COUNTIFS($AB$2:AB383,AB383,$AI$2:AI383,1)=1,1,0),0)</f>
        <v/>
      </c>
      <c r="AK383" s="21">
        <f>IF(AJ383=1,SUM($AJ$2:AJ383),"")</f>
        <v/>
      </c>
      <c r="AL383" s="21">
        <f>IF(AND(AI383=1,OR(AD383="In person",AD383="Online"),OR(Speakers!$B$5="",AB383=Speakers!$B$5)),N(Z383)+ROW()/1000000000,"")</f>
        <v/>
      </c>
    </row>
    <row r="384">
      <c r="U384" s="19" t="n"/>
      <c r="V384" s="24" t="n"/>
      <c r="W384" s="24" t="n"/>
      <c r="X384" s="19" t="n"/>
      <c r="Y384" s="21">
        <f>IFERROR(TRIM(INDEX($A384:$T384,MATCH(Lists!$F$2,$A$1:$T$1,0))&amp;""),"")</f>
        <v/>
      </c>
      <c r="Z384" s="22">
        <f>IF(Y384="","",IFERROR(IF(ISNUMBER(INDEX($A384:$T384,MATCH(Lists!$F$3,$A$1:$T$1,0))),INDEX($A384:$T384,MATCH(Lists!$F$3,$A$1:$T$1,0)),DATE(VALUE(LEFT(IFERROR(TRIM(INDEX($A384:$T384,MATCH(Lists!$F$3,$A$1:$T$1,0))&amp;""),""),4)),VALUE(MID(IFERROR(TRIM(INDEX($A384:$T384,MATCH(Lists!$F$3,$A$1:$T$1,0))&amp;""),""),6,2)),VALUE(MID(IFERROR(TRIM(INDEX($A384:$T384,MATCH(Lists!$F$3,$A$1:$T$1,0))&amp;""),""),9,2)))+TIME(VALUE(MID(IFERROR(TRIM(INDEX($A384:$T384,MATCH(Lists!$F$3,$A$1:$T$1,0))&amp;""),""),12,2)),VALUE(MID(IFERROR(TRIM(INDEX($A384:$T384,MATCH(Lists!$F$3,$A$1:$T$1,0))&amp;""),""),15,2)),VALUE(MID(IFERROR(TRIM(INDEX($A384:$T384,MATCH(Lists!$F$3,$A$1:$T$1,0))&amp;""),""),18,2)))),""))</f>
        <v/>
      </c>
      <c r="AA384" s="23">
        <f>IF(Y384="","",IF(ISNUMBER(IFERROR(IF(TRIM(INDEX($A384:$T384,MATCH(Lists!$F$4,$A$1:$T$1,0))&amp;"")="","",IF(ISNUMBER(INDEX($A384:$T384,MATCH(Lists!$F$4,$A$1:$T$1,0))),INT(INDEX($A384:$T384,MATCH(Lists!$F$4,$A$1:$T$1,0))),DATE(VALUE(LEFT(INDEX($A384:$T384,MATCH(Lists!$F$4,$A$1:$T$1,0)),4)),VALUE(MID(INDEX($A384:$T384,MATCH(Lists!$F$4,$A$1:$T$1,0)),6,2)),VALUE(MID(INDEX($A384:$T384,MATCH(Lists!$F$4,$A$1:$T$1,0)),9,2))))),"")),IFERROR(IF(TRIM(INDEX($A384:$T384,MATCH(Lists!$F$4,$A$1:$T$1,0))&amp;"")="","",IF(ISNUMBER(INDEX($A384:$T384,MATCH(Lists!$F$4,$A$1:$T$1,0))),INT(INDEX($A384:$T384,MATCH(Lists!$F$4,$A$1:$T$1,0))),DATE(VALUE(LEFT(INDEX($A384:$T384,MATCH(Lists!$F$4,$A$1:$T$1,0)),4)),VALUE(MID(INDEX($A384:$T384,MATCH(Lists!$F$4,$A$1:$T$1,0)),6,2)),VALUE(MID(INDEX($A384:$T384,MATCH(Lists!$F$4,$A$1:$T$1,0)),9,2))))),""),IFERROR(IF(TRIM(INDEX($A384:$T384,MATCH(Lists!$F$5,$A$1:$T$1,0))&amp;"")="","",IF(ISNUMBER(INDEX($A384:$T384,MATCH(Lists!$F$5,$A$1:$T$1,0))),INT(INDEX($A384:$T384,MATCH(Lists!$F$5,$A$1:$T$1,0))),DATE(VALUE(LEFT(INDEX($A384:$T384,MATCH(Lists!$F$5,$A$1:$T$1,0)),4)),VALUE(MID(INDEX($A384:$T384,MATCH(Lists!$F$5,$A$1:$T$1,0)),6,2)),VALUE(MID(INDEX($A384:$T384,MATCH(Lists!$F$5,$A$1:$T$1,0)),9,2))))),"")))</f>
        <v/>
      </c>
      <c r="AB384" s="21">
        <f>IF(Y384="","",IF(LEFT(IFERROR(TRIM(INDEX($A384:$T384,MATCH(Lists!$F$6,$A$1:$T$1,0))&amp;""),""),2)="No","General comment",IF(IFERROR(TRIM(INDEX($A384:$T384,MATCH(Lists!$F$7,$A$1:$T$1,0))&amp;""),"")&lt;&gt;"",IFERROR(TRIM(INDEX($A384:$T384,MATCH(Lists!$F$7,$A$1:$T$1,0))&amp;""),""),IF(IFERROR(TRIM(INDEX($A384:$T384,MATCH(Lists!$F$8,$A$1:$T$1,0))&amp;""),"")&lt;&gt;"",IFERROR(TRIM(INDEX($A384:$T384,MATCH(Lists!$F$8,$A$1:$T$1,0))&amp;""),""),"(no item given)"))))</f>
        <v/>
      </c>
      <c r="AC384" s="21">
        <f>IF(Y384="","",IF(ISNUMBER(SEARCH("support",IFERROR(TRIM(INDEX($A384:$T384,MATCH(Lists!$F$9,$A$1:$T$1,0))&amp;""),""))),"Support",IF(ISNUMBER(SEARCH("oppose",IFERROR(TRIM(INDEX($A384:$T384,MATCH(Lists!$F$9,$A$1:$T$1,0))&amp;""),""))),"Oppose",IF(IFERROR(TRIM(INDEX($A384:$T384,MATCH(Lists!$F$9,$A$1:$T$1,0))&amp;""),"")="","No position","Neither"))))</f>
        <v/>
      </c>
      <c r="AD384" s="21">
        <f>IF(Y384="","",IF(ISNUMBER(SEARCH("in person",IFERROR(TRIM(INDEX($A384:$T384,MATCH(Lists!$F$13,$A$1:$T$1,0))&amp;""),""))),"In person",IF(ISNUMBER(SEARCH("online",IFERROR(TRIM(INDEX($A384:$T384,MATCH(Lists!$F$13,$A$1:$T$1,0))&amp;""),""))),"Online","Written only")))</f>
        <v/>
      </c>
      <c r="AE384" s="21">
        <f>IF(Y384="","",IFERROR(TRIM(INDEX($A384:$T384,MATCH(Lists!$F$11,$A$1:$T$1,0))&amp;""),""))</f>
        <v/>
      </c>
      <c r="AF384" s="21">
        <f>IF(Y384="","",IFERROR(TRIM(INDEX($A384:$T384,MATCH(Lists!$F$12,$A$1:$T$1,0))&amp;""),""))</f>
        <v/>
      </c>
      <c r="AG384" s="21">
        <f>IF(Y384="","",IFERROR(TRIM(INDEX($A384:$T384,MATCH(Lists!$F$14,$A$1:$T$1,0))&amp;""),""))</f>
        <v/>
      </c>
      <c r="AH384" s="21">
        <f>IF(Y384="","",LEFT(IFERROR(TRIM(INDEX($A384:$T384,MATCH(Lists!$F$10,$A$1:$T$1,0))&amp;""),""),80))</f>
        <v/>
      </c>
      <c r="AI384" s="21">
        <f>IF(Y384="",0,IF(OR(Tally!$B$5="",AA384=Tally!$B$5),1,0))</f>
        <v/>
      </c>
      <c r="AJ384" s="21">
        <f>IF(AI384=1,IF(COUNTIFS($AB$2:AB384,AB384,$AI$2:AI384,1)=1,1,0),0)</f>
        <v/>
      </c>
      <c r="AK384" s="21">
        <f>IF(AJ384=1,SUM($AJ$2:AJ384),"")</f>
        <v/>
      </c>
      <c r="AL384" s="21">
        <f>IF(AND(AI384=1,OR(AD384="In person",AD384="Online"),OR(Speakers!$B$5="",AB384=Speakers!$B$5)),N(Z384)+ROW()/1000000000,"")</f>
        <v/>
      </c>
    </row>
    <row r="385">
      <c r="U385" s="19" t="n"/>
      <c r="V385" s="24" t="n"/>
      <c r="W385" s="24" t="n"/>
      <c r="X385" s="19" t="n"/>
      <c r="Y385" s="21">
        <f>IFERROR(TRIM(INDEX($A385:$T385,MATCH(Lists!$F$2,$A$1:$T$1,0))&amp;""),"")</f>
        <v/>
      </c>
      <c r="Z385" s="22">
        <f>IF(Y385="","",IFERROR(IF(ISNUMBER(INDEX($A385:$T385,MATCH(Lists!$F$3,$A$1:$T$1,0))),INDEX($A385:$T385,MATCH(Lists!$F$3,$A$1:$T$1,0)),DATE(VALUE(LEFT(IFERROR(TRIM(INDEX($A385:$T385,MATCH(Lists!$F$3,$A$1:$T$1,0))&amp;""),""),4)),VALUE(MID(IFERROR(TRIM(INDEX($A385:$T385,MATCH(Lists!$F$3,$A$1:$T$1,0))&amp;""),""),6,2)),VALUE(MID(IFERROR(TRIM(INDEX($A385:$T385,MATCH(Lists!$F$3,$A$1:$T$1,0))&amp;""),""),9,2)))+TIME(VALUE(MID(IFERROR(TRIM(INDEX($A385:$T385,MATCH(Lists!$F$3,$A$1:$T$1,0))&amp;""),""),12,2)),VALUE(MID(IFERROR(TRIM(INDEX($A385:$T385,MATCH(Lists!$F$3,$A$1:$T$1,0))&amp;""),""),15,2)),VALUE(MID(IFERROR(TRIM(INDEX($A385:$T385,MATCH(Lists!$F$3,$A$1:$T$1,0))&amp;""),""),18,2)))),""))</f>
        <v/>
      </c>
      <c r="AA385" s="23">
        <f>IF(Y385="","",IF(ISNUMBER(IFERROR(IF(TRIM(INDEX($A385:$T385,MATCH(Lists!$F$4,$A$1:$T$1,0))&amp;"")="","",IF(ISNUMBER(INDEX($A385:$T385,MATCH(Lists!$F$4,$A$1:$T$1,0))),INT(INDEX($A385:$T385,MATCH(Lists!$F$4,$A$1:$T$1,0))),DATE(VALUE(LEFT(INDEX($A385:$T385,MATCH(Lists!$F$4,$A$1:$T$1,0)),4)),VALUE(MID(INDEX($A385:$T385,MATCH(Lists!$F$4,$A$1:$T$1,0)),6,2)),VALUE(MID(INDEX($A385:$T385,MATCH(Lists!$F$4,$A$1:$T$1,0)),9,2))))),"")),IFERROR(IF(TRIM(INDEX($A385:$T385,MATCH(Lists!$F$4,$A$1:$T$1,0))&amp;"")="","",IF(ISNUMBER(INDEX($A385:$T385,MATCH(Lists!$F$4,$A$1:$T$1,0))),INT(INDEX($A385:$T385,MATCH(Lists!$F$4,$A$1:$T$1,0))),DATE(VALUE(LEFT(INDEX($A385:$T385,MATCH(Lists!$F$4,$A$1:$T$1,0)),4)),VALUE(MID(INDEX($A385:$T385,MATCH(Lists!$F$4,$A$1:$T$1,0)),6,2)),VALUE(MID(INDEX($A385:$T385,MATCH(Lists!$F$4,$A$1:$T$1,0)),9,2))))),""),IFERROR(IF(TRIM(INDEX($A385:$T385,MATCH(Lists!$F$5,$A$1:$T$1,0))&amp;"")="","",IF(ISNUMBER(INDEX($A385:$T385,MATCH(Lists!$F$5,$A$1:$T$1,0))),INT(INDEX($A385:$T385,MATCH(Lists!$F$5,$A$1:$T$1,0))),DATE(VALUE(LEFT(INDEX($A385:$T385,MATCH(Lists!$F$5,$A$1:$T$1,0)),4)),VALUE(MID(INDEX($A385:$T385,MATCH(Lists!$F$5,$A$1:$T$1,0)),6,2)),VALUE(MID(INDEX($A385:$T385,MATCH(Lists!$F$5,$A$1:$T$1,0)),9,2))))),"")))</f>
        <v/>
      </c>
      <c r="AB385" s="21">
        <f>IF(Y385="","",IF(LEFT(IFERROR(TRIM(INDEX($A385:$T385,MATCH(Lists!$F$6,$A$1:$T$1,0))&amp;""),""),2)="No","General comment",IF(IFERROR(TRIM(INDEX($A385:$T385,MATCH(Lists!$F$7,$A$1:$T$1,0))&amp;""),"")&lt;&gt;"",IFERROR(TRIM(INDEX($A385:$T385,MATCH(Lists!$F$7,$A$1:$T$1,0))&amp;""),""),IF(IFERROR(TRIM(INDEX($A385:$T385,MATCH(Lists!$F$8,$A$1:$T$1,0))&amp;""),"")&lt;&gt;"",IFERROR(TRIM(INDEX($A385:$T385,MATCH(Lists!$F$8,$A$1:$T$1,0))&amp;""),""),"(no item given)"))))</f>
        <v/>
      </c>
      <c r="AC385" s="21">
        <f>IF(Y385="","",IF(ISNUMBER(SEARCH("support",IFERROR(TRIM(INDEX($A385:$T385,MATCH(Lists!$F$9,$A$1:$T$1,0))&amp;""),""))),"Support",IF(ISNUMBER(SEARCH("oppose",IFERROR(TRIM(INDEX($A385:$T385,MATCH(Lists!$F$9,$A$1:$T$1,0))&amp;""),""))),"Oppose",IF(IFERROR(TRIM(INDEX($A385:$T385,MATCH(Lists!$F$9,$A$1:$T$1,0))&amp;""),"")="","No position","Neither"))))</f>
        <v/>
      </c>
      <c r="AD385" s="21">
        <f>IF(Y385="","",IF(ISNUMBER(SEARCH("in person",IFERROR(TRIM(INDEX($A385:$T385,MATCH(Lists!$F$13,$A$1:$T$1,0))&amp;""),""))),"In person",IF(ISNUMBER(SEARCH("online",IFERROR(TRIM(INDEX($A385:$T385,MATCH(Lists!$F$13,$A$1:$T$1,0))&amp;""),""))),"Online","Written only")))</f>
        <v/>
      </c>
      <c r="AE385" s="21">
        <f>IF(Y385="","",IFERROR(TRIM(INDEX($A385:$T385,MATCH(Lists!$F$11,$A$1:$T$1,0))&amp;""),""))</f>
        <v/>
      </c>
      <c r="AF385" s="21">
        <f>IF(Y385="","",IFERROR(TRIM(INDEX($A385:$T385,MATCH(Lists!$F$12,$A$1:$T$1,0))&amp;""),""))</f>
        <v/>
      </c>
      <c r="AG385" s="21">
        <f>IF(Y385="","",IFERROR(TRIM(INDEX($A385:$T385,MATCH(Lists!$F$14,$A$1:$T$1,0))&amp;""),""))</f>
        <v/>
      </c>
      <c r="AH385" s="21">
        <f>IF(Y385="","",LEFT(IFERROR(TRIM(INDEX($A385:$T385,MATCH(Lists!$F$10,$A$1:$T$1,0))&amp;""),""),80))</f>
        <v/>
      </c>
      <c r="AI385" s="21">
        <f>IF(Y385="",0,IF(OR(Tally!$B$5="",AA385=Tally!$B$5),1,0))</f>
        <v/>
      </c>
      <c r="AJ385" s="21">
        <f>IF(AI385=1,IF(COUNTIFS($AB$2:AB385,AB385,$AI$2:AI385,1)=1,1,0),0)</f>
        <v/>
      </c>
      <c r="AK385" s="21">
        <f>IF(AJ385=1,SUM($AJ$2:AJ385),"")</f>
        <v/>
      </c>
      <c r="AL385" s="21">
        <f>IF(AND(AI385=1,OR(AD385="In person",AD385="Online"),OR(Speakers!$B$5="",AB385=Speakers!$B$5)),N(Z385)+ROW()/1000000000,"")</f>
        <v/>
      </c>
    </row>
    <row r="386">
      <c r="U386" s="19" t="n"/>
      <c r="V386" s="24" t="n"/>
      <c r="W386" s="24" t="n"/>
      <c r="X386" s="19" t="n"/>
      <c r="Y386" s="21">
        <f>IFERROR(TRIM(INDEX($A386:$T386,MATCH(Lists!$F$2,$A$1:$T$1,0))&amp;""),"")</f>
        <v/>
      </c>
      <c r="Z386" s="22">
        <f>IF(Y386="","",IFERROR(IF(ISNUMBER(INDEX($A386:$T386,MATCH(Lists!$F$3,$A$1:$T$1,0))),INDEX($A386:$T386,MATCH(Lists!$F$3,$A$1:$T$1,0)),DATE(VALUE(LEFT(IFERROR(TRIM(INDEX($A386:$T386,MATCH(Lists!$F$3,$A$1:$T$1,0))&amp;""),""),4)),VALUE(MID(IFERROR(TRIM(INDEX($A386:$T386,MATCH(Lists!$F$3,$A$1:$T$1,0))&amp;""),""),6,2)),VALUE(MID(IFERROR(TRIM(INDEX($A386:$T386,MATCH(Lists!$F$3,$A$1:$T$1,0))&amp;""),""),9,2)))+TIME(VALUE(MID(IFERROR(TRIM(INDEX($A386:$T386,MATCH(Lists!$F$3,$A$1:$T$1,0))&amp;""),""),12,2)),VALUE(MID(IFERROR(TRIM(INDEX($A386:$T386,MATCH(Lists!$F$3,$A$1:$T$1,0))&amp;""),""),15,2)),VALUE(MID(IFERROR(TRIM(INDEX($A386:$T386,MATCH(Lists!$F$3,$A$1:$T$1,0))&amp;""),""),18,2)))),""))</f>
        <v/>
      </c>
      <c r="AA386" s="23">
        <f>IF(Y386="","",IF(ISNUMBER(IFERROR(IF(TRIM(INDEX($A386:$T386,MATCH(Lists!$F$4,$A$1:$T$1,0))&amp;"")="","",IF(ISNUMBER(INDEX($A386:$T386,MATCH(Lists!$F$4,$A$1:$T$1,0))),INT(INDEX($A386:$T386,MATCH(Lists!$F$4,$A$1:$T$1,0))),DATE(VALUE(LEFT(INDEX($A386:$T386,MATCH(Lists!$F$4,$A$1:$T$1,0)),4)),VALUE(MID(INDEX($A386:$T386,MATCH(Lists!$F$4,$A$1:$T$1,0)),6,2)),VALUE(MID(INDEX($A386:$T386,MATCH(Lists!$F$4,$A$1:$T$1,0)),9,2))))),"")),IFERROR(IF(TRIM(INDEX($A386:$T386,MATCH(Lists!$F$4,$A$1:$T$1,0))&amp;"")="","",IF(ISNUMBER(INDEX($A386:$T386,MATCH(Lists!$F$4,$A$1:$T$1,0))),INT(INDEX($A386:$T386,MATCH(Lists!$F$4,$A$1:$T$1,0))),DATE(VALUE(LEFT(INDEX($A386:$T386,MATCH(Lists!$F$4,$A$1:$T$1,0)),4)),VALUE(MID(INDEX($A386:$T386,MATCH(Lists!$F$4,$A$1:$T$1,0)),6,2)),VALUE(MID(INDEX($A386:$T386,MATCH(Lists!$F$4,$A$1:$T$1,0)),9,2))))),""),IFERROR(IF(TRIM(INDEX($A386:$T386,MATCH(Lists!$F$5,$A$1:$T$1,0))&amp;"")="","",IF(ISNUMBER(INDEX($A386:$T386,MATCH(Lists!$F$5,$A$1:$T$1,0))),INT(INDEX($A386:$T386,MATCH(Lists!$F$5,$A$1:$T$1,0))),DATE(VALUE(LEFT(INDEX($A386:$T386,MATCH(Lists!$F$5,$A$1:$T$1,0)),4)),VALUE(MID(INDEX($A386:$T386,MATCH(Lists!$F$5,$A$1:$T$1,0)),6,2)),VALUE(MID(INDEX($A386:$T386,MATCH(Lists!$F$5,$A$1:$T$1,0)),9,2))))),"")))</f>
        <v/>
      </c>
      <c r="AB386" s="21">
        <f>IF(Y386="","",IF(LEFT(IFERROR(TRIM(INDEX($A386:$T386,MATCH(Lists!$F$6,$A$1:$T$1,0))&amp;""),""),2)="No","General comment",IF(IFERROR(TRIM(INDEX($A386:$T386,MATCH(Lists!$F$7,$A$1:$T$1,0))&amp;""),"")&lt;&gt;"",IFERROR(TRIM(INDEX($A386:$T386,MATCH(Lists!$F$7,$A$1:$T$1,0))&amp;""),""),IF(IFERROR(TRIM(INDEX($A386:$T386,MATCH(Lists!$F$8,$A$1:$T$1,0))&amp;""),"")&lt;&gt;"",IFERROR(TRIM(INDEX($A386:$T386,MATCH(Lists!$F$8,$A$1:$T$1,0))&amp;""),""),"(no item given)"))))</f>
        <v/>
      </c>
      <c r="AC386" s="21">
        <f>IF(Y386="","",IF(ISNUMBER(SEARCH("support",IFERROR(TRIM(INDEX($A386:$T386,MATCH(Lists!$F$9,$A$1:$T$1,0))&amp;""),""))),"Support",IF(ISNUMBER(SEARCH("oppose",IFERROR(TRIM(INDEX($A386:$T386,MATCH(Lists!$F$9,$A$1:$T$1,0))&amp;""),""))),"Oppose",IF(IFERROR(TRIM(INDEX($A386:$T386,MATCH(Lists!$F$9,$A$1:$T$1,0))&amp;""),"")="","No position","Neither"))))</f>
        <v/>
      </c>
      <c r="AD386" s="21">
        <f>IF(Y386="","",IF(ISNUMBER(SEARCH("in person",IFERROR(TRIM(INDEX($A386:$T386,MATCH(Lists!$F$13,$A$1:$T$1,0))&amp;""),""))),"In person",IF(ISNUMBER(SEARCH("online",IFERROR(TRIM(INDEX($A386:$T386,MATCH(Lists!$F$13,$A$1:$T$1,0))&amp;""),""))),"Online","Written only")))</f>
        <v/>
      </c>
      <c r="AE386" s="21">
        <f>IF(Y386="","",IFERROR(TRIM(INDEX($A386:$T386,MATCH(Lists!$F$11,$A$1:$T$1,0))&amp;""),""))</f>
        <v/>
      </c>
      <c r="AF386" s="21">
        <f>IF(Y386="","",IFERROR(TRIM(INDEX($A386:$T386,MATCH(Lists!$F$12,$A$1:$T$1,0))&amp;""),""))</f>
        <v/>
      </c>
      <c r="AG386" s="21">
        <f>IF(Y386="","",IFERROR(TRIM(INDEX($A386:$T386,MATCH(Lists!$F$14,$A$1:$T$1,0))&amp;""),""))</f>
        <v/>
      </c>
      <c r="AH386" s="21">
        <f>IF(Y386="","",LEFT(IFERROR(TRIM(INDEX($A386:$T386,MATCH(Lists!$F$10,$A$1:$T$1,0))&amp;""),""),80))</f>
        <v/>
      </c>
      <c r="AI386" s="21">
        <f>IF(Y386="",0,IF(OR(Tally!$B$5="",AA386=Tally!$B$5),1,0))</f>
        <v/>
      </c>
      <c r="AJ386" s="21">
        <f>IF(AI386=1,IF(COUNTIFS($AB$2:AB386,AB386,$AI$2:AI386,1)=1,1,0),0)</f>
        <v/>
      </c>
      <c r="AK386" s="21">
        <f>IF(AJ386=1,SUM($AJ$2:AJ386),"")</f>
        <v/>
      </c>
      <c r="AL386" s="21">
        <f>IF(AND(AI386=1,OR(AD386="In person",AD386="Online"),OR(Speakers!$B$5="",AB386=Speakers!$B$5)),N(Z386)+ROW()/1000000000,"")</f>
        <v/>
      </c>
    </row>
    <row r="387">
      <c r="U387" s="19" t="n"/>
      <c r="V387" s="24" t="n"/>
      <c r="W387" s="24" t="n"/>
      <c r="X387" s="19" t="n"/>
      <c r="Y387" s="21">
        <f>IFERROR(TRIM(INDEX($A387:$T387,MATCH(Lists!$F$2,$A$1:$T$1,0))&amp;""),"")</f>
        <v/>
      </c>
      <c r="Z387" s="22">
        <f>IF(Y387="","",IFERROR(IF(ISNUMBER(INDEX($A387:$T387,MATCH(Lists!$F$3,$A$1:$T$1,0))),INDEX($A387:$T387,MATCH(Lists!$F$3,$A$1:$T$1,0)),DATE(VALUE(LEFT(IFERROR(TRIM(INDEX($A387:$T387,MATCH(Lists!$F$3,$A$1:$T$1,0))&amp;""),""),4)),VALUE(MID(IFERROR(TRIM(INDEX($A387:$T387,MATCH(Lists!$F$3,$A$1:$T$1,0))&amp;""),""),6,2)),VALUE(MID(IFERROR(TRIM(INDEX($A387:$T387,MATCH(Lists!$F$3,$A$1:$T$1,0))&amp;""),""),9,2)))+TIME(VALUE(MID(IFERROR(TRIM(INDEX($A387:$T387,MATCH(Lists!$F$3,$A$1:$T$1,0))&amp;""),""),12,2)),VALUE(MID(IFERROR(TRIM(INDEX($A387:$T387,MATCH(Lists!$F$3,$A$1:$T$1,0))&amp;""),""),15,2)),VALUE(MID(IFERROR(TRIM(INDEX($A387:$T387,MATCH(Lists!$F$3,$A$1:$T$1,0))&amp;""),""),18,2)))),""))</f>
        <v/>
      </c>
      <c r="AA387" s="23">
        <f>IF(Y387="","",IF(ISNUMBER(IFERROR(IF(TRIM(INDEX($A387:$T387,MATCH(Lists!$F$4,$A$1:$T$1,0))&amp;"")="","",IF(ISNUMBER(INDEX($A387:$T387,MATCH(Lists!$F$4,$A$1:$T$1,0))),INT(INDEX($A387:$T387,MATCH(Lists!$F$4,$A$1:$T$1,0))),DATE(VALUE(LEFT(INDEX($A387:$T387,MATCH(Lists!$F$4,$A$1:$T$1,0)),4)),VALUE(MID(INDEX($A387:$T387,MATCH(Lists!$F$4,$A$1:$T$1,0)),6,2)),VALUE(MID(INDEX($A387:$T387,MATCH(Lists!$F$4,$A$1:$T$1,0)),9,2))))),"")),IFERROR(IF(TRIM(INDEX($A387:$T387,MATCH(Lists!$F$4,$A$1:$T$1,0))&amp;"")="","",IF(ISNUMBER(INDEX($A387:$T387,MATCH(Lists!$F$4,$A$1:$T$1,0))),INT(INDEX($A387:$T387,MATCH(Lists!$F$4,$A$1:$T$1,0))),DATE(VALUE(LEFT(INDEX($A387:$T387,MATCH(Lists!$F$4,$A$1:$T$1,0)),4)),VALUE(MID(INDEX($A387:$T387,MATCH(Lists!$F$4,$A$1:$T$1,0)),6,2)),VALUE(MID(INDEX($A387:$T387,MATCH(Lists!$F$4,$A$1:$T$1,0)),9,2))))),""),IFERROR(IF(TRIM(INDEX($A387:$T387,MATCH(Lists!$F$5,$A$1:$T$1,0))&amp;"")="","",IF(ISNUMBER(INDEX($A387:$T387,MATCH(Lists!$F$5,$A$1:$T$1,0))),INT(INDEX($A387:$T387,MATCH(Lists!$F$5,$A$1:$T$1,0))),DATE(VALUE(LEFT(INDEX($A387:$T387,MATCH(Lists!$F$5,$A$1:$T$1,0)),4)),VALUE(MID(INDEX($A387:$T387,MATCH(Lists!$F$5,$A$1:$T$1,0)),6,2)),VALUE(MID(INDEX($A387:$T387,MATCH(Lists!$F$5,$A$1:$T$1,0)),9,2))))),"")))</f>
        <v/>
      </c>
      <c r="AB387" s="21">
        <f>IF(Y387="","",IF(LEFT(IFERROR(TRIM(INDEX($A387:$T387,MATCH(Lists!$F$6,$A$1:$T$1,0))&amp;""),""),2)="No","General comment",IF(IFERROR(TRIM(INDEX($A387:$T387,MATCH(Lists!$F$7,$A$1:$T$1,0))&amp;""),"")&lt;&gt;"",IFERROR(TRIM(INDEX($A387:$T387,MATCH(Lists!$F$7,$A$1:$T$1,0))&amp;""),""),IF(IFERROR(TRIM(INDEX($A387:$T387,MATCH(Lists!$F$8,$A$1:$T$1,0))&amp;""),"")&lt;&gt;"",IFERROR(TRIM(INDEX($A387:$T387,MATCH(Lists!$F$8,$A$1:$T$1,0))&amp;""),""),"(no item given)"))))</f>
        <v/>
      </c>
      <c r="AC387" s="21">
        <f>IF(Y387="","",IF(ISNUMBER(SEARCH("support",IFERROR(TRIM(INDEX($A387:$T387,MATCH(Lists!$F$9,$A$1:$T$1,0))&amp;""),""))),"Support",IF(ISNUMBER(SEARCH("oppose",IFERROR(TRIM(INDEX($A387:$T387,MATCH(Lists!$F$9,$A$1:$T$1,0))&amp;""),""))),"Oppose",IF(IFERROR(TRIM(INDEX($A387:$T387,MATCH(Lists!$F$9,$A$1:$T$1,0))&amp;""),"")="","No position","Neither"))))</f>
        <v/>
      </c>
      <c r="AD387" s="21">
        <f>IF(Y387="","",IF(ISNUMBER(SEARCH("in person",IFERROR(TRIM(INDEX($A387:$T387,MATCH(Lists!$F$13,$A$1:$T$1,0))&amp;""),""))),"In person",IF(ISNUMBER(SEARCH("online",IFERROR(TRIM(INDEX($A387:$T387,MATCH(Lists!$F$13,$A$1:$T$1,0))&amp;""),""))),"Online","Written only")))</f>
        <v/>
      </c>
      <c r="AE387" s="21">
        <f>IF(Y387="","",IFERROR(TRIM(INDEX($A387:$T387,MATCH(Lists!$F$11,$A$1:$T$1,0))&amp;""),""))</f>
        <v/>
      </c>
      <c r="AF387" s="21">
        <f>IF(Y387="","",IFERROR(TRIM(INDEX($A387:$T387,MATCH(Lists!$F$12,$A$1:$T$1,0))&amp;""),""))</f>
        <v/>
      </c>
      <c r="AG387" s="21">
        <f>IF(Y387="","",IFERROR(TRIM(INDEX($A387:$T387,MATCH(Lists!$F$14,$A$1:$T$1,0))&amp;""),""))</f>
        <v/>
      </c>
      <c r="AH387" s="21">
        <f>IF(Y387="","",LEFT(IFERROR(TRIM(INDEX($A387:$T387,MATCH(Lists!$F$10,$A$1:$T$1,0))&amp;""),""),80))</f>
        <v/>
      </c>
      <c r="AI387" s="21">
        <f>IF(Y387="",0,IF(OR(Tally!$B$5="",AA387=Tally!$B$5),1,0))</f>
        <v/>
      </c>
      <c r="AJ387" s="21">
        <f>IF(AI387=1,IF(COUNTIFS($AB$2:AB387,AB387,$AI$2:AI387,1)=1,1,0),0)</f>
        <v/>
      </c>
      <c r="AK387" s="21">
        <f>IF(AJ387=1,SUM($AJ$2:AJ387),"")</f>
        <v/>
      </c>
      <c r="AL387" s="21">
        <f>IF(AND(AI387=1,OR(AD387="In person",AD387="Online"),OR(Speakers!$B$5="",AB387=Speakers!$B$5)),N(Z387)+ROW()/1000000000,"")</f>
        <v/>
      </c>
    </row>
    <row r="388">
      <c r="U388" s="19" t="n"/>
      <c r="V388" s="24" t="n"/>
      <c r="W388" s="24" t="n"/>
      <c r="X388" s="19" t="n"/>
      <c r="Y388" s="21">
        <f>IFERROR(TRIM(INDEX($A388:$T388,MATCH(Lists!$F$2,$A$1:$T$1,0))&amp;""),"")</f>
        <v/>
      </c>
      <c r="Z388" s="22">
        <f>IF(Y388="","",IFERROR(IF(ISNUMBER(INDEX($A388:$T388,MATCH(Lists!$F$3,$A$1:$T$1,0))),INDEX($A388:$T388,MATCH(Lists!$F$3,$A$1:$T$1,0)),DATE(VALUE(LEFT(IFERROR(TRIM(INDEX($A388:$T388,MATCH(Lists!$F$3,$A$1:$T$1,0))&amp;""),""),4)),VALUE(MID(IFERROR(TRIM(INDEX($A388:$T388,MATCH(Lists!$F$3,$A$1:$T$1,0))&amp;""),""),6,2)),VALUE(MID(IFERROR(TRIM(INDEX($A388:$T388,MATCH(Lists!$F$3,$A$1:$T$1,0))&amp;""),""),9,2)))+TIME(VALUE(MID(IFERROR(TRIM(INDEX($A388:$T388,MATCH(Lists!$F$3,$A$1:$T$1,0))&amp;""),""),12,2)),VALUE(MID(IFERROR(TRIM(INDEX($A388:$T388,MATCH(Lists!$F$3,$A$1:$T$1,0))&amp;""),""),15,2)),VALUE(MID(IFERROR(TRIM(INDEX($A388:$T388,MATCH(Lists!$F$3,$A$1:$T$1,0))&amp;""),""),18,2)))),""))</f>
        <v/>
      </c>
      <c r="AA388" s="23">
        <f>IF(Y388="","",IF(ISNUMBER(IFERROR(IF(TRIM(INDEX($A388:$T388,MATCH(Lists!$F$4,$A$1:$T$1,0))&amp;"")="","",IF(ISNUMBER(INDEX($A388:$T388,MATCH(Lists!$F$4,$A$1:$T$1,0))),INT(INDEX($A388:$T388,MATCH(Lists!$F$4,$A$1:$T$1,0))),DATE(VALUE(LEFT(INDEX($A388:$T388,MATCH(Lists!$F$4,$A$1:$T$1,0)),4)),VALUE(MID(INDEX($A388:$T388,MATCH(Lists!$F$4,$A$1:$T$1,0)),6,2)),VALUE(MID(INDEX($A388:$T388,MATCH(Lists!$F$4,$A$1:$T$1,0)),9,2))))),"")),IFERROR(IF(TRIM(INDEX($A388:$T388,MATCH(Lists!$F$4,$A$1:$T$1,0))&amp;"")="","",IF(ISNUMBER(INDEX($A388:$T388,MATCH(Lists!$F$4,$A$1:$T$1,0))),INT(INDEX($A388:$T388,MATCH(Lists!$F$4,$A$1:$T$1,0))),DATE(VALUE(LEFT(INDEX($A388:$T388,MATCH(Lists!$F$4,$A$1:$T$1,0)),4)),VALUE(MID(INDEX($A388:$T388,MATCH(Lists!$F$4,$A$1:$T$1,0)),6,2)),VALUE(MID(INDEX($A388:$T388,MATCH(Lists!$F$4,$A$1:$T$1,0)),9,2))))),""),IFERROR(IF(TRIM(INDEX($A388:$T388,MATCH(Lists!$F$5,$A$1:$T$1,0))&amp;"")="","",IF(ISNUMBER(INDEX($A388:$T388,MATCH(Lists!$F$5,$A$1:$T$1,0))),INT(INDEX($A388:$T388,MATCH(Lists!$F$5,$A$1:$T$1,0))),DATE(VALUE(LEFT(INDEX($A388:$T388,MATCH(Lists!$F$5,$A$1:$T$1,0)),4)),VALUE(MID(INDEX($A388:$T388,MATCH(Lists!$F$5,$A$1:$T$1,0)),6,2)),VALUE(MID(INDEX($A388:$T388,MATCH(Lists!$F$5,$A$1:$T$1,0)),9,2))))),"")))</f>
        <v/>
      </c>
      <c r="AB388" s="21">
        <f>IF(Y388="","",IF(LEFT(IFERROR(TRIM(INDEX($A388:$T388,MATCH(Lists!$F$6,$A$1:$T$1,0))&amp;""),""),2)="No","General comment",IF(IFERROR(TRIM(INDEX($A388:$T388,MATCH(Lists!$F$7,$A$1:$T$1,0))&amp;""),"")&lt;&gt;"",IFERROR(TRIM(INDEX($A388:$T388,MATCH(Lists!$F$7,$A$1:$T$1,0))&amp;""),""),IF(IFERROR(TRIM(INDEX($A388:$T388,MATCH(Lists!$F$8,$A$1:$T$1,0))&amp;""),"")&lt;&gt;"",IFERROR(TRIM(INDEX($A388:$T388,MATCH(Lists!$F$8,$A$1:$T$1,0))&amp;""),""),"(no item given)"))))</f>
        <v/>
      </c>
      <c r="AC388" s="21">
        <f>IF(Y388="","",IF(ISNUMBER(SEARCH("support",IFERROR(TRIM(INDEX($A388:$T388,MATCH(Lists!$F$9,$A$1:$T$1,0))&amp;""),""))),"Support",IF(ISNUMBER(SEARCH("oppose",IFERROR(TRIM(INDEX($A388:$T388,MATCH(Lists!$F$9,$A$1:$T$1,0))&amp;""),""))),"Oppose",IF(IFERROR(TRIM(INDEX($A388:$T388,MATCH(Lists!$F$9,$A$1:$T$1,0))&amp;""),"")="","No position","Neither"))))</f>
        <v/>
      </c>
      <c r="AD388" s="21">
        <f>IF(Y388="","",IF(ISNUMBER(SEARCH("in person",IFERROR(TRIM(INDEX($A388:$T388,MATCH(Lists!$F$13,$A$1:$T$1,0))&amp;""),""))),"In person",IF(ISNUMBER(SEARCH("online",IFERROR(TRIM(INDEX($A388:$T388,MATCH(Lists!$F$13,$A$1:$T$1,0))&amp;""),""))),"Online","Written only")))</f>
        <v/>
      </c>
      <c r="AE388" s="21">
        <f>IF(Y388="","",IFERROR(TRIM(INDEX($A388:$T388,MATCH(Lists!$F$11,$A$1:$T$1,0))&amp;""),""))</f>
        <v/>
      </c>
      <c r="AF388" s="21">
        <f>IF(Y388="","",IFERROR(TRIM(INDEX($A388:$T388,MATCH(Lists!$F$12,$A$1:$T$1,0))&amp;""),""))</f>
        <v/>
      </c>
      <c r="AG388" s="21">
        <f>IF(Y388="","",IFERROR(TRIM(INDEX($A388:$T388,MATCH(Lists!$F$14,$A$1:$T$1,0))&amp;""),""))</f>
        <v/>
      </c>
      <c r="AH388" s="21">
        <f>IF(Y388="","",LEFT(IFERROR(TRIM(INDEX($A388:$T388,MATCH(Lists!$F$10,$A$1:$T$1,0))&amp;""),""),80))</f>
        <v/>
      </c>
      <c r="AI388" s="21">
        <f>IF(Y388="",0,IF(OR(Tally!$B$5="",AA388=Tally!$B$5),1,0))</f>
        <v/>
      </c>
      <c r="AJ388" s="21">
        <f>IF(AI388=1,IF(COUNTIFS($AB$2:AB388,AB388,$AI$2:AI388,1)=1,1,0),0)</f>
        <v/>
      </c>
      <c r="AK388" s="21">
        <f>IF(AJ388=1,SUM($AJ$2:AJ388),"")</f>
        <v/>
      </c>
      <c r="AL388" s="21">
        <f>IF(AND(AI388=1,OR(AD388="In person",AD388="Online"),OR(Speakers!$B$5="",AB388=Speakers!$B$5)),N(Z388)+ROW()/1000000000,"")</f>
        <v/>
      </c>
    </row>
    <row r="389">
      <c r="U389" s="19" t="n"/>
      <c r="V389" s="24" t="n"/>
      <c r="W389" s="24" t="n"/>
      <c r="X389" s="19" t="n"/>
      <c r="Y389" s="21">
        <f>IFERROR(TRIM(INDEX($A389:$T389,MATCH(Lists!$F$2,$A$1:$T$1,0))&amp;""),"")</f>
        <v/>
      </c>
      <c r="Z389" s="22">
        <f>IF(Y389="","",IFERROR(IF(ISNUMBER(INDEX($A389:$T389,MATCH(Lists!$F$3,$A$1:$T$1,0))),INDEX($A389:$T389,MATCH(Lists!$F$3,$A$1:$T$1,0)),DATE(VALUE(LEFT(IFERROR(TRIM(INDEX($A389:$T389,MATCH(Lists!$F$3,$A$1:$T$1,0))&amp;""),""),4)),VALUE(MID(IFERROR(TRIM(INDEX($A389:$T389,MATCH(Lists!$F$3,$A$1:$T$1,0))&amp;""),""),6,2)),VALUE(MID(IFERROR(TRIM(INDEX($A389:$T389,MATCH(Lists!$F$3,$A$1:$T$1,0))&amp;""),""),9,2)))+TIME(VALUE(MID(IFERROR(TRIM(INDEX($A389:$T389,MATCH(Lists!$F$3,$A$1:$T$1,0))&amp;""),""),12,2)),VALUE(MID(IFERROR(TRIM(INDEX($A389:$T389,MATCH(Lists!$F$3,$A$1:$T$1,0))&amp;""),""),15,2)),VALUE(MID(IFERROR(TRIM(INDEX($A389:$T389,MATCH(Lists!$F$3,$A$1:$T$1,0))&amp;""),""),18,2)))),""))</f>
        <v/>
      </c>
      <c r="AA389" s="23">
        <f>IF(Y389="","",IF(ISNUMBER(IFERROR(IF(TRIM(INDEX($A389:$T389,MATCH(Lists!$F$4,$A$1:$T$1,0))&amp;"")="","",IF(ISNUMBER(INDEX($A389:$T389,MATCH(Lists!$F$4,$A$1:$T$1,0))),INT(INDEX($A389:$T389,MATCH(Lists!$F$4,$A$1:$T$1,0))),DATE(VALUE(LEFT(INDEX($A389:$T389,MATCH(Lists!$F$4,$A$1:$T$1,0)),4)),VALUE(MID(INDEX($A389:$T389,MATCH(Lists!$F$4,$A$1:$T$1,0)),6,2)),VALUE(MID(INDEX($A389:$T389,MATCH(Lists!$F$4,$A$1:$T$1,0)),9,2))))),"")),IFERROR(IF(TRIM(INDEX($A389:$T389,MATCH(Lists!$F$4,$A$1:$T$1,0))&amp;"")="","",IF(ISNUMBER(INDEX($A389:$T389,MATCH(Lists!$F$4,$A$1:$T$1,0))),INT(INDEX($A389:$T389,MATCH(Lists!$F$4,$A$1:$T$1,0))),DATE(VALUE(LEFT(INDEX($A389:$T389,MATCH(Lists!$F$4,$A$1:$T$1,0)),4)),VALUE(MID(INDEX($A389:$T389,MATCH(Lists!$F$4,$A$1:$T$1,0)),6,2)),VALUE(MID(INDEX($A389:$T389,MATCH(Lists!$F$4,$A$1:$T$1,0)),9,2))))),""),IFERROR(IF(TRIM(INDEX($A389:$T389,MATCH(Lists!$F$5,$A$1:$T$1,0))&amp;"")="","",IF(ISNUMBER(INDEX($A389:$T389,MATCH(Lists!$F$5,$A$1:$T$1,0))),INT(INDEX($A389:$T389,MATCH(Lists!$F$5,$A$1:$T$1,0))),DATE(VALUE(LEFT(INDEX($A389:$T389,MATCH(Lists!$F$5,$A$1:$T$1,0)),4)),VALUE(MID(INDEX($A389:$T389,MATCH(Lists!$F$5,$A$1:$T$1,0)),6,2)),VALUE(MID(INDEX($A389:$T389,MATCH(Lists!$F$5,$A$1:$T$1,0)),9,2))))),"")))</f>
        <v/>
      </c>
      <c r="AB389" s="21">
        <f>IF(Y389="","",IF(LEFT(IFERROR(TRIM(INDEX($A389:$T389,MATCH(Lists!$F$6,$A$1:$T$1,0))&amp;""),""),2)="No","General comment",IF(IFERROR(TRIM(INDEX($A389:$T389,MATCH(Lists!$F$7,$A$1:$T$1,0))&amp;""),"")&lt;&gt;"",IFERROR(TRIM(INDEX($A389:$T389,MATCH(Lists!$F$7,$A$1:$T$1,0))&amp;""),""),IF(IFERROR(TRIM(INDEX($A389:$T389,MATCH(Lists!$F$8,$A$1:$T$1,0))&amp;""),"")&lt;&gt;"",IFERROR(TRIM(INDEX($A389:$T389,MATCH(Lists!$F$8,$A$1:$T$1,0))&amp;""),""),"(no item given)"))))</f>
        <v/>
      </c>
      <c r="AC389" s="21">
        <f>IF(Y389="","",IF(ISNUMBER(SEARCH("support",IFERROR(TRIM(INDEX($A389:$T389,MATCH(Lists!$F$9,$A$1:$T$1,0))&amp;""),""))),"Support",IF(ISNUMBER(SEARCH("oppose",IFERROR(TRIM(INDEX($A389:$T389,MATCH(Lists!$F$9,$A$1:$T$1,0))&amp;""),""))),"Oppose",IF(IFERROR(TRIM(INDEX($A389:$T389,MATCH(Lists!$F$9,$A$1:$T$1,0))&amp;""),"")="","No position","Neither"))))</f>
        <v/>
      </c>
      <c r="AD389" s="21">
        <f>IF(Y389="","",IF(ISNUMBER(SEARCH("in person",IFERROR(TRIM(INDEX($A389:$T389,MATCH(Lists!$F$13,$A$1:$T$1,0))&amp;""),""))),"In person",IF(ISNUMBER(SEARCH("online",IFERROR(TRIM(INDEX($A389:$T389,MATCH(Lists!$F$13,$A$1:$T$1,0))&amp;""),""))),"Online","Written only")))</f>
        <v/>
      </c>
      <c r="AE389" s="21">
        <f>IF(Y389="","",IFERROR(TRIM(INDEX($A389:$T389,MATCH(Lists!$F$11,$A$1:$T$1,0))&amp;""),""))</f>
        <v/>
      </c>
      <c r="AF389" s="21">
        <f>IF(Y389="","",IFERROR(TRIM(INDEX($A389:$T389,MATCH(Lists!$F$12,$A$1:$T$1,0))&amp;""),""))</f>
        <v/>
      </c>
      <c r="AG389" s="21">
        <f>IF(Y389="","",IFERROR(TRIM(INDEX($A389:$T389,MATCH(Lists!$F$14,$A$1:$T$1,0))&amp;""),""))</f>
        <v/>
      </c>
      <c r="AH389" s="21">
        <f>IF(Y389="","",LEFT(IFERROR(TRIM(INDEX($A389:$T389,MATCH(Lists!$F$10,$A$1:$T$1,0))&amp;""),""),80))</f>
        <v/>
      </c>
      <c r="AI389" s="21">
        <f>IF(Y389="",0,IF(OR(Tally!$B$5="",AA389=Tally!$B$5),1,0))</f>
        <v/>
      </c>
      <c r="AJ389" s="21">
        <f>IF(AI389=1,IF(COUNTIFS($AB$2:AB389,AB389,$AI$2:AI389,1)=1,1,0),0)</f>
        <v/>
      </c>
      <c r="AK389" s="21">
        <f>IF(AJ389=1,SUM($AJ$2:AJ389),"")</f>
        <v/>
      </c>
      <c r="AL389" s="21">
        <f>IF(AND(AI389=1,OR(AD389="In person",AD389="Online"),OR(Speakers!$B$5="",AB389=Speakers!$B$5)),N(Z389)+ROW()/1000000000,"")</f>
        <v/>
      </c>
    </row>
    <row r="390">
      <c r="U390" s="19" t="n"/>
      <c r="V390" s="24" t="n"/>
      <c r="W390" s="24" t="n"/>
      <c r="X390" s="19" t="n"/>
      <c r="Y390" s="21">
        <f>IFERROR(TRIM(INDEX($A390:$T390,MATCH(Lists!$F$2,$A$1:$T$1,0))&amp;""),"")</f>
        <v/>
      </c>
      <c r="Z390" s="22">
        <f>IF(Y390="","",IFERROR(IF(ISNUMBER(INDEX($A390:$T390,MATCH(Lists!$F$3,$A$1:$T$1,0))),INDEX($A390:$T390,MATCH(Lists!$F$3,$A$1:$T$1,0)),DATE(VALUE(LEFT(IFERROR(TRIM(INDEX($A390:$T390,MATCH(Lists!$F$3,$A$1:$T$1,0))&amp;""),""),4)),VALUE(MID(IFERROR(TRIM(INDEX($A390:$T390,MATCH(Lists!$F$3,$A$1:$T$1,0))&amp;""),""),6,2)),VALUE(MID(IFERROR(TRIM(INDEX($A390:$T390,MATCH(Lists!$F$3,$A$1:$T$1,0))&amp;""),""),9,2)))+TIME(VALUE(MID(IFERROR(TRIM(INDEX($A390:$T390,MATCH(Lists!$F$3,$A$1:$T$1,0))&amp;""),""),12,2)),VALUE(MID(IFERROR(TRIM(INDEX($A390:$T390,MATCH(Lists!$F$3,$A$1:$T$1,0))&amp;""),""),15,2)),VALUE(MID(IFERROR(TRIM(INDEX($A390:$T390,MATCH(Lists!$F$3,$A$1:$T$1,0))&amp;""),""),18,2)))),""))</f>
        <v/>
      </c>
      <c r="AA390" s="23">
        <f>IF(Y390="","",IF(ISNUMBER(IFERROR(IF(TRIM(INDEX($A390:$T390,MATCH(Lists!$F$4,$A$1:$T$1,0))&amp;"")="","",IF(ISNUMBER(INDEX($A390:$T390,MATCH(Lists!$F$4,$A$1:$T$1,0))),INT(INDEX($A390:$T390,MATCH(Lists!$F$4,$A$1:$T$1,0))),DATE(VALUE(LEFT(INDEX($A390:$T390,MATCH(Lists!$F$4,$A$1:$T$1,0)),4)),VALUE(MID(INDEX($A390:$T390,MATCH(Lists!$F$4,$A$1:$T$1,0)),6,2)),VALUE(MID(INDEX($A390:$T390,MATCH(Lists!$F$4,$A$1:$T$1,0)),9,2))))),"")),IFERROR(IF(TRIM(INDEX($A390:$T390,MATCH(Lists!$F$4,$A$1:$T$1,0))&amp;"")="","",IF(ISNUMBER(INDEX($A390:$T390,MATCH(Lists!$F$4,$A$1:$T$1,0))),INT(INDEX($A390:$T390,MATCH(Lists!$F$4,$A$1:$T$1,0))),DATE(VALUE(LEFT(INDEX($A390:$T390,MATCH(Lists!$F$4,$A$1:$T$1,0)),4)),VALUE(MID(INDEX($A390:$T390,MATCH(Lists!$F$4,$A$1:$T$1,0)),6,2)),VALUE(MID(INDEX($A390:$T390,MATCH(Lists!$F$4,$A$1:$T$1,0)),9,2))))),""),IFERROR(IF(TRIM(INDEX($A390:$T390,MATCH(Lists!$F$5,$A$1:$T$1,0))&amp;"")="","",IF(ISNUMBER(INDEX($A390:$T390,MATCH(Lists!$F$5,$A$1:$T$1,0))),INT(INDEX($A390:$T390,MATCH(Lists!$F$5,$A$1:$T$1,0))),DATE(VALUE(LEFT(INDEX($A390:$T390,MATCH(Lists!$F$5,$A$1:$T$1,0)),4)),VALUE(MID(INDEX($A390:$T390,MATCH(Lists!$F$5,$A$1:$T$1,0)),6,2)),VALUE(MID(INDEX($A390:$T390,MATCH(Lists!$F$5,$A$1:$T$1,0)),9,2))))),"")))</f>
        <v/>
      </c>
      <c r="AB390" s="21">
        <f>IF(Y390="","",IF(LEFT(IFERROR(TRIM(INDEX($A390:$T390,MATCH(Lists!$F$6,$A$1:$T$1,0))&amp;""),""),2)="No","General comment",IF(IFERROR(TRIM(INDEX($A390:$T390,MATCH(Lists!$F$7,$A$1:$T$1,0))&amp;""),"")&lt;&gt;"",IFERROR(TRIM(INDEX($A390:$T390,MATCH(Lists!$F$7,$A$1:$T$1,0))&amp;""),""),IF(IFERROR(TRIM(INDEX($A390:$T390,MATCH(Lists!$F$8,$A$1:$T$1,0))&amp;""),"")&lt;&gt;"",IFERROR(TRIM(INDEX($A390:$T390,MATCH(Lists!$F$8,$A$1:$T$1,0))&amp;""),""),"(no item given)"))))</f>
        <v/>
      </c>
      <c r="AC390" s="21">
        <f>IF(Y390="","",IF(ISNUMBER(SEARCH("support",IFERROR(TRIM(INDEX($A390:$T390,MATCH(Lists!$F$9,$A$1:$T$1,0))&amp;""),""))),"Support",IF(ISNUMBER(SEARCH("oppose",IFERROR(TRIM(INDEX($A390:$T390,MATCH(Lists!$F$9,$A$1:$T$1,0))&amp;""),""))),"Oppose",IF(IFERROR(TRIM(INDEX($A390:$T390,MATCH(Lists!$F$9,$A$1:$T$1,0))&amp;""),"")="","No position","Neither"))))</f>
        <v/>
      </c>
      <c r="AD390" s="21">
        <f>IF(Y390="","",IF(ISNUMBER(SEARCH("in person",IFERROR(TRIM(INDEX($A390:$T390,MATCH(Lists!$F$13,$A$1:$T$1,0))&amp;""),""))),"In person",IF(ISNUMBER(SEARCH("online",IFERROR(TRIM(INDEX($A390:$T390,MATCH(Lists!$F$13,$A$1:$T$1,0))&amp;""),""))),"Online","Written only")))</f>
        <v/>
      </c>
      <c r="AE390" s="21">
        <f>IF(Y390="","",IFERROR(TRIM(INDEX($A390:$T390,MATCH(Lists!$F$11,$A$1:$T$1,0))&amp;""),""))</f>
        <v/>
      </c>
      <c r="AF390" s="21">
        <f>IF(Y390="","",IFERROR(TRIM(INDEX($A390:$T390,MATCH(Lists!$F$12,$A$1:$T$1,0))&amp;""),""))</f>
        <v/>
      </c>
      <c r="AG390" s="21">
        <f>IF(Y390="","",IFERROR(TRIM(INDEX($A390:$T390,MATCH(Lists!$F$14,$A$1:$T$1,0))&amp;""),""))</f>
        <v/>
      </c>
      <c r="AH390" s="21">
        <f>IF(Y390="","",LEFT(IFERROR(TRIM(INDEX($A390:$T390,MATCH(Lists!$F$10,$A$1:$T$1,0))&amp;""),""),80))</f>
        <v/>
      </c>
      <c r="AI390" s="21">
        <f>IF(Y390="",0,IF(OR(Tally!$B$5="",AA390=Tally!$B$5),1,0))</f>
        <v/>
      </c>
      <c r="AJ390" s="21">
        <f>IF(AI390=1,IF(COUNTIFS($AB$2:AB390,AB390,$AI$2:AI390,1)=1,1,0),0)</f>
        <v/>
      </c>
      <c r="AK390" s="21">
        <f>IF(AJ390=1,SUM($AJ$2:AJ390),"")</f>
        <v/>
      </c>
      <c r="AL390" s="21">
        <f>IF(AND(AI390=1,OR(AD390="In person",AD390="Online"),OR(Speakers!$B$5="",AB390=Speakers!$B$5)),N(Z390)+ROW()/1000000000,"")</f>
        <v/>
      </c>
    </row>
    <row r="391">
      <c r="U391" s="19" t="n"/>
      <c r="V391" s="24" t="n"/>
      <c r="W391" s="24" t="n"/>
      <c r="X391" s="19" t="n"/>
      <c r="Y391" s="21">
        <f>IFERROR(TRIM(INDEX($A391:$T391,MATCH(Lists!$F$2,$A$1:$T$1,0))&amp;""),"")</f>
        <v/>
      </c>
      <c r="Z391" s="22">
        <f>IF(Y391="","",IFERROR(IF(ISNUMBER(INDEX($A391:$T391,MATCH(Lists!$F$3,$A$1:$T$1,0))),INDEX($A391:$T391,MATCH(Lists!$F$3,$A$1:$T$1,0)),DATE(VALUE(LEFT(IFERROR(TRIM(INDEX($A391:$T391,MATCH(Lists!$F$3,$A$1:$T$1,0))&amp;""),""),4)),VALUE(MID(IFERROR(TRIM(INDEX($A391:$T391,MATCH(Lists!$F$3,$A$1:$T$1,0))&amp;""),""),6,2)),VALUE(MID(IFERROR(TRIM(INDEX($A391:$T391,MATCH(Lists!$F$3,$A$1:$T$1,0))&amp;""),""),9,2)))+TIME(VALUE(MID(IFERROR(TRIM(INDEX($A391:$T391,MATCH(Lists!$F$3,$A$1:$T$1,0))&amp;""),""),12,2)),VALUE(MID(IFERROR(TRIM(INDEX($A391:$T391,MATCH(Lists!$F$3,$A$1:$T$1,0))&amp;""),""),15,2)),VALUE(MID(IFERROR(TRIM(INDEX($A391:$T391,MATCH(Lists!$F$3,$A$1:$T$1,0))&amp;""),""),18,2)))),""))</f>
        <v/>
      </c>
      <c r="AA391" s="23">
        <f>IF(Y391="","",IF(ISNUMBER(IFERROR(IF(TRIM(INDEX($A391:$T391,MATCH(Lists!$F$4,$A$1:$T$1,0))&amp;"")="","",IF(ISNUMBER(INDEX($A391:$T391,MATCH(Lists!$F$4,$A$1:$T$1,0))),INT(INDEX($A391:$T391,MATCH(Lists!$F$4,$A$1:$T$1,0))),DATE(VALUE(LEFT(INDEX($A391:$T391,MATCH(Lists!$F$4,$A$1:$T$1,0)),4)),VALUE(MID(INDEX($A391:$T391,MATCH(Lists!$F$4,$A$1:$T$1,0)),6,2)),VALUE(MID(INDEX($A391:$T391,MATCH(Lists!$F$4,$A$1:$T$1,0)),9,2))))),"")),IFERROR(IF(TRIM(INDEX($A391:$T391,MATCH(Lists!$F$4,$A$1:$T$1,0))&amp;"")="","",IF(ISNUMBER(INDEX($A391:$T391,MATCH(Lists!$F$4,$A$1:$T$1,0))),INT(INDEX($A391:$T391,MATCH(Lists!$F$4,$A$1:$T$1,0))),DATE(VALUE(LEFT(INDEX($A391:$T391,MATCH(Lists!$F$4,$A$1:$T$1,0)),4)),VALUE(MID(INDEX($A391:$T391,MATCH(Lists!$F$4,$A$1:$T$1,0)),6,2)),VALUE(MID(INDEX($A391:$T391,MATCH(Lists!$F$4,$A$1:$T$1,0)),9,2))))),""),IFERROR(IF(TRIM(INDEX($A391:$T391,MATCH(Lists!$F$5,$A$1:$T$1,0))&amp;"")="","",IF(ISNUMBER(INDEX($A391:$T391,MATCH(Lists!$F$5,$A$1:$T$1,0))),INT(INDEX($A391:$T391,MATCH(Lists!$F$5,$A$1:$T$1,0))),DATE(VALUE(LEFT(INDEX($A391:$T391,MATCH(Lists!$F$5,$A$1:$T$1,0)),4)),VALUE(MID(INDEX($A391:$T391,MATCH(Lists!$F$5,$A$1:$T$1,0)),6,2)),VALUE(MID(INDEX($A391:$T391,MATCH(Lists!$F$5,$A$1:$T$1,0)),9,2))))),"")))</f>
        <v/>
      </c>
      <c r="AB391" s="21">
        <f>IF(Y391="","",IF(LEFT(IFERROR(TRIM(INDEX($A391:$T391,MATCH(Lists!$F$6,$A$1:$T$1,0))&amp;""),""),2)="No","General comment",IF(IFERROR(TRIM(INDEX($A391:$T391,MATCH(Lists!$F$7,$A$1:$T$1,0))&amp;""),"")&lt;&gt;"",IFERROR(TRIM(INDEX($A391:$T391,MATCH(Lists!$F$7,$A$1:$T$1,0))&amp;""),""),IF(IFERROR(TRIM(INDEX($A391:$T391,MATCH(Lists!$F$8,$A$1:$T$1,0))&amp;""),"")&lt;&gt;"",IFERROR(TRIM(INDEX($A391:$T391,MATCH(Lists!$F$8,$A$1:$T$1,0))&amp;""),""),"(no item given)"))))</f>
        <v/>
      </c>
      <c r="AC391" s="21">
        <f>IF(Y391="","",IF(ISNUMBER(SEARCH("support",IFERROR(TRIM(INDEX($A391:$T391,MATCH(Lists!$F$9,$A$1:$T$1,0))&amp;""),""))),"Support",IF(ISNUMBER(SEARCH("oppose",IFERROR(TRIM(INDEX($A391:$T391,MATCH(Lists!$F$9,$A$1:$T$1,0))&amp;""),""))),"Oppose",IF(IFERROR(TRIM(INDEX($A391:$T391,MATCH(Lists!$F$9,$A$1:$T$1,0))&amp;""),"")="","No position","Neither"))))</f>
        <v/>
      </c>
      <c r="AD391" s="21">
        <f>IF(Y391="","",IF(ISNUMBER(SEARCH("in person",IFERROR(TRIM(INDEX($A391:$T391,MATCH(Lists!$F$13,$A$1:$T$1,0))&amp;""),""))),"In person",IF(ISNUMBER(SEARCH("online",IFERROR(TRIM(INDEX($A391:$T391,MATCH(Lists!$F$13,$A$1:$T$1,0))&amp;""),""))),"Online","Written only")))</f>
        <v/>
      </c>
      <c r="AE391" s="21">
        <f>IF(Y391="","",IFERROR(TRIM(INDEX($A391:$T391,MATCH(Lists!$F$11,$A$1:$T$1,0))&amp;""),""))</f>
        <v/>
      </c>
      <c r="AF391" s="21">
        <f>IF(Y391="","",IFERROR(TRIM(INDEX($A391:$T391,MATCH(Lists!$F$12,$A$1:$T$1,0))&amp;""),""))</f>
        <v/>
      </c>
      <c r="AG391" s="21">
        <f>IF(Y391="","",IFERROR(TRIM(INDEX($A391:$T391,MATCH(Lists!$F$14,$A$1:$T$1,0))&amp;""),""))</f>
        <v/>
      </c>
      <c r="AH391" s="21">
        <f>IF(Y391="","",LEFT(IFERROR(TRIM(INDEX($A391:$T391,MATCH(Lists!$F$10,$A$1:$T$1,0))&amp;""),""),80))</f>
        <v/>
      </c>
      <c r="AI391" s="21">
        <f>IF(Y391="",0,IF(OR(Tally!$B$5="",AA391=Tally!$B$5),1,0))</f>
        <v/>
      </c>
      <c r="AJ391" s="21">
        <f>IF(AI391=1,IF(COUNTIFS($AB$2:AB391,AB391,$AI$2:AI391,1)=1,1,0),0)</f>
        <v/>
      </c>
      <c r="AK391" s="21">
        <f>IF(AJ391=1,SUM($AJ$2:AJ391),"")</f>
        <v/>
      </c>
      <c r="AL391" s="21">
        <f>IF(AND(AI391=1,OR(AD391="In person",AD391="Online"),OR(Speakers!$B$5="",AB391=Speakers!$B$5)),N(Z391)+ROW()/1000000000,"")</f>
        <v/>
      </c>
    </row>
    <row r="392">
      <c r="U392" s="19" t="n"/>
      <c r="V392" s="24" t="n"/>
      <c r="W392" s="24" t="n"/>
      <c r="X392" s="19" t="n"/>
      <c r="Y392" s="21">
        <f>IFERROR(TRIM(INDEX($A392:$T392,MATCH(Lists!$F$2,$A$1:$T$1,0))&amp;""),"")</f>
        <v/>
      </c>
      <c r="Z392" s="22">
        <f>IF(Y392="","",IFERROR(IF(ISNUMBER(INDEX($A392:$T392,MATCH(Lists!$F$3,$A$1:$T$1,0))),INDEX($A392:$T392,MATCH(Lists!$F$3,$A$1:$T$1,0)),DATE(VALUE(LEFT(IFERROR(TRIM(INDEX($A392:$T392,MATCH(Lists!$F$3,$A$1:$T$1,0))&amp;""),""),4)),VALUE(MID(IFERROR(TRIM(INDEX($A392:$T392,MATCH(Lists!$F$3,$A$1:$T$1,0))&amp;""),""),6,2)),VALUE(MID(IFERROR(TRIM(INDEX($A392:$T392,MATCH(Lists!$F$3,$A$1:$T$1,0))&amp;""),""),9,2)))+TIME(VALUE(MID(IFERROR(TRIM(INDEX($A392:$T392,MATCH(Lists!$F$3,$A$1:$T$1,0))&amp;""),""),12,2)),VALUE(MID(IFERROR(TRIM(INDEX($A392:$T392,MATCH(Lists!$F$3,$A$1:$T$1,0))&amp;""),""),15,2)),VALUE(MID(IFERROR(TRIM(INDEX($A392:$T392,MATCH(Lists!$F$3,$A$1:$T$1,0))&amp;""),""),18,2)))),""))</f>
        <v/>
      </c>
      <c r="AA392" s="23">
        <f>IF(Y392="","",IF(ISNUMBER(IFERROR(IF(TRIM(INDEX($A392:$T392,MATCH(Lists!$F$4,$A$1:$T$1,0))&amp;"")="","",IF(ISNUMBER(INDEX($A392:$T392,MATCH(Lists!$F$4,$A$1:$T$1,0))),INT(INDEX($A392:$T392,MATCH(Lists!$F$4,$A$1:$T$1,0))),DATE(VALUE(LEFT(INDEX($A392:$T392,MATCH(Lists!$F$4,$A$1:$T$1,0)),4)),VALUE(MID(INDEX($A392:$T392,MATCH(Lists!$F$4,$A$1:$T$1,0)),6,2)),VALUE(MID(INDEX($A392:$T392,MATCH(Lists!$F$4,$A$1:$T$1,0)),9,2))))),"")),IFERROR(IF(TRIM(INDEX($A392:$T392,MATCH(Lists!$F$4,$A$1:$T$1,0))&amp;"")="","",IF(ISNUMBER(INDEX($A392:$T392,MATCH(Lists!$F$4,$A$1:$T$1,0))),INT(INDEX($A392:$T392,MATCH(Lists!$F$4,$A$1:$T$1,0))),DATE(VALUE(LEFT(INDEX($A392:$T392,MATCH(Lists!$F$4,$A$1:$T$1,0)),4)),VALUE(MID(INDEX($A392:$T392,MATCH(Lists!$F$4,$A$1:$T$1,0)),6,2)),VALUE(MID(INDEX($A392:$T392,MATCH(Lists!$F$4,$A$1:$T$1,0)),9,2))))),""),IFERROR(IF(TRIM(INDEX($A392:$T392,MATCH(Lists!$F$5,$A$1:$T$1,0))&amp;"")="","",IF(ISNUMBER(INDEX($A392:$T392,MATCH(Lists!$F$5,$A$1:$T$1,0))),INT(INDEX($A392:$T392,MATCH(Lists!$F$5,$A$1:$T$1,0))),DATE(VALUE(LEFT(INDEX($A392:$T392,MATCH(Lists!$F$5,$A$1:$T$1,0)),4)),VALUE(MID(INDEX($A392:$T392,MATCH(Lists!$F$5,$A$1:$T$1,0)),6,2)),VALUE(MID(INDEX($A392:$T392,MATCH(Lists!$F$5,$A$1:$T$1,0)),9,2))))),"")))</f>
        <v/>
      </c>
      <c r="AB392" s="21">
        <f>IF(Y392="","",IF(LEFT(IFERROR(TRIM(INDEX($A392:$T392,MATCH(Lists!$F$6,$A$1:$T$1,0))&amp;""),""),2)="No","General comment",IF(IFERROR(TRIM(INDEX($A392:$T392,MATCH(Lists!$F$7,$A$1:$T$1,0))&amp;""),"")&lt;&gt;"",IFERROR(TRIM(INDEX($A392:$T392,MATCH(Lists!$F$7,$A$1:$T$1,0))&amp;""),""),IF(IFERROR(TRIM(INDEX($A392:$T392,MATCH(Lists!$F$8,$A$1:$T$1,0))&amp;""),"")&lt;&gt;"",IFERROR(TRIM(INDEX($A392:$T392,MATCH(Lists!$F$8,$A$1:$T$1,0))&amp;""),""),"(no item given)"))))</f>
        <v/>
      </c>
      <c r="AC392" s="21">
        <f>IF(Y392="","",IF(ISNUMBER(SEARCH("support",IFERROR(TRIM(INDEX($A392:$T392,MATCH(Lists!$F$9,$A$1:$T$1,0))&amp;""),""))),"Support",IF(ISNUMBER(SEARCH("oppose",IFERROR(TRIM(INDEX($A392:$T392,MATCH(Lists!$F$9,$A$1:$T$1,0))&amp;""),""))),"Oppose",IF(IFERROR(TRIM(INDEX($A392:$T392,MATCH(Lists!$F$9,$A$1:$T$1,0))&amp;""),"")="","No position","Neither"))))</f>
        <v/>
      </c>
      <c r="AD392" s="21">
        <f>IF(Y392="","",IF(ISNUMBER(SEARCH("in person",IFERROR(TRIM(INDEX($A392:$T392,MATCH(Lists!$F$13,$A$1:$T$1,0))&amp;""),""))),"In person",IF(ISNUMBER(SEARCH("online",IFERROR(TRIM(INDEX($A392:$T392,MATCH(Lists!$F$13,$A$1:$T$1,0))&amp;""),""))),"Online","Written only")))</f>
        <v/>
      </c>
      <c r="AE392" s="21">
        <f>IF(Y392="","",IFERROR(TRIM(INDEX($A392:$T392,MATCH(Lists!$F$11,$A$1:$T$1,0))&amp;""),""))</f>
        <v/>
      </c>
      <c r="AF392" s="21">
        <f>IF(Y392="","",IFERROR(TRIM(INDEX($A392:$T392,MATCH(Lists!$F$12,$A$1:$T$1,0))&amp;""),""))</f>
        <v/>
      </c>
      <c r="AG392" s="21">
        <f>IF(Y392="","",IFERROR(TRIM(INDEX($A392:$T392,MATCH(Lists!$F$14,$A$1:$T$1,0))&amp;""),""))</f>
        <v/>
      </c>
      <c r="AH392" s="21">
        <f>IF(Y392="","",LEFT(IFERROR(TRIM(INDEX($A392:$T392,MATCH(Lists!$F$10,$A$1:$T$1,0))&amp;""),""),80))</f>
        <v/>
      </c>
      <c r="AI392" s="21">
        <f>IF(Y392="",0,IF(OR(Tally!$B$5="",AA392=Tally!$B$5),1,0))</f>
        <v/>
      </c>
      <c r="AJ392" s="21">
        <f>IF(AI392=1,IF(COUNTIFS($AB$2:AB392,AB392,$AI$2:AI392,1)=1,1,0),0)</f>
        <v/>
      </c>
      <c r="AK392" s="21">
        <f>IF(AJ392=1,SUM($AJ$2:AJ392),"")</f>
        <v/>
      </c>
      <c r="AL392" s="21">
        <f>IF(AND(AI392=1,OR(AD392="In person",AD392="Online"),OR(Speakers!$B$5="",AB392=Speakers!$B$5)),N(Z392)+ROW()/1000000000,"")</f>
        <v/>
      </c>
    </row>
    <row r="393">
      <c r="U393" s="19" t="n"/>
      <c r="V393" s="24" t="n"/>
      <c r="W393" s="24" t="n"/>
      <c r="X393" s="19" t="n"/>
      <c r="Y393" s="21">
        <f>IFERROR(TRIM(INDEX($A393:$T393,MATCH(Lists!$F$2,$A$1:$T$1,0))&amp;""),"")</f>
        <v/>
      </c>
      <c r="Z393" s="22">
        <f>IF(Y393="","",IFERROR(IF(ISNUMBER(INDEX($A393:$T393,MATCH(Lists!$F$3,$A$1:$T$1,0))),INDEX($A393:$T393,MATCH(Lists!$F$3,$A$1:$T$1,0)),DATE(VALUE(LEFT(IFERROR(TRIM(INDEX($A393:$T393,MATCH(Lists!$F$3,$A$1:$T$1,0))&amp;""),""),4)),VALUE(MID(IFERROR(TRIM(INDEX($A393:$T393,MATCH(Lists!$F$3,$A$1:$T$1,0))&amp;""),""),6,2)),VALUE(MID(IFERROR(TRIM(INDEX($A393:$T393,MATCH(Lists!$F$3,$A$1:$T$1,0))&amp;""),""),9,2)))+TIME(VALUE(MID(IFERROR(TRIM(INDEX($A393:$T393,MATCH(Lists!$F$3,$A$1:$T$1,0))&amp;""),""),12,2)),VALUE(MID(IFERROR(TRIM(INDEX($A393:$T393,MATCH(Lists!$F$3,$A$1:$T$1,0))&amp;""),""),15,2)),VALUE(MID(IFERROR(TRIM(INDEX($A393:$T393,MATCH(Lists!$F$3,$A$1:$T$1,0))&amp;""),""),18,2)))),""))</f>
        <v/>
      </c>
      <c r="AA393" s="23">
        <f>IF(Y393="","",IF(ISNUMBER(IFERROR(IF(TRIM(INDEX($A393:$T393,MATCH(Lists!$F$4,$A$1:$T$1,0))&amp;"")="","",IF(ISNUMBER(INDEX($A393:$T393,MATCH(Lists!$F$4,$A$1:$T$1,0))),INT(INDEX($A393:$T393,MATCH(Lists!$F$4,$A$1:$T$1,0))),DATE(VALUE(LEFT(INDEX($A393:$T393,MATCH(Lists!$F$4,$A$1:$T$1,0)),4)),VALUE(MID(INDEX($A393:$T393,MATCH(Lists!$F$4,$A$1:$T$1,0)),6,2)),VALUE(MID(INDEX($A393:$T393,MATCH(Lists!$F$4,$A$1:$T$1,0)),9,2))))),"")),IFERROR(IF(TRIM(INDEX($A393:$T393,MATCH(Lists!$F$4,$A$1:$T$1,0))&amp;"")="","",IF(ISNUMBER(INDEX($A393:$T393,MATCH(Lists!$F$4,$A$1:$T$1,0))),INT(INDEX($A393:$T393,MATCH(Lists!$F$4,$A$1:$T$1,0))),DATE(VALUE(LEFT(INDEX($A393:$T393,MATCH(Lists!$F$4,$A$1:$T$1,0)),4)),VALUE(MID(INDEX($A393:$T393,MATCH(Lists!$F$4,$A$1:$T$1,0)),6,2)),VALUE(MID(INDEX($A393:$T393,MATCH(Lists!$F$4,$A$1:$T$1,0)),9,2))))),""),IFERROR(IF(TRIM(INDEX($A393:$T393,MATCH(Lists!$F$5,$A$1:$T$1,0))&amp;"")="","",IF(ISNUMBER(INDEX($A393:$T393,MATCH(Lists!$F$5,$A$1:$T$1,0))),INT(INDEX($A393:$T393,MATCH(Lists!$F$5,$A$1:$T$1,0))),DATE(VALUE(LEFT(INDEX($A393:$T393,MATCH(Lists!$F$5,$A$1:$T$1,0)),4)),VALUE(MID(INDEX($A393:$T393,MATCH(Lists!$F$5,$A$1:$T$1,0)),6,2)),VALUE(MID(INDEX($A393:$T393,MATCH(Lists!$F$5,$A$1:$T$1,0)),9,2))))),"")))</f>
        <v/>
      </c>
      <c r="AB393" s="21">
        <f>IF(Y393="","",IF(LEFT(IFERROR(TRIM(INDEX($A393:$T393,MATCH(Lists!$F$6,$A$1:$T$1,0))&amp;""),""),2)="No","General comment",IF(IFERROR(TRIM(INDEX($A393:$T393,MATCH(Lists!$F$7,$A$1:$T$1,0))&amp;""),"")&lt;&gt;"",IFERROR(TRIM(INDEX($A393:$T393,MATCH(Lists!$F$7,$A$1:$T$1,0))&amp;""),""),IF(IFERROR(TRIM(INDEX($A393:$T393,MATCH(Lists!$F$8,$A$1:$T$1,0))&amp;""),"")&lt;&gt;"",IFERROR(TRIM(INDEX($A393:$T393,MATCH(Lists!$F$8,$A$1:$T$1,0))&amp;""),""),"(no item given)"))))</f>
        <v/>
      </c>
      <c r="AC393" s="21">
        <f>IF(Y393="","",IF(ISNUMBER(SEARCH("support",IFERROR(TRIM(INDEX($A393:$T393,MATCH(Lists!$F$9,$A$1:$T$1,0))&amp;""),""))),"Support",IF(ISNUMBER(SEARCH("oppose",IFERROR(TRIM(INDEX($A393:$T393,MATCH(Lists!$F$9,$A$1:$T$1,0))&amp;""),""))),"Oppose",IF(IFERROR(TRIM(INDEX($A393:$T393,MATCH(Lists!$F$9,$A$1:$T$1,0))&amp;""),"")="","No position","Neither"))))</f>
        <v/>
      </c>
      <c r="AD393" s="21">
        <f>IF(Y393="","",IF(ISNUMBER(SEARCH("in person",IFERROR(TRIM(INDEX($A393:$T393,MATCH(Lists!$F$13,$A$1:$T$1,0))&amp;""),""))),"In person",IF(ISNUMBER(SEARCH("online",IFERROR(TRIM(INDEX($A393:$T393,MATCH(Lists!$F$13,$A$1:$T$1,0))&amp;""),""))),"Online","Written only")))</f>
        <v/>
      </c>
      <c r="AE393" s="21">
        <f>IF(Y393="","",IFERROR(TRIM(INDEX($A393:$T393,MATCH(Lists!$F$11,$A$1:$T$1,0))&amp;""),""))</f>
        <v/>
      </c>
      <c r="AF393" s="21">
        <f>IF(Y393="","",IFERROR(TRIM(INDEX($A393:$T393,MATCH(Lists!$F$12,$A$1:$T$1,0))&amp;""),""))</f>
        <v/>
      </c>
      <c r="AG393" s="21">
        <f>IF(Y393="","",IFERROR(TRIM(INDEX($A393:$T393,MATCH(Lists!$F$14,$A$1:$T$1,0))&amp;""),""))</f>
        <v/>
      </c>
      <c r="AH393" s="21">
        <f>IF(Y393="","",LEFT(IFERROR(TRIM(INDEX($A393:$T393,MATCH(Lists!$F$10,$A$1:$T$1,0))&amp;""),""),80))</f>
        <v/>
      </c>
      <c r="AI393" s="21">
        <f>IF(Y393="",0,IF(OR(Tally!$B$5="",AA393=Tally!$B$5),1,0))</f>
        <v/>
      </c>
      <c r="AJ393" s="21">
        <f>IF(AI393=1,IF(COUNTIFS($AB$2:AB393,AB393,$AI$2:AI393,1)=1,1,0),0)</f>
        <v/>
      </c>
      <c r="AK393" s="21">
        <f>IF(AJ393=1,SUM($AJ$2:AJ393),"")</f>
        <v/>
      </c>
      <c r="AL393" s="21">
        <f>IF(AND(AI393=1,OR(AD393="In person",AD393="Online"),OR(Speakers!$B$5="",AB393=Speakers!$B$5)),N(Z393)+ROW()/1000000000,"")</f>
        <v/>
      </c>
    </row>
    <row r="394">
      <c r="U394" s="19" t="n"/>
      <c r="V394" s="24" t="n"/>
      <c r="W394" s="24" t="n"/>
      <c r="X394" s="19" t="n"/>
      <c r="Y394" s="21">
        <f>IFERROR(TRIM(INDEX($A394:$T394,MATCH(Lists!$F$2,$A$1:$T$1,0))&amp;""),"")</f>
        <v/>
      </c>
      <c r="Z394" s="22">
        <f>IF(Y394="","",IFERROR(IF(ISNUMBER(INDEX($A394:$T394,MATCH(Lists!$F$3,$A$1:$T$1,0))),INDEX($A394:$T394,MATCH(Lists!$F$3,$A$1:$T$1,0)),DATE(VALUE(LEFT(IFERROR(TRIM(INDEX($A394:$T394,MATCH(Lists!$F$3,$A$1:$T$1,0))&amp;""),""),4)),VALUE(MID(IFERROR(TRIM(INDEX($A394:$T394,MATCH(Lists!$F$3,$A$1:$T$1,0))&amp;""),""),6,2)),VALUE(MID(IFERROR(TRIM(INDEX($A394:$T394,MATCH(Lists!$F$3,$A$1:$T$1,0))&amp;""),""),9,2)))+TIME(VALUE(MID(IFERROR(TRIM(INDEX($A394:$T394,MATCH(Lists!$F$3,$A$1:$T$1,0))&amp;""),""),12,2)),VALUE(MID(IFERROR(TRIM(INDEX($A394:$T394,MATCH(Lists!$F$3,$A$1:$T$1,0))&amp;""),""),15,2)),VALUE(MID(IFERROR(TRIM(INDEX($A394:$T394,MATCH(Lists!$F$3,$A$1:$T$1,0))&amp;""),""),18,2)))),""))</f>
        <v/>
      </c>
      <c r="AA394" s="23">
        <f>IF(Y394="","",IF(ISNUMBER(IFERROR(IF(TRIM(INDEX($A394:$T394,MATCH(Lists!$F$4,$A$1:$T$1,0))&amp;"")="","",IF(ISNUMBER(INDEX($A394:$T394,MATCH(Lists!$F$4,$A$1:$T$1,0))),INT(INDEX($A394:$T394,MATCH(Lists!$F$4,$A$1:$T$1,0))),DATE(VALUE(LEFT(INDEX($A394:$T394,MATCH(Lists!$F$4,$A$1:$T$1,0)),4)),VALUE(MID(INDEX($A394:$T394,MATCH(Lists!$F$4,$A$1:$T$1,0)),6,2)),VALUE(MID(INDEX($A394:$T394,MATCH(Lists!$F$4,$A$1:$T$1,0)),9,2))))),"")),IFERROR(IF(TRIM(INDEX($A394:$T394,MATCH(Lists!$F$4,$A$1:$T$1,0))&amp;"")="","",IF(ISNUMBER(INDEX($A394:$T394,MATCH(Lists!$F$4,$A$1:$T$1,0))),INT(INDEX($A394:$T394,MATCH(Lists!$F$4,$A$1:$T$1,0))),DATE(VALUE(LEFT(INDEX($A394:$T394,MATCH(Lists!$F$4,$A$1:$T$1,0)),4)),VALUE(MID(INDEX($A394:$T394,MATCH(Lists!$F$4,$A$1:$T$1,0)),6,2)),VALUE(MID(INDEX($A394:$T394,MATCH(Lists!$F$4,$A$1:$T$1,0)),9,2))))),""),IFERROR(IF(TRIM(INDEX($A394:$T394,MATCH(Lists!$F$5,$A$1:$T$1,0))&amp;"")="","",IF(ISNUMBER(INDEX($A394:$T394,MATCH(Lists!$F$5,$A$1:$T$1,0))),INT(INDEX($A394:$T394,MATCH(Lists!$F$5,$A$1:$T$1,0))),DATE(VALUE(LEFT(INDEX($A394:$T394,MATCH(Lists!$F$5,$A$1:$T$1,0)),4)),VALUE(MID(INDEX($A394:$T394,MATCH(Lists!$F$5,$A$1:$T$1,0)),6,2)),VALUE(MID(INDEX($A394:$T394,MATCH(Lists!$F$5,$A$1:$T$1,0)),9,2))))),"")))</f>
        <v/>
      </c>
      <c r="AB394" s="21">
        <f>IF(Y394="","",IF(LEFT(IFERROR(TRIM(INDEX($A394:$T394,MATCH(Lists!$F$6,$A$1:$T$1,0))&amp;""),""),2)="No","General comment",IF(IFERROR(TRIM(INDEX($A394:$T394,MATCH(Lists!$F$7,$A$1:$T$1,0))&amp;""),"")&lt;&gt;"",IFERROR(TRIM(INDEX($A394:$T394,MATCH(Lists!$F$7,$A$1:$T$1,0))&amp;""),""),IF(IFERROR(TRIM(INDEX($A394:$T394,MATCH(Lists!$F$8,$A$1:$T$1,0))&amp;""),"")&lt;&gt;"",IFERROR(TRIM(INDEX($A394:$T394,MATCH(Lists!$F$8,$A$1:$T$1,0))&amp;""),""),"(no item given)"))))</f>
        <v/>
      </c>
      <c r="AC394" s="21">
        <f>IF(Y394="","",IF(ISNUMBER(SEARCH("support",IFERROR(TRIM(INDEX($A394:$T394,MATCH(Lists!$F$9,$A$1:$T$1,0))&amp;""),""))),"Support",IF(ISNUMBER(SEARCH("oppose",IFERROR(TRIM(INDEX($A394:$T394,MATCH(Lists!$F$9,$A$1:$T$1,0))&amp;""),""))),"Oppose",IF(IFERROR(TRIM(INDEX($A394:$T394,MATCH(Lists!$F$9,$A$1:$T$1,0))&amp;""),"")="","No position","Neither"))))</f>
        <v/>
      </c>
      <c r="AD394" s="21">
        <f>IF(Y394="","",IF(ISNUMBER(SEARCH("in person",IFERROR(TRIM(INDEX($A394:$T394,MATCH(Lists!$F$13,$A$1:$T$1,0))&amp;""),""))),"In person",IF(ISNUMBER(SEARCH("online",IFERROR(TRIM(INDEX($A394:$T394,MATCH(Lists!$F$13,$A$1:$T$1,0))&amp;""),""))),"Online","Written only")))</f>
        <v/>
      </c>
      <c r="AE394" s="21">
        <f>IF(Y394="","",IFERROR(TRIM(INDEX($A394:$T394,MATCH(Lists!$F$11,$A$1:$T$1,0))&amp;""),""))</f>
        <v/>
      </c>
      <c r="AF394" s="21">
        <f>IF(Y394="","",IFERROR(TRIM(INDEX($A394:$T394,MATCH(Lists!$F$12,$A$1:$T$1,0))&amp;""),""))</f>
        <v/>
      </c>
      <c r="AG394" s="21">
        <f>IF(Y394="","",IFERROR(TRIM(INDEX($A394:$T394,MATCH(Lists!$F$14,$A$1:$T$1,0))&amp;""),""))</f>
        <v/>
      </c>
      <c r="AH394" s="21">
        <f>IF(Y394="","",LEFT(IFERROR(TRIM(INDEX($A394:$T394,MATCH(Lists!$F$10,$A$1:$T$1,0))&amp;""),""),80))</f>
        <v/>
      </c>
      <c r="AI394" s="21">
        <f>IF(Y394="",0,IF(OR(Tally!$B$5="",AA394=Tally!$B$5),1,0))</f>
        <v/>
      </c>
      <c r="AJ394" s="21">
        <f>IF(AI394=1,IF(COUNTIFS($AB$2:AB394,AB394,$AI$2:AI394,1)=1,1,0),0)</f>
        <v/>
      </c>
      <c r="AK394" s="21">
        <f>IF(AJ394=1,SUM($AJ$2:AJ394),"")</f>
        <v/>
      </c>
      <c r="AL394" s="21">
        <f>IF(AND(AI394=1,OR(AD394="In person",AD394="Online"),OR(Speakers!$B$5="",AB394=Speakers!$B$5)),N(Z394)+ROW()/1000000000,"")</f>
        <v/>
      </c>
    </row>
    <row r="395">
      <c r="U395" s="19" t="n"/>
      <c r="V395" s="24" t="n"/>
      <c r="W395" s="24" t="n"/>
      <c r="X395" s="19" t="n"/>
      <c r="Y395" s="21">
        <f>IFERROR(TRIM(INDEX($A395:$T395,MATCH(Lists!$F$2,$A$1:$T$1,0))&amp;""),"")</f>
        <v/>
      </c>
      <c r="Z395" s="22">
        <f>IF(Y395="","",IFERROR(IF(ISNUMBER(INDEX($A395:$T395,MATCH(Lists!$F$3,$A$1:$T$1,0))),INDEX($A395:$T395,MATCH(Lists!$F$3,$A$1:$T$1,0)),DATE(VALUE(LEFT(IFERROR(TRIM(INDEX($A395:$T395,MATCH(Lists!$F$3,$A$1:$T$1,0))&amp;""),""),4)),VALUE(MID(IFERROR(TRIM(INDEX($A395:$T395,MATCH(Lists!$F$3,$A$1:$T$1,0))&amp;""),""),6,2)),VALUE(MID(IFERROR(TRIM(INDEX($A395:$T395,MATCH(Lists!$F$3,$A$1:$T$1,0))&amp;""),""),9,2)))+TIME(VALUE(MID(IFERROR(TRIM(INDEX($A395:$T395,MATCH(Lists!$F$3,$A$1:$T$1,0))&amp;""),""),12,2)),VALUE(MID(IFERROR(TRIM(INDEX($A395:$T395,MATCH(Lists!$F$3,$A$1:$T$1,0))&amp;""),""),15,2)),VALUE(MID(IFERROR(TRIM(INDEX($A395:$T395,MATCH(Lists!$F$3,$A$1:$T$1,0))&amp;""),""),18,2)))),""))</f>
        <v/>
      </c>
      <c r="AA395" s="23">
        <f>IF(Y395="","",IF(ISNUMBER(IFERROR(IF(TRIM(INDEX($A395:$T395,MATCH(Lists!$F$4,$A$1:$T$1,0))&amp;"")="","",IF(ISNUMBER(INDEX($A395:$T395,MATCH(Lists!$F$4,$A$1:$T$1,0))),INT(INDEX($A395:$T395,MATCH(Lists!$F$4,$A$1:$T$1,0))),DATE(VALUE(LEFT(INDEX($A395:$T395,MATCH(Lists!$F$4,$A$1:$T$1,0)),4)),VALUE(MID(INDEX($A395:$T395,MATCH(Lists!$F$4,$A$1:$T$1,0)),6,2)),VALUE(MID(INDEX($A395:$T395,MATCH(Lists!$F$4,$A$1:$T$1,0)),9,2))))),"")),IFERROR(IF(TRIM(INDEX($A395:$T395,MATCH(Lists!$F$4,$A$1:$T$1,0))&amp;"")="","",IF(ISNUMBER(INDEX($A395:$T395,MATCH(Lists!$F$4,$A$1:$T$1,0))),INT(INDEX($A395:$T395,MATCH(Lists!$F$4,$A$1:$T$1,0))),DATE(VALUE(LEFT(INDEX($A395:$T395,MATCH(Lists!$F$4,$A$1:$T$1,0)),4)),VALUE(MID(INDEX($A395:$T395,MATCH(Lists!$F$4,$A$1:$T$1,0)),6,2)),VALUE(MID(INDEX($A395:$T395,MATCH(Lists!$F$4,$A$1:$T$1,0)),9,2))))),""),IFERROR(IF(TRIM(INDEX($A395:$T395,MATCH(Lists!$F$5,$A$1:$T$1,0))&amp;"")="","",IF(ISNUMBER(INDEX($A395:$T395,MATCH(Lists!$F$5,$A$1:$T$1,0))),INT(INDEX($A395:$T395,MATCH(Lists!$F$5,$A$1:$T$1,0))),DATE(VALUE(LEFT(INDEX($A395:$T395,MATCH(Lists!$F$5,$A$1:$T$1,0)),4)),VALUE(MID(INDEX($A395:$T395,MATCH(Lists!$F$5,$A$1:$T$1,0)),6,2)),VALUE(MID(INDEX($A395:$T395,MATCH(Lists!$F$5,$A$1:$T$1,0)),9,2))))),"")))</f>
        <v/>
      </c>
      <c r="AB395" s="21">
        <f>IF(Y395="","",IF(LEFT(IFERROR(TRIM(INDEX($A395:$T395,MATCH(Lists!$F$6,$A$1:$T$1,0))&amp;""),""),2)="No","General comment",IF(IFERROR(TRIM(INDEX($A395:$T395,MATCH(Lists!$F$7,$A$1:$T$1,0))&amp;""),"")&lt;&gt;"",IFERROR(TRIM(INDEX($A395:$T395,MATCH(Lists!$F$7,$A$1:$T$1,0))&amp;""),""),IF(IFERROR(TRIM(INDEX($A395:$T395,MATCH(Lists!$F$8,$A$1:$T$1,0))&amp;""),"")&lt;&gt;"",IFERROR(TRIM(INDEX($A395:$T395,MATCH(Lists!$F$8,$A$1:$T$1,0))&amp;""),""),"(no item given)"))))</f>
        <v/>
      </c>
      <c r="AC395" s="21">
        <f>IF(Y395="","",IF(ISNUMBER(SEARCH("support",IFERROR(TRIM(INDEX($A395:$T395,MATCH(Lists!$F$9,$A$1:$T$1,0))&amp;""),""))),"Support",IF(ISNUMBER(SEARCH("oppose",IFERROR(TRIM(INDEX($A395:$T395,MATCH(Lists!$F$9,$A$1:$T$1,0))&amp;""),""))),"Oppose",IF(IFERROR(TRIM(INDEX($A395:$T395,MATCH(Lists!$F$9,$A$1:$T$1,0))&amp;""),"")="","No position","Neither"))))</f>
        <v/>
      </c>
      <c r="AD395" s="21">
        <f>IF(Y395="","",IF(ISNUMBER(SEARCH("in person",IFERROR(TRIM(INDEX($A395:$T395,MATCH(Lists!$F$13,$A$1:$T$1,0))&amp;""),""))),"In person",IF(ISNUMBER(SEARCH("online",IFERROR(TRIM(INDEX($A395:$T395,MATCH(Lists!$F$13,$A$1:$T$1,0))&amp;""),""))),"Online","Written only")))</f>
        <v/>
      </c>
      <c r="AE395" s="21">
        <f>IF(Y395="","",IFERROR(TRIM(INDEX($A395:$T395,MATCH(Lists!$F$11,$A$1:$T$1,0))&amp;""),""))</f>
        <v/>
      </c>
      <c r="AF395" s="21">
        <f>IF(Y395="","",IFERROR(TRIM(INDEX($A395:$T395,MATCH(Lists!$F$12,$A$1:$T$1,0))&amp;""),""))</f>
        <v/>
      </c>
      <c r="AG395" s="21">
        <f>IF(Y395="","",IFERROR(TRIM(INDEX($A395:$T395,MATCH(Lists!$F$14,$A$1:$T$1,0))&amp;""),""))</f>
        <v/>
      </c>
      <c r="AH395" s="21">
        <f>IF(Y395="","",LEFT(IFERROR(TRIM(INDEX($A395:$T395,MATCH(Lists!$F$10,$A$1:$T$1,0))&amp;""),""),80))</f>
        <v/>
      </c>
      <c r="AI395" s="21">
        <f>IF(Y395="",0,IF(OR(Tally!$B$5="",AA395=Tally!$B$5),1,0))</f>
        <v/>
      </c>
      <c r="AJ395" s="21">
        <f>IF(AI395=1,IF(COUNTIFS($AB$2:AB395,AB395,$AI$2:AI395,1)=1,1,0),0)</f>
        <v/>
      </c>
      <c r="AK395" s="21">
        <f>IF(AJ395=1,SUM($AJ$2:AJ395),"")</f>
        <v/>
      </c>
      <c r="AL395" s="21">
        <f>IF(AND(AI395=1,OR(AD395="In person",AD395="Online"),OR(Speakers!$B$5="",AB395=Speakers!$B$5)),N(Z395)+ROW()/1000000000,"")</f>
        <v/>
      </c>
    </row>
    <row r="396">
      <c r="U396" s="19" t="n"/>
      <c r="V396" s="24" t="n"/>
      <c r="W396" s="24" t="n"/>
      <c r="X396" s="19" t="n"/>
      <c r="Y396" s="21">
        <f>IFERROR(TRIM(INDEX($A396:$T396,MATCH(Lists!$F$2,$A$1:$T$1,0))&amp;""),"")</f>
        <v/>
      </c>
      <c r="Z396" s="22">
        <f>IF(Y396="","",IFERROR(IF(ISNUMBER(INDEX($A396:$T396,MATCH(Lists!$F$3,$A$1:$T$1,0))),INDEX($A396:$T396,MATCH(Lists!$F$3,$A$1:$T$1,0)),DATE(VALUE(LEFT(IFERROR(TRIM(INDEX($A396:$T396,MATCH(Lists!$F$3,$A$1:$T$1,0))&amp;""),""),4)),VALUE(MID(IFERROR(TRIM(INDEX($A396:$T396,MATCH(Lists!$F$3,$A$1:$T$1,0))&amp;""),""),6,2)),VALUE(MID(IFERROR(TRIM(INDEX($A396:$T396,MATCH(Lists!$F$3,$A$1:$T$1,0))&amp;""),""),9,2)))+TIME(VALUE(MID(IFERROR(TRIM(INDEX($A396:$T396,MATCH(Lists!$F$3,$A$1:$T$1,0))&amp;""),""),12,2)),VALUE(MID(IFERROR(TRIM(INDEX($A396:$T396,MATCH(Lists!$F$3,$A$1:$T$1,0))&amp;""),""),15,2)),VALUE(MID(IFERROR(TRIM(INDEX($A396:$T396,MATCH(Lists!$F$3,$A$1:$T$1,0))&amp;""),""),18,2)))),""))</f>
        <v/>
      </c>
      <c r="AA396" s="23">
        <f>IF(Y396="","",IF(ISNUMBER(IFERROR(IF(TRIM(INDEX($A396:$T396,MATCH(Lists!$F$4,$A$1:$T$1,0))&amp;"")="","",IF(ISNUMBER(INDEX($A396:$T396,MATCH(Lists!$F$4,$A$1:$T$1,0))),INT(INDEX($A396:$T396,MATCH(Lists!$F$4,$A$1:$T$1,0))),DATE(VALUE(LEFT(INDEX($A396:$T396,MATCH(Lists!$F$4,$A$1:$T$1,0)),4)),VALUE(MID(INDEX($A396:$T396,MATCH(Lists!$F$4,$A$1:$T$1,0)),6,2)),VALUE(MID(INDEX($A396:$T396,MATCH(Lists!$F$4,$A$1:$T$1,0)),9,2))))),"")),IFERROR(IF(TRIM(INDEX($A396:$T396,MATCH(Lists!$F$4,$A$1:$T$1,0))&amp;"")="","",IF(ISNUMBER(INDEX($A396:$T396,MATCH(Lists!$F$4,$A$1:$T$1,0))),INT(INDEX($A396:$T396,MATCH(Lists!$F$4,$A$1:$T$1,0))),DATE(VALUE(LEFT(INDEX($A396:$T396,MATCH(Lists!$F$4,$A$1:$T$1,0)),4)),VALUE(MID(INDEX($A396:$T396,MATCH(Lists!$F$4,$A$1:$T$1,0)),6,2)),VALUE(MID(INDEX($A396:$T396,MATCH(Lists!$F$4,$A$1:$T$1,0)),9,2))))),""),IFERROR(IF(TRIM(INDEX($A396:$T396,MATCH(Lists!$F$5,$A$1:$T$1,0))&amp;"")="","",IF(ISNUMBER(INDEX($A396:$T396,MATCH(Lists!$F$5,$A$1:$T$1,0))),INT(INDEX($A396:$T396,MATCH(Lists!$F$5,$A$1:$T$1,0))),DATE(VALUE(LEFT(INDEX($A396:$T396,MATCH(Lists!$F$5,$A$1:$T$1,0)),4)),VALUE(MID(INDEX($A396:$T396,MATCH(Lists!$F$5,$A$1:$T$1,0)),6,2)),VALUE(MID(INDEX($A396:$T396,MATCH(Lists!$F$5,$A$1:$T$1,0)),9,2))))),"")))</f>
        <v/>
      </c>
      <c r="AB396" s="21">
        <f>IF(Y396="","",IF(LEFT(IFERROR(TRIM(INDEX($A396:$T396,MATCH(Lists!$F$6,$A$1:$T$1,0))&amp;""),""),2)="No","General comment",IF(IFERROR(TRIM(INDEX($A396:$T396,MATCH(Lists!$F$7,$A$1:$T$1,0))&amp;""),"")&lt;&gt;"",IFERROR(TRIM(INDEX($A396:$T396,MATCH(Lists!$F$7,$A$1:$T$1,0))&amp;""),""),IF(IFERROR(TRIM(INDEX($A396:$T396,MATCH(Lists!$F$8,$A$1:$T$1,0))&amp;""),"")&lt;&gt;"",IFERROR(TRIM(INDEX($A396:$T396,MATCH(Lists!$F$8,$A$1:$T$1,0))&amp;""),""),"(no item given)"))))</f>
        <v/>
      </c>
      <c r="AC396" s="21">
        <f>IF(Y396="","",IF(ISNUMBER(SEARCH("support",IFERROR(TRIM(INDEX($A396:$T396,MATCH(Lists!$F$9,$A$1:$T$1,0))&amp;""),""))),"Support",IF(ISNUMBER(SEARCH("oppose",IFERROR(TRIM(INDEX($A396:$T396,MATCH(Lists!$F$9,$A$1:$T$1,0))&amp;""),""))),"Oppose",IF(IFERROR(TRIM(INDEX($A396:$T396,MATCH(Lists!$F$9,$A$1:$T$1,0))&amp;""),"")="","No position","Neither"))))</f>
        <v/>
      </c>
      <c r="AD396" s="21">
        <f>IF(Y396="","",IF(ISNUMBER(SEARCH("in person",IFERROR(TRIM(INDEX($A396:$T396,MATCH(Lists!$F$13,$A$1:$T$1,0))&amp;""),""))),"In person",IF(ISNUMBER(SEARCH("online",IFERROR(TRIM(INDEX($A396:$T396,MATCH(Lists!$F$13,$A$1:$T$1,0))&amp;""),""))),"Online","Written only")))</f>
        <v/>
      </c>
      <c r="AE396" s="21">
        <f>IF(Y396="","",IFERROR(TRIM(INDEX($A396:$T396,MATCH(Lists!$F$11,$A$1:$T$1,0))&amp;""),""))</f>
        <v/>
      </c>
      <c r="AF396" s="21">
        <f>IF(Y396="","",IFERROR(TRIM(INDEX($A396:$T396,MATCH(Lists!$F$12,$A$1:$T$1,0))&amp;""),""))</f>
        <v/>
      </c>
      <c r="AG396" s="21">
        <f>IF(Y396="","",IFERROR(TRIM(INDEX($A396:$T396,MATCH(Lists!$F$14,$A$1:$T$1,0))&amp;""),""))</f>
        <v/>
      </c>
      <c r="AH396" s="21">
        <f>IF(Y396="","",LEFT(IFERROR(TRIM(INDEX($A396:$T396,MATCH(Lists!$F$10,$A$1:$T$1,0))&amp;""),""),80))</f>
        <v/>
      </c>
      <c r="AI396" s="21">
        <f>IF(Y396="",0,IF(OR(Tally!$B$5="",AA396=Tally!$B$5),1,0))</f>
        <v/>
      </c>
      <c r="AJ396" s="21">
        <f>IF(AI396=1,IF(COUNTIFS($AB$2:AB396,AB396,$AI$2:AI396,1)=1,1,0),0)</f>
        <v/>
      </c>
      <c r="AK396" s="21">
        <f>IF(AJ396=1,SUM($AJ$2:AJ396),"")</f>
        <v/>
      </c>
      <c r="AL396" s="21">
        <f>IF(AND(AI396=1,OR(AD396="In person",AD396="Online"),OR(Speakers!$B$5="",AB396=Speakers!$B$5)),N(Z396)+ROW()/1000000000,"")</f>
        <v/>
      </c>
    </row>
    <row r="397">
      <c r="U397" s="19" t="n"/>
      <c r="V397" s="24" t="n"/>
      <c r="W397" s="24" t="n"/>
      <c r="X397" s="19" t="n"/>
      <c r="Y397" s="21">
        <f>IFERROR(TRIM(INDEX($A397:$T397,MATCH(Lists!$F$2,$A$1:$T$1,0))&amp;""),"")</f>
        <v/>
      </c>
      <c r="Z397" s="22">
        <f>IF(Y397="","",IFERROR(IF(ISNUMBER(INDEX($A397:$T397,MATCH(Lists!$F$3,$A$1:$T$1,0))),INDEX($A397:$T397,MATCH(Lists!$F$3,$A$1:$T$1,0)),DATE(VALUE(LEFT(IFERROR(TRIM(INDEX($A397:$T397,MATCH(Lists!$F$3,$A$1:$T$1,0))&amp;""),""),4)),VALUE(MID(IFERROR(TRIM(INDEX($A397:$T397,MATCH(Lists!$F$3,$A$1:$T$1,0))&amp;""),""),6,2)),VALUE(MID(IFERROR(TRIM(INDEX($A397:$T397,MATCH(Lists!$F$3,$A$1:$T$1,0))&amp;""),""),9,2)))+TIME(VALUE(MID(IFERROR(TRIM(INDEX($A397:$T397,MATCH(Lists!$F$3,$A$1:$T$1,0))&amp;""),""),12,2)),VALUE(MID(IFERROR(TRIM(INDEX($A397:$T397,MATCH(Lists!$F$3,$A$1:$T$1,0))&amp;""),""),15,2)),VALUE(MID(IFERROR(TRIM(INDEX($A397:$T397,MATCH(Lists!$F$3,$A$1:$T$1,0))&amp;""),""),18,2)))),""))</f>
        <v/>
      </c>
      <c r="AA397" s="23">
        <f>IF(Y397="","",IF(ISNUMBER(IFERROR(IF(TRIM(INDEX($A397:$T397,MATCH(Lists!$F$4,$A$1:$T$1,0))&amp;"")="","",IF(ISNUMBER(INDEX($A397:$T397,MATCH(Lists!$F$4,$A$1:$T$1,0))),INT(INDEX($A397:$T397,MATCH(Lists!$F$4,$A$1:$T$1,0))),DATE(VALUE(LEFT(INDEX($A397:$T397,MATCH(Lists!$F$4,$A$1:$T$1,0)),4)),VALUE(MID(INDEX($A397:$T397,MATCH(Lists!$F$4,$A$1:$T$1,0)),6,2)),VALUE(MID(INDEX($A397:$T397,MATCH(Lists!$F$4,$A$1:$T$1,0)),9,2))))),"")),IFERROR(IF(TRIM(INDEX($A397:$T397,MATCH(Lists!$F$4,$A$1:$T$1,0))&amp;"")="","",IF(ISNUMBER(INDEX($A397:$T397,MATCH(Lists!$F$4,$A$1:$T$1,0))),INT(INDEX($A397:$T397,MATCH(Lists!$F$4,$A$1:$T$1,0))),DATE(VALUE(LEFT(INDEX($A397:$T397,MATCH(Lists!$F$4,$A$1:$T$1,0)),4)),VALUE(MID(INDEX($A397:$T397,MATCH(Lists!$F$4,$A$1:$T$1,0)),6,2)),VALUE(MID(INDEX($A397:$T397,MATCH(Lists!$F$4,$A$1:$T$1,0)),9,2))))),""),IFERROR(IF(TRIM(INDEX($A397:$T397,MATCH(Lists!$F$5,$A$1:$T$1,0))&amp;"")="","",IF(ISNUMBER(INDEX($A397:$T397,MATCH(Lists!$F$5,$A$1:$T$1,0))),INT(INDEX($A397:$T397,MATCH(Lists!$F$5,$A$1:$T$1,0))),DATE(VALUE(LEFT(INDEX($A397:$T397,MATCH(Lists!$F$5,$A$1:$T$1,0)),4)),VALUE(MID(INDEX($A397:$T397,MATCH(Lists!$F$5,$A$1:$T$1,0)),6,2)),VALUE(MID(INDEX($A397:$T397,MATCH(Lists!$F$5,$A$1:$T$1,0)),9,2))))),"")))</f>
        <v/>
      </c>
      <c r="AB397" s="21">
        <f>IF(Y397="","",IF(LEFT(IFERROR(TRIM(INDEX($A397:$T397,MATCH(Lists!$F$6,$A$1:$T$1,0))&amp;""),""),2)="No","General comment",IF(IFERROR(TRIM(INDEX($A397:$T397,MATCH(Lists!$F$7,$A$1:$T$1,0))&amp;""),"")&lt;&gt;"",IFERROR(TRIM(INDEX($A397:$T397,MATCH(Lists!$F$7,$A$1:$T$1,0))&amp;""),""),IF(IFERROR(TRIM(INDEX($A397:$T397,MATCH(Lists!$F$8,$A$1:$T$1,0))&amp;""),"")&lt;&gt;"",IFERROR(TRIM(INDEX($A397:$T397,MATCH(Lists!$F$8,$A$1:$T$1,0))&amp;""),""),"(no item given)"))))</f>
        <v/>
      </c>
      <c r="AC397" s="21">
        <f>IF(Y397="","",IF(ISNUMBER(SEARCH("support",IFERROR(TRIM(INDEX($A397:$T397,MATCH(Lists!$F$9,$A$1:$T$1,0))&amp;""),""))),"Support",IF(ISNUMBER(SEARCH("oppose",IFERROR(TRIM(INDEX($A397:$T397,MATCH(Lists!$F$9,$A$1:$T$1,0))&amp;""),""))),"Oppose",IF(IFERROR(TRIM(INDEX($A397:$T397,MATCH(Lists!$F$9,$A$1:$T$1,0))&amp;""),"")="","No position","Neither"))))</f>
        <v/>
      </c>
      <c r="AD397" s="21">
        <f>IF(Y397="","",IF(ISNUMBER(SEARCH("in person",IFERROR(TRIM(INDEX($A397:$T397,MATCH(Lists!$F$13,$A$1:$T$1,0))&amp;""),""))),"In person",IF(ISNUMBER(SEARCH("online",IFERROR(TRIM(INDEX($A397:$T397,MATCH(Lists!$F$13,$A$1:$T$1,0))&amp;""),""))),"Online","Written only")))</f>
        <v/>
      </c>
      <c r="AE397" s="21">
        <f>IF(Y397="","",IFERROR(TRIM(INDEX($A397:$T397,MATCH(Lists!$F$11,$A$1:$T$1,0))&amp;""),""))</f>
        <v/>
      </c>
      <c r="AF397" s="21">
        <f>IF(Y397="","",IFERROR(TRIM(INDEX($A397:$T397,MATCH(Lists!$F$12,$A$1:$T$1,0))&amp;""),""))</f>
        <v/>
      </c>
      <c r="AG397" s="21">
        <f>IF(Y397="","",IFERROR(TRIM(INDEX($A397:$T397,MATCH(Lists!$F$14,$A$1:$T$1,0))&amp;""),""))</f>
        <v/>
      </c>
      <c r="AH397" s="21">
        <f>IF(Y397="","",LEFT(IFERROR(TRIM(INDEX($A397:$T397,MATCH(Lists!$F$10,$A$1:$T$1,0))&amp;""),""),80))</f>
        <v/>
      </c>
      <c r="AI397" s="21">
        <f>IF(Y397="",0,IF(OR(Tally!$B$5="",AA397=Tally!$B$5),1,0))</f>
        <v/>
      </c>
      <c r="AJ397" s="21">
        <f>IF(AI397=1,IF(COUNTIFS($AB$2:AB397,AB397,$AI$2:AI397,1)=1,1,0),0)</f>
        <v/>
      </c>
      <c r="AK397" s="21">
        <f>IF(AJ397=1,SUM($AJ$2:AJ397),"")</f>
        <v/>
      </c>
      <c r="AL397" s="21">
        <f>IF(AND(AI397=1,OR(AD397="In person",AD397="Online"),OR(Speakers!$B$5="",AB397=Speakers!$B$5)),N(Z397)+ROW()/1000000000,"")</f>
        <v/>
      </c>
    </row>
    <row r="398">
      <c r="U398" s="19" t="n"/>
      <c r="V398" s="24" t="n"/>
      <c r="W398" s="24" t="n"/>
      <c r="X398" s="19" t="n"/>
      <c r="Y398" s="21">
        <f>IFERROR(TRIM(INDEX($A398:$T398,MATCH(Lists!$F$2,$A$1:$T$1,0))&amp;""),"")</f>
        <v/>
      </c>
      <c r="Z398" s="22">
        <f>IF(Y398="","",IFERROR(IF(ISNUMBER(INDEX($A398:$T398,MATCH(Lists!$F$3,$A$1:$T$1,0))),INDEX($A398:$T398,MATCH(Lists!$F$3,$A$1:$T$1,0)),DATE(VALUE(LEFT(IFERROR(TRIM(INDEX($A398:$T398,MATCH(Lists!$F$3,$A$1:$T$1,0))&amp;""),""),4)),VALUE(MID(IFERROR(TRIM(INDEX($A398:$T398,MATCH(Lists!$F$3,$A$1:$T$1,0))&amp;""),""),6,2)),VALUE(MID(IFERROR(TRIM(INDEX($A398:$T398,MATCH(Lists!$F$3,$A$1:$T$1,0))&amp;""),""),9,2)))+TIME(VALUE(MID(IFERROR(TRIM(INDEX($A398:$T398,MATCH(Lists!$F$3,$A$1:$T$1,0))&amp;""),""),12,2)),VALUE(MID(IFERROR(TRIM(INDEX($A398:$T398,MATCH(Lists!$F$3,$A$1:$T$1,0))&amp;""),""),15,2)),VALUE(MID(IFERROR(TRIM(INDEX($A398:$T398,MATCH(Lists!$F$3,$A$1:$T$1,0))&amp;""),""),18,2)))),""))</f>
        <v/>
      </c>
      <c r="AA398" s="23">
        <f>IF(Y398="","",IF(ISNUMBER(IFERROR(IF(TRIM(INDEX($A398:$T398,MATCH(Lists!$F$4,$A$1:$T$1,0))&amp;"")="","",IF(ISNUMBER(INDEX($A398:$T398,MATCH(Lists!$F$4,$A$1:$T$1,0))),INT(INDEX($A398:$T398,MATCH(Lists!$F$4,$A$1:$T$1,0))),DATE(VALUE(LEFT(INDEX($A398:$T398,MATCH(Lists!$F$4,$A$1:$T$1,0)),4)),VALUE(MID(INDEX($A398:$T398,MATCH(Lists!$F$4,$A$1:$T$1,0)),6,2)),VALUE(MID(INDEX($A398:$T398,MATCH(Lists!$F$4,$A$1:$T$1,0)),9,2))))),"")),IFERROR(IF(TRIM(INDEX($A398:$T398,MATCH(Lists!$F$4,$A$1:$T$1,0))&amp;"")="","",IF(ISNUMBER(INDEX($A398:$T398,MATCH(Lists!$F$4,$A$1:$T$1,0))),INT(INDEX($A398:$T398,MATCH(Lists!$F$4,$A$1:$T$1,0))),DATE(VALUE(LEFT(INDEX($A398:$T398,MATCH(Lists!$F$4,$A$1:$T$1,0)),4)),VALUE(MID(INDEX($A398:$T398,MATCH(Lists!$F$4,$A$1:$T$1,0)),6,2)),VALUE(MID(INDEX($A398:$T398,MATCH(Lists!$F$4,$A$1:$T$1,0)),9,2))))),""),IFERROR(IF(TRIM(INDEX($A398:$T398,MATCH(Lists!$F$5,$A$1:$T$1,0))&amp;"")="","",IF(ISNUMBER(INDEX($A398:$T398,MATCH(Lists!$F$5,$A$1:$T$1,0))),INT(INDEX($A398:$T398,MATCH(Lists!$F$5,$A$1:$T$1,0))),DATE(VALUE(LEFT(INDEX($A398:$T398,MATCH(Lists!$F$5,$A$1:$T$1,0)),4)),VALUE(MID(INDEX($A398:$T398,MATCH(Lists!$F$5,$A$1:$T$1,0)),6,2)),VALUE(MID(INDEX($A398:$T398,MATCH(Lists!$F$5,$A$1:$T$1,0)),9,2))))),"")))</f>
        <v/>
      </c>
      <c r="AB398" s="21">
        <f>IF(Y398="","",IF(LEFT(IFERROR(TRIM(INDEX($A398:$T398,MATCH(Lists!$F$6,$A$1:$T$1,0))&amp;""),""),2)="No","General comment",IF(IFERROR(TRIM(INDEX($A398:$T398,MATCH(Lists!$F$7,$A$1:$T$1,0))&amp;""),"")&lt;&gt;"",IFERROR(TRIM(INDEX($A398:$T398,MATCH(Lists!$F$7,$A$1:$T$1,0))&amp;""),""),IF(IFERROR(TRIM(INDEX($A398:$T398,MATCH(Lists!$F$8,$A$1:$T$1,0))&amp;""),"")&lt;&gt;"",IFERROR(TRIM(INDEX($A398:$T398,MATCH(Lists!$F$8,$A$1:$T$1,0))&amp;""),""),"(no item given)"))))</f>
        <v/>
      </c>
      <c r="AC398" s="21">
        <f>IF(Y398="","",IF(ISNUMBER(SEARCH("support",IFERROR(TRIM(INDEX($A398:$T398,MATCH(Lists!$F$9,$A$1:$T$1,0))&amp;""),""))),"Support",IF(ISNUMBER(SEARCH("oppose",IFERROR(TRIM(INDEX($A398:$T398,MATCH(Lists!$F$9,$A$1:$T$1,0))&amp;""),""))),"Oppose",IF(IFERROR(TRIM(INDEX($A398:$T398,MATCH(Lists!$F$9,$A$1:$T$1,0))&amp;""),"")="","No position","Neither"))))</f>
        <v/>
      </c>
      <c r="AD398" s="21">
        <f>IF(Y398="","",IF(ISNUMBER(SEARCH("in person",IFERROR(TRIM(INDEX($A398:$T398,MATCH(Lists!$F$13,$A$1:$T$1,0))&amp;""),""))),"In person",IF(ISNUMBER(SEARCH("online",IFERROR(TRIM(INDEX($A398:$T398,MATCH(Lists!$F$13,$A$1:$T$1,0))&amp;""),""))),"Online","Written only")))</f>
        <v/>
      </c>
      <c r="AE398" s="21">
        <f>IF(Y398="","",IFERROR(TRIM(INDEX($A398:$T398,MATCH(Lists!$F$11,$A$1:$T$1,0))&amp;""),""))</f>
        <v/>
      </c>
      <c r="AF398" s="21">
        <f>IF(Y398="","",IFERROR(TRIM(INDEX($A398:$T398,MATCH(Lists!$F$12,$A$1:$T$1,0))&amp;""),""))</f>
        <v/>
      </c>
      <c r="AG398" s="21">
        <f>IF(Y398="","",IFERROR(TRIM(INDEX($A398:$T398,MATCH(Lists!$F$14,$A$1:$T$1,0))&amp;""),""))</f>
        <v/>
      </c>
      <c r="AH398" s="21">
        <f>IF(Y398="","",LEFT(IFERROR(TRIM(INDEX($A398:$T398,MATCH(Lists!$F$10,$A$1:$T$1,0))&amp;""),""),80))</f>
        <v/>
      </c>
      <c r="AI398" s="21">
        <f>IF(Y398="",0,IF(OR(Tally!$B$5="",AA398=Tally!$B$5),1,0))</f>
        <v/>
      </c>
      <c r="AJ398" s="21">
        <f>IF(AI398=1,IF(COUNTIFS($AB$2:AB398,AB398,$AI$2:AI398,1)=1,1,0),0)</f>
        <v/>
      </c>
      <c r="AK398" s="21">
        <f>IF(AJ398=1,SUM($AJ$2:AJ398),"")</f>
        <v/>
      </c>
      <c r="AL398" s="21">
        <f>IF(AND(AI398=1,OR(AD398="In person",AD398="Online"),OR(Speakers!$B$5="",AB398=Speakers!$B$5)),N(Z398)+ROW()/1000000000,"")</f>
        <v/>
      </c>
    </row>
    <row r="399">
      <c r="U399" s="19" t="n"/>
      <c r="V399" s="24" t="n"/>
      <c r="W399" s="24" t="n"/>
      <c r="X399" s="19" t="n"/>
      <c r="Y399" s="21">
        <f>IFERROR(TRIM(INDEX($A399:$T399,MATCH(Lists!$F$2,$A$1:$T$1,0))&amp;""),"")</f>
        <v/>
      </c>
      <c r="Z399" s="22">
        <f>IF(Y399="","",IFERROR(IF(ISNUMBER(INDEX($A399:$T399,MATCH(Lists!$F$3,$A$1:$T$1,0))),INDEX($A399:$T399,MATCH(Lists!$F$3,$A$1:$T$1,0)),DATE(VALUE(LEFT(IFERROR(TRIM(INDEX($A399:$T399,MATCH(Lists!$F$3,$A$1:$T$1,0))&amp;""),""),4)),VALUE(MID(IFERROR(TRIM(INDEX($A399:$T399,MATCH(Lists!$F$3,$A$1:$T$1,0))&amp;""),""),6,2)),VALUE(MID(IFERROR(TRIM(INDEX($A399:$T399,MATCH(Lists!$F$3,$A$1:$T$1,0))&amp;""),""),9,2)))+TIME(VALUE(MID(IFERROR(TRIM(INDEX($A399:$T399,MATCH(Lists!$F$3,$A$1:$T$1,0))&amp;""),""),12,2)),VALUE(MID(IFERROR(TRIM(INDEX($A399:$T399,MATCH(Lists!$F$3,$A$1:$T$1,0))&amp;""),""),15,2)),VALUE(MID(IFERROR(TRIM(INDEX($A399:$T399,MATCH(Lists!$F$3,$A$1:$T$1,0))&amp;""),""),18,2)))),""))</f>
        <v/>
      </c>
      <c r="AA399" s="23">
        <f>IF(Y399="","",IF(ISNUMBER(IFERROR(IF(TRIM(INDEX($A399:$T399,MATCH(Lists!$F$4,$A$1:$T$1,0))&amp;"")="","",IF(ISNUMBER(INDEX($A399:$T399,MATCH(Lists!$F$4,$A$1:$T$1,0))),INT(INDEX($A399:$T399,MATCH(Lists!$F$4,$A$1:$T$1,0))),DATE(VALUE(LEFT(INDEX($A399:$T399,MATCH(Lists!$F$4,$A$1:$T$1,0)),4)),VALUE(MID(INDEX($A399:$T399,MATCH(Lists!$F$4,$A$1:$T$1,0)),6,2)),VALUE(MID(INDEX($A399:$T399,MATCH(Lists!$F$4,$A$1:$T$1,0)),9,2))))),"")),IFERROR(IF(TRIM(INDEX($A399:$T399,MATCH(Lists!$F$4,$A$1:$T$1,0))&amp;"")="","",IF(ISNUMBER(INDEX($A399:$T399,MATCH(Lists!$F$4,$A$1:$T$1,0))),INT(INDEX($A399:$T399,MATCH(Lists!$F$4,$A$1:$T$1,0))),DATE(VALUE(LEFT(INDEX($A399:$T399,MATCH(Lists!$F$4,$A$1:$T$1,0)),4)),VALUE(MID(INDEX($A399:$T399,MATCH(Lists!$F$4,$A$1:$T$1,0)),6,2)),VALUE(MID(INDEX($A399:$T399,MATCH(Lists!$F$4,$A$1:$T$1,0)),9,2))))),""),IFERROR(IF(TRIM(INDEX($A399:$T399,MATCH(Lists!$F$5,$A$1:$T$1,0))&amp;"")="","",IF(ISNUMBER(INDEX($A399:$T399,MATCH(Lists!$F$5,$A$1:$T$1,0))),INT(INDEX($A399:$T399,MATCH(Lists!$F$5,$A$1:$T$1,0))),DATE(VALUE(LEFT(INDEX($A399:$T399,MATCH(Lists!$F$5,$A$1:$T$1,0)),4)),VALUE(MID(INDEX($A399:$T399,MATCH(Lists!$F$5,$A$1:$T$1,0)),6,2)),VALUE(MID(INDEX($A399:$T399,MATCH(Lists!$F$5,$A$1:$T$1,0)),9,2))))),"")))</f>
        <v/>
      </c>
      <c r="AB399" s="21">
        <f>IF(Y399="","",IF(LEFT(IFERROR(TRIM(INDEX($A399:$T399,MATCH(Lists!$F$6,$A$1:$T$1,0))&amp;""),""),2)="No","General comment",IF(IFERROR(TRIM(INDEX($A399:$T399,MATCH(Lists!$F$7,$A$1:$T$1,0))&amp;""),"")&lt;&gt;"",IFERROR(TRIM(INDEX($A399:$T399,MATCH(Lists!$F$7,$A$1:$T$1,0))&amp;""),""),IF(IFERROR(TRIM(INDEX($A399:$T399,MATCH(Lists!$F$8,$A$1:$T$1,0))&amp;""),"")&lt;&gt;"",IFERROR(TRIM(INDEX($A399:$T399,MATCH(Lists!$F$8,$A$1:$T$1,0))&amp;""),""),"(no item given)"))))</f>
        <v/>
      </c>
      <c r="AC399" s="21">
        <f>IF(Y399="","",IF(ISNUMBER(SEARCH("support",IFERROR(TRIM(INDEX($A399:$T399,MATCH(Lists!$F$9,$A$1:$T$1,0))&amp;""),""))),"Support",IF(ISNUMBER(SEARCH("oppose",IFERROR(TRIM(INDEX($A399:$T399,MATCH(Lists!$F$9,$A$1:$T$1,0))&amp;""),""))),"Oppose",IF(IFERROR(TRIM(INDEX($A399:$T399,MATCH(Lists!$F$9,$A$1:$T$1,0))&amp;""),"")="","No position","Neither"))))</f>
        <v/>
      </c>
      <c r="AD399" s="21">
        <f>IF(Y399="","",IF(ISNUMBER(SEARCH("in person",IFERROR(TRIM(INDEX($A399:$T399,MATCH(Lists!$F$13,$A$1:$T$1,0))&amp;""),""))),"In person",IF(ISNUMBER(SEARCH("online",IFERROR(TRIM(INDEX($A399:$T399,MATCH(Lists!$F$13,$A$1:$T$1,0))&amp;""),""))),"Online","Written only")))</f>
        <v/>
      </c>
      <c r="AE399" s="21">
        <f>IF(Y399="","",IFERROR(TRIM(INDEX($A399:$T399,MATCH(Lists!$F$11,$A$1:$T$1,0))&amp;""),""))</f>
        <v/>
      </c>
      <c r="AF399" s="21">
        <f>IF(Y399="","",IFERROR(TRIM(INDEX($A399:$T399,MATCH(Lists!$F$12,$A$1:$T$1,0))&amp;""),""))</f>
        <v/>
      </c>
      <c r="AG399" s="21">
        <f>IF(Y399="","",IFERROR(TRIM(INDEX($A399:$T399,MATCH(Lists!$F$14,$A$1:$T$1,0))&amp;""),""))</f>
        <v/>
      </c>
      <c r="AH399" s="21">
        <f>IF(Y399="","",LEFT(IFERROR(TRIM(INDEX($A399:$T399,MATCH(Lists!$F$10,$A$1:$T$1,0))&amp;""),""),80))</f>
        <v/>
      </c>
      <c r="AI399" s="21">
        <f>IF(Y399="",0,IF(OR(Tally!$B$5="",AA399=Tally!$B$5),1,0))</f>
        <v/>
      </c>
      <c r="AJ399" s="21">
        <f>IF(AI399=1,IF(COUNTIFS($AB$2:AB399,AB399,$AI$2:AI399,1)=1,1,0),0)</f>
        <v/>
      </c>
      <c r="AK399" s="21">
        <f>IF(AJ399=1,SUM($AJ$2:AJ399),"")</f>
        <v/>
      </c>
      <c r="AL399" s="21">
        <f>IF(AND(AI399=1,OR(AD399="In person",AD399="Online"),OR(Speakers!$B$5="",AB399=Speakers!$B$5)),N(Z399)+ROW()/1000000000,"")</f>
        <v/>
      </c>
    </row>
    <row r="400">
      <c r="U400" s="19" t="n"/>
      <c r="V400" s="24" t="n"/>
      <c r="W400" s="24" t="n"/>
      <c r="X400" s="19" t="n"/>
      <c r="Y400" s="21">
        <f>IFERROR(TRIM(INDEX($A400:$T400,MATCH(Lists!$F$2,$A$1:$T$1,0))&amp;""),"")</f>
        <v/>
      </c>
      <c r="Z400" s="22">
        <f>IF(Y400="","",IFERROR(IF(ISNUMBER(INDEX($A400:$T400,MATCH(Lists!$F$3,$A$1:$T$1,0))),INDEX($A400:$T400,MATCH(Lists!$F$3,$A$1:$T$1,0)),DATE(VALUE(LEFT(IFERROR(TRIM(INDEX($A400:$T400,MATCH(Lists!$F$3,$A$1:$T$1,0))&amp;""),""),4)),VALUE(MID(IFERROR(TRIM(INDEX($A400:$T400,MATCH(Lists!$F$3,$A$1:$T$1,0))&amp;""),""),6,2)),VALUE(MID(IFERROR(TRIM(INDEX($A400:$T400,MATCH(Lists!$F$3,$A$1:$T$1,0))&amp;""),""),9,2)))+TIME(VALUE(MID(IFERROR(TRIM(INDEX($A400:$T400,MATCH(Lists!$F$3,$A$1:$T$1,0))&amp;""),""),12,2)),VALUE(MID(IFERROR(TRIM(INDEX($A400:$T400,MATCH(Lists!$F$3,$A$1:$T$1,0))&amp;""),""),15,2)),VALUE(MID(IFERROR(TRIM(INDEX($A400:$T400,MATCH(Lists!$F$3,$A$1:$T$1,0))&amp;""),""),18,2)))),""))</f>
        <v/>
      </c>
      <c r="AA400" s="23">
        <f>IF(Y400="","",IF(ISNUMBER(IFERROR(IF(TRIM(INDEX($A400:$T400,MATCH(Lists!$F$4,$A$1:$T$1,0))&amp;"")="","",IF(ISNUMBER(INDEX($A400:$T400,MATCH(Lists!$F$4,$A$1:$T$1,0))),INT(INDEX($A400:$T400,MATCH(Lists!$F$4,$A$1:$T$1,0))),DATE(VALUE(LEFT(INDEX($A400:$T400,MATCH(Lists!$F$4,$A$1:$T$1,0)),4)),VALUE(MID(INDEX($A400:$T400,MATCH(Lists!$F$4,$A$1:$T$1,0)),6,2)),VALUE(MID(INDEX($A400:$T400,MATCH(Lists!$F$4,$A$1:$T$1,0)),9,2))))),"")),IFERROR(IF(TRIM(INDEX($A400:$T400,MATCH(Lists!$F$4,$A$1:$T$1,0))&amp;"")="","",IF(ISNUMBER(INDEX($A400:$T400,MATCH(Lists!$F$4,$A$1:$T$1,0))),INT(INDEX($A400:$T400,MATCH(Lists!$F$4,$A$1:$T$1,0))),DATE(VALUE(LEFT(INDEX($A400:$T400,MATCH(Lists!$F$4,$A$1:$T$1,0)),4)),VALUE(MID(INDEX($A400:$T400,MATCH(Lists!$F$4,$A$1:$T$1,0)),6,2)),VALUE(MID(INDEX($A400:$T400,MATCH(Lists!$F$4,$A$1:$T$1,0)),9,2))))),""),IFERROR(IF(TRIM(INDEX($A400:$T400,MATCH(Lists!$F$5,$A$1:$T$1,0))&amp;"")="","",IF(ISNUMBER(INDEX($A400:$T400,MATCH(Lists!$F$5,$A$1:$T$1,0))),INT(INDEX($A400:$T400,MATCH(Lists!$F$5,$A$1:$T$1,0))),DATE(VALUE(LEFT(INDEX($A400:$T400,MATCH(Lists!$F$5,$A$1:$T$1,0)),4)),VALUE(MID(INDEX($A400:$T400,MATCH(Lists!$F$5,$A$1:$T$1,0)),6,2)),VALUE(MID(INDEX($A400:$T400,MATCH(Lists!$F$5,$A$1:$T$1,0)),9,2))))),"")))</f>
        <v/>
      </c>
      <c r="AB400" s="21">
        <f>IF(Y400="","",IF(LEFT(IFERROR(TRIM(INDEX($A400:$T400,MATCH(Lists!$F$6,$A$1:$T$1,0))&amp;""),""),2)="No","General comment",IF(IFERROR(TRIM(INDEX($A400:$T400,MATCH(Lists!$F$7,$A$1:$T$1,0))&amp;""),"")&lt;&gt;"",IFERROR(TRIM(INDEX($A400:$T400,MATCH(Lists!$F$7,$A$1:$T$1,0))&amp;""),""),IF(IFERROR(TRIM(INDEX($A400:$T400,MATCH(Lists!$F$8,$A$1:$T$1,0))&amp;""),"")&lt;&gt;"",IFERROR(TRIM(INDEX($A400:$T400,MATCH(Lists!$F$8,$A$1:$T$1,0))&amp;""),""),"(no item given)"))))</f>
        <v/>
      </c>
      <c r="AC400" s="21">
        <f>IF(Y400="","",IF(ISNUMBER(SEARCH("support",IFERROR(TRIM(INDEX($A400:$T400,MATCH(Lists!$F$9,$A$1:$T$1,0))&amp;""),""))),"Support",IF(ISNUMBER(SEARCH("oppose",IFERROR(TRIM(INDEX($A400:$T400,MATCH(Lists!$F$9,$A$1:$T$1,0))&amp;""),""))),"Oppose",IF(IFERROR(TRIM(INDEX($A400:$T400,MATCH(Lists!$F$9,$A$1:$T$1,0))&amp;""),"")="","No position","Neither"))))</f>
        <v/>
      </c>
      <c r="AD400" s="21">
        <f>IF(Y400="","",IF(ISNUMBER(SEARCH("in person",IFERROR(TRIM(INDEX($A400:$T400,MATCH(Lists!$F$13,$A$1:$T$1,0))&amp;""),""))),"In person",IF(ISNUMBER(SEARCH("online",IFERROR(TRIM(INDEX($A400:$T400,MATCH(Lists!$F$13,$A$1:$T$1,0))&amp;""),""))),"Online","Written only")))</f>
        <v/>
      </c>
      <c r="AE400" s="21">
        <f>IF(Y400="","",IFERROR(TRIM(INDEX($A400:$T400,MATCH(Lists!$F$11,$A$1:$T$1,0))&amp;""),""))</f>
        <v/>
      </c>
      <c r="AF400" s="21">
        <f>IF(Y400="","",IFERROR(TRIM(INDEX($A400:$T400,MATCH(Lists!$F$12,$A$1:$T$1,0))&amp;""),""))</f>
        <v/>
      </c>
      <c r="AG400" s="21">
        <f>IF(Y400="","",IFERROR(TRIM(INDEX($A400:$T400,MATCH(Lists!$F$14,$A$1:$T$1,0))&amp;""),""))</f>
        <v/>
      </c>
      <c r="AH400" s="21">
        <f>IF(Y400="","",LEFT(IFERROR(TRIM(INDEX($A400:$T400,MATCH(Lists!$F$10,$A$1:$T$1,0))&amp;""),""),80))</f>
        <v/>
      </c>
      <c r="AI400" s="21">
        <f>IF(Y400="",0,IF(OR(Tally!$B$5="",AA400=Tally!$B$5),1,0))</f>
        <v/>
      </c>
      <c r="AJ400" s="21">
        <f>IF(AI400=1,IF(COUNTIFS($AB$2:AB400,AB400,$AI$2:AI400,1)=1,1,0),0)</f>
        <v/>
      </c>
      <c r="AK400" s="21">
        <f>IF(AJ400=1,SUM($AJ$2:AJ400),"")</f>
        <v/>
      </c>
      <c r="AL400" s="21">
        <f>IF(AND(AI400=1,OR(AD400="In person",AD400="Online"),OR(Speakers!$B$5="",AB400=Speakers!$B$5)),N(Z400)+ROW()/1000000000,"")</f>
        <v/>
      </c>
    </row>
    <row r="401">
      <c r="U401" s="19" t="n"/>
      <c r="V401" s="24" t="n"/>
      <c r="W401" s="24" t="n"/>
      <c r="X401" s="19" t="n"/>
      <c r="Y401" s="21">
        <f>IFERROR(TRIM(INDEX($A401:$T401,MATCH(Lists!$F$2,$A$1:$T$1,0))&amp;""),"")</f>
        <v/>
      </c>
      <c r="Z401" s="22">
        <f>IF(Y401="","",IFERROR(IF(ISNUMBER(INDEX($A401:$T401,MATCH(Lists!$F$3,$A$1:$T$1,0))),INDEX($A401:$T401,MATCH(Lists!$F$3,$A$1:$T$1,0)),DATE(VALUE(LEFT(IFERROR(TRIM(INDEX($A401:$T401,MATCH(Lists!$F$3,$A$1:$T$1,0))&amp;""),""),4)),VALUE(MID(IFERROR(TRIM(INDEX($A401:$T401,MATCH(Lists!$F$3,$A$1:$T$1,0))&amp;""),""),6,2)),VALUE(MID(IFERROR(TRIM(INDEX($A401:$T401,MATCH(Lists!$F$3,$A$1:$T$1,0))&amp;""),""),9,2)))+TIME(VALUE(MID(IFERROR(TRIM(INDEX($A401:$T401,MATCH(Lists!$F$3,$A$1:$T$1,0))&amp;""),""),12,2)),VALUE(MID(IFERROR(TRIM(INDEX($A401:$T401,MATCH(Lists!$F$3,$A$1:$T$1,0))&amp;""),""),15,2)),VALUE(MID(IFERROR(TRIM(INDEX($A401:$T401,MATCH(Lists!$F$3,$A$1:$T$1,0))&amp;""),""),18,2)))),""))</f>
        <v/>
      </c>
      <c r="AA401" s="23">
        <f>IF(Y401="","",IF(ISNUMBER(IFERROR(IF(TRIM(INDEX($A401:$T401,MATCH(Lists!$F$4,$A$1:$T$1,0))&amp;"")="","",IF(ISNUMBER(INDEX($A401:$T401,MATCH(Lists!$F$4,$A$1:$T$1,0))),INT(INDEX($A401:$T401,MATCH(Lists!$F$4,$A$1:$T$1,0))),DATE(VALUE(LEFT(INDEX($A401:$T401,MATCH(Lists!$F$4,$A$1:$T$1,0)),4)),VALUE(MID(INDEX($A401:$T401,MATCH(Lists!$F$4,$A$1:$T$1,0)),6,2)),VALUE(MID(INDEX($A401:$T401,MATCH(Lists!$F$4,$A$1:$T$1,0)),9,2))))),"")),IFERROR(IF(TRIM(INDEX($A401:$T401,MATCH(Lists!$F$4,$A$1:$T$1,0))&amp;"")="","",IF(ISNUMBER(INDEX($A401:$T401,MATCH(Lists!$F$4,$A$1:$T$1,0))),INT(INDEX($A401:$T401,MATCH(Lists!$F$4,$A$1:$T$1,0))),DATE(VALUE(LEFT(INDEX($A401:$T401,MATCH(Lists!$F$4,$A$1:$T$1,0)),4)),VALUE(MID(INDEX($A401:$T401,MATCH(Lists!$F$4,$A$1:$T$1,0)),6,2)),VALUE(MID(INDEX($A401:$T401,MATCH(Lists!$F$4,$A$1:$T$1,0)),9,2))))),""),IFERROR(IF(TRIM(INDEX($A401:$T401,MATCH(Lists!$F$5,$A$1:$T$1,0))&amp;"")="","",IF(ISNUMBER(INDEX($A401:$T401,MATCH(Lists!$F$5,$A$1:$T$1,0))),INT(INDEX($A401:$T401,MATCH(Lists!$F$5,$A$1:$T$1,0))),DATE(VALUE(LEFT(INDEX($A401:$T401,MATCH(Lists!$F$5,$A$1:$T$1,0)),4)),VALUE(MID(INDEX($A401:$T401,MATCH(Lists!$F$5,$A$1:$T$1,0)),6,2)),VALUE(MID(INDEX($A401:$T401,MATCH(Lists!$F$5,$A$1:$T$1,0)),9,2))))),"")))</f>
        <v/>
      </c>
      <c r="AB401" s="21">
        <f>IF(Y401="","",IF(LEFT(IFERROR(TRIM(INDEX($A401:$T401,MATCH(Lists!$F$6,$A$1:$T$1,0))&amp;""),""),2)="No","General comment",IF(IFERROR(TRIM(INDEX($A401:$T401,MATCH(Lists!$F$7,$A$1:$T$1,0))&amp;""),"")&lt;&gt;"",IFERROR(TRIM(INDEX($A401:$T401,MATCH(Lists!$F$7,$A$1:$T$1,0))&amp;""),""),IF(IFERROR(TRIM(INDEX($A401:$T401,MATCH(Lists!$F$8,$A$1:$T$1,0))&amp;""),"")&lt;&gt;"",IFERROR(TRIM(INDEX($A401:$T401,MATCH(Lists!$F$8,$A$1:$T$1,0))&amp;""),""),"(no item given)"))))</f>
        <v/>
      </c>
      <c r="AC401" s="21">
        <f>IF(Y401="","",IF(ISNUMBER(SEARCH("support",IFERROR(TRIM(INDEX($A401:$T401,MATCH(Lists!$F$9,$A$1:$T$1,0))&amp;""),""))),"Support",IF(ISNUMBER(SEARCH("oppose",IFERROR(TRIM(INDEX($A401:$T401,MATCH(Lists!$F$9,$A$1:$T$1,0))&amp;""),""))),"Oppose",IF(IFERROR(TRIM(INDEX($A401:$T401,MATCH(Lists!$F$9,$A$1:$T$1,0))&amp;""),"")="","No position","Neither"))))</f>
        <v/>
      </c>
      <c r="AD401" s="21">
        <f>IF(Y401="","",IF(ISNUMBER(SEARCH("in person",IFERROR(TRIM(INDEX($A401:$T401,MATCH(Lists!$F$13,$A$1:$T$1,0))&amp;""),""))),"In person",IF(ISNUMBER(SEARCH("online",IFERROR(TRIM(INDEX($A401:$T401,MATCH(Lists!$F$13,$A$1:$T$1,0))&amp;""),""))),"Online","Written only")))</f>
        <v/>
      </c>
      <c r="AE401" s="21">
        <f>IF(Y401="","",IFERROR(TRIM(INDEX($A401:$T401,MATCH(Lists!$F$11,$A$1:$T$1,0))&amp;""),""))</f>
        <v/>
      </c>
      <c r="AF401" s="21">
        <f>IF(Y401="","",IFERROR(TRIM(INDEX($A401:$T401,MATCH(Lists!$F$12,$A$1:$T$1,0))&amp;""),""))</f>
        <v/>
      </c>
      <c r="AG401" s="21">
        <f>IF(Y401="","",IFERROR(TRIM(INDEX($A401:$T401,MATCH(Lists!$F$14,$A$1:$T$1,0))&amp;""),""))</f>
        <v/>
      </c>
      <c r="AH401" s="21">
        <f>IF(Y401="","",LEFT(IFERROR(TRIM(INDEX($A401:$T401,MATCH(Lists!$F$10,$A$1:$T$1,0))&amp;""),""),80))</f>
        <v/>
      </c>
      <c r="AI401" s="21">
        <f>IF(Y401="",0,IF(OR(Tally!$B$5="",AA401=Tally!$B$5),1,0))</f>
        <v/>
      </c>
      <c r="AJ401" s="21">
        <f>IF(AI401=1,IF(COUNTIFS($AB$2:AB401,AB401,$AI$2:AI401,1)=1,1,0),0)</f>
        <v/>
      </c>
      <c r="AK401" s="21">
        <f>IF(AJ401=1,SUM($AJ$2:AJ401),"")</f>
        <v/>
      </c>
      <c r="AL401" s="21">
        <f>IF(AND(AI401=1,OR(AD401="In person",AD401="Online"),OR(Speakers!$B$5="",AB401=Speakers!$B$5)),N(Z401)+ROW()/1000000000,"")</f>
        <v/>
      </c>
    </row>
    <row r="402">
      <c r="U402" s="19" t="n"/>
      <c r="V402" s="24" t="n"/>
      <c r="W402" s="24" t="n"/>
      <c r="X402" s="19" t="n"/>
      <c r="Y402" s="21">
        <f>IFERROR(TRIM(INDEX($A402:$T402,MATCH(Lists!$F$2,$A$1:$T$1,0))&amp;""),"")</f>
        <v/>
      </c>
      <c r="Z402" s="22">
        <f>IF(Y402="","",IFERROR(IF(ISNUMBER(INDEX($A402:$T402,MATCH(Lists!$F$3,$A$1:$T$1,0))),INDEX($A402:$T402,MATCH(Lists!$F$3,$A$1:$T$1,0)),DATE(VALUE(LEFT(IFERROR(TRIM(INDEX($A402:$T402,MATCH(Lists!$F$3,$A$1:$T$1,0))&amp;""),""),4)),VALUE(MID(IFERROR(TRIM(INDEX($A402:$T402,MATCH(Lists!$F$3,$A$1:$T$1,0))&amp;""),""),6,2)),VALUE(MID(IFERROR(TRIM(INDEX($A402:$T402,MATCH(Lists!$F$3,$A$1:$T$1,0))&amp;""),""),9,2)))+TIME(VALUE(MID(IFERROR(TRIM(INDEX($A402:$T402,MATCH(Lists!$F$3,$A$1:$T$1,0))&amp;""),""),12,2)),VALUE(MID(IFERROR(TRIM(INDEX($A402:$T402,MATCH(Lists!$F$3,$A$1:$T$1,0))&amp;""),""),15,2)),VALUE(MID(IFERROR(TRIM(INDEX($A402:$T402,MATCH(Lists!$F$3,$A$1:$T$1,0))&amp;""),""),18,2)))),""))</f>
        <v/>
      </c>
      <c r="AA402" s="23">
        <f>IF(Y402="","",IF(ISNUMBER(IFERROR(IF(TRIM(INDEX($A402:$T402,MATCH(Lists!$F$4,$A$1:$T$1,0))&amp;"")="","",IF(ISNUMBER(INDEX($A402:$T402,MATCH(Lists!$F$4,$A$1:$T$1,0))),INT(INDEX($A402:$T402,MATCH(Lists!$F$4,$A$1:$T$1,0))),DATE(VALUE(LEFT(INDEX($A402:$T402,MATCH(Lists!$F$4,$A$1:$T$1,0)),4)),VALUE(MID(INDEX($A402:$T402,MATCH(Lists!$F$4,$A$1:$T$1,0)),6,2)),VALUE(MID(INDEX($A402:$T402,MATCH(Lists!$F$4,$A$1:$T$1,0)),9,2))))),"")),IFERROR(IF(TRIM(INDEX($A402:$T402,MATCH(Lists!$F$4,$A$1:$T$1,0))&amp;"")="","",IF(ISNUMBER(INDEX($A402:$T402,MATCH(Lists!$F$4,$A$1:$T$1,0))),INT(INDEX($A402:$T402,MATCH(Lists!$F$4,$A$1:$T$1,0))),DATE(VALUE(LEFT(INDEX($A402:$T402,MATCH(Lists!$F$4,$A$1:$T$1,0)),4)),VALUE(MID(INDEX($A402:$T402,MATCH(Lists!$F$4,$A$1:$T$1,0)),6,2)),VALUE(MID(INDEX($A402:$T402,MATCH(Lists!$F$4,$A$1:$T$1,0)),9,2))))),""),IFERROR(IF(TRIM(INDEX($A402:$T402,MATCH(Lists!$F$5,$A$1:$T$1,0))&amp;"")="","",IF(ISNUMBER(INDEX($A402:$T402,MATCH(Lists!$F$5,$A$1:$T$1,0))),INT(INDEX($A402:$T402,MATCH(Lists!$F$5,$A$1:$T$1,0))),DATE(VALUE(LEFT(INDEX($A402:$T402,MATCH(Lists!$F$5,$A$1:$T$1,0)),4)),VALUE(MID(INDEX($A402:$T402,MATCH(Lists!$F$5,$A$1:$T$1,0)),6,2)),VALUE(MID(INDEX($A402:$T402,MATCH(Lists!$F$5,$A$1:$T$1,0)),9,2))))),"")))</f>
        <v/>
      </c>
      <c r="AB402" s="21">
        <f>IF(Y402="","",IF(LEFT(IFERROR(TRIM(INDEX($A402:$T402,MATCH(Lists!$F$6,$A$1:$T$1,0))&amp;""),""),2)="No","General comment",IF(IFERROR(TRIM(INDEX($A402:$T402,MATCH(Lists!$F$7,$A$1:$T$1,0))&amp;""),"")&lt;&gt;"",IFERROR(TRIM(INDEX($A402:$T402,MATCH(Lists!$F$7,$A$1:$T$1,0))&amp;""),""),IF(IFERROR(TRIM(INDEX($A402:$T402,MATCH(Lists!$F$8,$A$1:$T$1,0))&amp;""),"")&lt;&gt;"",IFERROR(TRIM(INDEX($A402:$T402,MATCH(Lists!$F$8,$A$1:$T$1,0))&amp;""),""),"(no item given)"))))</f>
        <v/>
      </c>
      <c r="AC402" s="21">
        <f>IF(Y402="","",IF(ISNUMBER(SEARCH("support",IFERROR(TRIM(INDEX($A402:$T402,MATCH(Lists!$F$9,$A$1:$T$1,0))&amp;""),""))),"Support",IF(ISNUMBER(SEARCH("oppose",IFERROR(TRIM(INDEX($A402:$T402,MATCH(Lists!$F$9,$A$1:$T$1,0))&amp;""),""))),"Oppose",IF(IFERROR(TRIM(INDEX($A402:$T402,MATCH(Lists!$F$9,$A$1:$T$1,0))&amp;""),"")="","No position","Neither"))))</f>
        <v/>
      </c>
      <c r="AD402" s="21">
        <f>IF(Y402="","",IF(ISNUMBER(SEARCH("in person",IFERROR(TRIM(INDEX($A402:$T402,MATCH(Lists!$F$13,$A$1:$T$1,0))&amp;""),""))),"In person",IF(ISNUMBER(SEARCH("online",IFERROR(TRIM(INDEX($A402:$T402,MATCH(Lists!$F$13,$A$1:$T$1,0))&amp;""),""))),"Online","Written only")))</f>
        <v/>
      </c>
      <c r="AE402" s="21">
        <f>IF(Y402="","",IFERROR(TRIM(INDEX($A402:$T402,MATCH(Lists!$F$11,$A$1:$T$1,0))&amp;""),""))</f>
        <v/>
      </c>
      <c r="AF402" s="21">
        <f>IF(Y402="","",IFERROR(TRIM(INDEX($A402:$T402,MATCH(Lists!$F$12,$A$1:$T$1,0))&amp;""),""))</f>
        <v/>
      </c>
      <c r="AG402" s="21">
        <f>IF(Y402="","",IFERROR(TRIM(INDEX($A402:$T402,MATCH(Lists!$F$14,$A$1:$T$1,0))&amp;""),""))</f>
        <v/>
      </c>
      <c r="AH402" s="21">
        <f>IF(Y402="","",LEFT(IFERROR(TRIM(INDEX($A402:$T402,MATCH(Lists!$F$10,$A$1:$T$1,0))&amp;""),""),80))</f>
        <v/>
      </c>
      <c r="AI402" s="21">
        <f>IF(Y402="",0,IF(OR(Tally!$B$5="",AA402=Tally!$B$5),1,0))</f>
        <v/>
      </c>
      <c r="AJ402" s="21">
        <f>IF(AI402=1,IF(COUNTIFS($AB$2:AB402,AB402,$AI$2:AI402,1)=1,1,0),0)</f>
        <v/>
      </c>
      <c r="AK402" s="21">
        <f>IF(AJ402=1,SUM($AJ$2:AJ402),"")</f>
        <v/>
      </c>
      <c r="AL402" s="21">
        <f>IF(AND(AI402=1,OR(AD402="In person",AD402="Online"),OR(Speakers!$B$5="",AB402=Speakers!$B$5)),N(Z402)+ROW()/1000000000,"")</f>
        <v/>
      </c>
    </row>
    <row r="403">
      <c r="U403" s="19" t="n"/>
      <c r="V403" s="24" t="n"/>
      <c r="W403" s="24" t="n"/>
      <c r="X403" s="19" t="n"/>
      <c r="Y403" s="21">
        <f>IFERROR(TRIM(INDEX($A403:$T403,MATCH(Lists!$F$2,$A$1:$T$1,0))&amp;""),"")</f>
        <v/>
      </c>
      <c r="Z403" s="22">
        <f>IF(Y403="","",IFERROR(IF(ISNUMBER(INDEX($A403:$T403,MATCH(Lists!$F$3,$A$1:$T$1,0))),INDEX($A403:$T403,MATCH(Lists!$F$3,$A$1:$T$1,0)),DATE(VALUE(LEFT(IFERROR(TRIM(INDEX($A403:$T403,MATCH(Lists!$F$3,$A$1:$T$1,0))&amp;""),""),4)),VALUE(MID(IFERROR(TRIM(INDEX($A403:$T403,MATCH(Lists!$F$3,$A$1:$T$1,0))&amp;""),""),6,2)),VALUE(MID(IFERROR(TRIM(INDEX($A403:$T403,MATCH(Lists!$F$3,$A$1:$T$1,0))&amp;""),""),9,2)))+TIME(VALUE(MID(IFERROR(TRIM(INDEX($A403:$T403,MATCH(Lists!$F$3,$A$1:$T$1,0))&amp;""),""),12,2)),VALUE(MID(IFERROR(TRIM(INDEX($A403:$T403,MATCH(Lists!$F$3,$A$1:$T$1,0))&amp;""),""),15,2)),VALUE(MID(IFERROR(TRIM(INDEX($A403:$T403,MATCH(Lists!$F$3,$A$1:$T$1,0))&amp;""),""),18,2)))),""))</f>
        <v/>
      </c>
      <c r="AA403" s="23">
        <f>IF(Y403="","",IF(ISNUMBER(IFERROR(IF(TRIM(INDEX($A403:$T403,MATCH(Lists!$F$4,$A$1:$T$1,0))&amp;"")="","",IF(ISNUMBER(INDEX($A403:$T403,MATCH(Lists!$F$4,$A$1:$T$1,0))),INT(INDEX($A403:$T403,MATCH(Lists!$F$4,$A$1:$T$1,0))),DATE(VALUE(LEFT(INDEX($A403:$T403,MATCH(Lists!$F$4,$A$1:$T$1,0)),4)),VALUE(MID(INDEX($A403:$T403,MATCH(Lists!$F$4,$A$1:$T$1,0)),6,2)),VALUE(MID(INDEX($A403:$T403,MATCH(Lists!$F$4,$A$1:$T$1,0)),9,2))))),"")),IFERROR(IF(TRIM(INDEX($A403:$T403,MATCH(Lists!$F$4,$A$1:$T$1,0))&amp;"")="","",IF(ISNUMBER(INDEX($A403:$T403,MATCH(Lists!$F$4,$A$1:$T$1,0))),INT(INDEX($A403:$T403,MATCH(Lists!$F$4,$A$1:$T$1,0))),DATE(VALUE(LEFT(INDEX($A403:$T403,MATCH(Lists!$F$4,$A$1:$T$1,0)),4)),VALUE(MID(INDEX($A403:$T403,MATCH(Lists!$F$4,$A$1:$T$1,0)),6,2)),VALUE(MID(INDEX($A403:$T403,MATCH(Lists!$F$4,$A$1:$T$1,0)),9,2))))),""),IFERROR(IF(TRIM(INDEX($A403:$T403,MATCH(Lists!$F$5,$A$1:$T$1,0))&amp;"")="","",IF(ISNUMBER(INDEX($A403:$T403,MATCH(Lists!$F$5,$A$1:$T$1,0))),INT(INDEX($A403:$T403,MATCH(Lists!$F$5,$A$1:$T$1,0))),DATE(VALUE(LEFT(INDEX($A403:$T403,MATCH(Lists!$F$5,$A$1:$T$1,0)),4)),VALUE(MID(INDEX($A403:$T403,MATCH(Lists!$F$5,$A$1:$T$1,0)),6,2)),VALUE(MID(INDEX($A403:$T403,MATCH(Lists!$F$5,$A$1:$T$1,0)),9,2))))),"")))</f>
        <v/>
      </c>
      <c r="AB403" s="21">
        <f>IF(Y403="","",IF(LEFT(IFERROR(TRIM(INDEX($A403:$T403,MATCH(Lists!$F$6,$A$1:$T$1,0))&amp;""),""),2)="No","General comment",IF(IFERROR(TRIM(INDEX($A403:$T403,MATCH(Lists!$F$7,$A$1:$T$1,0))&amp;""),"")&lt;&gt;"",IFERROR(TRIM(INDEX($A403:$T403,MATCH(Lists!$F$7,$A$1:$T$1,0))&amp;""),""),IF(IFERROR(TRIM(INDEX($A403:$T403,MATCH(Lists!$F$8,$A$1:$T$1,0))&amp;""),"")&lt;&gt;"",IFERROR(TRIM(INDEX($A403:$T403,MATCH(Lists!$F$8,$A$1:$T$1,0))&amp;""),""),"(no item given)"))))</f>
        <v/>
      </c>
      <c r="AC403" s="21">
        <f>IF(Y403="","",IF(ISNUMBER(SEARCH("support",IFERROR(TRIM(INDEX($A403:$T403,MATCH(Lists!$F$9,$A$1:$T$1,0))&amp;""),""))),"Support",IF(ISNUMBER(SEARCH("oppose",IFERROR(TRIM(INDEX($A403:$T403,MATCH(Lists!$F$9,$A$1:$T$1,0))&amp;""),""))),"Oppose",IF(IFERROR(TRIM(INDEX($A403:$T403,MATCH(Lists!$F$9,$A$1:$T$1,0))&amp;""),"")="","No position","Neither"))))</f>
        <v/>
      </c>
      <c r="AD403" s="21">
        <f>IF(Y403="","",IF(ISNUMBER(SEARCH("in person",IFERROR(TRIM(INDEX($A403:$T403,MATCH(Lists!$F$13,$A$1:$T$1,0))&amp;""),""))),"In person",IF(ISNUMBER(SEARCH("online",IFERROR(TRIM(INDEX($A403:$T403,MATCH(Lists!$F$13,$A$1:$T$1,0))&amp;""),""))),"Online","Written only")))</f>
        <v/>
      </c>
      <c r="AE403" s="21">
        <f>IF(Y403="","",IFERROR(TRIM(INDEX($A403:$T403,MATCH(Lists!$F$11,$A$1:$T$1,0))&amp;""),""))</f>
        <v/>
      </c>
      <c r="AF403" s="21">
        <f>IF(Y403="","",IFERROR(TRIM(INDEX($A403:$T403,MATCH(Lists!$F$12,$A$1:$T$1,0))&amp;""),""))</f>
        <v/>
      </c>
      <c r="AG403" s="21">
        <f>IF(Y403="","",IFERROR(TRIM(INDEX($A403:$T403,MATCH(Lists!$F$14,$A$1:$T$1,0))&amp;""),""))</f>
        <v/>
      </c>
      <c r="AH403" s="21">
        <f>IF(Y403="","",LEFT(IFERROR(TRIM(INDEX($A403:$T403,MATCH(Lists!$F$10,$A$1:$T$1,0))&amp;""),""),80))</f>
        <v/>
      </c>
      <c r="AI403" s="21">
        <f>IF(Y403="",0,IF(OR(Tally!$B$5="",AA403=Tally!$B$5),1,0))</f>
        <v/>
      </c>
      <c r="AJ403" s="21">
        <f>IF(AI403=1,IF(COUNTIFS($AB$2:AB403,AB403,$AI$2:AI403,1)=1,1,0),0)</f>
        <v/>
      </c>
      <c r="AK403" s="21">
        <f>IF(AJ403=1,SUM($AJ$2:AJ403),"")</f>
        <v/>
      </c>
      <c r="AL403" s="21">
        <f>IF(AND(AI403=1,OR(AD403="In person",AD403="Online"),OR(Speakers!$B$5="",AB403=Speakers!$B$5)),N(Z403)+ROW()/1000000000,"")</f>
        <v/>
      </c>
    </row>
    <row r="404">
      <c r="U404" s="19" t="n"/>
      <c r="V404" s="24" t="n"/>
      <c r="W404" s="24" t="n"/>
      <c r="X404" s="19" t="n"/>
      <c r="Y404" s="21">
        <f>IFERROR(TRIM(INDEX($A404:$T404,MATCH(Lists!$F$2,$A$1:$T$1,0))&amp;""),"")</f>
        <v/>
      </c>
      <c r="Z404" s="22">
        <f>IF(Y404="","",IFERROR(IF(ISNUMBER(INDEX($A404:$T404,MATCH(Lists!$F$3,$A$1:$T$1,0))),INDEX($A404:$T404,MATCH(Lists!$F$3,$A$1:$T$1,0)),DATE(VALUE(LEFT(IFERROR(TRIM(INDEX($A404:$T404,MATCH(Lists!$F$3,$A$1:$T$1,0))&amp;""),""),4)),VALUE(MID(IFERROR(TRIM(INDEX($A404:$T404,MATCH(Lists!$F$3,$A$1:$T$1,0))&amp;""),""),6,2)),VALUE(MID(IFERROR(TRIM(INDEX($A404:$T404,MATCH(Lists!$F$3,$A$1:$T$1,0))&amp;""),""),9,2)))+TIME(VALUE(MID(IFERROR(TRIM(INDEX($A404:$T404,MATCH(Lists!$F$3,$A$1:$T$1,0))&amp;""),""),12,2)),VALUE(MID(IFERROR(TRIM(INDEX($A404:$T404,MATCH(Lists!$F$3,$A$1:$T$1,0))&amp;""),""),15,2)),VALUE(MID(IFERROR(TRIM(INDEX($A404:$T404,MATCH(Lists!$F$3,$A$1:$T$1,0))&amp;""),""),18,2)))),""))</f>
        <v/>
      </c>
      <c r="AA404" s="23">
        <f>IF(Y404="","",IF(ISNUMBER(IFERROR(IF(TRIM(INDEX($A404:$T404,MATCH(Lists!$F$4,$A$1:$T$1,0))&amp;"")="","",IF(ISNUMBER(INDEX($A404:$T404,MATCH(Lists!$F$4,$A$1:$T$1,0))),INT(INDEX($A404:$T404,MATCH(Lists!$F$4,$A$1:$T$1,0))),DATE(VALUE(LEFT(INDEX($A404:$T404,MATCH(Lists!$F$4,$A$1:$T$1,0)),4)),VALUE(MID(INDEX($A404:$T404,MATCH(Lists!$F$4,$A$1:$T$1,0)),6,2)),VALUE(MID(INDEX($A404:$T404,MATCH(Lists!$F$4,$A$1:$T$1,0)),9,2))))),"")),IFERROR(IF(TRIM(INDEX($A404:$T404,MATCH(Lists!$F$4,$A$1:$T$1,0))&amp;"")="","",IF(ISNUMBER(INDEX($A404:$T404,MATCH(Lists!$F$4,$A$1:$T$1,0))),INT(INDEX($A404:$T404,MATCH(Lists!$F$4,$A$1:$T$1,0))),DATE(VALUE(LEFT(INDEX($A404:$T404,MATCH(Lists!$F$4,$A$1:$T$1,0)),4)),VALUE(MID(INDEX($A404:$T404,MATCH(Lists!$F$4,$A$1:$T$1,0)),6,2)),VALUE(MID(INDEX($A404:$T404,MATCH(Lists!$F$4,$A$1:$T$1,0)),9,2))))),""),IFERROR(IF(TRIM(INDEX($A404:$T404,MATCH(Lists!$F$5,$A$1:$T$1,0))&amp;"")="","",IF(ISNUMBER(INDEX($A404:$T404,MATCH(Lists!$F$5,$A$1:$T$1,0))),INT(INDEX($A404:$T404,MATCH(Lists!$F$5,$A$1:$T$1,0))),DATE(VALUE(LEFT(INDEX($A404:$T404,MATCH(Lists!$F$5,$A$1:$T$1,0)),4)),VALUE(MID(INDEX($A404:$T404,MATCH(Lists!$F$5,$A$1:$T$1,0)),6,2)),VALUE(MID(INDEX($A404:$T404,MATCH(Lists!$F$5,$A$1:$T$1,0)),9,2))))),"")))</f>
        <v/>
      </c>
      <c r="AB404" s="21">
        <f>IF(Y404="","",IF(LEFT(IFERROR(TRIM(INDEX($A404:$T404,MATCH(Lists!$F$6,$A$1:$T$1,0))&amp;""),""),2)="No","General comment",IF(IFERROR(TRIM(INDEX($A404:$T404,MATCH(Lists!$F$7,$A$1:$T$1,0))&amp;""),"")&lt;&gt;"",IFERROR(TRIM(INDEX($A404:$T404,MATCH(Lists!$F$7,$A$1:$T$1,0))&amp;""),""),IF(IFERROR(TRIM(INDEX($A404:$T404,MATCH(Lists!$F$8,$A$1:$T$1,0))&amp;""),"")&lt;&gt;"",IFERROR(TRIM(INDEX($A404:$T404,MATCH(Lists!$F$8,$A$1:$T$1,0))&amp;""),""),"(no item given)"))))</f>
        <v/>
      </c>
      <c r="AC404" s="21">
        <f>IF(Y404="","",IF(ISNUMBER(SEARCH("support",IFERROR(TRIM(INDEX($A404:$T404,MATCH(Lists!$F$9,$A$1:$T$1,0))&amp;""),""))),"Support",IF(ISNUMBER(SEARCH("oppose",IFERROR(TRIM(INDEX($A404:$T404,MATCH(Lists!$F$9,$A$1:$T$1,0))&amp;""),""))),"Oppose",IF(IFERROR(TRIM(INDEX($A404:$T404,MATCH(Lists!$F$9,$A$1:$T$1,0))&amp;""),"")="","No position","Neither"))))</f>
        <v/>
      </c>
      <c r="AD404" s="21">
        <f>IF(Y404="","",IF(ISNUMBER(SEARCH("in person",IFERROR(TRIM(INDEX($A404:$T404,MATCH(Lists!$F$13,$A$1:$T$1,0))&amp;""),""))),"In person",IF(ISNUMBER(SEARCH("online",IFERROR(TRIM(INDEX($A404:$T404,MATCH(Lists!$F$13,$A$1:$T$1,0))&amp;""),""))),"Online","Written only")))</f>
        <v/>
      </c>
      <c r="AE404" s="21">
        <f>IF(Y404="","",IFERROR(TRIM(INDEX($A404:$T404,MATCH(Lists!$F$11,$A$1:$T$1,0))&amp;""),""))</f>
        <v/>
      </c>
      <c r="AF404" s="21">
        <f>IF(Y404="","",IFERROR(TRIM(INDEX($A404:$T404,MATCH(Lists!$F$12,$A$1:$T$1,0))&amp;""),""))</f>
        <v/>
      </c>
      <c r="AG404" s="21">
        <f>IF(Y404="","",IFERROR(TRIM(INDEX($A404:$T404,MATCH(Lists!$F$14,$A$1:$T$1,0))&amp;""),""))</f>
        <v/>
      </c>
      <c r="AH404" s="21">
        <f>IF(Y404="","",LEFT(IFERROR(TRIM(INDEX($A404:$T404,MATCH(Lists!$F$10,$A$1:$T$1,0))&amp;""),""),80))</f>
        <v/>
      </c>
      <c r="AI404" s="21">
        <f>IF(Y404="",0,IF(OR(Tally!$B$5="",AA404=Tally!$B$5),1,0))</f>
        <v/>
      </c>
      <c r="AJ404" s="21">
        <f>IF(AI404=1,IF(COUNTIFS($AB$2:AB404,AB404,$AI$2:AI404,1)=1,1,0),0)</f>
        <v/>
      </c>
      <c r="AK404" s="21">
        <f>IF(AJ404=1,SUM($AJ$2:AJ404),"")</f>
        <v/>
      </c>
      <c r="AL404" s="21">
        <f>IF(AND(AI404=1,OR(AD404="In person",AD404="Online"),OR(Speakers!$B$5="",AB404=Speakers!$B$5)),N(Z404)+ROW()/1000000000,"")</f>
        <v/>
      </c>
    </row>
    <row r="405">
      <c r="U405" s="19" t="n"/>
      <c r="V405" s="24" t="n"/>
      <c r="W405" s="24" t="n"/>
      <c r="X405" s="19" t="n"/>
      <c r="Y405" s="21">
        <f>IFERROR(TRIM(INDEX($A405:$T405,MATCH(Lists!$F$2,$A$1:$T$1,0))&amp;""),"")</f>
        <v/>
      </c>
      <c r="Z405" s="22">
        <f>IF(Y405="","",IFERROR(IF(ISNUMBER(INDEX($A405:$T405,MATCH(Lists!$F$3,$A$1:$T$1,0))),INDEX($A405:$T405,MATCH(Lists!$F$3,$A$1:$T$1,0)),DATE(VALUE(LEFT(IFERROR(TRIM(INDEX($A405:$T405,MATCH(Lists!$F$3,$A$1:$T$1,0))&amp;""),""),4)),VALUE(MID(IFERROR(TRIM(INDEX($A405:$T405,MATCH(Lists!$F$3,$A$1:$T$1,0))&amp;""),""),6,2)),VALUE(MID(IFERROR(TRIM(INDEX($A405:$T405,MATCH(Lists!$F$3,$A$1:$T$1,0))&amp;""),""),9,2)))+TIME(VALUE(MID(IFERROR(TRIM(INDEX($A405:$T405,MATCH(Lists!$F$3,$A$1:$T$1,0))&amp;""),""),12,2)),VALUE(MID(IFERROR(TRIM(INDEX($A405:$T405,MATCH(Lists!$F$3,$A$1:$T$1,0))&amp;""),""),15,2)),VALUE(MID(IFERROR(TRIM(INDEX($A405:$T405,MATCH(Lists!$F$3,$A$1:$T$1,0))&amp;""),""),18,2)))),""))</f>
        <v/>
      </c>
      <c r="AA405" s="23">
        <f>IF(Y405="","",IF(ISNUMBER(IFERROR(IF(TRIM(INDEX($A405:$T405,MATCH(Lists!$F$4,$A$1:$T$1,0))&amp;"")="","",IF(ISNUMBER(INDEX($A405:$T405,MATCH(Lists!$F$4,$A$1:$T$1,0))),INT(INDEX($A405:$T405,MATCH(Lists!$F$4,$A$1:$T$1,0))),DATE(VALUE(LEFT(INDEX($A405:$T405,MATCH(Lists!$F$4,$A$1:$T$1,0)),4)),VALUE(MID(INDEX($A405:$T405,MATCH(Lists!$F$4,$A$1:$T$1,0)),6,2)),VALUE(MID(INDEX($A405:$T405,MATCH(Lists!$F$4,$A$1:$T$1,0)),9,2))))),"")),IFERROR(IF(TRIM(INDEX($A405:$T405,MATCH(Lists!$F$4,$A$1:$T$1,0))&amp;"")="","",IF(ISNUMBER(INDEX($A405:$T405,MATCH(Lists!$F$4,$A$1:$T$1,0))),INT(INDEX($A405:$T405,MATCH(Lists!$F$4,$A$1:$T$1,0))),DATE(VALUE(LEFT(INDEX($A405:$T405,MATCH(Lists!$F$4,$A$1:$T$1,0)),4)),VALUE(MID(INDEX($A405:$T405,MATCH(Lists!$F$4,$A$1:$T$1,0)),6,2)),VALUE(MID(INDEX($A405:$T405,MATCH(Lists!$F$4,$A$1:$T$1,0)),9,2))))),""),IFERROR(IF(TRIM(INDEX($A405:$T405,MATCH(Lists!$F$5,$A$1:$T$1,0))&amp;"")="","",IF(ISNUMBER(INDEX($A405:$T405,MATCH(Lists!$F$5,$A$1:$T$1,0))),INT(INDEX($A405:$T405,MATCH(Lists!$F$5,$A$1:$T$1,0))),DATE(VALUE(LEFT(INDEX($A405:$T405,MATCH(Lists!$F$5,$A$1:$T$1,0)),4)),VALUE(MID(INDEX($A405:$T405,MATCH(Lists!$F$5,$A$1:$T$1,0)),6,2)),VALUE(MID(INDEX($A405:$T405,MATCH(Lists!$F$5,$A$1:$T$1,0)),9,2))))),"")))</f>
        <v/>
      </c>
      <c r="AB405" s="21">
        <f>IF(Y405="","",IF(LEFT(IFERROR(TRIM(INDEX($A405:$T405,MATCH(Lists!$F$6,$A$1:$T$1,0))&amp;""),""),2)="No","General comment",IF(IFERROR(TRIM(INDEX($A405:$T405,MATCH(Lists!$F$7,$A$1:$T$1,0))&amp;""),"")&lt;&gt;"",IFERROR(TRIM(INDEX($A405:$T405,MATCH(Lists!$F$7,$A$1:$T$1,0))&amp;""),""),IF(IFERROR(TRIM(INDEX($A405:$T405,MATCH(Lists!$F$8,$A$1:$T$1,0))&amp;""),"")&lt;&gt;"",IFERROR(TRIM(INDEX($A405:$T405,MATCH(Lists!$F$8,$A$1:$T$1,0))&amp;""),""),"(no item given)"))))</f>
        <v/>
      </c>
      <c r="AC405" s="21">
        <f>IF(Y405="","",IF(ISNUMBER(SEARCH("support",IFERROR(TRIM(INDEX($A405:$T405,MATCH(Lists!$F$9,$A$1:$T$1,0))&amp;""),""))),"Support",IF(ISNUMBER(SEARCH("oppose",IFERROR(TRIM(INDEX($A405:$T405,MATCH(Lists!$F$9,$A$1:$T$1,0))&amp;""),""))),"Oppose",IF(IFERROR(TRIM(INDEX($A405:$T405,MATCH(Lists!$F$9,$A$1:$T$1,0))&amp;""),"")="","No position","Neither"))))</f>
        <v/>
      </c>
      <c r="AD405" s="21">
        <f>IF(Y405="","",IF(ISNUMBER(SEARCH("in person",IFERROR(TRIM(INDEX($A405:$T405,MATCH(Lists!$F$13,$A$1:$T$1,0))&amp;""),""))),"In person",IF(ISNUMBER(SEARCH("online",IFERROR(TRIM(INDEX($A405:$T405,MATCH(Lists!$F$13,$A$1:$T$1,0))&amp;""),""))),"Online","Written only")))</f>
        <v/>
      </c>
      <c r="AE405" s="21">
        <f>IF(Y405="","",IFERROR(TRIM(INDEX($A405:$T405,MATCH(Lists!$F$11,$A$1:$T$1,0))&amp;""),""))</f>
        <v/>
      </c>
      <c r="AF405" s="21">
        <f>IF(Y405="","",IFERROR(TRIM(INDEX($A405:$T405,MATCH(Lists!$F$12,$A$1:$T$1,0))&amp;""),""))</f>
        <v/>
      </c>
      <c r="AG405" s="21">
        <f>IF(Y405="","",IFERROR(TRIM(INDEX($A405:$T405,MATCH(Lists!$F$14,$A$1:$T$1,0))&amp;""),""))</f>
        <v/>
      </c>
      <c r="AH405" s="21">
        <f>IF(Y405="","",LEFT(IFERROR(TRIM(INDEX($A405:$T405,MATCH(Lists!$F$10,$A$1:$T$1,0))&amp;""),""),80))</f>
        <v/>
      </c>
      <c r="AI405" s="21">
        <f>IF(Y405="",0,IF(OR(Tally!$B$5="",AA405=Tally!$B$5),1,0))</f>
        <v/>
      </c>
      <c r="AJ405" s="21">
        <f>IF(AI405=1,IF(COUNTIFS($AB$2:AB405,AB405,$AI$2:AI405,1)=1,1,0),0)</f>
        <v/>
      </c>
      <c r="AK405" s="21">
        <f>IF(AJ405=1,SUM($AJ$2:AJ405),"")</f>
        <v/>
      </c>
      <c r="AL405" s="21">
        <f>IF(AND(AI405=1,OR(AD405="In person",AD405="Online"),OR(Speakers!$B$5="",AB405=Speakers!$B$5)),N(Z405)+ROW()/1000000000,"")</f>
        <v/>
      </c>
    </row>
    <row r="406">
      <c r="U406" s="19" t="n"/>
      <c r="V406" s="24" t="n"/>
      <c r="W406" s="24" t="n"/>
      <c r="X406" s="19" t="n"/>
      <c r="Y406" s="21">
        <f>IFERROR(TRIM(INDEX($A406:$T406,MATCH(Lists!$F$2,$A$1:$T$1,0))&amp;""),"")</f>
        <v/>
      </c>
      <c r="Z406" s="22">
        <f>IF(Y406="","",IFERROR(IF(ISNUMBER(INDEX($A406:$T406,MATCH(Lists!$F$3,$A$1:$T$1,0))),INDEX($A406:$T406,MATCH(Lists!$F$3,$A$1:$T$1,0)),DATE(VALUE(LEFT(IFERROR(TRIM(INDEX($A406:$T406,MATCH(Lists!$F$3,$A$1:$T$1,0))&amp;""),""),4)),VALUE(MID(IFERROR(TRIM(INDEX($A406:$T406,MATCH(Lists!$F$3,$A$1:$T$1,0))&amp;""),""),6,2)),VALUE(MID(IFERROR(TRIM(INDEX($A406:$T406,MATCH(Lists!$F$3,$A$1:$T$1,0))&amp;""),""),9,2)))+TIME(VALUE(MID(IFERROR(TRIM(INDEX($A406:$T406,MATCH(Lists!$F$3,$A$1:$T$1,0))&amp;""),""),12,2)),VALUE(MID(IFERROR(TRIM(INDEX($A406:$T406,MATCH(Lists!$F$3,$A$1:$T$1,0))&amp;""),""),15,2)),VALUE(MID(IFERROR(TRIM(INDEX($A406:$T406,MATCH(Lists!$F$3,$A$1:$T$1,0))&amp;""),""),18,2)))),""))</f>
        <v/>
      </c>
      <c r="AA406" s="23">
        <f>IF(Y406="","",IF(ISNUMBER(IFERROR(IF(TRIM(INDEX($A406:$T406,MATCH(Lists!$F$4,$A$1:$T$1,0))&amp;"")="","",IF(ISNUMBER(INDEX($A406:$T406,MATCH(Lists!$F$4,$A$1:$T$1,0))),INT(INDEX($A406:$T406,MATCH(Lists!$F$4,$A$1:$T$1,0))),DATE(VALUE(LEFT(INDEX($A406:$T406,MATCH(Lists!$F$4,$A$1:$T$1,0)),4)),VALUE(MID(INDEX($A406:$T406,MATCH(Lists!$F$4,$A$1:$T$1,0)),6,2)),VALUE(MID(INDEX($A406:$T406,MATCH(Lists!$F$4,$A$1:$T$1,0)),9,2))))),"")),IFERROR(IF(TRIM(INDEX($A406:$T406,MATCH(Lists!$F$4,$A$1:$T$1,0))&amp;"")="","",IF(ISNUMBER(INDEX($A406:$T406,MATCH(Lists!$F$4,$A$1:$T$1,0))),INT(INDEX($A406:$T406,MATCH(Lists!$F$4,$A$1:$T$1,0))),DATE(VALUE(LEFT(INDEX($A406:$T406,MATCH(Lists!$F$4,$A$1:$T$1,0)),4)),VALUE(MID(INDEX($A406:$T406,MATCH(Lists!$F$4,$A$1:$T$1,0)),6,2)),VALUE(MID(INDEX($A406:$T406,MATCH(Lists!$F$4,$A$1:$T$1,0)),9,2))))),""),IFERROR(IF(TRIM(INDEX($A406:$T406,MATCH(Lists!$F$5,$A$1:$T$1,0))&amp;"")="","",IF(ISNUMBER(INDEX($A406:$T406,MATCH(Lists!$F$5,$A$1:$T$1,0))),INT(INDEX($A406:$T406,MATCH(Lists!$F$5,$A$1:$T$1,0))),DATE(VALUE(LEFT(INDEX($A406:$T406,MATCH(Lists!$F$5,$A$1:$T$1,0)),4)),VALUE(MID(INDEX($A406:$T406,MATCH(Lists!$F$5,$A$1:$T$1,0)),6,2)),VALUE(MID(INDEX($A406:$T406,MATCH(Lists!$F$5,$A$1:$T$1,0)),9,2))))),"")))</f>
        <v/>
      </c>
      <c r="AB406" s="21">
        <f>IF(Y406="","",IF(LEFT(IFERROR(TRIM(INDEX($A406:$T406,MATCH(Lists!$F$6,$A$1:$T$1,0))&amp;""),""),2)="No","General comment",IF(IFERROR(TRIM(INDEX($A406:$T406,MATCH(Lists!$F$7,$A$1:$T$1,0))&amp;""),"")&lt;&gt;"",IFERROR(TRIM(INDEX($A406:$T406,MATCH(Lists!$F$7,$A$1:$T$1,0))&amp;""),""),IF(IFERROR(TRIM(INDEX($A406:$T406,MATCH(Lists!$F$8,$A$1:$T$1,0))&amp;""),"")&lt;&gt;"",IFERROR(TRIM(INDEX($A406:$T406,MATCH(Lists!$F$8,$A$1:$T$1,0))&amp;""),""),"(no item given)"))))</f>
        <v/>
      </c>
      <c r="AC406" s="21">
        <f>IF(Y406="","",IF(ISNUMBER(SEARCH("support",IFERROR(TRIM(INDEX($A406:$T406,MATCH(Lists!$F$9,$A$1:$T$1,0))&amp;""),""))),"Support",IF(ISNUMBER(SEARCH("oppose",IFERROR(TRIM(INDEX($A406:$T406,MATCH(Lists!$F$9,$A$1:$T$1,0))&amp;""),""))),"Oppose",IF(IFERROR(TRIM(INDEX($A406:$T406,MATCH(Lists!$F$9,$A$1:$T$1,0))&amp;""),"")="","No position","Neither"))))</f>
        <v/>
      </c>
      <c r="AD406" s="21">
        <f>IF(Y406="","",IF(ISNUMBER(SEARCH("in person",IFERROR(TRIM(INDEX($A406:$T406,MATCH(Lists!$F$13,$A$1:$T$1,0))&amp;""),""))),"In person",IF(ISNUMBER(SEARCH("online",IFERROR(TRIM(INDEX($A406:$T406,MATCH(Lists!$F$13,$A$1:$T$1,0))&amp;""),""))),"Online","Written only")))</f>
        <v/>
      </c>
      <c r="AE406" s="21">
        <f>IF(Y406="","",IFERROR(TRIM(INDEX($A406:$T406,MATCH(Lists!$F$11,$A$1:$T$1,0))&amp;""),""))</f>
        <v/>
      </c>
      <c r="AF406" s="21">
        <f>IF(Y406="","",IFERROR(TRIM(INDEX($A406:$T406,MATCH(Lists!$F$12,$A$1:$T$1,0))&amp;""),""))</f>
        <v/>
      </c>
      <c r="AG406" s="21">
        <f>IF(Y406="","",IFERROR(TRIM(INDEX($A406:$T406,MATCH(Lists!$F$14,$A$1:$T$1,0))&amp;""),""))</f>
        <v/>
      </c>
      <c r="AH406" s="21">
        <f>IF(Y406="","",LEFT(IFERROR(TRIM(INDEX($A406:$T406,MATCH(Lists!$F$10,$A$1:$T$1,0))&amp;""),""),80))</f>
        <v/>
      </c>
      <c r="AI406" s="21">
        <f>IF(Y406="",0,IF(OR(Tally!$B$5="",AA406=Tally!$B$5),1,0))</f>
        <v/>
      </c>
      <c r="AJ406" s="21">
        <f>IF(AI406=1,IF(COUNTIFS($AB$2:AB406,AB406,$AI$2:AI406,1)=1,1,0),0)</f>
        <v/>
      </c>
      <c r="AK406" s="21">
        <f>IF(AJ406=1,SUM($AJ$2:AJ406),"")</f>
        <v/>
      </c>
      <c r="AL406" s="21">
        <f>IF(AND(AI406=1,OR(AD406="In person",AD406="Online"),OR(Speakers!$B$5="",AB406=Speakers!$B$5)),N(Z406)+ROW()/1000000000,"")</f>
        <v/>
      </c>
    </row>
    <row r="407">
      <c r="U407" s="19" t="n"/>
      <c r="V407" s="24" t="n"/>
      <c r="W407" s="24" t="n"/>
      <c r="X407" s="19" t="n"/>
      <c r="Y407" s="21">
        <f>IFERROR(TRIM(INDEX($A407:$T407,MATCH(Lists!$F$2,$A$1:$T$1,0))&amp;""),"")</f>
        <v/>
      </c>
      <c r="Z407" s="22">
        <f>IF(Y407="","",IFERROR(IF(ISNUMBER(INDEX($A407:$T407,MATCH(Lists!$F$3,$A$1:$T$1,0))),INDEX($A407:$T407,MATCH(Lists!$F$3,$A$1:$T$1,0)),DATE(VALUE(LEFT(IFERROR(TRIM(INDEX($A407:$T407,MATCH(Lists!$F$3,$A$1:$T$1,0))&amp;""),""),4)),VALUE(MID(IFERROR(TRIM(INDEX($A407:$T407,MATCH(Lists!$F$3,$A$1:$T$1,0))&amp;""),""),6,2)),VALUE(MID(IFERROR(TRIM(INDEX($A407:$T407,MATCH(Lists!$F$3,$A$1:$T$1,0))&amp;""),""),9,2)))+TIME(VALUE(MID(IFERROR(TRIM(INDEX($A407:$T407,MATCH(Lists!$F$3,$A$1:$T$1,0))&amp;""),""),12,2)),VALUE(MID(IFERROR(TRIM(INDEX($A407:$T407,MATCH(Lists!$F$3,$A$1:$T$1,0))&amp;""),""),15,2)),VALUE(MID(IFERROR(TRIM(INDEX($A407:$T407,MATCH(Lists!$F$3,$A$1:$T$1,0))&amp;""),""),18,2)))),""))</f>
        <v/>
      </c>
      <c r="AA407" s="23">
        <f>IF(Y407="","",IF(ISNUMBER(IFERROR(IF(TRIM(INDEX($A407:$T407,MATCH(Lists!$F$4,$A$1:$T$1,0))&amp;"")="","",IF(ISNUMBER(INDEX($A407:$T407,MATCH(Lists!$F$4,$A$1:$T$1,0))),INT(INDEX($A407:$T407,MATCH(Lists!$F$4,$A$1:$T$1,0))),DATE(VALUE(LEFT(INDEX($A407:$T407,MATCH(Lists!$F$4,$A$1:$T$1,0)),4)),VALUE(MID(INDEX($A407:$T407,MATCH(Lists!$F$4,$A$1:$T$1,0)),6,2)),VALUE(MID(INDEX($A407:$T407,MATCH(Lists!$F$4,$A$1:$T$1,0)),9,2))))),"")),IFERROR(IF(TRIM(INDEX($A407:$T407,MATCH(Lists!$F$4,$A$1:$T$1,0))&amp;"")="","",IF(ISNUMBER(INDEX($A407:$T407,MATCH(Lists!$F$4,$A$1:$T$1,0))),INT(INDEX($A407:$T407,MATCH(Lists!$F$4,$A$1:$T$1,0))),DATE(VALUE(LEFT(INDEX($A407:$T407,MATCH(Lists!$F$4,$A$1:$T$1,0)),4)),VALUE(MID(INDEX($A407:$T407,MATCH(Lists!$F$4,$A$1:$T$1,0)),6,2)),VALUE(MID(INDEX($A407:$T407,MATCH(Lists!$F$4,$A$1:$T$1,0)),9,2))))),""),IFERROR(IF(TRIM(INDEX($A407:$T407,MATCH(Lists!$F$5,$A$1:$T$1,0))&amp;"")="","",IF(ISNUMBER(INDEX($A407:$T407,MATCH(Lists!$F$5,$A$1:$T$1,0))),INT(INDEX($A407:$T407,MATCH(Lists!$F$5,$A$1:$T$1,0))),DATE(VALUE(LEFT(INDEX($A407:$T407,MATCH(Lists!$F$5,$A$1:$T$1,0)),4)),VALUE(MID(INDEX($A407:$T407,MATCH(Lists!$F$5,$A$1:$T$1,0)),6,2)),VALUE(MID(INDEX($A407:$T407,MATCH(Lists!$F$5,$A$1:$T$1,0)),9,2))))),"")))</f>
        <v/>
      </c>
      <c r="AB407" s="21">
        <f>IF(Y407="","",IF(LEFT(IFERROR(TRIM(INDEX($A407:$T407,MATCH(Lists!$F$6,$A$1:$T$1,0))&amp;""),""),2)="No","General comment",IF(IFERROR(TRIM(INDEX($A407:$T407,MATCH(Lists!$F$7,$A$1:$T$1,0))&amp;""),"")&lt;&gt;"",IFERROR(TRIM(INDEX($A407:$T407,MATCH(Lists!$F$7,$A$1:$T$1,0))&amp;""),""),IF(IFERROR(TRIM(INDEX($A407:$T407,MATCH(Lists!$F$8,$A$1:$T$1,0))&amp;""),"")&lt;&gt;"",IFERROR(TRIM(INDEX($A407:$T407,MATCH(Lists!$F$8,$A$1:$T$1,0))&amp;""),""),"(no item given)"))))</f>
        <v/>
      </c>
      <c r="AC407" s="21">
        <f>IF(Y407="","",IF(ISNUMBER(SEARCH("support",IFERROR(TRIM(INDEX($A407:$T407,MATCH(Lists!$F$9,$A$1:$T$1,0))&amp;""),""))),"Support",IF(ISNUMBER(SEARCH("oppose",IFERROR(TRIM(INDEX($A407:$T407,MATCH(Lists!$F$9,$A$1:$T$1,0))&amp;""),""))),"Oppose",IF(IFERROR(TRIM(INDEX($A407:$T407,MATCH(Lists!$F$9,$A$1:$T$1,0))&amp;""),"")="","No position","Neither"))))</f>
        <v/>
      </c>
      <c r="AD407" s="21">
        <f>IF(Y407="","",IF(ISNUMBER(SEARCH("in person",IFERROR(TRIM(INDEX($A407:$T407,MATCH(Lists!$F$13,$A$1:$T$1,0))&amp;""),""))),"In person",IF(ISNUMBER(SEARCH("online",IFERROR(TRIM(INDEX($A407:$T407,MATCH(Lists!$F$13,$A$1:$T$1,0))&amp;""),""))),"Online","Written only")))</f>
        <v/>
      </c>
      <c r="AE407" s="21">
        <f>IF(Y407="","",IFERROR(TRIM(INDEX($A407:$T407,MATCH(Lists!$F$11,$A$1:$T$1,0))&amp;""),""))</f>
        <v/>
      </c>
      <c r="AF407" s="21">
        <f>IF(Y407="","",IFERROR(TRIM(INDEX($A407:$T407,MATCH(Lists!$F$12,$A$1:$T$1,0))&amp;""),""))</f>
        <v/>
      </c>
      <c r="AG407" s="21">
        <f>IF(Y407="","",IFERROR(TRIM(INDEX($A407:$T407,MATCH(Lists!$F$14,$A$1:$T$1,0))&amp;""),""))</f>
        <v/>
      </c>
      <c r="AH407" s="21">
        <f>IF(Y407="","",LEFT(IFERROR(TRIM(INDEX($A407:$T407,MATCH(Lists!$F$10,$A$1:$T$1,0))&amp;""),""),80))</f>
        <v/>
      </c>
      <c r="AI407" s="21">
        <f>IF(Y407="",0,IF(OR(Tally!$B$5="",AA407=Tally!$B$5),1,0))</f>
        <v/>
      </c>
      <c r="AJ407" s="21">
        <f>IF(AI407=1,IF(COUNTIFS($AB$2:AB407,AB407,$AI$2:AI407,1)=1,1,0),0)</f>
        <v/>
      </c>
      <c r="AK407" s="21">
        <f>IF(AJ407=1,SUM($AJ$2:AJ407),"")</f>
        <v/>
      </c>
      <c r="AL407" s="21">
        <f>IF(AND(AI407=1,OR(AD407="In person",AD407="Online"),OR(Speakers!$B$5="",AB407=Speakers!$B$5)),N(Z407)+ROW()/1000000000,"")</f>
        <v/>
      </c>
    </row>
    <row r="408">
      <c r="U408" s="19" t="n"/>
      <c r="V408" s="24" t="n"/>
      <c r="W408" s="24" t="n"/>
      <c r="X408" s="19" t="n"/>
      <c r="Y408" s="21">
        <f>IFERROR(TRIM(INDEX($A408:$T408,MATCH(Lists!$F$2,$A$1:$T$1,0))&amp;""),"")</f>
        <v/>
      </c>
      <c r="Z408" s="22">
        <f>IF(Y408="","",IFERROR(IF(ISNUMBER(INDEX($A408:$T408,MATCH(Lists!$F$3,$A$1:$T$1,0))),INDEX($A408:$T408,MATCH(Lists!$F$3,$A$1:$T$1,0)),DATE(VALUE(LEFT(IFERROR(TRIM(INDEX($A408:$T408,MATCH(Lists!$F$3,$A$1:$T$1,0))&amp;""),""),4)),VALUE(MID(IFERROR(TRIM(INDEX($A408:$T408,MATCH(Lists!$F$3,$A$1:$T$1,0))&amp;""),""),6,2)),VALUE(MID(IFERROR(TRIM(INDEX($A408:$T408,MATCH(Lists!$F$3,$A$1:$T$1,0))&amp;""),""),9,2)))+TIME(VALUE(MID(IFERROR(TRIM(INDEX($A408:$T408,MATCH(Lists!$F$3,$A$1:$T$1,0))&amp;""),""),12,2)),VALUE(MID(IFERROR(TRIM(INDEX($A408:$T408,MATCH(Lists!$F$3,$A$1:$T$1,0))&amp;""),""),15,2)),VALUE(MID(IFERROR(TRIM(INDEX($A408:$T408,MATCH(Lists!$F$3,$A$1:$T$1,0))&amp;""),""),18,2)))),""))</f>
        <v/>
      </c>
      <c r="AA408" s="23">
        <f>IF(Y408="","",IF(ISNUMBER(IFERROR(IF(TRIM(INDEX($A408:$T408,MATCH(Lists!$F$4,$A$1:$T$1,0))&amp;"")="","",IF(ISNUMBER(INDEX($A408:$T408,MATCH(Lists!$F$4,$A$1:$T$1,0))),INT(INDEX($A408:$T408,MATCH(Lists!$F$4,$A$1:$T$1,0))),DATE(VALUE(LEFT(INDEX($A408:$T408,MATCH(Lists!$F$4,$A$1:$T$1,0)),4)),VALUE(MID(INDEX($A408:$T408,MATCH(Lists!$F$4,$A$1:$T$1,0)),6,2)),VALUE(MID(INDEX($A408:$T408,MATCH(Lists!$F$4,$A$1:$T$1,0)),9,2))))),"")),IFERROR(IF(TRIM(INDEX($A408:$T408,MATCH(Lists!$F$4,$A$1:$T$1,0))&amp;"")="","",IF(ISNUMBER(INDEX($A408:$T408,MATCH(Lists!$F$4,$A$1:$T$1,0))),INT(INDEX($A408:$T408,MATCH(Lists!$F$4,$A$1:$T$1,0))),DATE(VALUE(LEFT(INDEX($A408:$T408,MATCH(Lists!$F$4,$A$1:$T$1,0)),4)),VALUE(MID(INDEX($A408:$T408,MATCH(Lists!$F$4,$A$1:$T$1,0)),6,2)),VALUE(MID(INDEX($A408:$T408,MATCH(Lists!$F$4,$A$1:$T$1,0)),9,2))))),""),IFERROR(IF(TRIM(INDEX($A408:$T408,MATCH(Lists!$F$5,$A$1:$T$1,0))&amp;"")="","",IF(ISNUMBER(INDEX($A408:$T408,MATCH(Lists!$F$5,$A$1:$T$1,0))),INT(INDEX($A408:$T408,MATCH(Lists!$F$5,$A$1:$T$1,0))),DATE(VALUE(LEFT(INDEX($A408:$T408,MATCH(Lists!$F$5,$A$1:$T$1,0)),4)),VALUE(MID(INDEX($A408:$T408,MATCH(Lists!$F$5,$A$1:$T$1,0)),6,2)),VALUE(MID(INDEX($A408:$T408,MATCH(Lists!$F$5,$A$1:$T$1,0)),9,2))))),"")))</f>
        <v/>
      </c>
      <c r="AB408" s="21">
        <f>IF(Y408="","",IF(LEFT(IFERROR(TRIM(INDEX($A408:$T408,MATCH(Lists!$F$6,$A$1:$T$1,0))&amp;""),""),2)="No","General comment",IF(IFERROR(TRIM(INDEX($A408:$T408,MATCH(Lists!$F$7,$A$1:$T$1,0))&amp;""),"")&lt;&gt;"",IFERROR(TRIM(INDEX($A408:$T408,MATCH(Lists!$F$7,$A$1:$T$1,0))&amp;""),""),IF(IFERROR(TRIM(INDEX($A408:$T408,MATCH(Lists!$F$8,$A$1:$T$1,0))&amp;""),"")&lt;&gt;"",IFERROR(TRIM(INDEX($A408:$T408,MATCH(Lists!$F$8,$A$1:$T$1,0))&amp;""),""),"(no item given)"))))</f>
        <v/>
      </c>
      <c r="AC408" s="21">
        <f>IF(Y408="","",IF(ISNUMBER(SEARCH("support",IFERROR(TRIM(INDEX($A408:$T408,MATCH(Lists!$F$9,$A$1:$T$1,0))&amp;""),""))),"Support",IF(ISNUMBER(SEARCH("oppose",IFERROR(TRIM(INDEX($A408:$T408,MATCH(Lists!$F$9,$A$1:$T$1,0))&amp;""),""))),"Oppose",IF(IFERROR(TRIM(INDEX($A408:$T408,MATCH(Lists!$F$9,$A$1:$T$1,0))&amp;""),"")="","No position","Neither"))))</f>
        <v/>
      </c>
      <c r="AD408" s="21">
        <f>IF(Y408="","",IF(ISNUMBER(SEARCH("in person",IFERROR(TRIM(INDEX($A408:$T408,MATCH(Lists!$F$13,$A$1:$T$1,0))&amp;""),""))),"In person",IF(ISNUMBER(SEARCH("online",IFERROR(TRIM(INDEX($A408:$T408,MATCH(Lists!$F$13,$A$1:$T$1,0))&amp;""),""))),"Online","Written only")))</f>
        <v/>
      </c>
      <c r="AE408" s="21">
        <f>IF(Y408="","",IFERROR(TRIM(INDEX($A408:$T408,MATCH(Lists!$F$11,$A$1:$T$1,0))&amp;""),""))</f>
        <v/>
      </c>
      <c r="AF408" s="21">
        <f>IF(Y408="","",IFERROR(TRIM(INDEX($A408:$T408,MATCH(Lists!$F$12,$A$1:$T$1,0))&amp;""),""))</f>
        <v/>
      </c>
      <c r="AG408" s="21">
        <f>IF(Y408="","",IFERROR(TRIM(INDEX($A408:$T408,MATCH(Lists!$F$14,$A$1:$T$1,0))&amp;""),""))</f>
        <v/>
      </c>
      <c r="AH408" s="21">
        <f>IF(Y408="","",LEFT(IFERROR(TRIM(INDEX($A408:$T408,MATCH(Lists!$F$10,$A$1:$T$1,0))&amp;""),""),80))</f>
        <v/>
      </c>
      <c r="AI408" s="21">
        <f>IF(Y408="",0,IF(OR(Tally!$B$5="",AA408=Tally!$B$5),1,0))</f>
        <v/>
      </c>
      <c r="AJ408" s="21">
        <f>IF(AI408=1,IF(COUNTIFS($AB$2:AB408,AB408,$AI$2:AI408,1)=1,1,0),0)</f>
        <v/>
      </c>
      <c r="AK408" s="21">
        <f>IF(AJ408=1,SUM($AJ$2:AJ408),"")</f>
        <v/>
      </c>
      <c r="AL408" s="21">
        <f>IF(AND(AI408=1,OR(AD408="In person",AD408="Online"),OR(Speakers!$B$5="",AB408=Speakers!$B$5)),N(Z408)+ROW()/1000000000,"")</f>
        <v/>
      </c>
    </row>
    <row r="409">
      <c r="U409" s="19" t="n"/>
      <c r="V409" s="24" t="n"/>
      <c r="W409" s="24" t="n"/>
      <c r="X409" s="19" t="n"/>
      <c r="Y409" s="21">
        <f>IFERROR(TRIM(INDEX($A409:$T409,MATCH(Lists!$F$2,$A$1:$T$1,0))&amp;""),"")</f>
        <v/>
      </c>
      <c r="Z409" s="22">
        <f>IF(Y409="","",IFERROR(IF(ISNUMBER(INDEX($A409:$T409,MATCH(Lists!$F$3,$A$1:$T$1,0))),INDEX($A409:$T409,MATCH(Lists!$F$3,$A$1:$T$1,0)),DATE(VALUE(LEFT(IFERROR(TRIM(INDEX($A409:$T409,MATCH(Lists!$F$3,$A$1:$T$1,0))&amp;""),""),4)),VALUE(MID(IFERROR(TRIM(INDEX($A409:$T409,MATCH(Lists!$F$3,$A$1:$T$1,0))&amp;""),""),6,2)),VALUE(MID(IFERROR(TRIM(INDEX($A409:$T409,MATCH(Lists!$F$3,$A$1:$T$1,0))&amp;""),""),9,2)))+TIME(VALUE(MID(IFERROR(TRIM(INDEX($A409:$T409,MATCH(Lists!$F$3,$A$1:$T$1,0))&amp;""),""),12,2)),VALUE(MID(IFERROR(TRIM(INDEX($A409:$T409,MATCH(Lists!$F$3,$A$1:$T$1,0))&amp;""),""),15,2)),VALUE(MID(IFERROR(TRIM(INDEX($A409:$T409,MATCH(Lists!$F$3,$A$1:$T$1,0))&amp;""),""),18,2)))),""))</f>
        <v/>
      </c>
      <c r="AA409" s="23">
        <f>IF(Y409="","",IF(ISNUMBER(IFERROR(IF(TRIM(INDEX($A409:$T409,MATCH(Lists!$F$4,$A$1:$T$1,0))&amp;"")="","",IF(ISNUMBER(INDEX($A409:$T409,MATCH(Lists!$F$4,$A$1:$T$1,0))),INT(INDEX($A409:$T409,MATCH(Lists!$F$4,$A$1:$T$1,0))),DATE(VALUE(LEFT(INDEX($A409:$T409,MATCH(Lists!$F$4,$A$1:$T$1,0)),4)),VALUE(MID(INDEX($A409:$T409,MATCH(Lists!$F$4,$A$1:$T$1,0)),6,2)),VALUE(MID(INDEX($A409:$T409,MATCH(Lists!$F$4,$A$1:$T$1,0)),9,2))))),"")),IFERROR(IF(TRIM(INDEX($A409:$T409,MATCH(Lists!$F$4,$A$1:$T$1,0))&amp;"")="","",IF(ISNUMBER(INDEX($A409:$T409,MATCH(Lists!$F$4,$A$1:$T$1,0))),INT(INDEX($A409:$T409,MATCH(Lists!$F$4,$A$1:$T$1,0))),DATE(VALUE(LEFT(INDEX($A409:$T409,MATCH(Lists!$F$4,$A$1:$T$1,0)),4)),VALUE(MID(INDEX($A409:$T409,MATCH(Lists!$F$4,$A$1:$T$1,0)),6,2)),VALUE(MID(INDEX($A409:$T409,MATCH(Lists!$F$4,$A$1:$T$1,0)),9,2))))),""),IFERROR(IF(TRIM(INDEX($A409:$T409,MATCH(Lists!$F$5,$A$1:$T$1,0))&amp;"")="","",IF(ISNUMBER(INDEX($A409:$T409,MATCH(Lists!$F$5,$A$1:$T$1,0))),INT(INDEX($A409:$T409,MATCH(Lists!$F$5,$A$1:$T$1,0))),DATE(VALUE(LEFT(INDEX($A409:$T409,MATCH(Lists!$F$5,$A$1:$T$1,0)),4)),VALUE(MID(INDEX($A409:$T409,MATCH(Lists!$F$5,$A$1:$T$1,0)),6,2)),VALUE(MID(INDEX($A409:$T409,MATCH(Lists!$F$5,$A$1:$T$1,0)),9,2))))),"")))</f>
        <v/>
      </c>
      <c r="AB409" s="21">
        <f>IF(Y409="","",IF(LEFT(IFERROR(TRIM(INDEX($A409:$T409,MATCH(Lists!$F$6,$A$1:$T$1,0))&amp;""),""),2)="No","General comment",IF(IFERROR(TRIM(INDEX($A409:$T409,MATCH(Lists!$F$7,$A$1:$T$1,0))&amp;""),"")&lt;&gt;"",IFERROR(TRIM(INDEX($A409:$T409,MATCH(Lists!$F$7,$A$1:$T$1,0))&amp;""),""),IF(IFERROR(TRIM(INDEX($A409:$T409,MATCH(Lists!$F$8,$A$1:$T$1,0))&amp;""),"")&lt;&gt;"",IFERROR(TRIM(INDEX($A409:$T409,MATCH(Lists!$F$8,$A$1:$T$1,0))&amp;""),""),"(no item given)"))))</f>
        <v/>
      </c>
      <c r="AC409" s="21">
        <f>IF(Y409="","",IF(ISNUMBER(SEARCH("support",IFERROR(TRIM(INDEX($A409:$T409,MATCH(Lists!$F$9,$A$1:$T$1,0))&amp;""),""))),"Support",IF(ISNUMBER(SEARCH("oppose",IFERROR(TRIM(INDEX($A409:$T409,MATCH(Lists!$F$9,$A$1:$T$1,0))&amp;""),""))),"Oppose",IF(IFERROR(TRIM(INDEX($A409:$T409,MATCH(Lists!$F$9,$A$1:$T$1,0))&amp;""),"")="","No position","Neither"))))</f>
        <v/>
      </c>
      <c r="AD409" s="21">
        <f>IF(Y409="","",IF(ISNUMBER(SEARCH("in person",IFERROR(TRIM(INDEX($A409:$T409,MATCH(Lists!$F$13,$A$1:$T$1,0))&amp;""),""))),"In person",IF(ISNUMBER(SEARCH("online",IFERROR(TRIM(INDEX($A409:$T409,MATCH(Lists!$F$13,$A$1:$T$1,0))&amp;""),""))),"Online","Written only")))</f>
        <v/>
      </c>
      <c r="AE409" s="21">
        <f>IF(Y409="","",IFERROR(TRIM(INDEX($A409:$T409,MATCH(Lists!$F$11,$A$1:$T$1,0))&amp;""),""))</f>
        <v/>
      </c>
      <c r="AF409" s="21">
        <f>IF(Y409="","",IFERROR(TRIM(INDEX($A409:$T409,MATCH(Lists!$F$12,$A$1:$T$1,0))&amp;""),""))</f>
        <v/>
      </c>
      <c r="AG409" s="21">
        <f>IF(Y409="","",IFERROR(TRIM(INDEX($A409:$T409,MATCH(Lists!$F$14,$A$1:$T$1,0))&amp;""),""))</f>
        <v/>
      </c>
      <c r="AH409" s="21">
        <f>IF(Y409="","",LEFT(IFERROR(TRIM(INDEX($A409:$T409,MATCH(Lists!$F$10,$A$1:$T$1,0))&amp;""),""),80))</f>
        <v/>
      </c>
      <c r="AI409" s="21">
        <f>IF(Y409="",0,IF(OR(Tally!$B$5="",AA409=Tally!$B$5),1,0))</f>
        <v/>
      </c>
      <c r="AJ409" s="21">
        <f>IF(AI409=1,IF(COUNTIFS($AB$2:AB409,AB409,$AI$2:AI409,1)=1,1,0),0)</f>
        <v/>
      </c>
      <c r="AK409" s="21">
        <f>IF(AJ409=1,SUM($AJ$2:AJ409),"")</f>
        <v/>
      </c>
      <c r="AL409" s="21">
        <f>IF(AND(AI409=1,OR(AD409="In person",AD409="Online"),OR(Speakers!$B$5="",AB409=Speakers!$B$5)),N(Z409)+ROW()/1000000000,"")</f>
        <v/>
      </c>
    </row>
    <row r="410">
      <c r="U410" s="19" t="n"/>
      <c r="V410" s="24" t="n"/>
      <c r="W410" s="24" t="n"/>
      <c r="X410" s="19" t="n"/>
      <c r="Y410" s="21">
        <f>IFERROR(TRIM(INDEX($A410:$T410,MATCH(Lists!$F$2,$A$1:$T$1,0))&amp;""),"")</f>
        <v/>
      </c>
      <c r="Z410" s="22">
        <f>IF(Y410="","",IFERROR(IF(ISNUMBER(INDEX($A410:$T410,MATCH(Lists!$F$3,$A$1:$T$1,0))),INDEX($A410:$T410,MATCH(Lists!$F$3,$A$1:$T$1,0)),DATE(VALUE(LEFT(IFERROR(TRIM(INDEX($A410:$T410,MATCH(Lists!$F$3,$A$1:$T$1,0))&amp;""),""),4)),VALUE(MID(IFERROR(TRIM(INDEX($A410:$T410,MATCH(Lists!$F$3,$A$1:$T$1,0))&amp;""),""),6,2)),VALUE(MID(IFERROR(TRIM(INDEX($A410:$T410,MATCH(Lists!$F$3,$A$1:$T$1,0))&amp;""),""),9,2)))+TIME(VALUE(MID(IFERROR(TRIM(INDEX($A410:$T410,MATCH(Lists!$F$3,$A$1:$T$1,0))&amp;""),""),12,2)),VALUE(MID(IFERROR(TRIM(INDEX($A410:$T410,MATCH(Lists!$F$3,$A$1:$T$1,0))&amp;""),""),15,2)),VALUE(MID(IFERROR(TRIM(INDEX($A410:$T410,MATCH(Lists!$F$3,$A$1:$T$1,0))&amp;""),""),18,2)))),""))</f>
        <v/>
      </c>
      <c r="AA410" s="23">
        <f>IF(Y410="","",IF(ISNUMBER(IFERROR(IF(TRIM(INDEX($A410:$T410,MATCH(Lists!$F$4,$A$1:$T$1,0))&amp;"")="","",IF(ISNUMBER(INDEX($A410:$T410,MATCH(Lists!$F$4,$A$1:$T$1,0))),INT(INDEX($A410:$T410,MATCH(Lists!$F$4,$A$1:$T$1,0))),DATE(VALUE(LEFT(INDEX($A410:$T410,MATCH(Lists!$F$4,$A$1:$T$1,0)),4)),VALUE(MID(INDEX($A410:$T410,MATCH(Lists!$F$4,$A$1:$T$1,0)),6,2)),VALUE(MID(INDEX($A410:$T410,MATCH(Lists!$F$4,$A$1:$T$1,0)),9,2))))),"")),IFERROR(IF(TRIM(INDEX($A410:$T410,MATCH(Lists!$F$4,$A$1:$T$1,0))&amp;"")="","",IF(ISNUMBER(INDEX($A410:$T410,MATCH(Lists!$F$4,$A$1:$T$1,0))),INT(INDEX($A410:$T410,MATCH(Lists!$F$4,$A$1:$T$1,0))),DATE(VALUE(LEFT(INDEX($A410:$T410,MATCH(Lists!$F$4,$A$1:$T$1,0)),4)),VALUE(MID(INDEX($A410:$T410,MATCH(Lists!$F$4,$A$1:$T$1,0)),6,2)),VALUE(MID(INDEX($A410:$T410,MATCH(Lists!$F$4,$A$1:$T$1,0)),9,2))))),""),IFERROR(IF(TRIM(INDEX($A410:$T410,MATCH(Lists!$F$5,$A$1:$T$1,0))&amp;"")="","",IF(ISNUMBER(INDEX($A410:$T410,MATCH(Lists!$F$5,$A$1:$T$1,0))),INT(INDEX($A410:$T410,MATCH(Lists!$F$5,$A$1:$T$1,0))),DATE(VALUE(LEFT(INDEX($A410:$T410,MATCH(Lists!$F$5,$A$1:$T$1,0)),4)),VALUE(MID(INDEX($A410:$T410,MATCH(Lists!$F$5,$A$1:$T$1,0)),6,2)),VALUE(MID(INDEX($A410:$T410,MATCH(Lists!$F$5,$A$1:$T$1,0)),9,2))))),"")))</f>
        <v/>
      </c>
      <c r="AB410" s="21">
        <f>IF(Y410="","",IF(LEFT(IFERROR(TRIM(INDEX($A410:$T410,MATCH(Lists!$F$6,$A$1:$T$1,0))&amp;""),""),2)="No","General comment",IF(IFERROR(TRIM(INDEX($A410:$T410,MATCH(Lists!$F$7,$A$1:$T$1,0))&amp;""),"")&lt;&gt;"",IFERROR(TRIM(INDEX($A410:$T410,MATCH(Lists!$F$7,$A$1:$T$1,0))&amp;""),""),IF(IFERROR(TRIM(INDEX($A410:$T410,MATCH(Lists!$F$8,$A$1:$T$1,0))&amp;""),"")&lt;&gt;"",IFERROR(TRIM(INDEX($A410:$T410,MATCH(Lists!$F$8,$A$1:$T$1,0))&amp;""),""),"(no item given)"))))</f>
        <v/>
      </c>
      <c r="AC410" s="21">
        <f>IF(Y410="","",IF(ISNUMBER(SEARCH("support",IFERROR(TRIM(INDEX($A410:$T410,MATCH(Lists!$F$9,$A$1:$T$1,0))&amp;""),""))),"Support",IF(ISNUMBER(SEARCH("oppose",IFERROR(TRIM(INDEX($A410:$T410,MATCH(Lists!$F$9,$A$1:$T$1,0))&amp;""),""))),"Oppose",IF(IFERROR(TRIM(INDEX($A410:$T410,MATCH(Lists!$F$9,$A$1:$T$1,0))&amp;""),"")="","No position","Neither"))))</f>
        <v/>
      </c>
      <c r="AD410" s="21">
        <f>IF(Y410="","",IF(ISNUMBER(SEARCH("in person",IFERROR(TRIM(INDEX($A410:$T410,MATCH(Lists!$F$13,$A$1:$T$1,0))&amp;""),""))),"In person",IF(ISNUMBER(SEARCH("online",IFERROR(TRIM(INDEX($A410:$T410,MATCH(Lists!$F$13,$A$1:$T$1,0))&amp;""),""))),"Online","Written only")))</f>
        <v/>
      </c>
      <c r="AE410" s="21">
        <f>IF(Y410="","",IFERROR(TRIM(INDEX($A410:$T410,MATCH(Lists!$F$11,$A$1:$T$1,0))&amp;""),""))</f>
        <v/>
      </c>
      <c r="AF410" s="21">
        <f>IF(Y410="","",IFERROR(TRIM(INDEX($A410:$T410,MATCH(Lists!$F$12,$A$1:$T$1,0))&amp;""),""))</f>
        <v/>
      </c>
      <c r="AG410" s="21">
        <f>IF(Y410="","",IFERROR(TRIM(INDEX($A410:$T410,MATCH(Lists!$F$14,$A$1:$T$1,0))&amp;""),""))</f>
        <v/>
      </c>
      <c r="AH410" s="21">
        <f>IF(Y410="","",LEFT(IFERROR(TRIM(INDEX($A410:$T410,MATCH(Lists!$F$10,$A$1:$T$1,0))&amp;""),""),80))</f>
        <v/>
      </c>
      <c r="AI410" s="21">
        <f>IF(Y410="",0,IF(OR(Tally!$B$5="",AA410=Tally!$B$5),1,0))</f>
        <v/>
      </c>
      <c r="AJ410" s="21">
        <f>IF(AI410=1,IF(COUNTIFS($AB$2:AB410,AB410,$AI$2:AI410,1)=1,1,0),0)</f>
        <v/>
      </c>
      <c r="AK410" s="21">
        <f>IF(AJ410=1,SUM($AJ$2:AJ410),"")</f>
        <v/>
      </c>
      <c r="AL410" s="21">
        <f>IF(AND(AI410=1,OR(AD410="In person",AD410="Online"),OR(Speakers!$B$5="",AB410=Speakers!$B$5)),N(Z410)+ROW()/1000000000,"")</f>
        <v/>
      </c>
    </row>
    <row r="411">
      <c r="U411" s="19" t="n"/>
      <c r="V411" s="24" t="n"/>
      <c r="W411" s="24" t="n"/>
      <c r="X411" s="19" t="n"/>
      <c r="Y411" s="21">
        <f>IFERROR(TRIM(INDEX($A411:$T411,MATCH(Lists!$F$2,$A$1:$T$1,0))&amp;""),"")</f>
        <v/>
      </c>
      <c r="Z411" s="22">
        <f>IF(Y411="","",IFERROR(IF(ISNUMBER(INDEX($A411:$T411,MATCH(Lists!$F$3,$A$1:$T$1,0))),INDEX($A411:$T411,MATCH(Lists!$F$3,$A$1:$T$1,0)),DATE(VALUE(LEFT(IFERROR(TRIM(INDEX($A411:$T411,MATCH(Lists!$F$3,$A$1:$T$1,0))&amp;""),""),4)),VALUE(MID(IFERROR(TRIM(INDEX($A411:$T411,MATCH(Lists!$F$3,$A$1:$T$1,0))&amp;""),""),6,2)),VALUE(MID(IFERROR(TRIM(INDEX($A411:$T411,MATCH(Lists!$F$3,$A$1:$T$1,0))&amp;""),""),9,2)))+TIME(VALUE(MID(IFERROR(TRIM(INDEX($A411:$T411,MATCH(Lists!$F$3,$A$1:$T$1,0))&amp;""),""),12,2)),VALUE(MID(IFERROR(TRIM(INDEX($A411:$T411,MATCH(Lists!$F$3,$A$1:$T$1,0))&amp;""),""),15,2)),VALUE(MID(IFERROR(TRIM(INDEX($A411:$T411,MATCH(Lists!$F$3,$A$1:$T$1,0))&amp;""),""),18,2)))),""))</f>
        <v/>
      </c>
      <c r="AA411" s="23">
        <f>IF(Y411="","",IF(ISNUMBER(IFERROR(IF(TRIM(INDEX($A411:$T411,MATCH(Lists!$F$4,$A$1:$T$1,0))&amp;"")="","",IF(ISNUMBER(INDEX($A411:$T411,MATCH(Lists!$F$4,$A$1:$T$1,0))),INT(INDEX($A411:$T411,MATCH(Lists!$F$4,$A$1:$T$1,0))),DATE(VALUE(LEFT(INDEX($A411:$T411,MATCH(Lists!$F$4,$A$1:$T$1,0)),4)),VALUE(MID(INDEX($A411:$T411,MATCH(Lists!$F$4,$A$1:$T$1,0)),6,2)),VALUE(MID(INDEX($A411:$T411,MATCH(Lists!$F$4,$A$1:$T$1,0)),9,2))))),"")),IFERROR(IF(TRIM(INDEX($A411:$T411,MATCH(Lists!$F$4,$A$1:$T$1,0))&amp;"")="","",IF(ISNUMBER(INDEX($A411:$T411,MATCH(Lists!$F$4,$A$1:$T$1,0))),INT(INDEX($A411:$T411,MATCH(Lists!$F$4,$A$1:$T$1,0))),DATE(VALUE(LEFT(INDEX($A411:$T411,MATCH(Lists!$F$4,$A$1:$T$1,0)),4)),VALUE(MID(INDEX($A411:$T411,MATCH(Lists!$F$4,$A$1:$T$1,0)),6,2)),VALUE(MID(INDEX($A411:$T411,MATCH(Lists!$F$4,$A$1:$T$1,0)),9,2))))),""),IFERROR(IF(TRIM(INDEX($A411:$T411,MATCH(Lists!$F$5,$A$1:$T$1,0))&amp;"")="","",IF(ISNUMBER(INDEX($A411:$T411,MATCH(Lists!$F$5,$A$1:$T$1,0))),INT(INDEX($A411:$T411,MATCH(Lists!$F$5,$A$1:$T$1,0))),DATE(VALUE(LEFT(INDEX($A411:$T411,MATCH(Lists!$F$5,$A$1:$T$1,0)),4)),VALUE(MID(INDEX($A411:$T411,MATCH(Lists!$F$5,$A$1:$T$1,0)),6,2)),VALUE(MID(INDEX($A411:$T411,MATCH(Lists!$F$5,$A$1:$T$1,0)),9,2))))),"")))</f>
        <v/>
      </c>
      <c r="AB411" s="21">
        <f>IF(Y411="","",IF(LEFT(IFERROR(TRIM(INDEX($A411:$T411,MATCH(Lists!$F$6,$A$1:$T$1,0))&amp;""),""),2)="No","General comment",IF(IFERROR(TRIM(INDEX($A411:$T411,MATCH(Lists!$F$7,$A$1:$T$1,0))&amp;""),"")&lt;&gt;"",IFERROR(TRIM(INDEX($A411:$T411,MATCH(Lists!$F$7,$A$1:$T$1,0))&amp;""),""),IF(IFERROR(TRIM(INDEX($A411:$T411,MATCH(Lists!$F$8,$A$1:$T$1,0))&amp;""),"")&lt;&gt;"",IFERROR(TRIM(INDEX($A411:$T411,MATCH(Lists!$F$8,$A$1:$T$1,0))&amp;""),""),"(no item given)"))))</f>
        <v/>
      </c>
      <c r="AC411" s="21">
        <f>IF(Y411="","",IF(ISNUMBER(SEARCH("support",IFERROR(TRIM(INDEX($A411:$T411,MATCH(Lists!$F$9,$A$1:$T$1,0))&amp;""),""))),"Support",IF(ISNUMBER(SEARCH("oppose",IFERROR(TRIM(INDEX($A411:$T411,MATCH(Lists!$F$9,$A$1:$T$1,0))&amp;""),""))),"Oppose",IF(IFERROR(TRIM(INDEX($A411:$T411,MATCH(Lists!$F$9,$A$1:$T$1,0))&amp;""),"")="","No position","Neither"))))</f>
        <v/>
      </c>
      <c r="AD411" s="21">
        <f>IF(Y411="","",IF(ISNUMBER(SEARCH("in person",IFERROR(TRIM(INDEX($A411:$T411,MATCH(Lists!$F$13,$A$1:$T$1,0))&amp;""),""))),"In person",IF(ISNUMBER(SEARCH("online",IFERROR(TRIM(INDEX($A411:$T411,MATCH(Lists!$F$13,$A$1:$T$1,0))&amp;""),""))),"Online","Written only")))</f>
        <v/>
      </c>
      <c r="AE411" s="21">
        <f>IF(Y411="","",IFERROR(TRIM(INDEX($A411:$T411,MATCH(Lists!$F$11,$A$1:$T$1,0))&amp;""),""))</f>
        <v/>
      </c>
      <c r="AF411" s="21">
        <f>IF(Y411="","",IFERROR(TRIM(INDEX($A411:$T411,MATCH(Lists!$F$12,$A$1:$T$1,0))&amp;""),""))</f>
        <v/>
      </c>
      <c r="AG411" s="21">
        <f>IF(Y411="","",IFERROR(TRIM(INDEX($A411:$T411,MATCH(Lists!$F$14,$A$1:$T$1,0))&amp;""),""))</f>
        <v/>
      </c>
      <c r="AH411" s="21">
        <f>IF(Y411="","",LEFT(IFERROR(TRIM(INDEX($A411:$T411,MATCH(Lists!$F$10,$A$1:$T$1,0))&amp;""),""),80))</f>
        <v/>
      </c>
      <c r="AI411" s="21">
        <f>IF(Y411="",0,IF(OR(Tally!$B$5="",AA411=Tally!$B$5),1,0))</f>
        <v/>
      </c>
      <c r="AJ411" s="21">
        <f>IF(AI411=1,IF(COUNTIFS($AB$2:AB411,AB411,$AI$2:AI411,1)=1,1,0),0)</f>
        <v/>
      </c>
      <c r="AK411" s="21">
        <f>IF(AJ411=1,SUM($AJ$2:AJ411),"")</f>
        <v/>
      </c>
      <c r="AL411" s="21">
        <f>IF(AND(AI411=1,OR(AD411="In person",AD411="Online"),OR(Speakers!$B$5="",AB411=Speakers!$B$5)),N(Z411)+ROW()/1000000000,"")</f>
        <v/>
      </c>
    </row>
    <row r="412">
      <c r="U412" s="19" t="n"/>
      <c r="V412" s="24" t="n"/>
      <c r="W412" s="24" t="n"/>
      <c r="X412" s="19" t="n"/>
      <c r="Y412" s="21">
        <f>IFERROR(TRIM(INDEX($A412:$T412,MATCH(Lists!$F$2,$A$1:$T$1,0))&amp;""),"")</f>
        <v/>
      </c>
      <c r="Z412" s="22">
        <f>IF(Y412="","",IFERROR(IF(ISNUMBER(INDEX($A412:$T412,MATCH(Lists!$F$3,$A$1:$T$1,0))),INDEX($A412:$T412,MATCH(Lists!$F$3,$A$1:$T$1,0)),DATE(VALUE(LEFT(IFERROR(TRIM(INDEX($A412:$T412,MATCH(Lists!$F$3,$A$1:$T$1,0))&amp;""),""),4)),VALUE(MID(IFERROR(TRIM(INDEX($A412:$T412,MATCH(Lists!$F$3,$A$1:$T$1,0))&amp;""),""),6,2)),VALUE(MID(IFERROR(TRIM(INDEX($A412:$T412,MATCH(Lists!$F$3,$A$1:$T$1,0))&amp;""),""),9,2)))+TIME(VALUE(MID(IFERROR(TRIM(INDEX($A412:$T412,MATCH(Lists!$F$3,$A$1:$T$1,0))&amp;""),""),12,2)),VALUE(MID(IFERROR(TRIM(INDEX($A412:$T412,MATCH(Lists!$F$3,$A$1:$T$1,0))&amp;""),""),15,2)),VALUE(MID(IFERROR(TRIM(INDEX($A412:$T412,MATCH(Lists!$F$3,$A$1:$T$1,0))&amp;""),""),18,2)))),""))</f>
        <v/>
      </c>
      <c r="AA412" s="23">
        <f>IF(Y412="","",IF(ISNUMBER(IFERROR(IF(TRIM(INDEX($A412:$T412,MATCH(Lists!$F$4,$A$1:$T$1,0))&amp;"")="","",IF(ISNUMBER(INDEX($A412:$T412,MATCH(Lists!$F$4,$A$1:$T$1,0))),INT(INDEX($A412:$T412,MATCH(Lists!$F$4,$A$1:$T$1,0))),DATE(VALUE(LEFT(INDEX($A412:$T412,MATCH(Lists!$F$4,$A$1:$T$1,0)),4)),VALUE(MID(INDEX($A412:$T412,MATCH(Lists!$F$4,$A$1:$T$1,0)),6,2)),VALUE(MID(INDEX($A412:$T412,MATCH(Lists!$F$4,$A$1:$T$1,0)),9,2))))),"")),IFERROR(IF(TRIM(INDEX($A412:$T412,MATCH(Lists!$F$4,$A$1:$T$1,0))&amp;"")="","",IF(ISNUMBER(INDEX($A412:$T412,MATCH(Lists!$F$4,$A$1:$T$1,0))),INT(INDEX($A412:$T412,MATCH(Lists!$F$4,$A$1:$T$1,0))),DATE(VALUE(LEFT(INDEX($A412:$T412,MATCH(Lists!$F$4,$A$1:$T$1,0)),4)),VALUE(MID(INDEX($A412:$T412,MATCH(Lists!$F$4,$A$1:$T$1,0)),6,2)),VALUE(MID(INDEX($A412:$T412,MATCH(Lists!$F$4,$A$1:$T$1,0)),9,2))))),""),IFERROR(IF(TRIM(INDEX($A412:$T412,MATCH(Lists!$F$5,$A$1:$T$1,0))&amp;"")="","",IF(ISNUMBER(INDEX($A412:$T412,MATCH(Lists!$F$5,$A$1:$T$1,0))),INT(INDEX($A412:$T412,MATCH(Lists!$F$5,$A$1:$T$1,0))),DATE(VALUE(LEFT(INDEX($A412:$T412,MATCH(Lists!$F$5,$A$1:$T$1,0)),4)),VALUE(MID(INDEX($A412:$T412,MATCH(Lists!$F$5,$A$1:$T$1,0)),6,2)),VALUE(MID(INDEX($A412:$T412,MATCH(Lists!$F$5,$A$1:$T$1,0)),9,2))))),"")))</f>
        <v/>
      </c>
      <c r="AB412" s="21">
        <f>IF(Y412="","",IF(LEFT(IFERROR(TRIM(INDEX($A412:$T412,MATCH(Lists!$F$6,$A$1:$T$1,0))&amp;""),""),2)="No","General comment",IF(IFERROR(TRIM(INDEX($A412:$T412,MATCH(Lists!$F$7,$A$1:$T$1,0))&amp;""),"")&lt;&gt;"",IFERROR(TRIM(INDEX($A412:$T412,MATCH(Lists!$F$7,$A$1:$T$1,0))&amp;""),""),IF(IFERROR(TRIM(INDEX($A412:$T412,MATCH(Lists!$F$8,$A$1:$T$1,0))&amp;""),"")&lt;&gt;"",IFERROR(TRIM(INDEX($A412:$T412,MATCH(Lists!$F$8,$A$1:$T$1,0))&amp;""),""),"(no item given)"))))</f>
        <v/>
      </c>
      <c r="AC412" s="21">
        <f>IF(Y412="","",IF(ISNUMBER(SEARCH("support",IFERROR(TRIM(INDEX($A412:$T412,MATCH(Lists!$F$9,$A$1:$T$1,0))&amp;""),""))),"Support",IF(ISNUMBER(SEARCH("oppose",IFERROR(TRIM(INDEX($A412:$T412,MATCH(Lists!$F$9,$A$1:$T$1,0))&amp;""),""))),"Oppose",IF(IFERROR(TRIM(INDEX($A412:$T412,MATCH(Lists!$F$9,$A$1:$T$1,0))&amp;""),"")="","No position","Neither"))))</f>
        <v/>
      </c>
      <c r="AD412" s="21">
        <f>IF(Y412="","",IF(ISNUMBER(SEARCH("in person",IFERROR(TRIM(INDEX($A412:$T412,MATCH(Lists!$F$13,$A$1:$T$1,0))&amp;""),""))),"In person",IF(ISNUMBER(SEARCH("online",IFERROR(TRIM(INDEX($A412:$T412,MATCH(Lists!$F$13,$A$1:$T$1,0))&amp;""),""))),"Online","Written only")))</f>
        <v/>
      </c>
      <c r="AE412" s="21">
        <f>IF(Y412="","",IFERROR(TRIM(INDEX($A412:$T412,MATCH(Lists!$F$11,$A$1:$T$1,0))&amp;""),""))</f>
        <v/>
      </c>
      <c r="AF412" s="21">
        <f>IF(Y412="","",IFERROR(TRIM(INDEX($A412:$T412,MATCH(Lists!$F$12,$A$1:$T$1,0))&amp;""),""))</f>
        <v/>
      </c>
      <c r="AG412" s="21">
        <f>IF(Y412="","",IFERROR(TRIM(INDEX($A412:$T412,MATCH(Lists!$F$14,$A$1:$T$1,0))&amp;""),""))</f>
        <v/>
      </c>
      <c r="AH412" s="21">
        <f>IF(Y412="","",LEFT(IFERROR(TRIM(INDEX($A412:$T412,MATCH(Lists!$F$10,$A$1:$T$1,0))&amp;""),""),80))</f>
        <v/>
      </c>
      <c r="AI412" s="21">
        <f>IF(Y412="",0,IF(OR(Tally!$B$5="",AA412=Tally!$B$5),1,0))</f>
        <v/>
      </c>
      <c r="AJ412" s="21">
        <f>IF(AI412=1,IF(COUNTIFS($AB$2:AB412,AB412,$AI$2:AI412,1)=1,1,0),0)</f>
        <v/>
      </c>
      <c r="AK412" s="21">
        <f>IF(AJ412=1,SUM($AJ$2:AJ412),"")</f>
        <v/>
      </c>
      <c r="AL412" s="21">
        <f>IF(AND(AI412=1,OR(AD412="In person",AD412="Online"),OR(Speakers!$B$5="",AB412=Speakers!$B$5)),N(Z412)+ROW()/1000000000,"")</f>
        <v/>
      </c>
    </row>
    <row r="413">
      <c r="U413" s="19" t="n"/>
      <c r="V413" s="24" t="n"/>
      <c r="W413" s="24" t="n"/>
      <c r="X413" s="19" t="n"/>
      <c r="Y413" s="21">
        <f>IFERROR(TRIM(INDEX($A413:$T413,MATCH(Lists!$F$2,$A$1:$T$1,0))&amp;""),"")</f>
        <v/>
      </c>
      <c r="Z413" s="22">
        <f>IF(Y413="","",IFERROR(IF(ISNUMBER(INDEX($A413:$T413,MATCH(Lists!$F$3,$A$1:$T$1,0))),INDEX($A413:$T413,MATCH(Lists!$F$3,$A$1:$T$1,0)),DATE(VALUE(LEFT(IFERROR(TRIM(INDEX($A413:$T413,MATCH(Lists!$F$3,$A$1:$T$1,0))&amp;""),""),4)),VALUE(MID(IFERROR(TRIM(INDEX($A413:$T413,MATCH(Lists!$F$3,$A$1:$T$1,0))&amp;""),""),6,2)),VALUE(MID(IFERROR(TRIM(INDEX($A413:$T413,MATCH(Lists!$F$3,$A$1:$T$1,0))&amp;""),""),9,2)))+TIME(VALUE(MID(IFERROR(TRIM(INDEX($A413:$T413,MATCH(Lists!$F$3,$A$1:$T$1,0))&amp;""),""),12,2)),VALUE(MID(IFERROR(TRIM(INDEX($A413:$T413,MATCH(Lists!$F$3,$A$1:$T$1,0))&amp;""),""),15,2)),VALUE(MID(IFERROR(TRIM(INDEX($A413:$T413,MATCH(Lists!$F$3,$A$1:$T$1,0))&amp;""),""),18,2)))),""))</f>
        <v/>
      </c>
      <c r="AA413" s="23">
        <f>IF(Y413="","",IF(ISNUMBER(IFERROR(IF(TRIM(INDEX($A413:$T413,MATCH(Lists!$F$4,$A$1:$T$1,0))&amp;"")="","",IF(ISNUMBER(INDEX($A413:$T413,MATCH(Lists!$F$4,$A$1:$T$1,0))),INT(INDEX($A413:$T413,MATCH(Lists!$F$4,$A$1:$T$1,0))),DATE(VALUE(LEFT(INDEX($A413:$T413,MATCH(Lists!$F$4,$A$1:$T$1,0)),4)),VALUE(MID(INDEX($A413:$T413,MATCH(Lists!$F$4,$A$1:$T$1,0)),6,2)),VALUE(MID(INDEX($A413:$T413,MATCH(Lists!$F$4,$A$1:$T$1,0)),9,2))))),"")),IFERROR(IF(TRIM(INDEX($A413:$T413,MATCH(Lists!$F$4,$A$1:$T$1,0))&amp;"")="","",IF(ISNUMBER(INDEX($A413:$T413,MATCH(Lists!$F$4,$A$1:$T$1,0))),INT(INDEX($A413:$T413,MATCH(Lists!$F$4,$A$1:$T$1,0))),DATE(VALUE(LEFT(INDEX($A413:$T413,MATCH(Lists!$F$4,$A$1:$T$1,0)),4)),VALUE(MID(INDEX($A413:$T413,MATCH(Lists!$F$4,$A$1:$T$1,0)),6,2)),VALUE(MID(INDEX($A413:$T413,MATCH(Lists!$F$4,$A$1:$T$1,0)),9,2))))),""),IFERROR(IF(TRIM(INDEX($A413:$T413,MATCH(Lists!$F$5,$A$1:$T$1,0))&amp;"")="","",IF(ISNUMBER(INDEX($A413:$T413,MATCH(Lists!$F$5,$A$1:$T$1,0))),INT(INDEX($A413:$T413,MATCH(Lists!$F$5,$A$1:$T$1,0))),DATE(VALUE(LEFT(INDEX($A413:$T413,MATCH(Lists!$F$5,$A$1:$T$1,0)),4)),VALUE(MID(INDEX($A413:$T413,MATCH(Lists!$F$5,$A$1:$T$1,0)),6,2)),VALUE(MID(INDEX($A413:$T413,MATCH(Lists!$F$5,$A$1:$T$1,0)),9,2))))),"")))</f>
        <v/>
      </c>
      <c r="AB413" s="21">
        <f>IF(Y413="","",IF(LEFT(IFERROR(TRIM(INDEX($A413:$T413,MATCH(Lists!$F$6,$A$1:$T$1,0))&amp;""),""),2)="No","General comment",IF(IFERROR(TRIM(INDEX($A413:$T413,MATCH(Lists!$F$7,$A$1:$T$1,0))&amp;""),"")&lt;&gt;"",IFERROR(TRIM(INDEX($A413:$T413,MATCH(Lists!$F$7,$A$1:$T$1,0))&amp;""),""),IF(IFERROR(TRIM(INDEX($A413:$T413,MATCH(Lists!$F$8,$A$1:$T$1,0))&amp;""),"")&lt;&gt;"",IFERROR(TRIM(INDEX($A413:$T413,MATCH(Lists!$F$8,$A$1:$T$1,0))&amp;""),""),"(no item given)"))))</f>
        <v/>
      </c>
      <c r="AC413" s="21">
        <f>IF(Y413="","",IF(ISNUMBER(SEARCH("support",IFERROR(TRIM(INDEX($A413:$T413,MATCH(Lists!$F$9,$A$1:$T$1,0))&amp;""),""))),"Support",IF(ISNUMBER(SEARCH("oppose",IFERROR(TRIM(INDEX($A413:$T413,MATCH(Lists!$F$9,$A$1:$T$1,0))&amp;""),""))),"Oppose",IF(IFERROR(TRIM(INDEX($A413:$T413,MATCH(Lists!$F$9,$A$1:$T$1,0))&amp;""),"")="","No position","Neither"))))</f>
        <v/>
      </c>
      <c r="AD413" s="21">
        <f>IF(Y413="","",IF(ISNUMBER(SEARCH("in person",IFERROR(TRIM(INDEX($A413:$T413,MATCH(Lists!$F$13,$A$1:$T$1,0))&amp;""),""))),"In person",IF(ISNUMBER(SEARCH("online",IFERROR(TRIM(INDEX($A413:$T413,MATCH(Lists!$F$13,$A$1:$T$1,0))&amp;""),""))),"Online","Written only")))</f>
        <v/>
      </c>
      <c r="AE413" s="21">
        <f>IF(Y413="","",IFERROR(TRIM(INDEX($A413:$T413,MATCH(Lists!$F$11,$A$1:$T$1,0))&amp;""),""))</f>
        <v/>
      </c>
      <c r="AF413" s="21">
        <f>IF(Y413="","",IFERROR(TRIM(INDEX($A413:$T413,MATCH(Lists!$F$12,$A$1:$T$1,0))&amp;""),""))</f>
        <v/>
      </c>
      <c r="AG413" s="21">
        <f>IF(Y413="","",IFERROR(TRIM(INDEX($A413:$T413,MATCH(Lists!$F$14,$A$1:$T$1,0))&amp;""),""))</f>
        <v/>
      </c>
      <c r="AH413" s="21">
        <f>IF(Y413="","",LEFT(IFERROR(TRIM(INDEX($A413:$T413,MATCH(Lists!$F$10,$A$1:$T$1,0))&amp;""),""),80))</f>
        <v/>
      </c>
      <c r="AI413" s="21">
        <f>IF(Y413="",0,IF(OR(Tally!$B$5="",AA413=Tally!$B$5),1,0))</f>
        <v/>
      </c>
      <c r="AJ413" s="21">
        <f>IF(AI413=1,IF(COUNTIFS($AB$2:AB413,AB413,$AI$2:AI413,1)=1,1,0),0)</f>
        <v/>
      </c>
      <c r="AK413" s="21">
        <f>IF(AJ413=1,SUM($AJ$2:AJ413),"")</f>
        <v/>
      </c>
      <c r="AL413" s="21">
        <f>IF(AND(AI413=1,OR(AD413="In person",AD413="Online"),OR(Speakers!$B$5="",AB413=Speakers!$B$5)),N(Z413)+ROW()/1000000000,"")</f>
        <v/>
      </c>
    </row>
    <row r="414">
      <c r="U414" s="19" t="n"/>
      <c r="V414" s="24" t="n"/>
      <c r="W414" s="24" t="n"/>
      <c r="X414" s="19" t="n"/>
      <c r="Y414" s="21">
        <f>IFERROR(TRIM(INDEX($A414:$T414,MATCH(Lists!$F$2,$A$1:$T$1,0))&amp;""),"")</f>
        <v/>
      </c>
      <c r="Z414" s="22">
        <f>IF(Y414="","",IFERROR(IF(ISNUMBER(INDEX($A414:$T414,MATCH(Lists!$F$3,$A$1:$T$1,0))),INDEX($A414:$T414,MATCH(Lists!$F$3,$A$1:$T$1,0)),DATE(VALUE(LEFT(IFERROR(TRIM(INDEX($A414:$T414,MATCH(Lists!$F$3,$A$1:$T$1,0))&amp;""),""),4)),VALUE(MID(IFERROR(TRIM(INDEX($A414:$T414,MATCH(Lists!$F$3,$A$1:$T$1,0))&amp;""),""),6,2)),VALUE(MID(IFERROR(TRIM(INDEX($A414:$T414,MATCH(Lists!$F$3,$A$1:$T$1,0))&amp;""),""),9,2)))+TIME(VALUE(MID(IFERROR(TRIM(INDEX($A414:$T414,MATCH(Lists!$F$3,$A$1:$T$1,0))&amp;""),""),12,2)),VALUE(MID(IFERROR(TRIM(INDEX($A414:$T414,MATCH(Lists!$F$3,$A$1:$T$1,0))&amp;""),""),15,2)),VALUE(MID(IFERROR(TRIM(INDEX($A414:$T414,MATCH(Lists!$F$3,$A$1:$T$1,0))&amp;""),""),18,2)))),""))</f>
        <v/>
      </c>
      <c r="AA414" s="23">
        <f>IF(Y414="","",IF(ISNUMBER(IFERROR(IF(TRIM(INDEX($A414:$T414,MATCH(Lists!$F$4,$A$1:$T$1,0))&amp;"")="","",IF(ISNUMBER(INDEX($A414:$T414,MATCH(Lists!$F$4,$A$1:$T$1,0))),INT(INDEX($A414:$T414,MATCH(Lists!$F$4,$A$1:$T$1,0))),DATE(VALUE(LEFT(INDEX($A414:$T414,MATCH(Lists!$F$4,$A$1:$T$1,0)),4)),VALUE(MID(INDEX($A414:$T414,MATCH(Lists!$F$4,$A$1:$T$1,0)),6,2)),VALUE(MID(INDEX($A414:$T414,MATCH(Lists!$F$4,$A$1:$T$1,0)),9,2))))),"")),IFERROR(IF(TRIM(INDEX($A414:$T414,MATCH(Lists!$F$4,$A$1:$T$1,0))&amp;"")="","",IF(ISNUMBER(INDEX($A414:$T414,MATCH(Lists!$F$4,$A$1:$T$1,0))),INT(INDEX($A414:$T414,MATCH(Lists!$F$4,$A$1:$T$1,0))),DATE(VALUE(LEFT(INDEX($A414:$T414,MATCH(Lists!$F$4,$A$1:$T$1,0)),4)),VALUE(MID(INDEX($A414:$T414,MATCH(Lists!$F$4,$A$1:$T$1,0)),6,2)),VALUE(MID(INDEX($A414:$T414,MATCH(Lists!$F$4,$A$1:$T$1,0)),9,2))))),""),IFERROR(IF(TRIM(INDEX($A414:$T414,MATCH(Lists!$F$5,$A$1:$T$1,0))&amp;"")="","",IF(ISNUMBER(INDEX($A414:$T414,MATCH(Lists!$F$5,$A$1:$T$1,0))),INT(INDEX($A414:$T414,MATCH(Lists!$F$5,$A$1:$T$1,0))),DATE(VALUE(LEFT(INDEX($A414:$T414,MATCH(Lists!$F$5,$A$1:$T$1,0)),4)),VALUE(MID(INDEX($A414:$T414,MATCH(Lists!$F$5,$A$1:$T$1,0)),6,2)),VALUE(MID(INDEX($A414:$T414,MATCH(Lists!$F$5,$A$1:$T$1,0)),9,2))))),"")))</f>
        <v/>
      </c>
      <c r="AB414" s="21">
        <f>IF(Y414="","",IF(LEFT(IFERROR(TRIM(INDEX($A414:$T414,MATCH(Lists!$F$6,$A$1:$T$1,0))&amp;""),""),2)="No","General comment",IF(IFERROR(TRIM(INDEX($A414:$T414,MATCH(Lists!$F$7,$A$1:$T$1,0))&amp;""),"")&lt;&gt;"",IFERROR(TRIM(INDEX($A414:$T414,MATCH(Lists!$F$7,$A$1:$T$1,0))&amp;""),""),IF(IFERROR(TRIM(INDEX($A414:$T414,MATCH(Lists!$F$8,$A$1:$T$1,0))&amp;""),"")&lt;&gt;"",IFERROR(TRIM(INDEX($A414:$T414,MATCH(Lists!$F$8,$A$1:$T$1,0))&amp;""),""),"(no item given)"))))</f>
        <v/>
      </c>
      <c r="AC414" s="21">
        <f>IF(Y414="","",IF(ISNUMBER(SEARCH("support",IFERROR(TRIM(INDEX($A414:$T414,MATCH(Lists!$F$9,$A$1:$T$1,0))&amp;""),""))),"Support",IF(ISNUMBER(SEARCH("oppose",IFERROR(TRIM(INDEX($A414:$T414,MATCH(Lists!$F$9,$A$1:$T$1,0))&amp;""),""))),"Oppose",IF(IFERROR(TRIM(INDEX($A414:$T414,MATCH(Lists!$F$9,$A$1:$T$1,0))&amp;""),"")="","No position","Neither"))))</f>
        <v/>
      </c>
      <c r="AD414" s="21">
        <f>IF(Y414="","",IF(ISNUMBER(SEARCH("in person",IFERROR(TRIM(INDEX($A414:$T414,MATCH(Lists!$F$13,$A$1:$T$1,0))&amp;""),""))),"In person",IF(ISNUMBER(SEARCH("online",IFERROR(TRIM(INDEX($A414:$T414,MATCH(Lists!$F$13,$A$1:$T$1,0))&amp;""),""))),"Online","Written only")))</f>
        <v/>
      </c>
      <c r="AE414" s="21">
        <f>IF(Y414="","",IFERROR(TRIM(INDEX($A414:$T414,MATCH(Lists!$F$11,$A$1:$T$1,0))&amp;""),""))</f>
        <v/>
      </c>
      <c r="AF414" s="21">
        <f>IF(Y414="","",IFERROR(TRIM(INDEX($A414:$T414,MATCH(Lists!$F$12,$A$1:$T$1,0))&amp;""),""))</f>
        <v/>
      </c>
      <c r="AG414" s="21">
        <f>IF(Y414="","",IFERROR(TRIM(INDEX($A414:$T414,MATCH(Lists!$F$14,$A$1:$T$1,0))&amp;""),""))</f>
        <v/>
      </c>
      <c r="AH414" s="21">
        <f>IF(Y414="","",LEFT(IFERROR(TRIM(INDEX($A414:$T414,MATCH(Lists!$F$10,$A$1:$T$1,0))&amp;""),""),80))</f>
        <v/>
      </c>
      <c r="AI414" s="21">
        <f>IF(Y414="",0,IF(OR(Tally!$B$5="",AA414=Tally!$B$5),1,0))</f>
        <v/>
      </c>
      <c r="AJ414" s="21">
        <f>IF(AI414=1,IF(COUNTIFS($AB$2:AB414,AB414,$AI$2:AI414,1)=1,1,0),0)</f>
        <v/>
      </c>
      <c r="AK414" s="21">
        <f>IF(AJ414=1,SUM($AJ$2:AJ414),"")</f>
        <v/>
      </c>
      <c r="AL414" s="21">
        <f>IF(AND(AI414=1,OR(AD414="In person",AD414="Online"),OR(Speakers!$B$5="",AB414=Speakers!$B$5)),N(Z414)+ROW()/1000000000,"")</f>
        <v/>
      </c>
    </row>
    <row r="415">
      <c r="U415" s="19" t="n"/>
      <c r="V415" s="24" t="n"/>
      <c r="W415" s="24" t="n"/>
      <c r="X415" s="19" t="n"/>
      <c r="Y415" s="21">
        <f>IFERROR(TRIM(INDEX($A415:$T415,MATCH(Lists!$F$2,$A$1:$T$1,0))&amp;""),"")</f>
        <v/>
      </c>
      <c r="Z415" s="22">
        <f>IF(Y415="","",IFERROR(IF(ISNUMBER(INDEX($A415:$T415,MATCH(Lists!$F$3,$A$1:$T$1,0))),INDEX($A415:$T415,MATCH(Lists!$F$3,$A$1:$T$1,0)),DATE(VALUE(LEFT(IFERROR(TRIM(INDEX($A415:$T415,MATCH(Lists!$F$3,$A$1:$T$1,0))&amp;""),""),4)),VALUE(MID(IFERROR(TRIM(INDEX($A415:$T415,MATCH(Lists!$F$3,$A$1:$T$1,0))&amp;""),""),6,2)),VALUE(MID(IFERROR(TRIM(INDEX($A415:$T415,MATCH(Lists!$F$3,$A$1:$T$1,0))&amp;""),""),9,2)))+TIME(VALUE(MID(IFERROR(TRIM(INDEX($A415:$T415,MATCH(Lists!$F$3,$A$1:$T$1,0))&amp;""),""),12,2)),VALUE(MID(IFERROR(TRIM(INDEX($A415:$T415,MATCH(Lists!$F$3,$A$1:$T$1,0))&amp;""),""),15,2)),VALUE(MID(IFERROR(TRIM(INDEX($A415:$T415,MATCH(Lists!$F$3,$A$1:$T$1,0))&amp;""),""),18,2)))),""))</f>
        <v/>
      </c>
      <c r="AA415" s="23">
        <f>IF(Y415="","",IF(ISNUMBER(IFERROR(IF(TRIM(INDEX($A415:$T415,MATCH(Lists!$F$4,$A$1:$T$1,0))&amp;"")="","",IF(ISNUMBER(INDEX($A415:$T415,MATCH(Lists!$F$4,$A$1:$T$1,0))),INT(INDEX($A415:$T415,MATCH(Lists!$F$4,$A$1:$T$1,0))),DATE(VALUE(LEFT(INDEX($A415:$T415,MATCH(Lists!$F$4,$A$1:$T$1,0)),4)),VALUE(MID(INDEX($A415:$T415,MATCH(Lists!$F$4,$A$1:$T$1,0)),6,2)),VALUE(MID(INDEX($A415:$T415,MATCH(Lists!$F$4,$A$1:$T$1,0)),9,2))))),"")),IFERROR(IF(TRIM(INDEX($A415:$T415,MATCH(Lists!$F$4,$A$1:$T$1,0))&amp;"")="","",IF(ISNUMBER(INDEX($A415:$T415,MATCH(Lists!$F$4,$A$1:$T$1,0))),INT(INDEX($A415:$T415,MATCH(Lists!$F$4,$A$1:$T$1,0))),DATE(VALUE(LEFT(INDEX($A415:$T415,MATCH(Lists!$F$4,$A$1:$T$1,0)),4)),VALUE(MID(INDEX($A415:$T415,MATCH(Lists!$F$4,$A$1:$T$1,0)),6,2)),VALUE(MID(INDEX($A415:$T415,MATCH(Lists!$F$4,$A$1:$T$1,0)),9,2))))),""),IFERROR(IF(TRIM(INDEX($A415:$T415,MATCH(Lists!$F$5,$A$1:$T$1,0))&amp;"")="","",IF(ISNUMBER(INDEX($A415:$T415,MATCH(Lists!$F$5,$A$1:$T$1,0))),INT(INDEX($A415:$T415,MATCH(Lists!$F$5,$A$1:$T$1,0))),DATE(VALUE(LEFT(INDEX($A415:$T415,MATCH(Lists!$F$5,$A$1:$T$1,0)),4)),VALUE(MID(INDEX($A415:$T415,MATCH(Lists!$F$5,$A$1:$T$1,0)),6,2)),VALUE(MID(INDEX($A415:$T415,MATCH(Lists!$F$5,$A$1:$T$1,0)),9,2))))),"")))</f>
        <v/>
      </c>
      <c r="AB415" s="21">
        <f>IF(Y415="","",IF(LEFT(IFERROR(TRIM(INDEX($A415:$T415,MATCH(Lists!$F$6,$A$1:$T$1,0))&amp;""),""),2)="No","General comment",IF(IFERROR(TRIM(INDEX($A415:$T415,MATCH(Lists!$F$7,$A$1:$T$1,0))&amp;""),"")&lt;&gt;"",IFERROR(TRIM(INDEX($A415:$T415,MATCH(Lists!$F$7,$A$1:$T$1,0))&amp;""),""),IF(IFERROR(TRIM(INDEX($A415:$T415,MATCH(Lists!$F$8,$A$1:$T$1,0))&amp;""),"")&lt;&gt;"",IFERROR(TRIM(INDEX($A415:$T415,MATCH(Lists!$F$8,$A$1:$T$1,0))&amp;""),""),"(no item given)"))))</f>
        <v/>
      </c>
      <c r="AC415" s="21">
        <f>IF(Y415="","",IF(ISNUMBER(SEARCH("support",IFERROR(TRIM(INDEX($A415:$T415,MATCH(Lists!$F$9,$A$1:$T$1,0))&amp;""),""))),"Support",IF(ISNUMBER(SEARCH("oppose",IFERROR(TRIM(INDEX($A415:$T415,MATCH(Lists!$F$9,$A$1:$T$1,0))&amp;""),""))),"Oppose",IF(IFERROR(TRIM(INDEX($A415:$T415,MATCH(Lists!$F$9,$A$1:$T$1,0))&amp;""),"")="","No position","Neither"))))</f>
        <v/>
      </c>
      <c r="AD415" s="21">
        <f>IF(Y415="","",IF(ISNUMBER(SEARCH("in person",IFERROR(TRIM(INDEX($A415:$T415,MATCH(Lists!$F$13,$A$1:$T$1,0))&amp;""),""))),"In person",IF(ISNUMBER(SEARCH("online",IFERROR(TRIM(INDEX($A415:$T415,MATCH(Lists!$F$13,$A$1:$T$1,0))&amp;""),""))),"Online","Written only")))</f>
        <v/>
      </c>
      <c r="AE415" s="21">
        <f>IF(Y415="","",IFERROR(TRIM(INDEX($A415:$T415,MATCH(Lists!$F$11,$A$1:$T$1,0))&amp;""),""))</f>
        <v/>
      </c>
      <c r="AF415" s="21">
        <f>IF(Y415="","",IFERROR(TRIM(INDEX($A415:$T415,MATCH(Lists!$F$12,$A$1:$T$1,0))&amp;""),""))</f>
        <v/>
      </c>
      <c r="AG415" s="21">
        <f>IF(Y415="","",IFERROR(TRIM(INDEX($A415:$T415,MATCH(Lists!$F$14,$A$1:$T$1,0))&amp;""),""))</f>
        <v/>
      </c>
      <c r="AH415" s="21">
        <f>IF(Y415="","",LEFT(IFERROR(TRIM(INDEX($A415:$T415,MATCH(Lists!$F$10,$A$1:$T$1,0))&amp;""),""),80))</f>
        <v/>
      </c>
      <c r="AI415" s="21">
        <f>IF(Y415="",0,IF(OR(Tally!$B$5="",AA415=Tally!$B$5),1,0))</f>
        <v/>
      </c>
      <c r="AJ415" s="21">
        <f>IF(AI415=1,IF(COUNTIFS($AB$2:AB415,AB415,$AI$2:AI415,1)=1,1,0),0)</f>
        <v/>
      </c>
      <c r="AK415" s="21">
        <f>IF(AJ415=1,SUM($AJ$2:AJ415),"")</f>
        <v/>
      </c>
      <c r="AL415" s="21">
        <f>IF(AND(AI415=1,OR(AD415="In person",AD415="Online"),OR(Speakers!$B$5="",AB415=Speakers!$B$5)),N(Z415)+ROW()/1000000000,"")</f>
        <v/>
      </c>
    </row>
    <row r="416">
      <c r="U416" s="19" t="n"/>
      <c r="V416" s="24" t="n"/>
      <c r="W416" s="24" t="n"/>
      <c r="X416" s="19" t="n"/>
      <c r="Y416" s="21">
        <f>IFERROR(TRIM(INDEX($A416:$T416,MATCH(Lists!$F$2,$A$1:$T$1,0))&amp;""),"")</f>
        <v/>
      </c>
      <c r="Z416" s="22">
        <f>IF(Y416="","",IFERROR(IF(ISNUMBER(INDEX($A416:$T416,MATCH(Lists!$F$3,$A$1:$T$1,0))),INDEX($A416:$T416,MATCH(Lists!$F$3,$A$1:$T$1,0)),DATE(VALUE(LEFT(IFERROR(TRIM(INDEX($A416:$T416,MATCH(Lists!$F$3,$A$1:$T$1,0))&amp;""),""),4)),VALUE(MID(IFERROR(TRIM(INDEX($A416:$T416,MATCH(Lists!$F$3,$A$1:$T$1,0))&amp;""),""),6,2)),VALUE(MID(IFERROR(TRIM(INDEX($A416:$T416,MATCH(Lists!$F$3,$A$1:$T$1,0))&amp;""),""),9,2)))+TIME(VALUE(MID(IFERROR(TRIM(INDEX($A416:$T416,MATCH(Lists!$F$3,$A$1:$T$1,0))&amp;""),""),12,2)),VALUE(MID(IFERROR(TRIM(INDEX($A416:$T416,MATCH(Lists!$F$3,$A$1:$T$1,0))&amp;""),""),15,2)),VALUE(MID(IFERROR(TRIM(INDEX($A416:$T416,MATCH(Lists!$F$3,$A$1:$T$1,0))&amp;""),""),18,2)))),""))</f>
        <v/>
      </c>
      <c r="AA416" s="23">
        <f>IF(Y416="","",IF(ISNUMBER(IFERROR(IF(TRIM(INDEX($A416:$T416,MATCH(Lists!$F$4,$A$1:$T$1,0))&amp;"")="","",IF(ISNUMBER(INDEX($A416:$T416,MATCH(Lists!$F$4,$A$1:$T$1,0))),INT(INDEX($A416:$T416,MATCH(Lists!$F$4,$A$1:$T$1,0))),DATE(VALUE(LEFT(INDEX($A416:$T416,MATCH(Lists!$F$4,$A$1:$T$1,0)),4)),VALUE(MID(INDEX($A416:$T416,MATCH(Lists!$F$4,$A$1:$T$1,0)),6,2)),VALUE(MID(INDEX($A416:$T416,MATCH(Lists!$F$4,$A$1:$T$1,0)),9,2))))),"")),IFERROR(IF(TRIM(INDEX($A416:$T416,MATCH(Lists!$F$4,$A$1:$T$1,0))&amp;"")="","",IF(ISNUMBER(INDEX($A416:$T416,MATCH(Lists!$F$4,$A$1:$T$1,0))),INT(INDEX($A416:$T416,MATCH(Lists!$F$4,$A$1:$T$1,0))),DATE(VALUE(LEFT(INDEX($A416:$T416,MATCH(Lists!$F$4,$A$1:$T$1,0)),4)),VALUE(MID(INDEX($A416:$T416,MATCH(Lists!$F$4,$A$1:$T$1,0)),6,2)),VALUE(MID(INDEX($A416:$T416,MATCH(Lists!$F$4,$A$1:$T$1,0)),9,2))))),""),IFERROR(IF(TRIM(INDEX($A416:$T416,MATCH(Lists!$F$5,$A$1:$T$1,0))&amp;"")="","",IF(ISNUMBER(INDEX($A416:$T416,MATCH(Lists!$F$5,$A$1:$T$1,0))),INT(INDEX($A416:$T416,MATCH(Lists!$F$5,$A$1:$T$1,0))),DATE(VALUE(LEFT(INDEX($A416:$T416,MATCH(Lists!$F$5,$A$1:$T$1,0)),4)),VALUE(MID(INDEX($A416:$T416,MATCH(Lists!$F$5,$A$1:$T$1,0)),6,2)),VALUE(MID(INDEX($A416:$T416,MATCH(Lists!$F$5,$A$1:$T$1,0)),9,2))))),"")))</f>
        <v/>
      </c>
      <c r="AB416" s="21">
        <f>IF(Y416="","",IF(LEFT(IFERROR(TRIM(INDEX($A416:$T416,MATCH(Lists!$F$6,$A$1:$T$1,0))&amp;""),""),2)="No","General comment",IF(IFERROR(TRIM(INDEX($A416:$T416,MATCH(Lists!$F$7,$A$1:$T$1,0))&amp;""),"")&lt;&gt;"",IFERROR(TRIM(INDEX($A416:$T416,MATCH(Lists!$F$7,$A$1:$T$1,0))&amp;""),""),IF(IFERROR(TRIM(INDEX($A416:$T416,MATCH(Lists!$F$8,$A$1:$T$1,0))&amp;""),"")&lt;&gt;"",IFERROR(TRIM(INDEX($A416:$T416,MATCH(Lists!$F$8,$A$1:$T$1,0))&amp;""),""),"(no item given)"))))</f>
        <v/>
      </c>
      <c r="AC416" s="21">
        <f>IF(Y416="","",IF(ISNUMBER(SEARCH("support",IFERROR(TRIM(INDEX($A416:$T416,MATCH(Lists!$F$9,$A$1:$T$1,0))&amp;""),""))),"Support",IF(ISNUMBER(SEARCH("oppose",IFERROR(TRIM(INDEX($A416:$T416,MATCH(Lists!$F$9,$A$1:$T$1,0))&amp;""),""))),"Oppose",IF(IFERROR(TRIM(INDEX($A416:$T416,MATCH(Lists!$F$9,$A$1:$T$1,0))&amp;""),"")="","No position","Neither"))))</f>
        <v/>
      </c>
      <c r="AD416" s="21">
        <f>IF(Y416="","",IF(ISNUMBER(SEARCH("in person",IFERROR(TRIM(INDEX($A416:$T416,MATCH(Lists!$F$13,$A$1:$T$1,0))&amp;""),""))),"In person",IF(ISNUMBER(SEARCH("online",IFERROR(TRIM(INDEX($A416:$T416,MATCH(Lists!$F$13,$A$1:$T$1,0))&amp;""),""))),"Online","Written only")))</f>
        <v/>
      </c>
      <c r="AE416" s="21">
        <f>IF(Y416="","",IFERROR(TRIM(INDEX($A416:$T416,MATCH(Lists!$F$11,$A$1:$T$1,0))&amp;""),""))</f>
        <v/>
      </c>
      <c r="AF416" s="21">
        <f>IF(Y416="","",IFERROR(TRIM(INDEX($A416:$T416,MATCH(Lists!$F$12,$A$1:$T$1,0))&amp;""),""))</f>
        <v/>
      </c>
      <c r="AG416" s="21">
        <f>IF(Y416="","",IFERROR(TRIM(INDEX($A416:$T416,MATCH(Lists!$F$14,$A$1:$T$1,0))&amp;""),""))</f>
        <v/>
      </c>
      <c r="AH416" s="21">
        <f>IF(Y416="","",LEFT(IFERROR(TRIM(INDEX($A416:$T416,MATCH(Lists!$F$10,$A$1:$T$1,0))&amp;""),""),80))</f>
        <v/>
      </c>
      <c r="AI416" s="21">
        <f>IF(Y416="",0,IF(OR(Tally!$B$5="",AA416=Tally!$B$5),1,0))</f>
        <v/>
      </c>
      <c r="AJ416" s="21">
        <f>IF(AI416=1,IF(COUNTIFS($AB$2:AB416,AB416,$AI$2:AI416,1)=1,1,0),0)</f>
        <v/>
      </c>
      <c r="AK416" s="21">
        <f>IF(AJ416=1,SUM($AJ$2:AJ416),"")</f>
        <v/>
      </c>
      <c r="AL416" s="21">
        <f>IF(AND(AI416=1,OR(AD416="In person",AD416="Online"),OR(Speakers!$B$5="",AB416=Speakers!$B$5)),N(Z416)+ROW()/1000000000,"")</f>
        <v/>
      </c>
    </row>
    <row r="417">
      <c r="U417" s="19" t="n"/>
      <c r="V417" s="24" t="n"/>
      <c r="W417" s="24" t="n"/>
      <c r="X417" s="19" t="n"/>
      <c r="Y417" s="21">
        <f>IFERROR(TRIM(INDEX($A417:$T417,MATCH(Lists!$F$2,$A$1:$T$1,0))&amp;""),"")</f>
        <v/>
      </c>
      <c r="Z417" s="22">
        <f>IF(Y417="","",IFERROR(IF(ISNUMBER(INDEX($A417:$T417,MATCH(Lists!$F$3,$A$1:$T$1,0))),INDEX($A417:$T417,MATCH(Lists!$F$3,$A$1:$T$1,0)),DATE(VALUE(LEFT(IFERROR(TRIM(INDEX($A417:$T417,MATCH(Lists!$F$3,$A$1:$T$1,0))&amp;""),""),4)),VALUE(MID(IFERROR(TRIM(INDEX($A417:$T417,MATCH(Lists!$F$3,$A$1:$T$1,0))&amp;""),""),6,2)),VALUE(MID(IFERROR(TRIM(INDEX($A417:$T417,MATCH(Lists!$F$3,$A$1:$T$1,0))&amp;""),""),9,2)))+TIME(VALUE(MID(IFERROR(TRIM(INDEX($A417:$T417,MATCH(Lists!$F$3,$A$1:$T$1,0))&amp;""),""),12,2)),VALUE(MID(IFERROR(TRIM(INDEX($A417:$T417,MATCH(Lists!$F$3,$A$1:$T$1,0))&amp;""),""),15,2)),VALUE(MID(IFERROR(TRIM(INDEX($A417:$T417,MATCH(Lists!$F$3,$A$1:$T$1,0))&amp;""),""),18,2)))),""))</f>
        <v/>
      </c>
      <c r="AA417" s="23">
        <f>IF(Y417="","",IF(ISNUMBER(IFERROR(IF(TRIM(INDEX($A417:$T417,MATCH(Lists!$F$4,$A$1:$T$1,0))&amp;"")="","",IF(ISNUMBER(INDEX($A417:$T417,MATCH(Lists!$F$4,$A$1:$T$1,0))),INT(INDEX($A417:$T417,MATCH(Lists!$F$4,$A$1:$T$1,0))),DATE(VALUE(LEFT(INDEX($A417:$T417,MATCH(Lists!$F$4,$A$1:$T$1,0)),4)),VALUE(MID(INDEX($A417:$T417,MATCH(Lists!$F$4,$A$1:$T$1,0)),6,2)),VALUE(MID(INDEX($A417:$T417,MATCH(Lists!$F$4,$A$1:$T$1,0)),9,2))))),"")),IFERROR(IF(TRIM(INDEX($A417:$T417,MATCH(Lists!$F$4,$A$1:$T$1,0))&amp;"")="","",IF(ISNUMBER(INDEX($A417:$T417,MATCH(Lists!$F$4,$A$1:$T$1,0))),INT(INDEX($A417:$T417,MATCH(Lists!$F$4,$A$1:$T$1,0))),DATE(VALUE(LEFT(INDEX($A417:$T417,MATCH(Lists!$F$4,$A$1:$T$1,0)),4)),VALUE(MID(INDEX($A417:$T417,MATCH(Lists!$F$4,$A$1:$T$1,0)),6,2)),VALUE(MID(INDEX($A417:$T417,MATCH(Lists!$F$4,$A$1:$T$1,0)),9,2))))),""),IFERROR(IF(TRIM(INDEX($A417:$T417,MATCH(Lists!$F$5,$A$1:$T$1,0))&amp;"")="","",IF(ISNUMBER(INDEX($A417:$T417,MATCH(Lists!$F$5,$A$1:$T$1,0))),INT(INDEX($A417:$T417,MATCH(Lists!$F$5,$A$1:$T$1,0))),DATE(VALUE(LEFT(INDEX($A417:$T417,MATCH(Lists!$F$5,$A$1:$T$1,0)),4)),VALUE(MID(INDEX($A417:$T417,MATCH(Lists!$F$5,$A$1:$T$1,0)),6,2)),VALUE(MID(INDEX($A417:$T417,MATCH(Lists!$F$5,$A$1:$T$1,0)),9,2))))),"")))</f>
        <v/>
      </c>
      <c r="AB417" s="21">
        <f>IF(Y417="","",IF(LEFT(IFERROR(TRIM(INDEX($A417:$T417,MATCH(Lists!$F$6,$A$1:$T$1,0))&amp;""),""),2)="No","General comment",IF(IFERROR(TRIM(INDEX($A417:$T417,MATCH(Lists!$F$7,$A$1:$T$1,0))&amp;""),"")&lt;&gt;"",IFERROR(TRIM(INDEX($A417:$T417,MATCH(Lists!$F$7,$A$1:$T$1,0))&amp;""),""),IF(IFERROR(TRIM(INDEX($A417:$T417,MATCH(Lists!$F$8,$A$1:$T$1,0))&amp;""),"")&lt;&gt;"",IFERROR(TRIM(INDEX($A417:$T417,MATCH(Lists!$F$8,$A$1:$T$1,0))&amp;""),""),"(no item given)"))))</f>
        <v/>
      </c>
      <c r="AC417" s="21">
        <f>IF(Y417="","",IF(ISNUMBER(SEARCH("support",IFERROR(TRIM(INDEX($A417:$T417,MATCH(Lists!$F$9,$A$1:$T$1,0))&amp;""),""))),"Support",IF(ISNUMBER(SEARCH("oppose",IFERROR(TRIM(INDEX($A417:$T417,MATCH(Lists!$F$9,$A$1:$T$1,0))&amp;""),""))),"Oppose",IF(IFERROR(TRIM(INDEX($A417:$T417,MATCH(Lists!$F$9,$A$1:$T$1,0))&amp;""),"")="","No position","Neither"))))</f>
        <v/>
      </c>
      <c r="AD417" s="21">
        <f>IF(Y417="","",IF(ISNUMBER(SEARCH("in person",IFERROR(TRIM(INDEX($A417:$T417,MATCH(Lists!$F$13,$A$1:$T$1,0))&amp;""),""))),"In person",IF(ISNUMBER(SEARCH("online",IFERROR(TRIM(INDEX($A417:$T417,MATCH(Lists!$F$13,$A$1:$T$1,0))&amp;""),""))),"Online","Written only")))</f>
        <v/>
      </c>
      <c r="AE417" s="21">
        <f>IF(Y417="","",IFERROR(TRIM(INDEX($A417:$T417,MATCH(Lists!$F$11,$A$1:$T$1,0))&amp;""),""))</f>
        <v/>
      </c>
      <c r="AF417" s="21">
        <f>IF(Y417="","",IFERROR(TRIM(INDEX($A417:$T417,MATCH(Lists!$F$12,$A$1:$T$1,0))&amp;""),""))</f>
        <v/>
      </c>
      <c r="AG417" s="21">
        <f>IF(Y417="","",IFERROR(TRIM(INDEX($A417:$T417,MATCH(Lists!$F$14,$A$1:$T$1,0))&amp;""),""))</f>
        <v/>
      </c>
      <c r="AH417" s="21">
        <f>IF(Y417="","",LEFT(IFERROR(TRIM(INDEX($A417:$T417,MATCH(Lists!$F$10,$A$1:$T$1,0))&amp;""),""),80))</f>
        <v/>
      </c>
      <c r="AI417" s="21">
        <f>IF(Y417="",0,IF(OR(Tally!$B$5="",AA417=Tally!$B$5),1,0))</f>
        <v/>
      </c>
      <c r="AJ417" s="21">
        <f>IF(AI417=1,IF(COUNTIFS($AB$2:AB417,AB417,$AI$2:AI417,1)=1,1,0),0)</f>
        <v/>
      </c>
      <c r="AK417" s="21">
        <f>IF(AJ417=1,SUM($AJ$2:AJ417),"")</f>
        <v/>
      </c>
      <c r="AL417" s="21">
        <f>IF(AND(AI417=1,OR(AD417="In person",AD417="Online"),OR(Speakers!$B$5="",AB417=Speakers!$B$5)),N(Z417)+ROW()/1000000000,"")</f>
        <v/>
      </c>
    </row>
    <row r="418">
      <c r="U418" s="19" t="n"/>
      <c r="V418" s="24" t="n"/>
      <c r="W418" s="24" t="n"/>
      <c r="X418" s="19" t="n"/>
      <c r="Y418" s="21">
        <f>IFERROR(TRIM(INDEX($A418:$T418,MATCH(Lists!$F$2,$A$1:$T$1,0))&amp;""),"")</f>
        <v/>
      </c>
      <c r="Z418" s="22">
        <f>IF(Y418="","",IFERROR(IF(ISNUMBER(INDEX($A418:$T418,MATCH(Lists!$F$3,$A$1:$T$1,0))),INDEX($A418:$T418,MATCH(Lists!$F$3,$A$1:$T$1,0)),DATE(VALUE(LEFT(IFERROR(TRIM(INDEX($A418:$T418,MATCH(Lists!$F$3,$A$1:$T$1,0))&amp;""),""),4)),VALUE(MID(IFERROR(TRIM(INDEX($A418:$T418,MATCH(Lists!$F$3,$A$1:$T$1,0))&amp;""),""),6,2)),VALUE(MID(IFERROR(TRIM(INDEX($A418:$T418,MATCH(Lists!$F$3,$A$1:$T$1,0))&amp;""),""),9,2)))+TIME(VALUE(MID(IFERROR(TRIM(INDEX($A418:$T418,MATCH(Lists!$F$3,$A$1:$T$1,0))&amp;""),""),12,2)),VALUE(MID(IFERROR(TRIM(INDEX($A418:$T418,MATCH(Lists!$F$3,$A$1:$T$1,0))&amp;""),""),15,2)),VALUE(MID(IFERROR(TRIM(INDEX($A418:$T418,MATCH(Lists!$F$3,$A$1:$T$1,0))&amp;""),""),18,2)))),""))</f>
        <v/>
      </c>
      <c r="AA418" s="23">
        <f>IF(Y418="","",IF(ISNUMBER(IFERROR(IF(TRIM(INDEX($A418:$T418,MATCH(Lists!$F$4,$A$1:$T$1,0))&amp;"")="","",IF(ISNUMBER(INDEX($A418:$T418,MATCH(Lists!$F$4,$A$1:$T$1,0))),INT(INDEX($A418:$T418,MATCH(Lists!$F$4,$A$1:$T$1,0))),DATE(VALUE(LEFT(INDEX($A418:$T418,MATCH(Lists!$F$4,$A$1:$T$1,0)),4)),VALUE(MID(INDEX($A418:$T418,MATCH(Lists!$F$4,$A$1:$T$1,0)),6,2)),VALUE(MID(INDEX($A418:$T418,MATCH(Lists!$F$4,$A$1:$T$1,0)),9,2))))),"")),IFERROR(IF(TRIM(INDEX($A418:$T418,MATCH(Lists!$F$4,$A$1:$T$1,0))&amp;"")="","",IF(ISNUMBER(INDEX($A418:$T418,MATCH(Lists!$F$4,$A$1:$T$1,0))),INT(INDEX($A418:$T418,MATCH(Lists!$F$4,$A$1:$T$1,0))),DATE(VALUE(LEFT(INDEX($A418:$T418,MATCH(Lists!$F$4,$A$1:$T$1,0)),4)),VALUE(MID(INDEX($A418:$T418,MATCH(Lists!$F$4,$A$1:$T$1,0)),6,2)),VALUE(MID(INDEX($A418:$T418,MATCH(Lists!$F$4,$A$1:$T$1,0)),9,2))))),""),IFERROR(IF(TRIM(INDEX($A418:$T418,MATCH(Lists!$F$5,$A$1:$T$1,0))&amp;"")="","",IF(ISNUMBER(INDEX($A418:$T418,MATCH(Lists!$F$5,$A$1:$T$1,0))),INT(INDEX($A418:$T418,MATCH(Lists!$F$5,$A$1:$T$1,0))),DATE(VALUE(LEFT(INDEX($A418:$T418,MATCH(Lists!$F$5,$A$1:$T$1,0)),4)),VALUE(MID(INDEX($A418:$T418,MATCH(Lists!$F$5,$A$1:$T$1,0)),6,2)),VALUE(MID(INDEX($A418:$T418,MATCH(Lists!$F$5,$A$1:$T$1,0)),9,2))))),"")))</f>
        <v/>
      </c>
      <c r="AB418" s="21">
        <f>IF(Y418="","",IF(LEFT(IFERROR(TRIM(INDEX($A418:$T418,MATCH(Lists!$F$6,$A$1:$T$1,0))&amp;""),""),2)="No","General comment",IF(IFERROR(TRIM(INDEX($A418:$T418,MATCH(Lists!$F$7,$A$1:$T$1,0))&amp;""),"")&lt;&gt;"",IFERROR(TRIM(INDEX($A418:$T418,MATCH(Lists!$F$7,$A$1:$T$1,0))&amp;""),""),IF(IFERROR(TRIM(INDEX($A418:$T418,MATCH(Lists!$F$8,$A$1:$T$1,0))&amp;""),"")&lt;&gt;"",IFERROR(TRIM(INDEX($A418:$T418,MATCH(Lists!$F$8,$A$1:$T$1,0))&amp;""),""),"(no item given)"))))</f>
        <v/>
      </c>
      <c r="AC418" s="21">
        <f>IF(Y418="","",IF(ISNUMBER(SEARCH("support",IFERROR(TRIM(INDEX($A418:$T418,MATCH(Lists!$F$9,$A$1:$T$1,0))&amp;""),""))),"Support",IF(ISNUMBER(SEARCH("oppose",IFERROR(TRIM(INDEX($A418:$T418,MATCH(Lists!$F$9,$A$1:$T$1,0))&amp;""),""))),"Oppose",IF(IFERROR(TRIM(INDEX($A418:$T418,MATCH(Lists!$F$9,$A$1:$T$1,0))&amp;""),"")="","No position","Neither"))))</f>
        <v/>
      </c>
      <c r="AD418" s="21">
        <f>IF(Y418="","",IF(ISNUMBER(SEARCH("in person",IFERROR(TRIM(INDEX($A418:$T418,MATCH(Lists!$F$13,$A$1:$T$1,0))&amp;""),""))),"In person",IF(ISNUMBER(SEARCH("online",IFERROR(TRIM(INDEX($A418:$T418,MATCH(Lists!$F$13,$A$1:$T$1,0))&amp;""),""))),"Online","Written only")))</f>
        <v/>
      </c>
      <c r="AE418" s="21">
        <f>IF(Y418="","",IFERROR(TRIM(INDEX($A418:$T418,MATCH(Lists!$F$11,$A$1:$T$1,0))&amp;""),""))</f>
        <v/>
      </c>
      <c r="AF418" s="21">
        <f>IF(Y418="","",IFERROR(TRIM(INDEX($A418:$T418,MATCH(Lists!$F$12,$A$1:$T$1,0))&amp;""),""))</f>
        <v/>
      </c>
      <c r="AG418" s="21">
        <f>IF(Y418="","",IFERROR(TRIM(INDEX($A418:$T418,MATCH(Lists!$F$14,$A$1:$T$1,0))&amp;""),""))</f>
        <v/>
      </c>
      <c r="AH418" s="21">
        <f>IF(Y418="","",LEFT(IFERROR(TRIM(INDEX($A418:$T418,MATCH(Lists!$F$10,$A$1:$T$1,0))&amp;""),""),80))</f>
        <v/>
      </c>
      <c r="AI418" s="21">
        <f>IF(Y418="",0,IF(OR(Tally!$B$5="",AA418=Tally!$B$5),1,0))</f>
        <v/>
      </c>
      <c r="AJ418" s="21">
        <f>IF(AI418=1,IF(COUNTIFS($AB$2:AB418,AB418,$AI$2:AI418,1)=1,1,0),0)</f>
        <v/>
      </c>
      <c r="AK418" s="21">
        <f>IF(AJ418=1,SUM($AJ$2:AJ418),"")</f>
        <v/>
      </c>
      <c r="AL418" s="21">
        <f>IF(AND(AI418=1,OR(AD418="In person",AD418="Online"),OR(Speakers!$B$5="",AB418=Speakers!$B$5)),N(Z418)+ROW()/1000000000,"")</f>
        <v/>
      </c>
    </row>
    <row r="419">
      <c r="U419" s="19" t="n"/>
      <c r="V419" s="24" t="n"/>
      <c r="W419" s="24" t="n"/>
      <c r="X419" s="19" t="n"/>
      <c r="Y419" s="21">
        <f>IFERROR(TRIM(INDEX($A419:$T419,MATCH(Lists!$F$2,$A$1:$T$1,0))&amp;""),"")</f>
        <v/>
      </c>
      <c r="Z419" s="22">
        <f>IF(Y419="","",IFERROR(IF(ISNUMBER(INDEX($A419:$T419,MATCH(Lists!$F$3,$A$1:$T$1,0))),INDEX($A419:$T419,MATCH(Lists!$F$3,$A$1:$T$1,0)),DATE(VALUE(LEFT(IFERROR(TRIM(INDEX($A419:$T419,MATCH(Lists!$F$3,$A$1:$T$1,0))&amp;""),""),4)),VALUE(MID(IFERROR(TRIM(INDEX($A419:$T419,MATCH(Lists!$F$3,$A$1:$T$1,0))&amp;""),""),6,2)),VALUE(MID(IFERROR(TRIM(INDEX($A419:$T419,MATCH(Lists!$F$3,$A$1:$T$1,0))&amp;""),""),9,2)))+TIME(VALUE(MID(IFERROR(TRIM(INDEX($A419:$T419,MATCH(Lists!$F$3,$A$1:$T$1,0))&amp;""),""),12,2)),VALUE(MID(IFERROR(TRIM(INDEX($A419:$T419,MATCH(Lists!$F$3,$A$1:$T$1,0))&amp;""),""),15,2)),VALUE(MID(IFERROR(TRIM(INDEX($A419:$T419,MATCH(Lists!$F$3,$A$1:$T$1,0))&amp;""),""),18,2)))),""))</f>
        <v/>
      </c>
      <c r="AA419" s="23">
        <f>IF(Y419="","",IF(ISNUMBER(IFERROR(IF(TRIM(INDEX($A419:$T419,MATCH(Lists!$F$4,$A$1:$T$1,0))&amp;"")="","",IF(ISNUMBER(INDEX($A419:$T419,MATCH(Lists!$F$4,$A$1:$T$1,0))),INT(INDEX($A419:$T419,MATCH(Lists!$F$4,$A$1:$T$1,0))),DATE(VALUE(LEFT(INDEX($A419:$T419,MATCH(Lists!$F$4,$A$1:$T$1,0)),4)),VALUE(MID(INDEX($A419:$T419,MATCH(Lists!$F$4,$A$1:$T$1,0)),6,2)),VALUE(MID(INDEX($A419:$T419,MATCH(Lists!$F$4,$A$1:$T$1,0)),9,2))))),"")),IFERROR(IF(TRIM(INDEX($A419:$T419,MATCH(Lists!$F$4,$A$1:$T$1,0))&amp;"")="","",IF(ISNUMBER(INDEX($A419:$T419,MATCH(Lists!$F$4,$A$1:$T$1,0))),INT(INDEX($A419:$T419,MATCH(Lists!$F$4,$A$1:$T$1,0))),DATE(VALUE(LEFT(INDEX($A419:$T419,MATCH(Lists!$F$4,$A$1:$T$1,0)),4)),VALUE(MID(INDEX($A419:$T419,MATCH(Lists!$F$4,$A$1:$T$1,0)),6,2)),VALUE(MID(INDEX($A419:$T419,MATCH(Lists!$F$4,$A$1:$T$1,0)),9,2))))),""),IFERROR(IF(TRIM(INDEX($A419:$T419,MATCH(Lists!$F$5,$A$1:$T$1,0))&amp;"")="","",IF(ISNUMBER(INDEX($A419:$T419,MATCH(Lists!$F$5,$A$1:$T$1,0))),INT(INDEX($A419:$T419,MATCH(Lists!$F$5,$A$1:$T$1,0))),DATE(VALUE(LEFT(INDEX($A419:$T419,MATCH(Lists!$F$5,$A$1:$T$1,0)),4)),VALUE(MID(INDEX($A419:$T419,MATCH(Lists!$F$5,$A$1:$T$1,0)),6,2)),VALUE(MID(INDEX($A419:$T419,MATCH(Lists!$F$5,$A$1:$T$1,0)),9,2))))),"")))</f>
        <v/>
      </c>
      <c r="AB419" s="21">
        <f>IF(Y419="","",IF(LEFT(IFERROR(TRIM(INDEX($A419:$T419,MATCH(Lists!$F$6,$A$1:$T$1,0))&amp;""),""),2)="No","General comment",IF(IFERROR(TRIM(INDEX($A419:$T419,MATCH(Lists!$F$7,$A$1:$T$1,0))&amp;""),"")&lt;&gt;"",IFERROR(TRIM(INDEX($A419:$T419,MATCH(Lists!$F$7,$A$1:$T$1,0))&amp;""),""),IF(IFERROR(TRIM(INDEX($A419:$T419,MATCH(Lists!$F$8,$A$1:$T$1,0))&amp;""),"")&lt;&gt;"",IFERROR(TRIM(INDEX($A419:$T419,MATCH(Lists!$F$8,$A$1:$T$1,0))&amp;""),""),"(no item given)"))))</f>
        <v/>
      </c>
      <c r="AC419" s="21">
        <f>IF(Y419="","",IF(ISNUMBER(SEARCH("support",IFERROR(TRIM(INDEX($A419:$T419,MATCH(Lists!$F$9,$A$1:$T$1,0))&amp;""),""))),"Support",IF(ISNUMBER(SEARCH("oppose",IFERROR(TRIM(INDEX($A419:$T419,MATCH(Lists!$F$9,$A$1:$T$1,0))&amp;""),""))),"Oppose",IF(IFERROR(TRIM(INDEX($A419:$T419,MATCH(Lists!$F$9,$A$1:$T$1,0))&amp;""),"")="","No position","Neither"))))</f>
        <v/>
      </c>
      <c r="AD419" s="21">
        <f>IF(Y419="","",IF(ISNUMBER(SEARCH("in person",IFERROR(TRIM(INDEX($A419:$T419,MATCH(Lists!$F$13,$A$1:$T$1,0))&amp;""),""))),"In person",IF(ISNUMBER(SEARCH("online",IFERROR(TRIM(INDEX($A419:$T419,MATCH(Lists!$F$13,$A$1:$T$1,0))&amp;""),""))),"Online","Written only")))</f>
        <v/>
      </c>
      <c r="AE419" s="21">
        <f>IF(Y419="","",IFERROR(TRIM(INDEX($A419:$T419,MATCH(Lists!$F$11,$A$1:$T$1,0))&amp;""),""))</f>
        <v/>
      </c>
      <c r="AF419" s="21">
        <f>IF(Y419="","",IFERROR(TRIM(INDEX($A419:$T419,MATCH(Lists!$F$12,$A$1:$T$1,0))&amp;""),""))</f>
        <v/>
      </c>
      <c r="AG419" s="21">
        <f>IF(Y419="","",IFERROR(TRIM(INDEX($A419:$T419,MATCH(Lists!$F$14,$A$1:$T$1,0))&amp;""),""))</f>
        <v/>
      </c>
      <c r="AH419" s="21">
        <f>IF(Y419="","",LEFT(IFERROR(TRIM(INDEX($A419:$T419,MATCH(Lists!$F$10,$A$1:$T$1,0))&amp;""),""),80))</f>
        <v/>
      </c>
      <c r="AI419" s="21">
        <f>IF(Y419="",0,IF(OR(Tally!$B$5="",AA419=Tally!$B$5),1,0))</f>
        <v/>
      </c>
      <c r="AJ419" s="21">
        <f>IF(AI419=1,IF(COUNTIFS($AB$2:AB419,AB419,$AI$2:AI419,1)=1,1,0),0)</f>
        <v/>
      </c>
      <c r="AK419" s="21">
        <f>IF(AJ419=1,SUM($AJ$2:AJ419),"")</f>
        <v/>
      </c>
      <c r="AL419" s="21">
        <f>IF(AND(AI419=1,OR(AD419="In person",AD419="Online"),OR(Speakers!$B$5="",AB419=Speakers!$B$5)),N(Z419)+ROW()/1000000000,"")</f>
        <v/>
      </c>
    </row>
    <row r="420">
      <c r="U420" s="19" t="n"/>
      <c r="V420" s="24" t="n"/>
      <c r="W420" s="24" t="n"/>
      <c r="X420" s="19" t="n"/>
      <c r="Y420" s="21">
        <f>IFERROR(TRIM(INDEX($A420:$T420,MATCH(Lists!$F$2,$A$1:$T$1,0))&amp;""),"")</f>
        <v/>
      </c>
      <c r="Z420" s="22">
        <f>IF(Y420="","",IFERROR(IF(ISNUMBER(INDEX($A420:$T420,MATCH(Lists!$F$3,$A$1:$T$1,0))),INDEX($A420:$T420,MATCH(Lists!$F$3,$A$1:$T$1,0)),DATE(VALUE(LEFT(IFERROR(TRIM(INDEX($A420:$T420,MATCH(Lists!$F$3,$A$1:$T$1,0))&amp;""),""),4)),VALUE(MID(IFERROR(TRIM(INDEX($A420:$T420,MATCH(Lists!$F$3,$A$1:$T$1,0))&amp;""),""),6,2)),VALUE(MID(IFERROR(TRIM(INDEX($A420:$T420,MATCH(Lists!$F$3,$A$1:$T$1,0))&amp;""),""),9,2)))+TIME(VALUE(MID(IFERROR(TRIM(INDEX($A420:$T420,MATCH(Lists!$F$3,$A$1:$T$1,0))&amp;""),""),12,2)),VALUE(MID(IFERROR(TRIM(INDEX($A420:$T420,MATCH(Lists!$F$3,$A$1:$T$1,0))&amp;""),""),15,2)),VALUE(MID(IFERROR(TRIM(INDEX($A420:$T420,MATCH(Lists!$F$3,$A$1:$T$1,0))&amp;""),""),18,2)))),""))</f>
        <v/>
      </c>
      <c r="AA420" s="23">
        <f>IF(Y420="","",IF(ISNUMBER(IFERROR(IF(TRIM(INDEX($A420:$T420,MATCH(Lists!$F$4,$A$1:$T$1,0))&amp;"")="","",IF(ISNUMBER(INDEX($A420:$T420,MATCH(Lists!$F$4,$A$1:$T$1,0))),INT(INDEX($A420:$T420,MATCH(Lists!$F$4,$A$1:$T$1,0))),DATE(VALUE(LEFT(INDEX($A420:$T420,MATCH(Lists!$F$4,$A$1:$T$1,0)),4)),VALUE(MID(INDEX($A420:$T420,MATCH(Lists!$F$4,$A$1:$T$1,0)),6,2)),VALUE(MID(INDEX($A420:$T420,MATCH(Lists!$F$4,$A$1:$T$1,0)),9,2))))),"")),IFERROR(IF(TRIM(INDEX($A420:$T420,MATCH(Lists!$F$4,$A$1:$T$1,0))&amp;"")="","",IF(ISNUMBER(INDEX($A420:$T420,MATCH(Lists!$F$4,$A$1:$T$1,0))),INT(INDEX($A420:$T420,MATCH(Lists!$F$4,$A$1:$T$1,0))),DATE(VALUE(LEFT(INDEX($A420:$T420,MATCH(Lists!$F$4,$A$1:$T$1,0)),4)),VALUE(MID(INDEX($A420:$T420,MATCH(Lists!$F$4,$A$1:$T$1,0)),6,2)),VALUE(MID(INDEX($A420:$T420,MATCH(Lists!$F$4,$A$1:$T$1,0)),9,2))))),""),IFERROR(IF(TRIM(INDEX($A420:$T420,MATCH(Lists!$F$5,$A$1:$T$1,0))&amp;"")="","",IF(ISNUMBER(INDEX($A420:$T420,MATCH(Lists!$F$5,$A$1:$T$1,0))),INT(INDEX($A420:$T420,MATCH(Lists!$F$5,$A$1:$T$1,0))),DATE(VALUE(LEFT(INDEX($A420:$T420,MATCH(Lists!$F$5,$A$1:$T$1,0)),4)),VALUE(MID(INDEX($A420:$T420,MATCH(Lists!$F$5,$A$1:$T$1,0)),6,2)),VALUE(MID(INDEX($A420:$T420,MATCH(Lists!$F$5,$A$1:$T$1,0)),9,2))))),"")))</f>
        <v/>
      </c>
      <c r="AB420" s="21">
        <f>IF(Y420="","",IF(LEFT(IFERROR(TRIM(INDEX($A420:$T420,MATCH(Lists!$F$6,$A$1:$T$1,0))&amp;""),""),2)="No","General comment",IF(IFERROR(TRIM(INDEX($A420:$T420,MATCH(Lists!$F$7,$A$1:$T$1,0))&amp;""),"")&lt;&gt;"",IFERROR(TRIM(INDEX($A420:$T420,MATCH(Lists!$F$7,$A$1:$T$1,0))&amp;""),""),IF(IFERROR(TRIM(INDEX($A420:$T420,MATCH(Lists!$F$8,$A$1:$T$1,0))&amp;""),"")&lt;&gt;"",IFERROR(TRIM(INDEX($A420:$T420,MATCH(Lists!$F$8,$A$1:$T$1,0))&amp;""),""),"(no item given)"))))</f>
        <v/>
      </c>
      <c r="AC420" s="21">
        <f>IF(Y420="","",IF(ISNUMBER(SEARCH("support",IFERROR(TRIM(INDEX($A420:$T420,MATCH(Lists!$F$9,$A$1:$T$1,0))&amp;""),""))),"Support",IF(ISNUMBER(SEARCH("oppose",IFERROR(TRIM(INDEX($A420:$T420,MATCH(Lists!$F$9,$A$1:$T$1,0))&amp;""),""))),"Oppose",IF(IFERROR(TRIM(INDEX($A420:$T420,MATCH(Lists!$F$9,$A$1:$T$1,0))&amp;""),"")="","No position","Neither"))))</f>
        <v/>
      </c>
      <c r="AD420" s="21">
        <f>IF(Y420="","",IF(ISNUMBER(SEARCH("in person",IFERROR(TRIM(INDEX($A420:$T420,MATCH(Lists!$F$13,$A$1:$T$1,0))&amp;""),""))),"In person",IF(ISNUMBER(SEARCH("online",IFERROR(TRIM(INDEX($A420:$T420,MATCH(Lists!$F$13,$A$1:$T$1,0))&amp;""),""))),"Online","Written only")))</f>
        <v/>
      </c>
      <c r="AE420" s="21">
        <f>IF(Y420="","",IFERROR(TRIM(INDEX($A420:$T420,MATCH(Lists!$F$11,$A$1:$T$1,0))&amp;""),""))</f>
        <v/>
      </c>
      <c r="AF420" s="21">
        <f>IF(Y420="","",IFERROR(TRIM(INDEX($A420:$T420,MATCH(Lists!$F$12,$A$1:$T$1,0))&amp;""),""))</f>
        <v/>
      </c>
      <c r="AG420" s="21">
        <f>IF(Y420="","",IFERROR(TRIM(INDEX($A420:$T420,MATCH(Lists!$F$14,$A$1:$T$1,0))&amp;""),""))</f>
        <v/>
      </c>
      <c r="AH420" s="21">
        <f>IF(Y420="","",LEFT(IFERROR(TRIM(INDEX($A420:$T420,MATCH(Lists!$F$10,$A$1:$T$1,0))&amp;""),""),80))</f>
        <v/>
      </c>
      <c r="AI420" s="21">
        <f>IF(Y420="",0,IF(OR(Tally!$B$5="",AA420=Tally!$B$5),1,0))</f>
        <v/>
      </c>
      <c r="AJ420" s="21">
        <f>IF(AI420=1,IF(COUNTIFS($AB$2:AB420,AB420,$AI$2:AI420,1)=1,1,0),0)</f>
        <v/>
      </c>
      <c r="AK420" s="21">
        <f>IF(AJ420=1,SUM($AJ$2:AJ420),"")</f>
        <v/>
      </c>
      <c r="AL420" s="21">
        <f>IF(AND(AI420=1,OR(AD420="In person",AD420="Online"),OR(Speakers!$B$5="",AB420=Speakers!$B$5)),N(Z420)+ROW()/1000000000,"")</f>
        <v/>
      </c>
    </row>
    <row r="421">
      <c r="U421" s="19" t="n"/>
      <c r="V421" s="24" t="n"/>
      <c r="W421" s="24" t="n"/>
      <c r="X421" s="19" t="n"/>
      <c r="Y421" s="21">
        <f>IFERROR(TRIM(INDEX($A421:$T421,MATCH(Lists!$F$2,$A$1:$T$1,0))&amp;""),"")</f>
        <v/>
      </c>
      <c r="Z421" s="22">
        <f>IF(Y421="","",IFERROR(IF(ISNUMBER(INDEX($A421:$T421,MATCH(Lists!$F$3,$A$1:$T$1,0))),INDEX($A421:$T421,MATCH(Lists!$F$3,$A$1:$T$1,0)),DATE(VALUE(LEFT(IFERROR(TRIM(INDEX($A421:$T421,MATCH(Lists!$F$3,$A$1:$T$1,0))&amp;""),""),4)),VALUE(MID(IFERROR(TRIM(INDEX($A421:$T421,MATCH(Lists!$F$3,$A$1:$T$1,0))&amp;""),""),6,2)),VALUE(MID(IFERROR(TRIM(INDEX($A421:$T421,MATCH(Lists!$F$3,$A$1:$T$1,0))&amp;""),""),9,2)))+TIME(VALUE(MID(IFERROR(TRIM(INDEX($A421:$T421,MATCH(Lists!$F$3,$A$1:$T$1,0))&amp;""),""),12,2)),VALUE(MID(IFERROR(TRIM(INDEX($A421:$T421,MATCH(Lists!$F$3,$A$1:$T$1,0))&amp;""),""),15,2)),VALUE(MID(IFERROR(TRIM(INDEX($A421:$T421,MATCH(Lists!$F$3,$A$1:$T$1,0))&amp;""),""),18,2)))),""))</f>
        <v/>
      </c>
      <c r="AA421" s="23">
        <f>IF(Y421="","",IF(ISNUMBER(IFERROR(IF(TRIM(INDEX($A421:$T421,MATCH(Lists!$F$4,$A$1:$T$1,0))&amp;"")="","",IF(ISNUMBER(INDEX($A421:$T421,MATCH(Lists!$F$4,$A$1:$T$1,0))),INT(INDEX($A421:$T421,MATCH(Lists!$F$4,$A$1:$T$1,0))),DATE(VALUE(LEFT(INDEX($A421:$T421,MATCH(Lists!$F$4,$A$1:$T$1,0)),4)),VALUE(MID(INDEX($A421:$T421,MATCH(Lists!$F$4,$A$1:$T$1,0)),6,2)),VALUE(MID(INDEX($A421:$T421,MATCH(Lists!$F$4,$A$1:$T$1,0)),9,2))))),"")),IFERROR(IF(TRIM(INDEX($A421:$T421,MATCH(Lists!$F$4,$A$1:$T$1,0))&amp;"")="","",IF(ISNUMBER(INDEX($A421:$T421,MATCH(Lists!$F$4,$A$1:$T$1,0))),INT(INDEX($A421:$T421,MATCH(Lists!$F$4,$A$1:$T$1,0))),DATE(VALUE(LEFT(INDEX($A421:$T421,MATCH(Lists!$F$4,$A$1:$T$1,0)),4)),VALUE(MID(INDEX($A421:$T421,MATCH(Lists!$F$4,$A$1:$T$1,0)),6,2)),VALUE(MID(INDEX($A421:$T421,MATCH(Lists!$F$4,$A$1:$T$1,0)),9,2))))),""),IFERROR(IF(TRIM(INDEX($A421:$T421,MATCH(Lists!$F$5,$A$1:$T$1,0))&amp;"")="","",IF(ISNUMBER(INDEX($A421:$T421,MATCH(Lists!$F$5,$A$1:$T$1,0))),INT(INDEX($A421:$T421,MATCH(Lists!$F$5,$A$1:$T$1,0))),DATE(VALUE(LEFT(INDEX($A421:$T421,MATCH(Lists!$F$5,$A$1:$T$1,0)),4)),VALUE(MID(INDEX($A421:$T421,MATCH(Lists!$F$5,$A$1:$T$1,0)),6,2)),VALUE(MID(INDEX($A421:$T421,MATCH(Lists!$F$5,$A$1:$T$1,0)),9,2))))),"")))</f>
        <v/>
      </c>
      <c r="AB421" s="21">
        <f>IF(Y421="","",IF(LEFT(IFERROR(TRIM(INDEX($A421:$T421,MATCH(Lists!$F$6,$A$1:$T$1,0))&amp;""),""),2)="No","General comment",IF(IFERROR(TRIM(INDEX($A421:$T421,MATCH(Lists!$F$7,$A$1:$T$1,0))&amp;""),"")&lt;&gt;"",IFERROR(TRIM(INDEX($A421:$T421,MATCH(Lists!$F$7,$A$1:$T$1,0))&amp;""),""),IF(IFERROR(TRIM(INDEX($A421:$T421,MATCH(Lists!$F$8,$A$1:$T$1,0))&amp;""),"")&lt;&gt;"",IFERROR(TRIM(INDEX($A421:$T421,MATCH(Lists!$F$8,$A$1:$T$1,0))&amp;""),""),"(no item given)"))))</f>
        <v/>
      </c>
      <c r="AC421" s="21">
        <f>IF(Y421="","",IF(ISNUMBER(SEARCH("support",IFERROR(TRIM(INDEX($A421:$T421,MATCH(Lists!$F$9,$A$1:$T$1,0))&amp;""),""))),"Support",IF(ISNUMBER(SEARCH("oppose",IFERROR(TRIM(INDEX($A421:$T421,MATCH(Lists!$F$9,$A$1:$T$1,0))&amp;""),""))),"Oppose",IF(IFERROR(TRIM(INDEX($A421:$T421,MATCH(Lists!$F$9,$A$1:$T$1,0))&amp;""),"")="","No position","Neither"))))</f>
        <v/>
      </c>
      <c r="AD421" s="21">
        <f>IF(Y421="","",IF(ISNUMBER(SEARCH("in person",IFERROR(TRIM(INDEX($A421:$T421,MATCH(Lists!$F$13,$A$1:$T$1,0))&amp;""),""))),"In person",IF(ISNUMBER(SEARCH("online",IFERROR(TRIM(INDEX($A421:$T421,MATCH(Lists!$F$13,$A$1:$T$1,0))&amp;""),""))),"Online","Written only")))</f>
        <v/>
      </c>
      <c r="AE421" s="21">
        <f>IF(Y421="","",IFERROR(TRIM(INDEX($A421:$T421,MATCH(Lists!$F$11,$A$1:$T$1,0))&amp;""),""))</f>
        <v/>
      </c>
      <c r="AF421" s="21">
        <f>IF(Y421="","",IFERROR(TRIM(INDEX($A421:$T421,MATCH(Lists!$F$12,$A$1:$T$1,0))&amp;""),""))</f>
        <v/>
      </c>
      <c r="AG421" s="21">
        <f>IF(Y421="","",IFERROR(TRIM(INDEX($A421:$T421,MATCH(Lists!$F$14,$A$1:$T$1,0))&amp;""),""))</f>
        <v/>
      </c>
      <c r="AH421" s="21">
        <f>IF(Y421="","",LEFT(IFERROR(TRIM(INDEX($A421:$T421,MATCH(Lists!$F$10,$A$1:$T$1,0))&amp;""),""),80))</f>
        <v/>
      </c>
      <c r="AI421" s="21">
        <f>IF(Y421="",0,IF(OR(Tally!$B$5="",AA421=Tally!$B$5),1,0))</f>
        <v/>
      </c>
      <c r="AJ421" s="21">
        <f>IF(AI421=1,IF(COUNTIFS($AB$2:AB421,AB421,$AI$2:AI421,1)=1,1,0),0)</f>
        <v/>
      </c>
      <c r="AK421" s="21">
        <f>IF(AJ421=1,SUM($AJ$2:AJ421),"")</f>
        <v/>
      </c>
      <c r="AL421" s="21">
        <f>IF(AND(AI421=1,OR(AD421="In person",AD421="Online"),OR(Speakers!$B$5="",AB421=Speakers!$B$5)),N(Z421)+ROW()/1000000000,"")</f>
        <v/>
      </c>
    </row>
    <row r="422">
      <c r="U422" s="19" t="n"/>
      <c r="V422" s="24" t="n"/>
      <c r="W422" s="24" t="n"/>
      <c r="X422" s="19" t="n"/>
      <c r="Y422" s="21">
        <f>IFERROR(TRIM(INDEX($A422:$T422,MATCH(Lists!$F$2,$A$1:$T$1,0))&amp;""),"")</f>
        <v/>
      </c>
      <c r="Z422" s="22">
        <f>IF(Y422="","",IFERROR(IF(ISNUMBER(INDEX($A422:$T422,MATCH(Lists!$F$3,$A$1:$T$1,0))),INDEX($A422:$T422,MATCH(Lists!$F$3,$A$1:$T$1,0)),DATE(VALUE(LEFT(IFERROR(TRIM(INDEX($A422:$T422,MATCH(Lists!$F$3,$A$1:$T$1,0))&amp;""),""),4)),VALUE(MID(IFERROR(TRIM(INDEX($A422:$T422,MATCH(Lists!$F$3,$A$1:$T$1,0))&amp;""),""),6,2)),VALUE(MID(IFERROR(TRIM(INDEX($A422:$T422,MATCH(Lists!$F$3,$A$1:$T$1,0))&amp;""),""),9,2)))+TIME(VALUE(MID(IFERROR(TRIM(INDEX($A422:$T422,MATCH(Lists!$F$3,$A$1:$T$1,0))&amp;""),""),12,2)),VALUE(MID(IFERROR(TRIM(INDEX($A422:$T422,MATCH(Lists!$F$3,$A$1:$T$1,0))&amp;""),""),15,2)),VALUE(MID(IFERROR(TRIM(INDEX($A422:$T422,MATCH(Lists!$F$3,$A$1:$T$1,0))&amp;""),""),18,2)))),""))</f>
        <v/>
      </c>
      <c r="AA422" s="23">
        <f>IF(Y422="","",IF(ISNUMBER(IFERROR(IF(TRIM(INDEX($A422:$T422,MATCH(Lists!$F$4,$A$1:$T$1,0))&amp;"")="","",IF(ISNUMBER(INDEX($A422:$T422,MATCH(Lists!$F$4,$A$1:$T$1,0))),INT(INDEX($A422:$T422,MATCH(Lists!$F$4,$A$1:$T$1,0))),DATE(VALUE(LEFT(INDEX($A422:$T422,MATCH(Lists!$F$4,$A$1:$T$1,0)),4)),VALUE(MID(INDEX($A422:$T422,MATCH(Lists!$F$4,$A$1:$T$1,0)),6,2)),VALUE(MID(INDEX($A422:$T422,MATCH(Lists!$F$4,$A$1:$T$1,0)),9,2))))),"")),IFERROR(IF(TRIM(INDEX($A422:$T422,MATCH(Lists!$F$4,$A$1:$T$1,0))&amp;"")="","",IF(ISNUMBER(INDEX($A422:$T422,MATCH(Lists!$F$4,$A$1:$T$1,0))),INT(INDEX($A422:$T422,MATCH(Lists!$F$4,$A$1:$T$1,0))),DATE(VALUE(LEFT(INDEX($A422:$T422,MATCH(Lists!$F$4,$A$1:$T$1,0)),4)),VALUE(MID(INDEX($A422:$T422,MATCH(Lists!$F$4,$A$1:$T$1,0)),6,2)),VALUE(MID(INDEX($A422:$T422,MATCH(Lists!$F$4,$A$1:$T$1,0)),9,2))))),""),IFERROR(IF(TRIM(INDEX($A422:$T422,MATCH(Lists!$F$5,$A$1:$T$1,0))&amp;"")="","",IF(ISNUMBER(INDEX($A422:$T422,MATCH(Lists!$F$5,$A$1:$T$1,0))),INT(INDEX($A422:$T422,MATCH(Lists!$F$5,$A$1:$T$1,0))),DATE(VALUE(LEFT(INDEX($A422:$T422,MATCH(Lists!$F$5,$A$1:$T$1,0)),4)),VALUE(MID(INDEX($A422:$T422,MATCH(Lists!$F$5,$A$1:$T$1,0)),6,2)),VALUE(MID(INDEX($A422:$T422,MATCH(Lists!$F$5,$A$1:$T$1,0)),9,2))))),"")))</f>
        <v/>
      </c>
      <c r="AB422" s="21">
        <f>IF(Y422="","",IF(LEFT(IFERROR(TRIM(INDEX($A422:$T422,MATCH(Lists!$F$6,$A$1:$T$1,0))&amp;""),""),2)="No","General comment",IF(IFERROR(TRIM(INDEX($A422:$T422,MATCH(Lists!$F$7,$A$1:$T$1,0))&amp;""),"")&lt;&gt;"",IFERROR(TRIM(INDEX($A422:$T422,MATCH(Lists!$F$7,$A$1:$T$1,0))&amp;""),""),IF(IFERROR(TRIM(INDEX($A422:$T422,MATCH(Lists!$F$8,$A$1:$T$1,0))&amp;""),"")&lt;&gt;"",IFERROR(TRIM(INDEX($A422:$T422,MATCH(Lists!$F$8,$A$1:$T$1,0))&amp;""),""),"(no item given)"))))</f>
        <v/>
      </c>
      <c r="AC422" s="21">
        <f>IF(Y422="","",IF(ISNUMBER(SEARCH("support",IFERROR(TRIM(INDEX($A422:$T422,MATCH(Lists!$F$9,$A$1:$T$1,0))&amp;""),""))),"Support",IF(ISNUMBER(SEARCH("oppose",IFERROR(TRIM(INDEX($A422:$T422,MATCH(Lists!$F$9,$A$1:$T$1,0))&amp;""),""))),"Oppose",IF(IFERROR(TRIM(INDEX($A422:$T422,MATCH(Lists!$F$9,$A$1:$T$1,0))&amp;""),"")="","No position","Neither"))))</f>
        <v/>
      </c>
      <c r="AD422" s="21">
        <f>IF(Y422="","",IF(ISNUMBER(SEARCH("in person",IFERROR(TRIM(INDEX($A422:$T422,MATCH(Lists!$F$13,$A$1:$T$1,0))&amp;""),""))),"In person",IF(ISNUMBER(SEARCH("online",IFERROR(TRIM(INDEX($A422:$T422,MATCH(Lists!$F$13,$A$1:$T$1,0))&amp;""),""))),"Online","Written only")))</f>
        <v/>
      </c>
      <c r="AE422" s="21">
        <f>IF(Y422="","",IFERROR(TRIM(INDEX($A422:$T422,MATCH(Lists!$F$11,$A$1:$T$1,0))&amp;""),""))</f>
        <v/>
      </c>
      <c r="AF422" s="21">
        <f>IF(Y422="","",IFERROR(TRIM(INDEX($A422:$T422,MATCH(Lists!$F$12,$A$1:$T$1,0))&amp;""),""))</f>
        <v/>
      </c>
      <c r="AG422" s="21">
        <f>IF(Y422="","",IFERROR(TRIM(INDEX($A422:$T422,MATCH(Lists!$F$14,$A$1:$T$1,0))&amp;""),""))</f>
        <v/>
      </c>
      <c r="AH422" s="21">
        <f>IF(Y422="","",LEFT(IFERROR(TRIM(INDEX($A422:$T422,MATCH(Lists!$F$10,$A$1:$T$1,0))&amp;""),""),80))</f>
        <v/>
      </c>
      <c r="AI422" s="21">
        <f>IF(Y422="",0,IF(OR(Tally!$B$5="",AA422=Tally!$B$5),1,0))</f>
        <v/>
      </c>
      <c r="AJ422" s="21">
        <f>IF(AI422=1,IF(COUNTIFS($AB$2:AB422,AB422,$AI$2:AI422,1)=1,1,0),0)</f>
        <v/>
      </c>
      <c r="AK422" s="21">
        <f>IF(AJ422=1,SUM($AJ$2:AJ422),"")</f>
        <v/>
      </c>
      <c r="AL422" s="21">
        <f>IF(AND(AI422=1,OR(AD422="In person",AD422="Online"),OR(Speakers!$B$5="",AB422=Speakers!$B$5)),N(Z422)+ROW()/1000000000,"")</f>
        <v/>
      </c>
    </row>
    <row r="423">
      <c r="U423" s="19" t="n"/>
      <c r="V423" s="24" t="n"/>
      <c r="W423" s="24" t="n"/>
      <c r="X423" s="19" t="n"/>
      <c r="Y423" s="21">
        <f>IFERROR(TRIM(INDEX($A423:$T423,MATCH(Lists!$F$2,$A$1:$T$1,0))&amp;""),"")</f>
        <v/>
      </c>
      <c r="Z423" s="22">
        <f>IF(Y423="","",IFERROR(IF(ISNUMBER(INDEX($A423:$T423,MATCH(Lists!$F$3,$A$1:$T$1,0))),INDEX($A423:$T423,MATCH(Lists!$F$3,$A$1:$T$1,0)),DATE(VALUE(LEFT(IFERROR(TRIM(INDEX($A423:$T423,MATCH(Lists!$F$3,$A$1:$T$1,0))&amp;""),""),4)),VALUE(MID(IFERROR(TRIM(INDEX($A423:$T423,MATCH(Lists!$F$3,$A$1:$T$1,0))&amp;""),""),6,2)),VALUE(MID(IFERROR(TRIM(INDEX($A423:$T423,MATCH(Lists!$F$3,$A$1:$T$1,0))&amp;""),""),9,2)))+TIME(VALUE(MID(IFERROR(TRIM(INDEX($A423:$T423,MATCH(Lists!$F$3,$A$1:$T$1,0))&amp;""),""),12,2)),VALUE(MID(IFERROR(TRIM(INDEX($A423:$T423,MATCH(Lists!$F$3,$A$1:$T$1,0))&amp;""),""),15,2)),VALUE(MID(IFERROR(TRIM(INDEX($A423:$T423,MATCH(Lists!$F$3,$A$1:$T$1,0))&amp;""),""),18,2)))),""))</f>
        <v/>
      </c>
      <c r="AA423" s="23">
        <f>IF(Y423="","",IF(ISNUMBER(IFERROR(IF(TRIM(INDEX($A423:$T423,MATCH(Lists!$F$4,$A$1:$T$1,0))&amp;"")="","",IF(ISNUMBER(INDEX($A423:$T423,MATCH(Lists!$F$4,$A$1:$T$1,0))),INT(INDEX($A423:$T423,MATCH(Lists!$F$4,$A$1:$T$1,0))),DATE(VALUE(LEFT(INDEX($A423:$T423,MATCH(Lists!$F$4,$A$1:$T$1,0)),4)),VALUE(MID(INDEX($A423:$T423,MATCH(Lists!$F$4,$A$1:$T$1,0)),6,2)),VALUE(MID(INDEX($A423:$T423,MATCH(Lists!$F$4,$A$1:$T$1,0)),9,2))))),"")),IFERROR(IF(TRIM(INDEX($A423:$T423,MATCH(Lists!$F$4,$A$1:$T$1,0))&amp;"")="","",IF(ISNUMBER(INDEX($A423:$T423,MATCH(Lists!$F$4,$A$1:$T$1,0))),INT(INDEX($A423:$T423,MATCH(Lists!$F$4,$A$1:$T$1,0))),DATE(VALUE(LEFT(INDEX($A423:$T423,MATCH(Lists!$F$4,$A$1:$T$1,0)),4)),VALUE(MID(INDEX($A423:$T423,MATCH(Lists!$F$4,$A$1:$T$1,0)),6,2)),VALUE(MID(INDEX($A423:$T423,MATCH(Lists!$F$4,$A$1:$T$1,0)),9,2))))),""),IFERROR(IF(TRIM(INDEX($A423:$T423,MATCH(Lists!$F$5,$A$1:$T$1,0))&amp;"")="","",IF(ISNUMBER(INDEX($A423:$T423,MATCH(Lists!$F$5,$A$1:$T$1,0))),INT(INDEX($A423:$T423,MATCH(Lists!$F$5,$A$1:$T$1,0))),DATE(VALUE(LEFT(INDEX($A423:$T423,MATCH(Lists!$F$5,$A$1:$T$1,0)),4)),VALUE(MID(INDEX($A423:$T423,MATCH(Lists!$F$5,$A$1:$T$1,0)),6,2)),VALUE(MID(INDEX($A423:$T423,MATCH(Lists!$F$5,$A$1:$T$1,0)),9,2))))),"")))</f>
        <v/>
      </c>
      <c r="AB423" s="21">
        <f>IF(Y423="","",IF(LEFT(IFERROR(TRIM(INDEX($A423:$T423,MATCH(Lists!$F$6,$A$1:$T$1,0))&amp;""),""),2)="No","General comment",IF(IFERROR(TRIM(INDEX($A423:$T423,MATCH(Lists!$F$7,$A$1:$T$1,0))&amp;""),"")&lt;&gt;"",IFERROR(TRIM(INDEX($A423:$T423,MATCH(Lists!$F$7,$A$1:$T$1,0))&amp;""),""),IF(IFERROR(TRIM(INDEX($A423:$T423,MATCH(Lists!$F$8,$A$1:$T$1,0))&amp;""),"")&lt;&gt;"",IFERROR(TRIM(INDEX($A423:$T423,MATCH(Lists!$F$8,$A$1:$T$1,0))&amp;""),""),"(no item given)"))))</f>
        <v/>
      </c>
      <c r="AC423" s="21">
        <f>IF(Y423="","",IF(ISNUMBER(SEARCH("support",IFERROR(TRIM(INDEX($A423:$T423,MATCH(Lists!$F$9,$A$1:$T$1,0))&amp;""),""))),"Support",IF(ISNUMBER(SEARCH("oppose",IFERROR(TRIM(INDEX($A423:$T423,MATCH(Lists!$F$9,$A$1:$T$1,0))&amp;""),""))),"Oppose",IF(IFERROR(TRIM(INDEX($A423:$T423,MATCH(Lists!$F$9,$A$1:$T$1,0))&amp;""),"")="","No position","Neither"))))</f>
        <v/>
      </c>
      <c r="AD423" s="21">
        <f>IF(Y423="","",IF(ISNUMBER(SEARCH("in person",IFERROR(TRIM(INDEX($A423:$T423,MATCH(Lists!$F$13,$A$1:$T$1,0))&amp;""),""))),"In person",IF(ISNUMBER(SEARCH("online",IFERROR(TRIM(INDEX($A423:$T423,MATCH(Lists!$F$13,$A$1:$T$1,0))&amp;""),""))),"Online","Written only")))</f>
        <v/>
      </c>
      <c r="AE423" s="21">
        <f>IF(Y423="","",IFERROR(TRIM(INDEX($A423:$T423,MATCH(Lists!$F$11,$A$1:$T$1,0))&amp;""),""))</f>
        <v/>
      </c>
      <c r="AF423" s="21">
        <f>IF(Y423="","",IFERROR(TRIM(INDEX($A423:$T423,MATCH(Lists!$F$12,$A$1:$T$1,0))&amp;""),""))</f>
        <v/>
      </c>
      <c r="AG423" s="21">
        <f>IF(Y423="","",IFERROR(TRIM(INDEX($A423:$T423,MATCH(Lists!$F$14,$A$1:$T$1,0))&amp;""),""))</f>
        <v/>
      </c>
      <c r="AH423" s="21">
        <f>IF(Y423="","",LEFT(IFERROR(TRIM(INDEX($A423:$T423,MATCH(Lists!$F$10,$A$1:$T$1,0))&amp;""),""),80))</f>
        <v/>
      </c>
      <c r="AI423" s="21">
        <f>IF(Y423="",0,IF(OR(Tally!$B$5="",AA423=Tally!$B$5),1,0))</f>
        <v/>
      </c>
      <c r="AJ423" s="21">
        <f>IF(AI423=1,IF(COUNTIFS($AB$2:AB423,AB423,$AI$2:AI423,1)=1,1,0),0)</f>
        <v/>
      </c>
      <c r="AK423" s="21">
        <f>IF(AJ423=1,SUM($AJ$2:AJ423),"")</f>
        <v/>
      </c>
      <c r="AL423" s="21">
        <f>IF(AND(AI423=1,OR(AD423="In person",AD423="Online"),OR(Speakers!$B$5="",AB423=Speakers!$B$5)),N(Z423)+ROW()/1000000000,"")</f>
        <v/>
      </c>
    </row>
    <row r="424">
      <c r="U424" s="19" t="n"/>
      <c r="V424" s="24" t="n"/>
      <c r="W424" s="24" t="n"/>
      <c r="X424" s="19" t="n"/>
      <c r="Y424" s="21">
        <f>IFERROR(TRIM(INDEX($A424:$T424,MATCH(Lists!$F$2,$A$1:$T$1,0))&amp;""),"")</f>
        <v/>
      </c>
      <c r="Z424" s="22">
        <f>IF(Y424="","",IFERROR(IF(ISNUMBER(INDEX($A424:$T424,MATCH(Lists!$F$3,$A$1:$T$1,0))),INDEX($A424:$T424,MATCH(Lists!$F$3,$A$1:$T$1,0)),DATE(VALUE(LEFT(IFERROR(TRIM(INDEX($A424:$T424,MATCH(Lists!$F$3,$A$1:$T$1,0))&amp;""),""),4)),VALUE(MID(IFERROR(TRIM(INDEX($A424:$T424,MATCH(Lists!$F$3,$A$1:$T$1,0))&amp;""),""),6,2)),VALUE(MID(IFERROR(TRIM(INDEX($A424:$T424,MATCH(Lists!$F$3,$A$1:$T$1,0))&amp;""),""),9,2)))+TIME(VALUE(MID(IFERROR(TRIM(INDEX($A424:$T424,MATCH(Lists!$F$3,$A$1:$T$1,0))&amp;""),""),12,2)),VALUE(MID(IFERROR(TRIM(INDEX($A424:$T424,MATCH(Lists!$F$3,$A$1:$T$1,0))&amp;""),""),15,2)),VALUE(MID(IFERROR(TRIM(INDEX($A424:$T424,MATCH(Lists!$F$3,$A$1:$T$1,0))&amp;""),""),18,2)))),""))</f>
        <v/>
      </c>
      <c r="AA424" s="23">
        <f>IF(Y424="","",IF(ISNUMBER(IFERROR(IF(TRIM(INDEX($A424:$T424,MATCH(Lists!$F$4,$A$1:$T$1,0))&amp;"")="","",IF(ISNUMBER(INDEX($A424:$T424,MATCH(Lists!$F$4,$A$1:$T$1,0))),INT(INDEX($A424:$T424,MATCH(Lists!$F$4,$A$1:$T$1,0))),DATE(VALUE(LEFT(INDEX($A424:$T424,MATCH(Lists!$F$4,$A$1:$T$1,0)),4)),VALUE(MID(INDEX($A424:$T424,MATCH(Lists!$F$4,$A$1:$T$1,0)),6,2)),VALUE(MID(INDEX($A424:$T424,MATCH(Lists!$F$4,$A$1:$T$1,0)),9,2))))),"")),IFERROR(IF(TRIM(INDEX($A424:$T424,MATCH(Lists!$F$4,$A$1:$T$1,0))&amp;"")="","",IF(ISNUMBER(INDEX($A424:$T424,MATCH(Lists!$F$4,$A$1:$T$1,0))),INT(INDEX($A424:$T424,MATCH(Lists!$F$4,$A$1:$T$1,0))),DATE(VALUE(LEFT(INDEX($A424:$T424,MATCH(Lists!$F$4,$A$1:$T$1,0)),4)),VALUE(MID(INDEX($A424:$T424,MATCH(Lists!$F$4,$A$1:$T$1,0)),6,2)),VALUE(MID(INDEX($A424:$T424,MATCH(Lists!$F$4,$A$1:$T$1,0)),9,2))))),""),IFERROR(IF(TRIM(INDEX($A424:$T424,MATCH(Lists!$F$5,$A$1:$T$1,0))&amp;"")="","",IF(ISNUMBER(INDEX($A424:$T424,MATCH(Lists!$F$5,$A$1:$T$1,0))),INT(INDEX($A424:$T424,MATCH(Lists!$F$5,$A$1:$T$1,0))),DATE(VALUE(LEFT(INDEX($A424:$T424,MATCH(Lists!$F$5,$A$1:$T$1,0)),4)),VALUE(MID(INDEX($A424:$T424,MATCH(Lists!$F$5,$A$1:$T$1,0)),6,2)),VALUE(MID(INDEX($A424:$T424,MATCH(Lists!$F$5,$A$1:$T$1,0)),9,2))))),"")))</f>
        <v/>
      </c>
      <c r="AB424" s="21">
        <f>IF(Y424="","",IF(LEFT(IFERROR(TRIM(INDEX($A424:$T424,MATCH(Lists!$F$6,$A$1:$T$1,0))&amp;""),""),2)="No","General comment",IF(IFERROR(TRIM(INDEX($A424:$T424,MATCH(Lists!$F$7,$A$1:$T$1,0))&amp;""),"")&lt;&gt;"",IFERROR(TRIM(INDEX($A424:$T424,MATCH(Lists!$F$7,$A$1:$T$1,0))&amp;""),""),IF(IFERROR(TRIM(INDEX($A424:$T424,MATCH(Lists!$F$8,$A$1:$T$1,0))&amp;""),"")&lt;&gt;"",IFERROR(TRIM(INDEX($A424:$T424,MATCH(Lists!$F$8,$A$1:$T$1,0))&amp;""),""),"(no item given)"))))</f>
        <v/>
      </c>
      <c r="AC424" s="21">
        <f>IF(Y424="","",IF(ISNUMBER(SEARCH("support",IFERROR(TRIM(INDEX($A424:$T424,MATCH(Lists!$F$9,$A$1:$T$1,0))&amp;""),""))),"Support",IF(ISNUMBER(SEARCH("oppose",IFERROR(TRIM(INDEX($A424:$T424,MATCH(Lists!$F$9,$A$1:$T$1,0))&amp;""),""))),"Oppose",IF(IFERROR(TRIM(INDEX($A424:$T424,MATCH(Lists!$F$9,$A$1:$T$1,0))&amp;""),"")="","No position","Neither"))))</f>
        <v/>
      </c>
      <c r="AD424" s="21">
        <f>IF(Y424="","",IF(ISNUMBER(SEARCH("in person",IFERROR(TRIM(INDEX($A424:$T424,MATCH(Lists!$F$13,$A$1:$T$1,0))&amp;""),""))),"In person",IF(ISNUMBER(SEARCH("online",IFERROR(TRIM(INDEX($A424:$T424,MATCH(Lists!$F$13,$A$1:$T$1,0))&amp;""),""))),"Online","Written only")))</f>
        <v/>
      </c>
      <c r="AE424" s="21">
        <f>IF(Y424="","",IFERROR(TRIM(INDEX($A424:$T424,MATCH(Lists!$F$11,$A$1:$T$1,0))&amp;""),""))</f>
        <v/>
      </c>
      <c r="AF424" s="21">
        <f>IF(Y424="","",IFERROR(TRIM(INDEX($A424:$T424,MATCH(Lists!$F$12,$A$1:$T$1,0))&amp;""),""))</f>
        <v/>
      </c>
      <c r="AG424" s="21">
        <f>IF(Y424="","",IFERROR(TRIM(INDEX($A424:$T424,MATCH(Lists!$F$14,$A$1:$T$1,0))&amp;""),""))</f>
        <v/>
      </c>
      <c r="AH424" s="21">
        <f>IF(Y424="","",LEFT(IFERROR(TRIM(INDEX($A424:$T424,MATCH(Lists!$F$10,$A$1:$T$1,0))&amp;""),""),80))</f>
        <v/>
      </c>
      <c r="AI424" s="21">
        <f>IF(Y424="",0,IF(OR(Tally!$B$5="",AA424=Tally!$B$5),1,0))</f>
        <v/>
      </c>
      <c r="AJ424" s="21">
        <f>IF(AI424=1,IF(COUNTIFS($AB$2:AB424,AB424,$AI$2:AI424,1)=1,1,0),0)</f>
        <v/>
      </c>
      <c r="AK424" s="21">
        <f>IF(AJ424=1,SUM($AJ$2:AJ424),"")</f>
        <v/>
      </c>
      <c r="AL424" s="21">
        <f>IF(AND(AI424=1,OR(AD424="In person",AD424="Online"),OR(Speakers!$B$5="",AB424=Speakers!$B$5)),N(Z424)+ROW()/1000000000,"")</f>
        <v/>
      </c>
    </row>
    <row r="425">
      <c r="U425" s="19" t="n"/>
      <c r="V425" s="24" t="n"/>
      <c r="W425" s="24" t="n"/>
      <c r="X425" s="19" t="n"/>
      <c r="Y425" s="21">
        <f>IFERROR(TRIM(INDEX($A425:$T425,MATCH(Lists!$F$2,$A$1:$T$1,0))&amp;""),"")</f>
        <v/>
      </c>
      <c r="Z425" s="22">
        <f>IF(Y425="","",IFERROR(IF(ISNUMBER(INDEX($A425:$T425,MATCH(Lists!$F$3,$A$1:$T$1,0))),INDEX($A425:$T425,MATCH(Lists!$F$3,$A$1:$T$1,0)),DATE(VALUE(LEFT(IFERROR(TRIM(INDEX($A425:$T425,MATCH(Lists!$F$3,$A$1:$T$1,0))&amp;""),""),4)),VALUE(MID(IFERROR(TRIM(INDEX($A425:$T425,MATCH(Lists!$F$3,$A$1:$T$1,0))&amp;""),""),6,2)),VALUE(MID(IFERROR(TRIM(INDEX($A425:$T425,MATCH(Lists!$F$3,$A$1:$T$1,0))&amp;""),""),9,2)))+TIME(VALUE(MID(IFERROR(TRIM(INDEX($A425:$T425,MATCH(Lists!$F$3,$A$1:$T$1,0))&amp;""),""),12,2)),VALUE(MID(IFERROR(TRIM(INDEX($A425:$T425,MATCH(Lists!$F$3,$A$1:$T$1,0))&amp;""),""),15,2)),VALUE(MID(IFERROR(TRIM(INDEX($A425:$T425,MATCH(Lists!$F$3,$A$1:$T$1,0))&amp;""),""),18,2)))),""))</f>
        <v/>
      </c>
      <c r="AA425" s="23">
        <f>IF(Y425="","",IF(ISNUMBER(IFERROR(IF(TRIM(INDEX($A425:$T425,MATCH(Lists!$F$4,$A$1:$T$1,0))&amp;"")="","",IF(ISNUMBER(INDEX($A425:$T425,MATCH(Lists!$F$4,$A$1:$T$1,0))),INT(INDEX($A425:$T425,MATCH(Lists!$F$4,$A$1:$T$1,0))),DATE(VALUE(LEFT(INDEX($A425:$T425,MATCH(Lists!$F$4,$A$1:$T$1,0)),4)),VALUE(MID(INDEX($A425:$T425,MATCH(Lists!$F$4,$A$1:$T$1,0)),6,2)),VALUE(MID(INDEX($A425:$T425,MATCH(Lists!$F$4,$A$1:$T$1,0)),9,2))))),"")),IFERROR(IF(TRIM(INDEX($A425:$T425,MATCH(Lists!$F$4,$A$1:$T$1,0))&amp;"")="","",IF(ISNUMBER(INDEX($A425:$T425,MATCH(Lists!$F$4,$A$1:$T$1,0))),INT(INDEX($A425:$T425,MATCH(Lists!$F$4,$A$1:$T$1,0))),DATE(VALUE(LEFT(INDEX($A425:$T425,MATCH(Lists!$F$4,$A$1:$T$1,0)),4)),VALUE(MID(INDEX($A425:$T425,MATCH(Lists!$F$4,$A$1:$T$1,0)),6,2)),VALUE(MID(INDEX($A425:$T425,MATCH(Lists!$F$4,$A$1:$T$1,0)),9,2))))),""),IFERROR(IF(TRIM(INDEX($A425:$T425,MATCH(Lists!$F$5,$A$1:$T$1,0))&amp;"")="","",IF(ISNUMBER(INDEX($A425:$T425,MATCH(Lists!$F$5,$A$1:$T$1,0))),INT(INDEX($A425:$T425,MATCH(Lists!$F$5,$A$1:$T$1,0))),DATE(VALUE(LEFT(INDEX($A425:$T425,MATCH(Lists!$F$5,$A$1:$T$1,0)),4)),VALUE(MID(INDEX($A425:$T425,MATCH(Lists!$F$5,$A$1:$T$1,0)),6,2)),VALUE(MID(INDEX($A425:$T425,MATCH(Lists!$F$5,$A$1:$T$1,0)),9,2))))),"")))</f>
        <v/>
      </c>
      <c r="AB425" s="21">
        <f>IF(Y425="","",IF(LEFT(IFERROR(TRIM(INDEX($A425:$T425,MATCH(Lists!$F$6,$A$1:$T$1,0))&amp;""),""),2)="No","General comment",IF(IFERROR(TRIM(INDEX($A425:$T425,MATCH(Lists!$F$7,$A$1:$T$1,0))&amp;""),"")&lt;&gt;"",IFERROR(TRIM(INDEX($A425:$T425,MATCH(Lists!$F$7,$A$1:$T$1,0))&amp;""),""),IF(IFERROR(TRIM(INDEX($A425:$T425,MATCH(Lists!$F$8,$A$1:$T$1,0))&amp;""),"")&lt;&gt;"",IFERROR(TRIM(INDEX($A425:$T425,MATCH(Lists!$F$8,$A$1:$T$1,0))&amp;""),""),"(no item given)"))))</f>
        <v/>
      </c>
      <c r="AC425" s="21">
        <f>IF(Y425="","",IF(ISNUMBER(SEARCH("support",IFERROR(TRIM(INDEX($A425:$T425,MATCH(Lists!$F$9,$A$1:$T$1,0))&amp;""),""))),"Support",IF(ISNUMBER(SEARCH("oppose",IFERROR(TRIM(INDEX($A425:$T425,MATCH(Lists!$F$9,$A$1:$T$1,0))&amp;""),""))),"Oppose",IF(IFERROR(TRIM(INDEX($A425:$T425,MATCH(Lists!$F$9,$A$1:$T$1,0))&amp;""),"")="","No position","Neither"))))</f>
        <v/>
      </c>
      <c r="AD425" s="21">
        <f>IF(Y425="","",IF(ISNUMBER(SEARCH("in person",IFERROR(TRIM(INDEX($A425:$T425,MATCH(Lists!$F$13,$A$1:$T$1,0))&amp;""),""))),"In person",IF(ISNUMBER(SEARCH("online",IFERROR(TRIM(INDEX($A425:$T425,MATCH(Lists!$F$13,$A$1:$T$1,0))&amp;""),""))),"Online","Written only")))</f>
        <v/>
      </c>
      <c r="AE425" s="21">
        <f>IF(Y425="","",IFERROR(TRIM(INDEX($A425:$T425,MATCH(Lists!$F$11,$A$1:$T$1,0))&amp;""),""))</f>
        <v/>
      </c>
      <c r="AF425" s="21">
        <f>IF(Y425="","",IFERROR(TRIM(INDEX($A425:$T425,MATCH(Lists!$F$12,$A$1:$T$1,0))&amp;""),""))</f>
        <v/>
      </c>
      <c r="AG425" s="21">
        <f>IF(Y425="","",IFERROR(TRIM(INDEX($A425:$T425,MATCH(Lists!$F$14,$A$1:$T$1,0))&amp;""),""))</f>
        <v/>
      </c>
      <c r="AH425" s="21">
        <f>IF(Y425="","",LEFT(IFERROR(TRIM(INDEX($A425:$T425,MATCH(Lists!$F$10,$A$1:$T$1,0))&amp;""),""),80))</f>
        <v/>
      </c>
      <c r="AI425" s="21">
        <f>IF(Y425="",0,IF(OR(Tally!$B$5="",AA425=Tally!$B$5),1,0))</f>
        <v/>
      </c>
      <c r="AJ425" s="21">
        <f>IF(AI425=1,IF(COUNTIFS($AB$2:AB425,AB425,$AI$2:AI425,1)=1,1,0),0)</f>
        <v/>
      </c>
      <c r="AK425" s="21">
        <f>IF(AJ425=1,SUM($AJ$2:AJ425),"")</f>
        <v/>
      </c>
      <c r="AL425" s="21">
        <f>IF(AND(AI425=1,OR(AD425="In person",AD425="Online"),OR(Speakers!$B$5="",AB425=Speakers!$B$5)),N(Z425)+ROW()/1000000000,"")</f>
        <v/>
      </c>
    </row>
    <row r="426">
      <c r="U426" s="19" t="n"/>
      <c r="V426" s="24" t="n"/>
      <c r="W426" s="24" t="n"/>
      <c r="X426" s="19" t="n"/>
      <c r="Y426" s="21">
        <f>IFERROR(TRIM(INDEX($A426:$T426,MATCH(Lists!$F$2,$A$1:$T$1,0))&amp;""),"")</f>
        <v/>
      </c>
      <c r="Z426" s="22">
        <f>IF(Y426="","",IFERROR(IF(ISNUMBER(INDEX($A426:$T426,MATCH(Lists!$F$3,$A$1:$T$1,0))),INDEX($A426:$T426,MATCH(Lists!$F$3,$A$1:$T$1,0)),DATE(VALUE(LEFT(IFERROR(TRIM(INDEX($A426:$T426,MATCH(Lists!$F$3,$A$1:$T$1,0))&amp;""),""),4)),VALUE(MID(IFERROR(TRIM(INDEX($A426:$T426,MATCH(Lists!$F$3,$A$1:$T$1,0))&amp;""),""),6,2)),VALUE(MID(IFERROR(TRIM(INDEX($A426:$T426,MATCH(Lists!$F$3,$A$1:$T$1,0))&amp;""),""),9,2)))+TIME(VALUE(MID(IFERROR(TRIM(INDEX($A426:$T426,MATCH(Lists!$F$3,$A$1:$T$1,0))&amp;""),""),12,2)),VALUE(MID(IFERROR(TRIM(INDEX($A426:$T426,MATCH(Lists!$F$3,$A$1:$T$1,0))&amp;""),""),15,2)),VALUE(MID(IFERROR(TRIM(INDEX($A426:$T426,MATCH(Lists!$F$3,$A$1:$T$1,0))&amp;""),""),18,2)))),""))</f>
        <v/>
      </c>
      <c r="AA426" s="23">
        <f>IF(Y426="","",IF(ISNUMBER(IFERROR(IF(TRIM(INDEX($A426:$T426,MATCH(Lists!$F$4,$A$1:$T$1,0))&amp;"")="","",IF(ISNUMBER(INDEX($A426:$T426,MATCH(Lists!$F$4,$A$1:$T$1,0))),INT(INDEX($A426:$T426,MATCH(Lists!$F$4,$A$1:$T$1,0))),DATE(VALUE(LEFT(INDEX($A426:$T426,MATCH(Lists!$F$4,$A$1:$T$1,0)),4)),VALUE(MID(INDEX($A426:$T426,MATCH(Lists!$F$4,$A$1:$T$1,0)),6,2)),VALUE(MID(INDEX($A426:$T426,MATCH(Lists!$F$4,$A$1:$T$1,0)),9,2))))),"")),IFERROR(IF(TRIM(INDEX($A426:$T426,MATCH(Lists!$F$4,$A$1:$T$1,0))&amp;"")="","",IF(ISNUMBER(INDEX($A426:$T426,MATCH(Lists!$F$4,$A$1:$T$1,0))),INT(INDEX($A426:$T426,MATCH(Lists!$F$4,$A$1:$T$1,0))),DATE(VALUE(LEFT(INDEX($A426:$T426,MATCH(Lists!$F$4,$A$1:$T$1,0)),4)),VALUE(MID(INDEX($A426:$T426,MATCH(Lists!$F$4,$A$1:$T$1,0)),6,2)),VALUE(MID(INDEX($A426:$T426,MATCH(Lists!$F$4,$A$1:$T$1,0)),9,2))))),""),IFERROR(IF(TRIM(INDEX($A426:$T426,MATCH(Lists!$F$5,$A$1:$T$1,0))&amp;"")="","",IF(ISNUMBER(INDEX($A426:$T426,MATCH(Lists!$F$5,$A$1:$T$1,0))),INT(INDEX($A426:$T426,MATCH(Lists!$F$5,$A$1:$T$1,0))),DATE(VALUE(LEFT(INDEX($A426:$T426,MATCH(Lists!$F$5,$A$1:$T$1,0)),4)),VALUE(MID(INDEX($A426:$T426,MATCH(Lists!$F$5,$A$1:$T$1,0)),6,2)),VALUE(MID(INDEX($A426:$T426,MATCH(Lists!$F$5,$A$1:$T$1,0)),9,2))))),"")))</f>
        <v/>
      </c>
      <c r="AB426" s="21">
        <f>IF(Y426="","",IF(LEFT(IFERROR(TRIM(INDEX($A426:$T426,MATCH(Lists!$F$6,$A$1:$T$1,0))&amp;""),""),2)="No","General comment",IF(IFERROR(TRIM(INDEX($A426:$T426,MATCH(Lists!$F$7,$A$1:$T$1,0))&amp;""),"")&lt;&gt;"",IFERROR(TRIM(INDEX($A426:$T426,MATCH(Lists!$F$7,$A$1:$T$1,0))&amp;""),""),IF(IFERROR(TRIM(INDEX($A426:$T426,MATCH(Lists!$F$8,$A$1:$T$1,0))&amp;""),"")&lt;&gt;"",IFERROR(TRIM(INDEX($A426:$T426,MATCH(Lists!$F$8,$A$1:$T$1,0))&amp;""),""),"(no item given)"))))</f>
        <v/>
      </c>
      <c r="AC426" s="21">
        <f>IF(Y426="","",IF(ISNUMBER(SEARCH("support",IFERROR(TRIM(INDEX($A426:$T426,MATCH(Lists!$F$9,$A$1:$T$1,0))&amp;""),""))),"Support",IF(ISNUMBER(SEARCH("oppose",IFERROR(TRIM(INDEX($A426:$T426,MATCH(Lists!$F$9,$A$1:$T$1,0))&amp;""),""))),"Oppose",IF(IFERROR(TRIM(INDEX($A426:$T426,MATCH(Lists!$F$9,$A$1:$T$1,0))&amp;""),"")="","No position","Neither"))))</f>
        <v/>
      </c>
      <c r="AD426" s="21">
        <f>IF(Y426="","",IF(ISNUMBER(SEARCH("in person",IFERROR(TRIM(INDEX($A426:$T426,MATCH(Lists!$F$13,$A$1:$T$1,0))&amp;""),""))),"In person",IF(ISNUMBER(SEARCH("online",IFERROR(TRIM(INDEX($A426:$T426,MATCH(Lists!$F$13,$A$1:$T$1,0))&amp;""),""))),"Online","Written only")))</f>
        <v/>
      </c>
      <c r="AE426" s="21">
        <f>IF(Y426="","",IFERROR(TRIM(INDEX($A426:$T426,MATCH(Lists!$F$11,$A$1:$T$1,0))&amp;""),""))</f>
        <v/>
      </c>
      <c r="AF426" s="21">
        <f>IF(Y426="","",IFERROR(TRIM(INDEX($A426:$T426,MATCH(Lists!$F$12,$A$1:$T$1,0))&amp;""),""))</f>
        <v/>
      </c>
      <c r="AG426" s="21">
        <f>IF(Y426="","",IFERROR(TRIM(INDEX($A426:$T426,MATCH(Lists!$F$14,$A$1:$T$1,0))&amp;""),""))</f>
        <v/>
      </c>
      <c r="AH426" s="21">
        <f>IF(Y426="","",LEFT(IFERROR(TRIM(INDEX($A426:$T426,MATCH(Lists!$F$10,$A$1:$T$1,0))&amp;""),""),80))</f>
        <v/>
      </c>
      <c r="AI426" s="21">
        <f>IF(Y426="",0,IF(OR(Tally!$B$5="",AA426=Tally!$B$5),1,0))</f>
        <v/>
      </c>
      <c r="AJ426" s="21">
        <f>IF(AI426=1,IF(COUNTIFS($AB$2:AB426,AB426,$AI$2:AI426,1)=1,1,0),0)</f>
        <v/>
      </c>
      <c r="AK426" s="21">
        <f>IF(AJ426=1,SUM($AJ$2:AJ426),"")</f>
        <v/>
      </c>
      <c r="AL426" s="21">
        <f>IF(AND(AI426=1,OR(AD426="In person",AD426="Online"),OR(Speakers!$B$5="",AB426=Speakers!$B$5)),N(Z426)+ROW()/1000000000,"")</f>
        <v/>
      </c>
    </row>
    <row r="427">
      <c r="U427" s="19" t="n"/>
      <c r="V427" s="24" t="n"/>
      <c r="W427" s="24" t="n"/>
      <c r="X427" s="19" t="n"/>
      <c r="Y427" s="21">
        <f>IFERROR(TRIM(INDEX($A427:$T427,MATCH(Lists!$F$2,$A$1:$T$1,0))&amp;""),"")</f>
        <v/>
      </c>
      <c r="Z427" s="22">
        <f>IF(Y427="","",IFERROR(IF(ISNUMBER(INDEX($A427:$T427,MATCH(Lists!$F$3,$A$1:$T$1,0))),INDEX($A427:$T427,MATCH(Lists!$F$3,$A$1:$T$1,0)),DATE(VALUE(LEFT(IFERROR(TRIM(INDEX($A427:$T427,MATCH(Lists!$F$3,$A$1:$T$1,0))&amp;""),""),4)),VALUE(MID(IFERROR(TRIM(INDEX($A427:$T427,MATCH(Lists!$F$3,$A$1:$T$1,0))&amp;""),""),6,2)),VALUE(MID(IFERROR(TRIM(INDEX($A427:$T427,MATCH(Lists!$F$3,$A$1:$T$1,0))&amp;""),""),9,2)))+TIME(VALUE(MID(IFERROR(TRIM(INDEX($A427:$T427,MATCH(Lists!$F$3,$A$1:$T$1,0))&amp;""),""),12,2)),VALUE(MID(IFERROR(TRIM(INDEX($A427:$T427,MATCH(Lists!$F$3,$A$1:$T$1,0))&amp;""),""),15,2)),VALUE(MID(IFERROR(TRIM(INDEX($A427:$T427,MATCH(Lists!$F$3,$A$1:$T$1,0))&amp;""),""),18,2)))),""))</f>
        <v/>
      </c>
      <c r="AA427" s="23">
        <f>IF(Y427="","",IF(ISNUMBER(IFERROR(IF(TRIM(INDEX($A427:$T427,MATCH(Lists!$F$4,$A$1:$T$1,0))&amp;"")="","",IF(ISNUMBER(INDEX($A427:$T427,MATCH(Lists!$F$4,$A$1:$T$1,0))),INT(INDEX($A427:$T427,MATCH(Lists!$F$4,$A$1:$T$1,0))),DATE(VALUE(LEFT(INDEX($A427:$T427,MATCH(Lists!$F$4,$A$1:$T$1,0)),4)),VALUE(MID(INDEX($A427:$T427,MATCH(Lists!$F$4,$A$1:$T$1,0)),6,2)),VALUE(MID(INDEX($A427:$T427,MATCH(Lists!$F$4,$A$1:$T$1,0)),9,2))))),"")),IFERROR(IF(TRIM(INDEX($A427:$T427,MATCH(Lists!$F$4,$A$1:$T$1,0))&amp;"")="","",IF(ISNUMBER(INDEX($A427:$T427,MATCH(Lists!$F$4,$A$1:$T$1,0))),INT(INDEX($A427:$T427,MATCH(Lists!$F$4,$A$1:$T$1,0))),DATE(VALUE(LEFT(INDEX($A427:$T427,MATCH(Lists!$F$4,$A$1:$T$1,0)),4)),VALUE(MID(INDEX($A427:$T427,MATCH(Lists!$F$4,$A$1:$T$1,0)),6,2)),VALUE(MID(INDEX($A427:$T427,MATCH(Lists!$F$4,$A$1:$T$1,0)),9,2))))),""),IFERROR(IF(TRIM(INDEX($A427:$T427,MATCH(Lists!$F$5,$A$1:$T$1,0))&amp;"")="","",IF(ISNUMBER(INDEX($A427:$T427,MATCH(Lists!$F$5,$A$1:$T$1,0))),INT(INDEX($A427:$T427,MATCH(Lists!$F$5,$A$1:$T$1,0))),DATE(VALUE(LEFT(INDEX($A427:$T427,MATCH(Lists!$F$5,$A$1:$T$1,0)),4)),VALUE(MID(INDEX($A427:$T427,MATCH(Lists!$F$5,$A$1:$T$1,0)),6,2)),VALUE(MID(INDEX($A427:$T427,MATCH(Lists!$F$5,$A$1:$T$1,0)),9,2))))),"")))</f>
        <v/>
      </c>
      <c r="AB427" s="21">
        <f>IF(Y427="","",IF(LEFT(IFERROR(TRIM(INDEX($A427:$T427,MATCH(Lists!$F$6,$A$1:$T$1,0))&amp;""),""),2)="No","General comment",IF(IFERROR(TRIM(INDEX($A427:$T427,MATCH(Lists!$F$7,$A$1:$T$1,0))&amp;""),"")&lt;&gt;"",IFERROR(TRIM(INDEX($A427:$T427,MATCH(Lists!$F$7,$A$1:$T$1,0))&amp;""),""),IF(IFERROR(TRIM(INDEX($A427:$T427,MATCH(Lists!$F$8,$A$1:$T$1,0))&amp;""),"")&lt;&gt;"",IFERROR(TRIM(INDEX($A427:$T427,MATCH(Lists!$F$8,$A$1:$T$1,0))&amp;""),""),"(no item given)"))))</f>
        <v/>
      </c>
      <c r="AC427" s="21">
        <f>IF(Y427="","",IF(ISNUMBER(SEARCH("support",IFERROR(TRIM(INDEX($A427:$T427,MATCH(Lists!$F$9,$A$1:$T$1,0))&amp;""),""))),"Support",IF(ISNUMBER(SEARCH("oppose",IFERROR(TRIM(INDEX($A427:$T427,MATCH(Lists!$F$9,$A$1:$T$1,0))&amp;""),""))),"Oppose",IF(IFERROR(TRIM(INDEX($A427:$T427,MATCH(Lists!$F$9,$A$1:$T$1,0))&amp;""),"")="","No position","Neither"))))</f>
        <v/>
      </c>
      <c r="AD427" s="21">
        <f>IF(Y427="","",IF(ISNUMBER(SEARCH("in person",IFERROR(TRIM(INDEX($A427:$T427,MATCH(Lists!$F$13,$A$1:$T$1,0))&amp;""),""))),"In person",IF(ISNUMBER(SEARCH("online",IFERROR(TRIM(INDEX($A427:$T427,MATCH(Lists!$F$13,$A$1:$T$1,0))&amp;""),""))),"Online","Written only")))</f>
        <v/>
      </c>
      <c r="AE427" s="21">
        <f>IF(Y427="","",IFERROR(TRIM(INDEX($A427:$T427,MATCH(Lists!$F$11,$A$1:$T$1,0))&amp;""),""))</f>
        <v/>
      </c>
      <c r="AF427" s="21">
        <f>IF(Y427="","",IFERROR(TRIM(INDEX($A427:$T427,MATCH(Lists!$F$12,$A$1:$T$1,0))&amp;""),""))</f>
        <v/>
      </c>
      <c r="AG427" s="21">
        <f>IF(Y427="","",IFERROR(TRIM(INDEX($A427:$T427,MATCH(Lists!$F$14,$A$1:$T$1,0))&amp;""),""))</f>
        <v/>
      </c>
      <c r="AH427" s="21">
        <f>IF(Y427="","",LEFT(IFERROR(TRIM(INDEX($A427:$T427,MATCH(Lists!$F$10,$A$1:$T$1,0))&amp;""),""),80))</f>
        <v/>
      </c>
      <c r="AI427" s="21">
        <f>IF(Y427="",0,IF(OR(Tally!$B$5="",AA427=Tally!$B$5),1,0))</f>
        <v/>
      </c>
      <c r="AJ427" s="21">
        <f>IF(AI427=1,IF(COUNTIFS($AB$2:AB427,AB427,$AI$2:AI427,1)=1,1,0),0)</f>
        <v/>
      </c>
      <c r="AK427" s="21">
        <f>IF(AJ427=1,SUM($AJ$2:AJ427),"")</f>
        <v/>
      </c>
      <c r="AL427" s="21">
        <f>IF(AND(AI427=1,OR(AD427="In person",AD427="Online"),OR(Speakers!$B$5="",AB427=Speakers!$B$5)),N(Z427)+ROW()/1000000000,"")</f>
        <v/>
      </c>
    </row>
    <row r="428">
      <c r="U428" s="19" t="n"/>
      <c r="V428" s="24" t="n"/>
      <c r="W428" s="24" t="n"/>
      <c r="X428" s="19" t="n"/>
      <c r="Y428" s="21">
        <f>IFERROR(TRIM(INDEX($A428:$T428,MATCH(Lists!$F$2,$A$1:$T$1,0))&amp;""),"")</f>
        <v/>
      </c>
      <c r="Z428" s="22">
        <f>IF(Y428="","",IFERROR(IF(ISNUMBER(INDEX($A428:$T428,MATCH(Lists!$F$3,$A$1:$T$1,0))),INDEX($A428:$T428,MATCH(Lists!$F$3,$A$1:$T$1,0)),DATE(VALUE(LEFT(IFERROR(TRIM(INDEX($A428:$T428,MATCH(Lists!$F$3,$A$1:$T$1,0))&amp;""),""),4)),VALUE(MID(IFERROR(TRIM(INDEX($A428:$T428,MATCH(Lists!$F$3,$A$1:$T$1,0))&amp;""),""),6,2)),VALUE(MID(IFERROR(TRIM(INDEX($A428:$T428,MATCH(Lists!$F$3,$A$1:$T$1,0))&amp;""),""),9,2)))+TIME(VALUE(MID(IFERROR(TRIM(INDEX($A428:$T428,MATCH(Lists!$F$3,$A$1:$T$1,0))&amp;""),""),12,2)),VALUE(MID(IFERROR(TRIM(INDEX($A428:$T428,MATCH(Lists!$F$3,$A$1:$T$1,0))&amp;""),""),15,2)),VALUE(MID(IFERROR(TRIM(INDEX($A428:$T428,MATCH(Lists!$F$3,$A$1:$T$1,0))&amp;""),""),18,2)))),""))</f>
        <v/>
      </c>
      <c r="AA428" s="23">
        <f>IF(Y428="","",IF(ISNUMBER(IFERROR(IF(TRIM(INDEX($A428:$T428,MATCH(Lists!$F$4,$A$1:$T$1,0))&amp;"")="","",IF(ISNUMBER(INDEX($A428:$T428,MATCH(Lists!$F$4,$A$1:$T$1,0))),INT(INDEX($A428:$T428,MATCH(Lists!$F$4,$A$1:$T$1,0))),DATE(VALUE(LEFT(INDEX($A428:$T428,MATCH(Lists!$F$4,$A$1:$T$1,0)),4)),VALUE(MID(INDEX($A428:$T428,MATCH(Lists!$F$4,$A$1:$T$1,0)),6,2)),VALUE(MID(INDEX($A428:$T428,MATCH(Lists!$F$4,$A$1:$T$1,0)),9,2))))),"")),IFERROR(IF(TRIM(INDEX($A428:$T428,MATCH(Lists!$F$4,$A$1:$T$1,0))&amp;"")="","",IF(ISNUMBER(INDEX($A428:$T428,MATCH(Lists!$F$4,$A$1:$T$1,0))),INT(INDEX($A428:$T428,MATCH(Lists!$F$4,$A$1:$T$1,0))),DATE(VALUE(LEFT(INDEX($A428:$T428,MATCH(Lists!$F$4,$A$1:$T$1,0)),4)),VALUE(MID(INDEX($A428:$T428,MATCH(Lists!$F$4,$A$1:$T$1,0)),6,2)),VALUE(MID(INDEX($A428:$T428,MATCH(Lists!$F$4,$A$1:$T$1,0)),9,2))))),""),IFERROR(IF(TRIM(INDEX($A428:$T428,MATCH(Lists!$F$5,$A$1:$T$1,0))&amp;"")="","",IF(ISNUMBER(INDEX($A428:$T428,MATCH(Lists!$F$5,$A$1:$T$1,0))),INT(INDEX($A428:$T428,MATCH(Lists!$F$5,$A$1:$T$1,0))),DATE(VALUE(LEFT(INDEX($A428:$T428,MATCH(Lists!$F$5,$A$1:$T$1,0)),4)),VALUE(MID(INDEX($A428:$T428,MATCH(Lists!$F$5,$A$1:$T$1,0)),6,2)),VALUE(MID(INDEX($A428:$T428,MATCH(Lists!$F$5,$A$1:$T$1,0)),9,2))))),"")))</f>
        <v/>
      </c>
      <c r="AB428" s="21">
        <f>IF(Y428="","",IF(LEFT(IFERROR(TRIM(INDEX($A428:$T428,MATCH(Lists!$F$6,$A$1:$T$1,0))&amp;""),""),2)="No","General comment",IF(IFERROR(TRIM(INDEX($A428:$T428,MATCH(Lists!$F$7,$A$1:$T$1,0))&amp;""),"")&lt;&gt;"",IFERROR(TRIM(INDEX($A428:$T428,MATCH(Lists!$F$7,$A$1:$T$1,0))&amp;""),""),IF(IFERROR(TRIM(INDEX($A428:$T428,MATCH(Lists!$F$8,$A$1:$T$1,0))&amp;""),"")&lt;&gt;"",IFERROR(TRIM(INDEX($A428:$T428,MATCH(Lists!$F$8,$A$1:$T$1,0))&amp;""),""),"(no item given)"))))</f>
        <v/>
      </c>
      <c r="AC428" s="21">
        <f>IF(Y428="","",IF(ISNUMBER(SEARCH("support",IFERROR(TRIM(INDEX($A428:$T428,MATCH(Lists!$F$9,$A$1:$T$1,0))&amp;""),""))),"Support",IF(ISNUMBER(SEARCH("oppose",IFERROR(TRIM(INDEX($A428:$T428,MATCH(Lists!$F$9,$A$1:$T$1,0))&amp;""),""))),"Oppose",IF(IFERROR(TRIM(INDEX($A428:$T428,MATCH(Lists!$F$9,$A$1:$T$1,0))&amp;""),"")="","No position","Neither"))))</f>
        <v/>
      </c>
      <c r="AD428" s="21">
        <f>IF(Y428="","",IF(ISNUMBER(SEARCH("in person",IFERROR(TRIM(INDEX($A428:$T428,MATCH(Lists!$F$13,$A$1:$T$1,0))&amp;""),""))),"In person",IF(ISNUMBER(SEARCH("online",IFERROR(TRIM(INDEX($A428:$T428,MATCH(Lists!$F$13,$A$1:$T$1,0))&amp;""),""))),"Online","Written only")))</f>
        <v/>
      </c>
      <c r="AE428" s="21">
        <f>IF(Y428="","",IFERROR(TRIM(INDEX($A428:$T428,MATCH(Lists!$F$11,$A$1:$T$1,0))&amp;""),""))</f>
        <v/>
      </c>
      <c r="AF428" s="21">
        <f>IF(Y428="","",IFERROR(TRIM(INDEX($A428:$T428,MATCH(Lists!$F$12,$A$1:$T$1,0))&amp;""),""))</f>
        <v/>
      </c>
      <c r="AG428" s="21">
        <f>IF(Y428="","",IFERROR(TRIM(INDEX($A428:$T428,MATCH(Lists!$F$14,$A$1:$T$1,0))&amp;""),""))</f>
        <v/>
      </c>
      <c r="AH428" s="21">
        <f>IF(Y428="","",LEFT(IFERROR(TRIM(INDEX($A428:$T428,MATCH(Lists!$F$10,$A$1:$T$1,0))&amp;""),""),80))</f>
        <v/>
      </c>
      <c r="AI428" s="21">
        <f>IF(Y428="",0,IF(OR(Tally!$B$5="",AA428=Tally!$B$5),1,0))</f>
        <v/>
      </c>
      <c r="AJ428" s="21">
        <f>IF(AI428=1,IF(COUNTIFS($AB$2:AB428,AB428,$AI$2:AI428,1)=1,1,0),0)</f>
        <v/>
      </c>
      <c r="AK428" s="21">
        <f>IF(AJ428=1,SUM($AJ$2:AJ428),"")</f>
        <v/>
      </c>
      <c r="AL428" s="21">
        <f>IF(AND(AI428=1,OR(AD428="In person",AD428="Online"),OR(Speakers!$B$5="",AB428=Speakers!$B$5)),N(Z428)+ROW()/1000000000,"")</f>
        <v/>
      </c>
    </row>
    <row r="429">
      <c r="U429" s="19" t="n"/>
      <c r="V429" s="24" t="n"/>
      <c r="W429" s="24" t="n"/>
      <c r="X429" s="19" t="n"/>
      <c r="Y429" s="21">
        <f>IFERROR(TRIM(INDEX($A429:$T429,MATCH(Lists!$F$2,$A$1:$T$1,0))&amp;""),"")</f>
        <v/>
      </c>
      <c r="Z429" s="22">
        <f>IF(Y429="","",IFERROR(IF(ISNUMBER(INDEX($A429:$T429,MATCH(Lists!$F$3,$A$1:$T$1,0))),INDEX($A429:$T429,MATCH(Lists!$F$3,$A$1:$T$1,0)),DATE(VALUE(LEFT(IFERROR(TRIM(INDEX($A429:$T429,MATCH(Lists!$F$3,$A$1:$T$1,0))&amp;""),""),4)),VALUE(MID(IFERROR(TRIM(INDEX($A429:$T429,MATCH(Lists!$F$3,$A$1:$T$1,0))&amp;""),""),6,2)),VALUE(MID(IFERROR(TRIM(INDEX($A429:$T429,MATCH(Lists!$F$3,$A$1:$T$1,0))&amp;""),""),9,2)))+TIME(VALUE(MID(IFERROR(TRIM(INDEX($A429:$T429,MATCH(Lists!$F$3,$A$1:$T$1,0))&amp;""),""),12,2)),VALUE(MID(IFERROR(TRIM(INDEX($A429:$T429,MATCH(Lists!$F$3,$A$1:$T$1,0))&amp;""),""),15,2)),VALUE(MID(IFERROR(TRIM(INDEX($A429:$T429,MATCH(Lists!$F$3,$A$1:$T$1,0))&amp;""),""),18,2)))),""))</f>
        <v/>
      </c>
      <c r="AA429" s="23">
        <f>IF(Y429="","",IF(ISNUMBER(IFERROR(IF(TRIM(INDEX($A429:$T429,MATCH(Lists!$F$4,$A$1:$T$1,0))&amp;"")="","",IF(ISNUMBER(INDEX($A429:$T429,MATCH(Lists!$F$4,$A$1:$T$1,0))),INT(INDEX($A429:$T429,MATCH(Lists!$F$4,$A$1:$T$1,0))),DATE(VALUE(LEFT(INDEX($A429:$T429,MATCH(Lists!$F$4,$A$1:$T$1,0)),4)),VALUE(MID(INDEX($A429:$T429,MATCH(Lists!$F$4,$A$1:$T$1,0)),6,2)),VALUE(MID(INDEX($A429:$T429,MATCH(Lists!$F$4,$A$1:$T$1,0)),9,2))))),"")),IFERROR(IF(TRIM(INDEX($A429:$T429,MATCH(Lists!$F$4,$A$1:$T$1,0))&amp;"")="","",IF(ISNUMBER(INDEX($A429:$T429,MATCH(Lists!$F$4,$A$1:$T$1,0))),INT(INDEX($A429:$T429,MATCH(Lists!$F$4,$A$1:$T$1,0))),DATE(VALUE(LEFT(INDEX($A429:$T429,MATCH(Lists!$F$4,$A$1:$T$1,0)),4)),VALUE(MID(INDEX($A429:$T429,MATCH(Lists!$F$4,$A$1:$T$1,0)),6,2)),VALUE(MID(INDEX($A429:$T429,MATCH(Lists!$F$4,$A$1:$T$1,0)),9,2))))),""),IFERROR(IF(TRIM(INDEX($A429:$T429,MATCH(Lists!$F$5,$A$1:$T$1,0))&amp;"")="","",IF(ISNUMBER(INDEX($A429:$T429,MATCH(Lists!$F$5,$A$1:$T$1,0))),INT(INDEX($A429:$T429,MATCH(Lists!$F$5,$A$1:$T$1,0))),DATE(VALUE(LEFT(INDEX($A429:$T429,MATCH(Lists!$F$5,$A$1:$T$1,0)),4)),VALUE(MID(INDEX($A429:$T429,MATCH(Lists!$F$5,$A$1:$T$1,0)),6,2)),VALUE(MID(INDEX($A429:$T429,MATCH(Lists!$F$5,$A$1:$T$1,0)),9,2))))),"")))</f>
        <v/>
      </c>
      <c r="AB429" s="21">
        <f>IF(Y429="","",IF(LEFT(IFERROR(TRIM(INDEX($A429:$T429,MATCH(Lists!$F$6,$A$1:$T$1,0))&amp;""),""),2)="No","General comment",IF(IFERROR(TRIM(INDEX($A429:$T429,MATCH(Lists!$F$7,$A$1:$T$1,0))&amp;""),"")&lt;&gt;"",IFERROR(TRIM(INDEX($A429:$T429,MATCH(Lists!$F$7,$A$1:$T$1,0))&amp;""),""),IF(IFERROR(TRIM(INDEX($A429:$T429,MATCH(Lists!$F$8,$A$1:$T$1,0))&amp;""),"")&lt;&gt;"",IFERROR(TRIM(INDEX($A429:$T429,MATCH(Lists!$F$8,$A$1:$T$1,0))&amp;""),""),"(no item given)"))))</f>
        <v/>
      </c>
      <c r="AC429" s="21">
        <f>IF(Y429="","",IF(ISNUMBER(SEARCH("support",IFERROR(TRIM(INDEX($A429:$T429,MATCH(Lists!$F$9,$A$1:$T$1,0))&amp;""),""))),"Support",IF(ISNUMBER(SEARCH("oppose",IFERROR(TRIM(INDEX($A429:$T429,MATCH(Lists!$F$9,$A$1:$T$1,0))&amp;""),""))),"Oppose",IF(IFERROR(TRIM(INDEX($A429:$T429,MATCH(Lists!$F$9,$A$1:$T$1,0))&amp;""),"")="","No position","Neither"))))</f>
        <v/>
      </c>
      <c r="AD429" s="21">
        <f>IF(Y429="","",IF(ISNUMBER(SEARCH("in person",IFERROR(TRIM(INDEX($A429:$T429,MATCH(Lists!$F$13,$A$1:$T$1,0))&amp;""),""))),"In person",IF(ISNUMBER(SEARCH("online",IFERROR(TRIM(INDEX($A429:$T429,MATCH(Lists!$F$13,$A$1:$T$1,0))&amp;""),""))),"Online","Written only")))</f>
        <v/>
      </c>
      <c r="AE429" s="21">
        <f>IF(Y429="","",IFERROR(TRIM(INDEX($A429:$T429,MATCH(Lists!$F$11,$A$1:$T$1,0))&amp;""),""))</f>
        <v/>
      </c>
      <c r="AF429" s="21">
        <f>IF(Y429="","",IFERROR(TRIM(INDEX($A429:$T429,MATCH(Lists!$F$12,$A$1:$T$1,0))&amp;""),""))</f>
        <v/>
      </c>
      <c r="AG429" s="21">
        <f>IF(Y429="","",IFERROR(TRIM(INDEX($A429:$T429,MATCH(Lists!$F$14,$A$1:$T$1,0))&amp;""),""))</f>
        <v/>
      </c>
      <c r="AH429" s="21">
        <f>IF(Y429="","",LEFT(IFERROR(TRIM(INDEX($A429:$T429,MATCH(Lists!$F$10,$A$1:$T$1,0))&amp;""),""),80))</f>
        <v/>
      </c>
      <c r="AI429" s="21">
        <f>IF(Y429="",0,IF(OR(Tally!$B$5="",AA429=Tally!$B$5),1,0))</f>
        <v/>
      </c>
      <c r="AJ429" s="21">
        <f>IF(AI429=1,IF(COUNTIFS($AB$2:AB429,AB429,$AI$2:AI429,1)=1,1,0),0)</f>
        <v/>
      </c>
      <c r="AK429" s="21">
        <f>IF(AJ429=1,SUM($AJ$2:AJ429),"")</f>
        <v/>
      </c>
      <c r="AL429" s="21">
        <f>IF(AND(AI429=1,OR(AD429="In person",AD429="Online"),OR(Speakers!$B$5="",AB429=Speakers!$B$5)),N(Z429)+ROW()/1000000000,"")</f>
        <v/>
      </c>
    </row>
    <row r="430">
      <c r="U430" s="19" t="n"/>
      <c r="V430" s="24" t="n"/>
      <c r="W430" s="24" t="n"/>
      <c r="X430" s="19" t="n"/>
      <c r="Y430" s="21">
        <f>IFERROR(TRIM(INDEX($A430:$T430,MATCH(Lists!$F$2,$A$1:$T$1,0))&amp;""),"")</f>
        <v/>
      </c>
      <c r="Z430" s="22">
        <f>IF(Y430="","",IFERROR(IF(ISNUMBER(INDEX($A430:$T430,MATCH(Lists!$F$3,$A$1:$T$1,0))),INDEX($A430:$T430,MATCH(Lists!$F$3,$A$1:$T$1,0)),DATE(VALUE(LEFT(IFERROR(TRIM(INDEX($A430:$T430,MATCH(Lists!$F$3,$A$1:$T$1,0))&amp;""),""),4)),VALUE(MID(IFERROR(TRIM(INDEX($A430:$T430,MATCH(Lists!$F$3,$A$1:$T$1,0))&amp;""),""),6,2)),VALUE(MID(IFERROR(TRIM(INDEX($A430:$T430,MATCH(Lists!$F$3,$A$1:$T$1,0))&amp;""),""),9,2)))+TIME(VALUE(MID(IFERROR(TRIM(INDEX($A430:$T430,MATCH(Lists!$F$3,$A$1:$T$1,0))&amp;""),""),12,2)),VALUE(MID(IFERROR(TRIM(INDEX($A430:$T430,MATCH(Lists!$F$3,$A$1:$T$1,0))&amp;""),""),15,2)),VALUE(MID(IFERROR(TRIM(INDEX($A430:$T430,MATCH(Lists!$F$3,$A$1:$T$1,0))&amp;""),""),18,2)))),""))</f>
        <v/>
      </c>
      <c r="AA430" s="23">
        <f>IF(Y430="","",IF(ISNUMBER(IFERROR(IF(TRIM(INDEX($A430:$T430,MATCH(Lists!$F$4,$A$1:$T$1,0))&amp;"")="","",IF(ISNUMBER(INDEX($A430:$T430,MATCH(Lists!$F$4,$A$1:$T$1,0))),INT(INDEX($A430:$T430,MATCH(Lists!$F$4,$A$1:$T$1,0))),DATE(VALUE(LEFT(INDEX($A430:$T430,MATCH(Lists!$F$4,$A$1:$T$1,0)),4)),VALUE(MID(INDEX($A430:$T430,MATCH(Lists!$F$4,$A$1:$T$1,0)),6,2)),VALUE(MID(INDEX($A430:$T430,MATCH(Lists!$F$4,$A$1:$T$1,0)),9,2))))),"")),IFERROR(IF(TRIM(INDEX($A430:$T430,MATCH(Lists!$F$4,$A$1:$T$1,0))&amp;"")="","",IF(ISNUMBER(INDEX($A430:$T430,MATCH(Lists!$F$4,$A$1:$T$1,0))),INT(INDEX($A430:$T430,MATCH(Lists!$F$4,$A$1:$T$1,0))),DATE(VALUE(LEFT(INDEX($A430:$T430,MATCH(Lists!$F$4,$A$1:$T$1,0)),4)),VALUE(MID(INDEX($A430:$T430,MATCH(Lists!$F$4,$A$1:$T$1,0)),6,2)),VALUE(MID(INDEX($A430:$T430,MATCH(Lists!$F$4,$A$1:$T$1,0)),9,2))))),""),IFERROR(IF(TRIM(INDEX($A430:$T430,MATCH(Lists!$F$5,$A$1:$T$1,0))&amp;"")="","",IF(ISNUMBER(INDEX($A430:$T430,MATCH(Lists!$F$5,$A$1:$T$1,0))),INT(INDEX($A430:$T430,MATCH(Lists!$F$5,$A$1:$T$1,0))),DATE(VALUE(LEFT(INDEX($A430:$T430,MATCH(Lists!$F$5,$A$1:$T$1,0)),4)),VALUE(MID(INDEX($A430:$T430,MATCH(Lists!$F$5,$A$1:$T$1,0)),6,2)),VALUE(MID(INDEX($A430:$T430,MATCH(Lists!$F$5,$A$1:$T$1,0)),9,2))))),"")))</f>
        <v/>
      </c>
      <c r="AB430" s="21">
        <f>IF(Y430="","",IF(LEFT(IFERROR(TRIM(INDEX($A430:$T430,MATCH(Lists!$F$6,$A$1:$T$1,0))&amp;""),""),2)="No","General comment",IF(IFERROR(TRIM(INDEX($A430:$T430,MATCH(Lists!$F$7,$A$1:$T$1,0))&amp;""),"")&lt;&gt;"",IFERROR(TRIM(INDEX($A430:$T430,MATCH(Lists!$F$7,$A$1:$T$1,0))&amp;""),""),IF(IFERROR(TRIM(INDEX($A430:$T430,MATCH(Lists!$F$8,$A$1:$T$1,0))&amp;""),"")&lt;&gt;"",IFERROR(TRIM(INDEX($A430:$T430,MATCH(Lists!$F$8,$A$1:$T$1,0))&amp;""),""),"(no item given)"))))</f>
        <v/>
      </c>
      <c r="AC430" s="21">
        <f>IF(Y430="","",IF(ISNUMBER(SEARCH("support",IFERROR(TRIM(INDEX($A430:$T430,MATCH(Lists!$F$9,$A$1:$T$1,0))&amp;""),""))),"Support",IF(ISNUMBER(SEARCH("oppose",IFERROR(TRIM(INDEX($A430:$T430,MATCH(Lists!$F$9,$A$1:$T$1,0))&amp;""),""))),"Oppose",IF(IFERROR(TRIM(INDEX($A430:$T430,MATCH(Lists!$F$9,$A$1:$T$1,0))&amp;""),"")="","No position","Neither"))))</f>
        <v/>
      </c>
      <c r="AD430" s="21">
        <f>IF(Y430="","",IF(ISNUMBER(SEARCH("in person",IFERROR(TRIM(INDEX($A430:$T430,MATCH(Lists!$F$13,$A$1:$T$1,0))&amp;""),""))),"In person",IF(ISNUMBER(SEARCH("online",IFERROR(TRIM(INDEX($A430:$T430,MATCH(Lists!$F$13,$A$1:$T$1,0))&amp;""),""))),"Online","Written only")))</f>
        <v/>
      </c>
      <c r="AE430" s="21">
        <f>IF(Y430="","",IFERROR(TRIM(INDEX($A430:$T430,MATCH(Lists!$F$11,$A$1:$T$1,0))&amp;""),""))</f>
        <v/>
      </c>
      <c r="AF430" s="21">
        <f>IF(Y430="","",IFERROR(TRIM(INDEX($A430:$T430,MATCH(Lists!$F$12,$A$1:$T$1,0))&amp;""),""))</f>
        <v/>
      </c>
      <c r="AG430" s="21">
        <f>IF(Y430="","",IFERROR(TRIM(INDEX($A430:$T430,MATCH(Lists!$F$14,$A$1:$T$1,0))&amp;""),""))</f>
        <v/>
      </c>
      <c r="AH430" s="21">
        <f>IF(Y430="","",LEFT(IFERROR(TRIM(INDEX($A430:$T430,MATCH(Lists!$F$10,$A$1:$T$1,0))&amp;""),""),80))</f>
        <v/>
      </c>
      <c r="AI430" s="21">
        <f>IF(Y430="",0,IF(OR(Tally!$B$5="",AA430=Tally!$B$5),1,0))</f>
        <v/>
      </c>
      <c r="AJ430" s="21">
        <f>IF(AI430=1,IF(COUNTIFS($AB$2:AB430,AB430,$AI$2:AI430,1)=1,1,0),0)</f>
        <v/>
      </c>
      <c r="AK430" s="21">
        <f>IF(AJ430=1,SUM($AJ$2:AJ430),"")</f>
        <v/>
      </c>
      <c r="AL430" s="21">
        <f>IF(AND(AI430=1,OR(AD430="In person",AD430="Online"),OR(Speakers!$B$5="",AB430=Speakers!$B$5)),N(Z430)+ROW()/1000000000,"")</f>
        <v/>
      </c>
    </row>
    <row r="431">
      <c r="U431" s="19" t="n"/>
      <c r="V431" s="24" t="n"/>
      <c r="W431" s="24" t="n"/>
      <c r="X431" s="19" t="n"/>
      <c r="Y431" s="21">
        <f>IFERROR(TRIM(INDEX($A431:$T431,MATCH(Lists!$F$2,$A$1:$T$1,0))&amp;""),"")</f>
        <v/>
      </c>
      <c r="Z431" s="22">
        <f>IF(Y431="","",IFERROR(IF(ISNUMBER(INDEX($A431:$T431,MATCH(Lists!$F$3,$A$1:$T$1,0))),INDEX($A431:$T431,MATCH(Lists!$F$3,$A$1:$T$1,0)),DATE(VALUE(LEFT(IFERROR(TRIM(INDEX($A431:$T431,MATCH(Lists!$F$3,$A$1:$T$1,0))&amp;""),""),4)),VALUE(MID(IFERROR(TRIM(INDEX($A431:$T431,MATCH(Lists!$F$3,$A$1:$T$1,0))&amp;""),""),6,2)),VALUE(MID(IFERROR(TRIM(INDEX($A431:$T431,MATCH(Lists!$F$3,$A$1:$T$1,0))&amp;""),""),9,2)))+TIME(VALUE(MID(IFERROR(TRIM(INDEX($A431:$T431,MATCH(Lists!$F$3,$A$1:$T$1,0))&amp;""),""),12,2)),VALUE(MID(IFERROR(TRIM(INDEX($A431:$T431,MATCH(Lists!$F$3,$A$1:$T$1,0))&amp;""),""),15,2)),VALUE(MID(IFERROR(TRIM(INDEX($A431:$T431,MATCH(Lists!$F$3,$A$1:$T$1,0))&amp;""),""),18,2)))),""))</f>
        <v/>
      </c>
      <c r="AA431" s="23">
        <f>IF(Y431="","",IF(ISNUMBER(IFERROR(IF(TRIM(INDEX($A431:$T431,MATCH(Lists!$F$4,$A$1:$T$1,0))&amp;"")="","",IF(ISNUMBER(INDEX($A431:$T431,MATCH(Lists!$F$4,$A$1:$T$1,0))),INT(INDEX($A431:$T431,MATCH(Lists!$F$4,$A$1:$T$1,0))),DATE(VALUE(LEFT(INDEX($A431:$T431,MATCH(Lists!$F$4,$A$1:$T$1,0)),4)),VALUE(MID(INDEX($A431:$T431,MATCH(Lists!$F$4,$A$1:$T$1,0)),6,2)),VALUE(MID(INDEX($A431:$T431,MATCH(Lists!$F$4,$A$1:$T$1,0)),9,2))))),"")),IFERROR(IF(TRIM(INDEX($A431:$T431,MATCH(Lists!$F$4,$A$1:$T$1,0))&amp;"")="","",IF(ISNUMBER(INDEX($A431:$T431,MATCH(Lists!$F$4,$A$1:$T$1,0))),INT(INDEX($A431:$T431,MATCH(Lists!$F$4,$A$1:$T$1,0))),DATE(VALUE(LEFT(INDEX($A431:$T431,MATCH(Lists!$F$4,$A$1:$T$1,0)),4)),VALUE(MID(INDEX($A431:$T431,MATCH(Lists!$F$4,$A$1:$T$1,0)),6,2)),VALUE(MID(INDEX($A431:$T431,MATCH(Lists!$F$4,$A$1:$T$1,0)),9,2))))),""),IFERROR(IF(TRIM(INDEX($A431:$T431,MATCH(Lists!$F$5,$A$1:$T$1,0))&amp;"")="","",IF(ISNUMBER(INDEX($A431:$T431,MATCH(Lists!$F$5,$A$1:$T$1,0))),INT(INDEX($A431:$T431,MATCH(Lists!$F$5,$A$1:$T$1,0))),DATE(VALUE(LEFT(INDEX($A431:$T431,MATCH(Lists!$F$5,$A$1:$T$1,0)),4)),VALUE(MID(INDEX($A431:$T431,MATCH(Lists!$F$5,$A$1:$T$1,0)),6,2)),VALUE(MID(INDEX($A431:$T431,MATCH(Lists!$F$5,$A$1:$T$1,0)),9,2))))),"")))</f>
        <v/>
      </c>
      <c r="AB431" s="21">
        <f>IF(Y431="","",IF(LEFT(IFERROR(TRIM(INDEX($A431:$T431,MATCH(Lists!$F$6,$A$1:$T$1,0))&amp;""),""),2)="No","General comment",IF(IFERROR(TRIM(INDEX($A431:$T431,MATCH(Lists!$F$7,$A$1:$T$1,0))&amp;""),"")&lt;&gt;"",IFERROR(TRIM(INDEX($A431:$T431,MATCH(Lists!$F$7,$A$1:$T$1,0))&amp;""),""),IF(IFERROR(TRIM(INDEX($A431:$T431,MATCH(Lists!$F$8,$A$1:$T$1,0))&amp;""),"")&lt;&gt;"",IFERROR(TRIM(INDEX($A431:$T431,MATCH(Lists!$F$8,$A$1:$T$1,0))&amp;""),""),"(no item given)"))))</f>
        <v/>
      </c>
      <c r="AC431" s="21">
        <f>IF(Y431="","",IF(ISNUMBER(SEARCH("support",IFERROR(TRIM(INDEX($A431:$T431,MATCH(Lists!$F$9,$A$1:$T$1,0))&amp;""),""))),"Support",IF(ISNUMBER(SEARCH("oppose",IFERROR(TRIM(INDEX($A431:$T431,MATCH(Lists!$F$9,$A$1:$T$1,0))&amp;""),""))),"Oppose",IF(IFERROR(TRIM(INDEX($A431:$T431,MATCH(Lists!$F$9,$A$1:$T$1,0))&amp;""),"")="","No position","Neither"))))</f>
        <v/>
      </c>
      <c r="AD431" s="21">
        <f>IF(Y431="","",IF(ISNUMBER(SEARCH("in person",IFERROR(TRIM(INDEX($A431:$T431,MATCH(Lists!$F$13,$A$1:$T$1,0))&amp;""),""))),"In person",IF(ISNUMBER(SEARCH("online",IFERROR(TRIM(INDEX($A431:$T431,MATCH(Lists!$F$13,$A$1:$T$1,0))&amp;""),""))),"Online","Written only")))</f>
        <v/>
      </c>
      <c r="AE431" s="21">
        <f>IF(Y431="","",IFERROR(TRIM(INDEX($A431:$T431,MATCH(Lists!$F$11,$A$1:$T$1,0))&amp;""),""))</f>
        <v/>
      </c>
      <c r="AF431" s="21">
        <f>IF(Y431="","",IFERROR(TRIM(INDEX($A431:$T431,MATCH(Lists!$F$12,$A$1:$T$1,0))&amp;""),""))</f>
        <v/>
      </c>
      <c r="AG431" s="21">
        <f>IF(Y431="","",IFERROR(TRIM(INDEX($A431:$T431,MATCH(Lists!$F$14,$A$1:$T$1,0))&amp;""),""))</f>
        <v/>
      </c>
      <c r="AH431" s="21">
        <f>IF(Y431="","",LEFT(IFERROR(TRIM(INDEX($A431:$T431,MATCH(Lists!$F$10,$A$1:$T$1,0))&amp;""),""),80))</f>
        <v/>
      </c>
      <c r="AI431" s="21">
        <f>IF(Y431="",0,IF(OR(Tally!$B$5="",AA431=Tally!$B$5),1,0))</f>
        <v/>
      </c>
      <c r="AJ431" s="21">
        <f>IF(AI431=1,IF(COUNTIFS($AB$2:AB431,AB431,$AI$2:AI431,1)=1,1,0),0)</f>
        <v/>
      </c>
      <c r="AK431" s="21">
        <f>IF(AJ431=1,SUM($AJ$2:AJ431),"")</f>
        <v/>
      </c>
      <c r="AL431" s="21">
        <f>IF(AND(AI431=1,OR(AD431="In person",AD431="Online"),OR(Speakers!$B$5="",AB431=Speakers!$B$5)),N(Z431)+ROW()/1000000000,"")</f>
        <v/>
      </c>
    </row>
    <row r="432">
      <c r="U432" s="19" t="n"/>
      <c r="V432" s="24" t="n"/>
      <c r="W432" s="24" t="n"/>
      <c r="X432" s="19" t="n"/>
      <c r="Y432" s="21">
        <f>IFERROR(TRIM(INDEX($A432:$T432,MATCH(Lists!$F$2,$A$1:$T$1,0))&amp;""),"")</f>
        <v/>
      </c>
      <c r="Z432" s="22">
        <f>IF(Y432="","",IFERROR(IF(ISNUMBER(INDEX($A432:$T432,MATCH(Lists!$F$3,$A$1:$T$1,0))),INDEX($A432:$T432,MATCH(Lists!$F$3,$A$1:$T$1,0)),DATE(VALUE(LEFT(IFERROR(TRIM(INDEX($A432:$T432,MATCH(Lists!$F$3,$A$1:$T$1,0))&amp;""),""),4)),VALUE(MID(IFERROR(TRIM(INDEX($A432:$T432,MATCH(Lists!$F$3,$A$1:$T$1,0))&amp;""),""),6,2)),VALUE(MID(IFERROR(TRIM(INDEX($A432:$T432,MATCH(Lists!$F$3,$A$1:$T$1,0))&amp;""),""),9,2)))+TIME(VALUE(MID(IFERROR(TRIM(INDEX($A432:$T432,MATCH(Lists!$F$3,$A$1:$T$1,0))&amp;""),""),12,2)),VALUE(MID(IFERROR(TRIM(INDEX($A432:$T432,MATCH(Lists!$F$3,$A$1:$T$1,0))&amp;""),""),15,2)),VALUE(MID(IFERROR(TRIM(INDEX($A432:$T432,MATCH(Lists!$F$3,$A$1:$T$1,0))&amp;""),""),18,2)))),""))</f>
        <v/>
      </c>
      <c r="AA432" s="23">
        <f>IF(Y432="","",IF(ISNUMBER(IFERROR(IF(TRIM(INDEX($A432:$T432,MATCH(Lists!$F$4,$A$1:$T$1,0))&amp;"")="","",IF(ISNUMBER(INDEX($A432:$T432,MATCH(Lists!$F$4,$A$1:$T$1,0))),INT(INDEX($A432:$T432,MATCH(Lists!$F$4,$A$1:$T$1,0))),DATE(VALUE(LEFT(INDEX($A432:$T432,MATCH(Lists!$F$4,$A$1:$T$1,0)),4)),VALUE(MID(INDEX($A432:$T432,MATCH(Lists!$F$4,$A$1:$T$1,0)),6,2)),VALUE(MID(INDEX($A432:$T432,MATCH(Lists!$F$4,$A$1:$T$1,0)),9,2))))),"")),IFERROR(IF(TRIM(INDEX($A432:$T432,MATCH(Lists!$F$4,$A$1:$T$1,0))&amp;"")="","",IF(ISNUMBER(INDEX($A432:$T432,MATCH(Lists!$F$4,$A$1:$T$1,0))),INT(INDEX($A432:$T432,MATCH(Lists!$F$4,$A$1:$T$1,0))),DATE(VALUE(LEFT(INDEX($A432:$T432,MATCH(Lists!$F$4,$A$1:$T$1,0)),4)),VALUE(MID(INDEX($A432:$T432,MATCH(Lists!$F$4,$A$1:$T$1,0)),6,2)),VALUE(MID(INDEX($A432:$T432,MATCH(Lists!$F$4,$A$1:$T$1,0)),9,2))))),""),IFERROR(IF(TRIM(INDEX($A432:$T432,MATCH(Lists!$F$5,$A$1:$T$1,0))&amp;"")="","",IF(ISNUMBER(INDEX($A432:$T432,MATCH(Lists!$F$5,$A$1:$T$1,0))),INT(INDEX($A432:$T432,MATCH(Lists!$F$5,$A$1:$T$1,0))),DATE(VALUE(LEFT(INDEX($A432:$T432,MATCH(Lists!$F$5,$A$1:$T$1,0)),4)),VALUE(MID(INDEX($A432:$T432,MATCH(Lists!$F$5,$A$1:$T$1,0)),6,2)),VALUE(MID(INDEX($A432:$T432,MATCH(Lists!$F$5,$A$1:$T$1,0)),9,2))))),"")))</f>
        <v/>
      </c>
      <c r="AB432" s="21">
        <f>IF(Y432="","",IF(LEFT(IFERROR(TRIM(INDEX($A432:$T432,MATCH(Lists!$F$6,$A$1:$T$1,0))&amp;""),""),2)="No","General comment",IF(IFERROR(TRIM(INDEX($A432:$T432,MATCH(Lists!$F$7,$A$1:$T$1,0))&amp;""),"")&lt;&gt;"",IFERROR(TRIM(INDEX($A432:$T432,MATCH(Lists!$F$7,$A$1:$T$1,0))&amp;""),""),IF(IFERROR(TRIM(INDEX($A432:$T432,MATCH(Lists!$F$8,$A$1:$T$1,0))&amp;""),"")&lt;&gt;"",IFERROR(TRIM(INDEX($A432:$T432,MATCH(Lists!$F$8,$A$1:$T$1,0))&amp;""),""),"(no item given)"))))</f>
        <v/>
      </c>
      <c r="AC432" s="21">
        <f>IF(Y432="","",IF(ISNUMBER(SEARCH("support",IFERROR(TRIM(INDEX($A432:$T432,MATCH(Lists!$F$9,$A$1:$T$1,0))&amp;""),""))),"Support",IF(ISNUMBER(SEARCH("oppose",IFERROR(TRIM(INDEX($A432:$T432,MATCH(Lists!$F$9,$A$1:$T$1,0))&amp;""),""))),"Oppose",IF(IFERROR(TRIM(INDEX($A432:$T432,MATCH(Lists!$F$9,$A$1:$T$1,0))&amp;""),"")="","No position","Neither"))))</f>
        <v/>
      </c>
      <c r="AD432" s="21">
        <f>IF(Y432="","",IF(ISNUMBER(SEARCH("in person",IFERROR(TRIM(INDEX($A432:$T432,MATCH(Lists!$F$13,$A$1:$T$1,0))&amp;""),""))),"In person",IF(ISNUMBER(SEARCH("online",IFERROR(TRIM(INDEX($A432:$T432,MATCH(Lists!$F$13,$A$1:$T$1,0))&amp;""),""))),"Online","Written only")))</f>
        <v/>
      </c>
      <c r="AE432" s="21">
        <f>IF(Y432="","",IFERROR(TRIM(INDEX($A432:$T432,MATCH(Lists!$F$11,$A$1:$T$1,0))&amp;""),""))</f>
        <v/>
      </c>
      <c r="AF432" s="21">
        <f>IF(Y432="","",IFERROR(TRIM(INDEX($A432:$T432,MATCH(Lists!$F$12,$A$1:$T$1,0))&amp;""),""))</f>
        <v/>
      </c>
      <c r="AG432" s="21">
        <f>IF(Y432="","",IFERROR(TRIM(INDEX($A432:$T432,MATCH(Lists!$F$14,$A$1:$T$1,0))&amp;""),""))</f>
        <v/>
      </c>
      <c r="AH432" s="21">
        <f>IF(Y432="","",LEFT(IFERROR(TRIM(INDEX($A432:$T432,MATCH(Lists!$F$10,$A$1:$T$1,0))&amp;""),""),80))</f>
        <v/>
      </c>
      <c r="AI432" s="21">
        <f>IF(Y432="",0,IF(OR(Tally!$B$5="",AA432=Tally!$B$5),1,0))</f>
        <v/>
      </c>
      <c r="AJ432" s="21">
        <f>IF(AI432=1,IF(COUNTIFS($AB$2:AB432,AB432,$AI$2:AI432,1)=1,1,0),0)</f>
        <v/>
      </c>
      <c r="AK432" s="21">
        <f>IF(AJ432=1,SUM($AJ$2:AJ432),"")</f>
        <v/>
      </c>
      <c r="AL432" s="21">
        <f>IF(AND(AI432=1,OR(AD432="In person",AD432="Online"),OR(Speakers!$B$5="",AB432=Speakers!$B$5)),N(Z432)+ROW()/1000000000,"")</f>
        <v/>
      </c>
    </row>
    <row r="433">
      <c r="U433" s="19" t="n"/>
      <c r="V433" s="24" t="n"/>
      <c r="W433" s="24" t="n"/>
      <c r="X433" s="19" t="n"/>
      <c r="Y433" s="21">
        <f>IFERROR(TRIM(INDEX($A433:$T433,MATCH(Lists!$F$2,$A$1:$T$1,0))&amp;""),"")</f>
        <v/>
      </c>
      <c r="Z433" s="22">
        <f>IF(Y433="","",IFERROR(IF(ISNUMBER(INDEX($A433:$T433,MATCH(Lists!$F$3,$A$1:$T$1,0))),INDEX($A433:$T433,MATCH(Lists!$F$3,$A$1:$T$1,0)),DATE(VALUE(LEFT(IFERROR(TRIM(INDEX($A433:$T433,MATCH(Lists!$F$3,$A$1:$T$1,0))&amp;""),""),4)),VALUE(MID(IFERROR(TRIM(INDEX($A433:$T433,MATCH(Lists!$F$3,$A$1:$T$1,0))&amp;""),""),6,2)),VALUE(MID(IFERROR(TRIM(INDEX($A433:$T433,MATCH(Lists!$F$3,$A$1:$T$1,0))&amp;""),""),9,2)))+TIME(VALUE(MID(IFERROR(TRIM(INDEX($A433:$T433,MATCH(Lists!$F$3,$A$1:$T$1,0))&amp;""),""),12,2)),VALUE(MID(IFERROR(TRIM(INDEX($A433:$T433,MATCH(Lists!$F$3,$A$1:$T$1,0))&amp;""),""),15,2)),VALUE(MID(IFERROR(TRIM(INDEX($A433:$T433,MATCH(Lists!$F$3,$A$1:$T$1,0))&amp;""),""),18,2)))),""))</f>
        <v/>
      </c>
      <c r="AA433" s="23">
        <f>IF(Y433="","",IF(ISNUMBER(IFERROR(IF(TRIM(INDEX($A433:$T433,MATCH(Lists!$F$4,$A$1:$T$1,0))&amp;"")="","",IF(ISNUMBER(INDEX($A433:$T433,MATCH(Lists!$F$4,$A$1:$T$1,0))),INT(INDEX($A433:$T433,MATCH(Lists!$F$4,$A$1:$T$1,0))),DATE(VALUE(LEFT(INDEX($A433:$T433,MATCH(Lists!$F$4,$A$1:$T$1,0)),4)),VALUE(MID(INDEX($A433:$T433,MATCH(Lists!$F$4,$A$1:$T$1,0)),6,2)),VALUE(MID(INDEX($A433:$T433,MATCH(Lists!$F$4,$A$1:$T$1,0)),9,2))))),"")),IFERROR(IF(TRIM(INDEX($A433:$T433,MATCH(Lists!$F$4,$A$1:$T$1,0))&amp;"")="","",IF(ISNUMBER(INDEX($A433:$T433,MATCH(Lists!$F$4,$A$1:$T$1,0))),INT(INDEX($A433:$T433,MATCH(Lists!$F$4,$A$1:$T$1,0))),DATE(VALUE(LEFT(INDEX($A433:$T433,MATCH(Lists!$F$4,$A$1:$T$1,0)),4)),VALUE(MID(INDEX($A433:$T433,MATCH(Lists!$F$4,$A$1:$T$1,0)),6,2)),VALUE(MID(INDEX($A433:$T433,MATCH(Lists!$F$4,$A$1:$T$1,0)),9,2))))),""),IFERROR(IF(TRIM(INDEX($A433:$T433,MATCH(Lists!$F$5,$A$1:$T$1,0))&amp;"")="","",IF(ISNUMBER(INDEX($A433:$T433,MATCH(Lists!$F$5,$A$1:$T$1,0))),INT(INDEX($A433:$T433,MATCH(Lists!$F$5,$A$1:$T$1,0))),DATE(VALUE(LEFT(INDEX($A433:$T433,MATCH(Lists!$F$5,$A$1:$T$1,0)),4)),VALUE(MID(INDEX($A433:$T433,MATCH(Lists!$F$5,$A$1:$T$1,0)),6,2)),VALUE(MID(INDEX($A433:$T433,MATCH(Lists!$F$5,$A$1:$T$1,0)),9,2))))),"")))</f>
        <v/>
      </c>
      <c r="AB433" s="21">
        <f>IF(Y433="","",IF(LEFT(IFERROR(TRIM(INDEX($A433:$T433,MATCH(Lists!$F$6,$A$1:$T$1,0))&amp;""),""),2)="No","General comment",IF(IFERROR(TRIM(INDEX($A433:$T433,MATCH(Lists!$F$7,$A$1:$T$1,0))&amp;""),"")&lt;&gt;"",IFERROR(TRIM(INDEX($A433:$T433,MATCH(Lists!$F$7,$A$1:$T$1,0))&amp;""),""),IF(IFERROR(TRIM(INDEX($A433:$T433,MATCH(Lists!$F$8,$A$1:$T$1,0))&amp;""),"")&lt;&gt;"",IFERROR(TRIM(INDEX($A433:$T433,MATCH(Lists!$F$8,$A$1:$T$1,0))&amp;""),""),"(no item given)"))))</f>
        <v/>
      </c>
      <c r="AC433" s="21">
        <f>IF(Y433="","",IF(ISNUMBER(SEARCH("support",IFERROR(TRIM(INDEX($A433:$T433,MATCH(Lists!$F$9,$A$1:$T$1,0))&amp;""),""))),"Support",IF(ISNUMBER(SEARCH("oppose",IFERROR(TRIM(INDEX($A433:$T433,MATCH(Lists!$F$9,$A$1:$T$1,0))&amp;""),""))),"Oppose",IF(IFERROR(TRIM(INDEX($A433:$T433,MATCH(Lists!$F$9,$A$1:$T$1,0))&amp;""),"")="","No position","Neither"))))</f>
        <v/>
      </c>
      <c r="AD433" s="21">
        <f>IF(Y433="","",IF(ISNUMBER(SEARCH("in person",IFERROR(TRIM(INDEX($A433:$T433,MATCH(Lists!$F$13,$A$1:$T$1,0))&amp;""),""))),"In person",IF(ISNUMBER(SEARCH("online",IFERROR(TRIM(INDEX($A433:$T433,MATCH(Lists!$F$13,$A$1:$T$1,0))&amp;""),""))),"Online","Written only")))</f>
        <v/>
      </c>
      <c r="AE433" s="21">
        <f>IF(Y433="","",IFERROR(TRIM(INDEX($A433:$T433,MATCH(Lists!$F$11,$A$1:$T$1,0))&amp;""),""))</f>
        <v/>
      </c>
      <c r="AF433" s="21">
        <f>IF(Y433="","",IFERROR(TRIM(INDEX($A433:$T433,MATCH(Lists!$F$12,$A$1:$T$1,0))&amp;""),""))</f>
        <v/>
      </c>
      <c r="AG433" s="21">
        <f>IF(Y433="","",IFERROR(TRIM(INDEX($A433:$T433,MATCH(Lists!$F$14,$A$1:$T$1,0))&amp;""),""))</f>
        <v/>
      </c>
      <c r="AH433" s="21">
        <f>IF(Y433="","",LEFT(IFERROR(TRIM(INDEX($A433:$T433,MATCH(Lists!$F$10,$A$1:$T$1,0))&amp;""),""),80))</f>
        <v/>
      </c>
      <c r="AI433" s="21">
        <f>IF(Y433="",0,IF(OR(Tally!$B$5="",AA433=Tally!$B$5),1,0))</f>
        <v/>
      </c>
      <c r="AJ433" s="21">
        <f>IF(AI433=1,IF(COUNTIFS($AB$2:AB433,AB433,$AI$2:AI433,1)=1,1,0),0)</f>
        <v/>
      </c>
      <c r="AK433" s="21">
        <f>IF(AJ433=1,SUM($AJ$2:AJ433),"")</f>
        <v/>
      </c>
      <c r="AL433" s="21">
        <f>IF(AND(AI433=1,OR(AD433="In person",AD433="Online"),OR(Speakers!$B$5="",AB433=Speakers!$B$5)),N(Z433)+ROW()/1000000000,"")</f>
        <v/>
      </c>
    </row>
    <row r="434">
      <c r="U434" s="19" t="n"/>
      <c r="V434" s="24" t="n"/>
      <c r="W434" s="24" t="n"/>
      <c r="X434" s="19" t="n"/>
      <c r="Y434" s="21">
        <f>IFERROR(TRIM(INDEX($A434:$T434,MATCH(Lists!$F$2,$A$1:$T$1,0))&amp;""),"")</f>
        <v/>
      </c>
      <c r="Z434" s="22">
        <f>IF(Y434="","",IFERROR(IF(ISNUMBER(INDEX($A434:$T434,MATCH(Lists!$F$3,$A$1:$T$1,0))),INDEX($A434:$T434,MATCH(Lists!$F$3,$A$1:$T$1,0)),DATE(VALUE(LEFT(IFERROR(TRIM(INDEX($A434:$T434,MATCH(Lists!$F$3,$A$1:$T$1,0))&amp;""),""),4)),VALUE(MID(IFERROR(TRIM(INDEX($A434:$T434,MATCH(Lists!$F$3,$A$1:$T$1,0))&amp;""),""),6,2)),VALUE(MID(IFERROR(TRIM(INDEX($A434:$T434,MATCH(Lists!$F$3,$A$1:$T$1,0))&amp;""),""),9,2)))+TIME(VALUE(MID(IFERROR(TRIM(INDEX($A434:$T434,MATCH(Lists!$F$3,$A$1:$T$1,0))&amp;""),""),12,2)),VALUE(MID(IFERROR(TRIM(INDEX($A434:$T434,MATCH(Lists!$F$3,$A$1:$T$1,0))&amp;""),""),15,2)),VALUE(MID(IFERROR(TRIM(INDEX($A434:$T434,MATCH(Lists!$F$3,$A$1:$T$1,0))&amp;""),""),18,2)))),""))</f>
        <v/>
      </c>
      <c r="AA434" s="23">
        <f>IF(Y434="","",IF(ISNUMBER(IFERROR(IF(TRIM(INDEX($A434:$T434,MATCH(Lists!$F$4,$A$1:$T$1,0))&amp;"")="","",IF(ISNUMBER(INDEX($A434:$T434,MATCH(Lists!$F$4,$A$1:$T$1,0))),INT(INDEX($A434:$T434,MATCH(Lists!$F$4,$A$1:$T$1,0))),DATE(VALUE(LEFT(INDEX($A434:$T434,MATCH(Lists!$F$4,$A$1:$T$1,0)),4)),VALUE(MID(INDEX($A434:$T434,MATCH(Lists!$F$4,$A$1:$T$1,0)),6,2)),VALUE(MID(INDEX($A434:$T434,MATCH(Lists!$F$4,$A$1:$T$1,0)),9,2))))),"")),IFERROR(IF(TRIM(INDEX($A434:$T434,MATCH(Lists!$F$4,$A$1:$T$1,0))&amp;"")="","",IF(ISNUMBER(INDEX($A434:$T434,MATCH(Lists!$F$4,$A$1:$T$1,0))),INT(INDEX($A434:$T434,MATCH(Lists!$F$4,$A$1:$T$1,0))),DATE(VALUE(LEFT(INDEX($A434:$T434,MATCH(Lists!$F$4,$A$1:$T$1,0)),4)),VALUE(MID(INDEX($A434:$T434,MATCH(Lists!$F$4,$A$1:$T$1,0)),6,2)),VALUE(MID(INDEX($A434:$T434,MATCH(Lists!$F$4,$A$1:$T$1,0)),9,2))))),""),IFERROR(IF(TRIM(INDEX($A434:$T434,MATCH(Lists!$F$5,$A$1:$T$1,0))&amp;"")="","",IF(ISNUMBER(INDEX($A434:$T434,MATCH(Lists!$F$5,$A$1:$T$1,0))),INT(INDEX($A434:$T434,MATCH(Lists!$F$5,$A$1:$T$1,0))),DATE(VALUE(LEFT(INDEX($A434:$T434,MATCH(Lists!$F$5,$A$1:$T$1,0)),4)),VALUE(MID(INDEX($A434:$T434,MATCH(Lists!$F$5,$A$1:$T$1,0)),6,2)),VALUE(MID(INDEX($A434:$T434,MATCH(Lists!$F$5,$A$1:$T$1,0)),9,2))))),"")))</f>
        <v/>
      </c>
      <c r="AB434" s="21">
        <f>IF(Y434="","",IF(LEFT(IFERROR(TRIM(INDEX($A434:$T434,MATCH(Lists!$F$6,$A$1:$T$1,0))&amp;""),""),2)="No","General comment",IF(IFERROR(TRIM(INDEX($A434:$T434,MATCH(Lists!$F$7,$A$1:$T$1,0))&amp;""),"")&lt;&gt;"",IFERROR(TRIM(INDEX($A434:$T434,MATCH(Lists!$F$7,$A$1:$T$1,0))&amp;""),""),IF(IFERROR(TRIM(INDEX($A434:$T434,MATCH(Lists!$F$8,$A$1:$T$1,0))&amp;""),"")&lt;&gt;"",IFERROR(TRIM(INDEX($A434:$T434,MATCH(Lists!$F$8,$A$1:$T$1,0))&amp;""),""),"(no item given)"))))</f>
        <v/>
      </c>
      <c r="AC434" s="21">
        <f>IF(Y434="","",IF(ISNUMBER(SEARCH("support",IFERROR(TRIM(INDEX($A434:$T434,MATCH(Lists!$F$9,$A$1:$T$1,0))&amp;""),""))),"Support",IF(ISNUMBER(SEARCH("oppose",IFERROR(TRIM(INDEX($A434:$T434,MATCH(Lists!$F$9,$A$1:$T$1,0))&amp;""),""))),"Oppose",IF(IFERROR(TRIM(INDEX($A434:$T434,MATCH(Lists!$F$9,$A$1:$T$1,0))&amp;""),"")="","No position","Neither"))))</f>
        <v/>
      </c>
      <c r="AD434" s="21">
        <f>IF(Y434="","",IF(ISNUMBER(SEARCH("in person",IFERROR(TRIM(INDEX($A434:$T434,MATCH(Lists!$F$13,$A$1:$T$1,0))&amp;""),""))),"In person",IF(ISNUMBER(SEARCH("online",IFERROR(TRIM(INDEX($A434:$T434,MATCH(Lists!$F$13,$A$1:$T$1,0))&amp;""),""))),"Online","Written only")))</f>
        <v/>
      </c>
      <c r="AE434" s="21">
        <f>IF(Y434="","",IFERROR(TRIM(INDEX($A434:$T434,MATCH(Lists!$F$11,$A$1:$T$1,0))&amp;""),""))</f>
        <v/>
      </c>
      <c r="AF434" s="21">
        <f>IF(Y434="","",IFERROR(TRIM(INDEX($A434:$T434,MATCH(Lists!$F$12,$A$1:$T$1,0))&amp;""),""))</f>
        <v/>
      </c>
      <c r="AG434" s="21">
        <f>IF(Y434="","",IFERROR(TRIM(INDEX($A434:$T434,MATCH(Lists!$F$14,$A$1:$T$1,0))&amp;""),""))</f>
        <v/>
      </c>
      <c r="AH434" s="21">
        <f>IF(Y434="","",LEFT(IFERROR(TRIM(INDEX($A434:$T434,MATCH(Lists!$F$10,$A$1:$T$1,0))&amp;""),""),80))</f>
        <v/>
      </c>
      <c r="AI434" s="21">
        <f>IF(Y434="",0,IF(OR(Tally!$B$5="",AA434=Tally!$B$5),1,0))</f>
        <v/>
      </c>
      <c r="AJ434" s="21">
        <f>IF(AI434=1,IF(COUNTIFS($AB$2:AB434,AB434,$AI$2:AI434,1)=1,1,0),0)</f>
        <v/>
      </c>
      <c r="AK434" s="21">
        <f>IF(AJ434=1,SUM($AJ$2:AJ434),"")</f>
        <v/>
      </c>
      <c r="AL434" s="21">
        <f>IF(AND(AI434=1,OR(AD434="In person",AD434="Online"),OR(Speakers!$B$5="",AB434=Speakers!$B$5)),N(Z434)+ROW()/1000000000,"")</f>
        <v/>
      </c>
    </row>
    <row r="435">
      <c r="U435" s="19" t="n"/>
      <c r="V435" s="24" t="n"/>
      <c r="W435" s="24" t="n"/>
      <c r="X435" s="19" t="n"/>
      <c r="Y435" s="21">
        <f>IFERROR(TRIM(INDEX($A435:$T435,MATCH(Lists!$F$2,$A$1:$T$1,0))&amp;""),"")</f>
        <v/>
      </c>
      <c r="Z435" s="22">
        <f>IF(Y435="","",IFERROR(IF(ISNUMBER(INDEX($A435:$T435,MATCH(Lists!$F$3,$A$1:$T$1,0))),INDEX($A435:$T435,MATCH(Lists!$F$3,$A$1:$T$1,0)),DATE(VALUE(LEFT(IFERROR(TRIM(INDEX($A435:$T435,MATCH(Lists!$F$3,$A$1:$T$1,0))&amp;""),""),4)),VALUE(MID(IFERROR(TRIM(INDEX($A435:$T435,MATCH(Lists!$F$3,$A$1:$T$1,0))&amp;""),""),6,2)),VALUE(MID(IFERROR(TRIM(INDEX($A435:$T435,MATCH(Lists!$F$3,$A$1:$T$1,0))&amp;""),""),9,2)))+TIME(VALUE(MID(IFERROR(TRIM(INDEX($A435:$T435,MATCH(Lists!$F$3,$A$1:$T$1,0))&amp;""),""),12,2)),VALUE(MID(IFERROR(TRIM(INDEX($A435:$T435,MATCH(Lists!$F$3,$A$1:$T$1,0))&amp;""),""),15,2)),VALUE(MID(IFERROR(TRIM(INDEX($A435:$T435,MATCH(Lists!$F$3,$A$1:$T$1,0))&amp;""),""),18,2)))),""))</f>
        <v/>
      </c>
      <c r="AA435" s="23">
        <f>IF(Y435="","",IF(ISNUMBER(IFERROR(IF(TRIM(INDEX($A435:$T435,MATCH(Lists!$F$4,$A$1:$T$1,0))&amp;"")="","",IF(ISNUMBER(INDEX($A435:$T435,MATCH(Lists!$F$4,$A$1:$T$1,0))),INT(INDEX($A435:$T435,MATCH(Lists!$F$4,$A$1:$T$1,0))),DATE(VALUE(LEFT(INDEX($A435:$T435,MATCH(Lists!$F$4,$A$1:$T$1,0)),4)),VALUE(MID(INDEX($A435:$T435,MATCH(Lists!$F$4,$A$1:$T$1,0)),6,2)),VALUE(MID(INDEX($A435:$T435,MATCH(Lists!$F$4,$A$1:$T$1,0)),9,2))))),"")),IFERROR(IF(TRIM(INDEX($A435:$T435,MATCH(Lists!$F$4,$A$1:$T$1,0))&amp;"")="","",IF(ISNUMBER(INDEX($A435:$T435,MATCH(Lists!$F$4,$A$1:$T$1,0))),INT(INDEX($A435:$T435,MATCH(Lists!$F$4,$A$1:$T$1,0))),DATE(VALUE(LEFT(INDEX($A435:$T435,MATCH(Lists!$F$4,$A$1:$T$1,0)),4)),VALUE(MID(INDEX($A435:$T435,MATCH(Lists!$F$4,$A$1:$T$1,0)),6,2)),VALUE(MID(INDEX($A435:$T435,MATCH(Lists!$F$4,$A$1:$T$1,0)),9,2))))),""),IFERROR(IF(TRIM(INDEX($A435:$T435,MATCH(Lists!$F$5,$A$1:$T$1,0))&amp;"")="","",IF(ISNUMBER(INDEX($A435:$T435,MATCH(Lists!$F$5,$A$1:$T$1,0))),INT(INDEX($A435:$T435,MATCH(Lists!$F$5,$A$1:$T$1,0))),DATE(VALUE(LEFT(INDEX($A435:$T435,MATCH(Lists!$F$5,$A$1:$T$1,0)),4)),VALUE(MID(INDEX($A435:$T435,MATCH(Lists!$F$5,$A$1:$T$1,0)),6,2)),VALUE(MID(INDEX($A435:$T435,MATCH(Lists!$F$5,$A$1:$T$1,0)),9,2))))),"")))</f>
        <v/>
      </c>
      <c r="AB435" s="21">
        <f>IF(Y435="","",IF(LEFT(IFERROR(TRIM(INDEX($A435:$T435,MATCH(Lists!$F$6,$A$1:$T$1,0))&amp;""),""),2)="No","General comment",IF(IFERROR(TRIM(INDEX($A435:$T435,MATCH(Lists!$F$7,$A$1:$T$1,0))&amp;""),"")&lt;&gt;"",IFERROR(TRIM(INDEX($A435:$T435,MATCH(Lists!$F$7,$A$1:$T$1,0))&amp;""),""),IF(IFERROR(TRIM(INDEX($A435:$T435,MATCH(Lists!$F$8,$A$1:$T$1,0))&amp;""),"")&lt;&gt;"",IFERROR(TRIM(INDEX($A435:$T435,MATCH(Lists!$F$8,$A$1:$T$1,0))&amp;""),""),"(no item given)"))))</f>
        <v/>
      </c>
      <c r="AC435" s="21">
        <f>IF(Y435="","",IF(ISNUMBER(SEARCH("support",IFERROR(TRIM(INDEX($A435:$T435,MATCH(Lists!$F$9,$A$1:$T$1,0))&amp;""),""))),"Support",IF(ISNUMBER(SEARCH("oppose",IFERROR(TRIM(INDEX($A435:$T435,MATCH(Lists!$F$9,$A$1:$T$1,0))&amp;""),""))),"Oppose",IF(IFERROR(TRIM(INDEX($A435:$T435,MATCH(Lists!$F$9,$A$1:$T$1,0))&amp;""),"")="","No position","Neither"))))</f>
        <v/>
      </c>
      <c r="AD435" s="21">
        <f>IF(Y435="","",IF(ISNUMBER(SEARCH("in person",IFERROR(TRIM(INDEX($A435:$T435,MATCH(Lists!$F$13,$A$1:$T$1,0))&amp;""),""))),"In person",IF(ISNUMBER(SEARCH("online",IFERROR(TRIM(INDEX($A435:$T435,MATCH(Lists!$F$13,$A$1:$T$1,0))&amp;""),""))),"Online","Written only")))</f>
        <v/>
      </c>
      <c r="AE435" s="21">
        <f>IF(Y435="","",IFERROR(TRIM(INDEX($A435:$T435,MATCH(Lists!$F$11,$A$1:$T$1,0))&amp;""),""))</f>
        <v/>
      </c>
      <c r="AF435" s="21">
        <f>IF(Y435="","",IFERROR(TRIM(INDEX($A435:$T435,MATCH(Lists!$F$12,$A$1:$T$1,0))&amp;""),""))</f>
        <v/>
      </c>
      <c r="AG435" s="21">
        <f>IF(Y435="","",IFERROR(TRIM(INDEX($A435:$T435,MATCH(Lists!$F$14,$A$1:$T$1,0))&amp;""),""))</f>
        <v/>
      </c>
      <c r="AH435" s="21">
        <f>IF(Y435="","",LEFT(IFERROR(TRIM(INDEX($A435:$T435,MATCH(Lists!$F$10,$A$1:$T$1,0))&amp;""),""),80))</f>
        <v/>
      </c>
      <c r="AI435" s="21">
        <f>IF(Y435="",0,IF(OR(Tally!$B$5="",AA435=Tally!$B$5),1,0))</f>
        <v/>
      </c>
      <c r="AJ435" s="21">
        <f>IF(AI435=1,IF(COUNTIFS($AB$2:AB435,AB435,$AI$2:AI435,1)=1,1,0),0)</f>
        <v/>
      </c>
      <c r="AK435" s="21">
        <f>IF(AJ435=1,SUM($AJ$2:AJ435),"")</f>
        <v/>
      </c>
      <c r="AL435" s="21">
        <f>IF(AND(AI435=1,OR(AD435="In person",AD435="Online"),OR(Speakers!$B$5="",AB435=Speakers!$B$5)),N(Z435)+ROW()/1000000000,"")</f>
        <v/>
      </c>
    </row>
    <row r="436">
      <c r="U436" s="19" t="n"/>
      <c r="V436" s="24" t="n"/>
      <c r="W436" s="24" t="n"/>
      <c r="X436" s="19" t="n"/>
      <c r="Y436" s="21">
        <f>IFERROR(TRIM(INDEX($A436:$T436,MATCH(Lists!$F$2,$A$1:$T$1,0))&amp;""),"")</f>
        <v/>
      </c>
      <c r="Z436" s="22">
        <f>IF(Y436="","",IFERROR(IF(ISNUMBER(INDEX($A436:$T436,MATCH(Lists!$F$3,$A$1:$T$1,0))),INDEX($A436:$T436,MATCH(Lists!$F$3,$A$1:$T$1,0)),DATE(VALUE(LEFT(IFERROR(TRIM(INDEX($A436:$T436,MATCH(Lists!$F$3,$A$1:$T$1,0))&amp;""),""),4)),VALUE(MID(IFERROR(TRIM(INDEX($A436:$T436,MATCH(Lists!$F$3,$A$1:$T$1,0))&amp;""),""),6,2)),VALUE(MID(IFERROR(TRIM(INDEX($A436:$T436,MATCH(Lists!$F$3,$A$1:$T$1,0))&amp;""),""),9,2)))+TIME(VALUE(MID(IFERROR(TRIM(INDEX($A436:$T436,MATCH(Lists!$F$3,$A$1:$T$1,0))&amp;""),""),12,2)),VALUE(MID(IFERROR(TRIM(INDEX($A436:$T436,MATCH(Lists!$F$3,$A$1:$T$1,0))&amp;""),""),15,2)),VALUE(MID(IFERROR(TRIM(INDEX($A436:$T436,MATCH(Lists!$F$3,$A$1:$T$1,0))&amp;""),""),18,2)))),""))</f>
        <v/>
      </c>
      <c r="AA436" s="23">
        <f>IF(Y436="","",IF(ISNUMBER(IFERROR(IF(TRIM(INDEX($A436:$T436,MATCH(Lists!$F$4,$A$1:$T$1,0))&amp;"")="","",IF(ISNUMBER(INDEX($A436:$T436,MATCH(Lists!$F$4,$A$1:$T$1,0))),INT(INDEX($A436:$T436,MATCH(Lists!$F$4,$A$1:$T$1,0))),DATE(VALUE(LEFT(INDEX($A436:$T436,MATCH(Lists!$F$4,$A$1:$T$1,0)),4)),VALUE(MID(INDEX($A436:$T436,MATCH(Lists!$F$4,$A$1:$T$1,0)),6,2)),VALUE(MID(INDEX($A436:$T436,MATCH(Lists!$F$4,$A$1:$T$1,0)),9,2))))),"")),IFERROR(IF(TRIM(INDEX($A436:$T436,MATCH(Lists!$F$4,$A$1:$T$1,0))&amp;"")="","",IF(ISNUMBER(INDEX($A436:$T436,MATCH(Lists!$F$4,$A$1:$T$1,0))),INT(INDEX($A436:$T436,MATCH(Lists!$F$4,$A$1:$T$1,0))),DATE(VALUE(LEFT(INDEX($A436:$T436,MATCH(Lists!$F$4,$A$1:$T$1,0)),4)),VALUE(MID(INDEX($A436:$T436,MATCH(Lists!$F$4,$A$1:$T$1,0)),6,2)),VALUE(MID(INDEX($A436:$T436,MATCH(Lists!$F$4,$A$1:$T$1,0)),9,2))))),""),IFERROR(IF(TRIM(INDEX($A436:$T436,MATCH(Lists!$F$5,$A$1:$T$1,0))&amp;"")="","",IF(ISNUMBER(INDEX($A436:$T436,MATCH(Lists!$F$5,$A$1:$T$1,0))),INT(INDEX($A436:$T436,MATCH(Lists!$F$5,$A$1:$T$1,0))),DATE(VALUE(LEFT(INDEX($A436:$T436,MATCH(Lists!$F$5,$A$1:$T$1,0)),4)),VALUE(MID(INDEX($A436:$T436,MATCH(Lists!$F$5,$A$1:$T$1,0)),6,2)),VALUE(MID(INDEX($A436:$T436,MATCH(Lists!$F$5,$A$1:$T$1,0)),9,2))))),"")))</f>
        <v/>
      </c>
      <c r="AB436" s="21">
        <f>IF(Y436="","",IF(LEFT(IFERROR(TRIM(INDEX($A436:$T436,MATCH(Lists!$F$6,$A$1:$T$1,0))&amp;""),""),2)="No","General comment",IF(IFERROR(TRIM(INDEX($A436:$T436,MATCH(Lists!$F$7,$A$1:$T$1,0))&amp;""),"")&lt;&gt;"",IFERROR(TRIM(INDEX($A436:$T436,MATCH(Lists!$F$7,$A$1:$T$1,0))&amp;""),""),IF(IFERROR(TRIM(INDEX($A436:$T436,MATCH(Lists!$F$8,$A$1:$T$1,0))&amp;""),"")&lt;&gt;"",IFERROR(TRIM(INDEX($A436:$T436,MATCH(Lists!$F$8,$A$1:$T$1,0))&amp;""),""),"(no item given)"))))</f>
        <v/>
      </c>
      <c r="AC436" s="21">
        <f>IF(Y436="","",IF(ISNUMBER(SEARCH("support",IFERROR(TRIM(INDEX($A436:$T436,MATCH(Lists!$F$9,$A$1:$T$1,0))&amp;""),""))),"Support",IF(ISNUMBER(SEARCH("oppose",IFERROR(TRIM(INDEX($A436:$T436,MATCH(Lists!$F$9,$A$1:$T$1,0))&amp;""),""))),"Oppose",IF(IFERROR(TRIM(INDEX($A436:$T436,MATCH(Lists!$F$9,$A$1:$T$1,0))&amp;""),"")="","No position","Neither"))))</f>
        <v/>
      </c>
      <c r="AD436" s="21">
        <f>IF(Y436="","",IF(ISNUMBER(SEARCH("in person",IFERROR(TRIM(INDEX($A436:$T436,MATCH(Lists!$F$13,$A$1:$T$1,0))&amp;""),""))),"In person",IF(ISNUMBER(SEARCH("online",IFERROR(TRIM(INDEX($A436:$T436,MATCH(Lists!$F$13,$A$1:$T$1,0))&amp;""),""))),"Online","Written only")))</f>
        <v/>
      </c>
      <c r="AE436" s="21">
        <f>IF(Y436="","",IFERROR(TRIM(INDEX($A436:$T436,MATCH(Lists!$F$11,$A$1:$T$1,0))&amp;""),""))</f>
        <v/>
      </c>
      <c r="AF436" s="21">
        <f>IF(Y436="","",IFERROR(TRIM(INDEX($A436:$T436,MATCH(Lists!$F$12,$A$1:$T$1,0))&amp;""),""))</f>
        <v/>
      </c>
      <c r="AG436" s="21">
        <f>IF(Y436="","",IFERROR(TRIM(INDEX($A436:$T436,MATCH(Lists!$F$14,$A$1:$T$1,0))&amp;""),""))</f>
        <v/>
      </c>
      <c r="AH436" s="21">
        <f>IF(Y436="","",LEFT(IFERROR(TRIM(INDEX($A436:$T436,MATCH(Lists!$F$10,$A$1:$T$1,0))&amp;""),""),80))</f>
        <v/>
      </c>
      <c r="AI436" s="21">
        <f>IF(Y436="",0,IF(OR(Tally!$B$5="",AA436=Tally!$B$5),1,0))</f>
        <v/>
      </c>
      <c r="AJ436" s="21">
        <f>IF(AI436=1,IF(COUNTIFS($AB$2:AB436,AB436,$AI$2:AI436,1)=1,1,0),0)</f>
        <v/>
      </c>
      <c r="AK436" s="21">
        <f>IF(AJ436=1,SUM($AJ$2:AJ436),"")</f>
        <v/>
      </c>
      <c r="AL436" s="21">
        <f>IF(AND(AI436=1,OR(AD436="In person",AD436="Online"),OR(Speakers!$B$5="",AB436=Speakers!$B$5)),N(Z436)+ROW()/1000000000,"")</f>
        <v/>
      </c>
    </row>
    <row r="437">
      <c r="U437" s="19" t="n"/>
      <c r="V437" s="24" t="n"/>
      <c r="W437" s="24" t="n"/>
      <c r="X437" s="19" t="n"/>
      <c r="Y437" s="21">
        <f>IFERROR(TRIM(INDEX($A437:$T437,MATCH(Lists!$F$2,$A$1:$T$1,0))&amp;""),"")</f>
        <v/>
      </c>
      <c r="Z437" s="22">
        <f>IF(Y437="","",IFERROR(IF(ISNUMBER(INDEX($A437:$T437,MATCH(Lists!$F$3,$A$1:$T$1,0))),INDEX($A437:$T437,MATCH(Lists!$F$3,$A$1:$T$1,0)),DATE(VALUE(LEFT(IFERROR(TRIM(INDEX($A437:$T437,MATCH(Lists!$F$3,$A$1:$T$1,0))&amp;""),""),4)),VALUE(MID(IFERROR(TRIM(INDEX($A437:$T437,MATCH(Lists!$F$3,$A$1:$T$1,0))&amp;""),""),6,2)),VALUE(MID(IFERROR(TRIM(INDEX($A437:$T437,MATCH(Lists!$F$3,$A$1:$T$1,0))&amp;""),""),9,2)))+TIME(VALUE(MID(IFERROR(TRIM(INDEX($A437:$T437,MATCH(Lists!$F$3,$A$1:$T$1,0))&amp;""),""),12,2)),VALUE(MID(IFERROR(TRIM(INDEX($A437:$T437,MATCH(Lists!$F$3,$A$1:$T$1,0))&amp;""),""),15,2)),VALUE(MID(IFERROR(TRIM(INDEX($A437:$T437,MATCH(Lists!$F$3,$A$1:$T$1,0))&amp;""),""),18,2)))),""))</f>
        <v/>
      </c>
      <c r="AA437" s="23">
        <f>IF(Y437="","",IF(ISNUMBER(IFERROR(IF(TRIM(INDEX($A437:$T437,MATCH(Lists!$F$4,$A$1:$T$1,0))&amp;"")="","",IF(ISNUMBER(INDEX($A437:$T437,MATCH(Lists!$F$4,$A$1:$T$1,0))),INT(INDEX($A437:$T437,MATCH(Lists!$F$4,$A$1:$T$1,0))),DATE(VALUE(LEFT(INDEX($A437:$T437,MATCH(Lists!$F$4,$A$1:$T$1,0)),4)),VALUE(MID(INDEX($A437:$T437,MATCH(Lists!$F$4,$A$1:$T$1,0)),6,2)),VALUE(MID(INDEX($A437:$T437,MATCH(Lists!$F$4,$A$1:$T$1,0)),9,2))))),"")),IFERROR(IF(TRIM(INDEX($A437:$T437,MATCH(Lists!$F$4,$A$1:$T$1,0))&amp;"")="","",IF(ISNUMBER(INDEX($A437:$T437,MATCH(Lists!$F$4,$A$1:$T$1,0))),INT(INDEX($A437:$T437,MATCH(Lists!$F$4,$A$1:$T$1,0))),DATE(VALUE(LEFT(INDEX($A437:$T437,MATCH(Lists!$F$4,$A$1:$T$1,0)),4)),VALUE(MID(INDEX($A437:$T437,MATCH(Lists!$F$4,$A$1:$T$1,0)),6,2)),VALUE(MID(INDEX($A437:$T437,MATCH(Lists!$F$4,$A$1:$T$1,0)),9,2))))),""),IFERROR(IF(TRIM(INDEX($A437:$T437,MATCH(Lists!$F$5,$A$1:$T$1,0))&amp;"")="","",IF(ISNUMBER(INDEX($A437:$T437,MATCH(Lists!$F$5,$A$1:$T$1,0))),INT(INDEX($A437:$T437,MATCH(Lists!$F$5,$A$1:$T$1,0))),DATE(VALUE(LEFT(INDEX($A437:$T437,MATCH(Lists!$F$5,$A$1:$T$1,0)),4)),VALUE(MID(INDEX($A437:$T437,MATCH(Lists!$F$5,$A$1:$T$1,0)),6,2)),VALUE(MID(INDEX($A437:$T437,MATCH(Lists!$F$5,$A$1:$T$1,0)),9,2))))),"")))</f>
        <v/>
      </c>
      <c r="AB437" s="21">
        <f>IF(Y437="","",IF(LEFT(IFERROR(TRIM(INDEX($A437:$T437,MATCH(Lists!$F$6,$A$1:$T$1,0))&amp;""),""),2)="No","General comment",IF(IFERROR(TRIM(INDEX($A437:$T437,MATCH(Lists!$F$7,$A$1:$T$1,0))&amp;""),"")&lt;&gt;"",IFERROR(TRIM(INDEX($A437:$T437,MATCH(Lists!$F$7,$A$1:$T$1,0))&amp;""),""),IF(IFERROR(TRIM(INDEX($A437:$T437,MATCH(Lists!$F$8,$A$1:$T$1,0))&amp;""),"")&lt;&gt;"",IFERROR(TRIM(INDEX($A437:$T437,MATCH(Lists!$F$8,$A$1:$T$1,0))&amp;""),""),"(no item given)"))))</f>
        <v/>
      </c>
      <c r="AC437" s="21">
        <f>IF(Y437="","",IF(ISNUMBER(SEARCH("support",IFERROR(TRIM(INDEX($A437:$T437,MATCH(Lists!$F$9,$A$1:$T$1,0))&amp;""),""))),"Support",IF(ISNUMBER(SEARCH("oppose",IFERROR(TRIM(INDEX($A437:$T437,MATCH(Lists!$F$9,$A$1:$T$1,0))&amp;""),""))),"Oppose",IF(IFERROR(TRIM(INDEX($A437:$T437,MATCH(Lists!$F$9,$A$1:$T$1,0))&amp;""),"")="","No position","Neither"))))</f>
        <v/>
      </c>
      <c r="AD437" s="21">
        <f>IF(Y437="","",IF(ISNUMBER(SEARCH("in person",IFERROR(TRIM(INDEX($A437:$T437,MATCH(Lists!$F$13,$A$1:$T$1,0))&amp;""),""))),"In person",IF(ISNUMBER(SEARCH("online",IFERROR(TRIM(INDEX($A437:$T437,MATCH(Lists!$F$13,$A$1:$T$1,0))&amp;""),""))),"Online","Written only")))</f>
        <v/>
      </c>
      <c r="AE437" s="21">
        <f>IF(Y437="","",IFERROR(TRIM(INDEX($A437:$T437,MATCH(Lists!$F$11,$A$1:$T$1,0))&amp;""),""))</f>
        <v/>
      </c>
      <c r="AF437" s="21">
        <f>IF(Y437="","",IFERROR(TRIM(INDEX($A437:$T437,MATCH(Lists!$F$12,$A$1:$T$1,0))&amp;""),""))</f>
        <v/>
      </c>
      <c r="AG437" s="21">
        <f>IF(Y437="","",IFERROR(TRIM(INDEX($A437:$T437,MATCH(Lists!$F$14,$A$1:$T$1,0))&amp;""),""))</f>
        <v/>
      </c>
      <c r="AH437" s="21">
        <f>IF(Y437="","",LEFT(IFERROR(TRIM(INDEX($A437:$T437,MATCH(Lists!$F$10,$A$1:$T$1,0))&amp;""),""),80))</f>
        <v/>
      </c>
      <c r="AI437" s="21">
        <f>IF(Y437="",0,IF(OR(Tally!$B$5="",AA437=Tally!$B$5),1,0))</f>
        <v/>
      </c>
      <c r="AJ437" s="21">
        <f>IF(AI437=1,IF(COUNTIFS($AB$2:AB437,AB437,$AI$2:AI437,1)=1,1,0),0)</f>
        <v/>
      </c>
      <c r="AK437" s="21">
        <f>IF(AJ437=1,SUM($AJ$2:AJ437),"")</f>
        <v/>
      </c>
      <c r="AL437" s="21">
        <f>IF(AND(AI437=1,OR(AD437="In person",AD437="Online"),OR(Speakers!$B$5="",AB437=Speakers!$B$5)),N(Z437)+ROW()/1000000000,"")</f>
        <v/>
      </c>
    </row>
    <row r="438">
      <c r="U438" s="19" t="n"/>
      <c r="V438" s="24" t="n"/>
      <c r="W438" s="24" t="n"/>
      <c r="X438" s="19" t="n"/>
      <c r="Y438" s="21">
        <f>IFERROR(TRIM(INDEX($A438:$T438,MATCH(Lists!$F$2,$A$1:$T$1,0))&amp;""),"")</f>
        <v/>
      </c>
      <c r="Z438" s="22">
        <f>IF(Y438="","",IFERROR(IF(ISNUMBER(INDEX($A438:$T438,MATCH(Lists!$F$3,$A$1:$T$1,0))),INDEX($A438:$T438,MATCH(Lists!$F$3,$A$1:$T$1,0)),DATE(VALUE(LEFT(IFERROR(TRIM(INDEX($A438:$T438,MATCH(Lists!$F$3,$A$1:$T$1,0))&amp;""),""),4)),VALUE(MID(IFERROR(TRIM(INDEX($A438:$T438,MATCH(Lists!$F$3,$A$1:$T$1,0))&amp;""),""),6,2)),VALUE(MID(IFERROR(TRIM(INDEX($A438:$T438,MATCH(Lists!$F$3,$A$1:$T$1,0))&amp;""),""),9,2)))+TIME(VALUE(MID(IFERROR(TRIM(INDEX($A438:$T438,MATCH(Lists!$F$3,$A$1:$T$1,0))&amp;""),""),12,2)),VALUE(MID(IFERROR(TRIM(INDEX($A438:$T438,MATCH(Lists!$F$3,$A$1:$T$1,0))&amp;""),""),15,2)),VALUE(MID(IFERROR(TRIM(INDEX($A438:$T438,MATCH(Lists!$F$3,$A$1:$T$1,0))&amp;""),""),18,2)))),""))</f>
        <v/>
      </c>
      <c r="AA438" s="23">
        <f>IF(Y438="","",IF(ISNUMBER(IFERROR(IF(TRIM(INDEX($A438:$T438,MATCH(Lists!$F$4,$A$1:$T$1,0))&amp;"")="","",IF(ISNUMBER(INDEX($A438:$T438,MATCH(Lists!$F$4,$A$1:$T$1,0))),INT(INDEX($A438:$T438,MATCH(Lists!$F$4,$A$1:$T$1,0))),DATE(VALUE(LEFT(INDEX($A438:$T438,MATCH(Lists!$F$4,$A$1:$T$1,0)),4)),VALUE(MID(INDEX($A438:$T438,MATCH(Lists!$F$4,$A$1:$T$1,0)),6,2)),VALUE(MID(INDEX($A438:$T438,MATCH(Lists!$F$4,$A$1:$T$1,0)),9,2))))),"")),IFERROR(IF(TRIM(INDEX($A438:$T438,MATCH(Lists!$F$4,$A$1:$T$1,0))&amp;"")="","",IF(ISNUMBER(INDEX($A438:$T438,MATCH(Lists!$F$4,$A$1:$T$1,0))),INT(INDEX($A438:$T438,MATCH(Lists!$F$4,$A$1:$T$1,0))),DATE(VALUE(LEFT(INDEX($A438:$T438,MATCH(Lists!$F$4,$A$1:$T$1,0)),4)),VALUE(MID(INDEX($A438:$T438,MATCH(Lists!$F$4,$A$1:$T$1,0)),6,2)),VALUE(MID(INDEX($A438:$T438,MATCH(Lists!$F$4,$A$1:$T$1,0)),9,2))))),""),IFERROR(IF(TRIM(INDEX($A438:$T438,MATCH(Lists!$F$5,$A$1:$T$1,0))&amp;"")="","",IF(ISNUMBER(INDEX($A438:$T438,MATCH(Lists!$F$5,$A$1:$T$1,0))),INT(INDEX($A438:$T438,MATCH(Lists!$F$5,$A$1:$T$1,0))),DATE(VALUE(LEFT(INDEX($A438:$T438,MATCH(Lists!$F$5,$A$1:$T$1,0)),4)),VALUE(MID(INDEX($A438:$T438,MATCH(Lists!$F$5,$A$1:$T$1,0)),6,2)),VALUE(MID(INDEX($A438:$T438,MATCH(Lists!$F$5,$A$1:$T$1,0)),9,2))))),"")))</f>
        <v/>
      </c>
      <c r="AB438" s="21">
        <f>IF(Y438="","",IF(LEFT(IFERROR(TRIM(INDEX($A438:$T438,MATCH(Lists!$F$6,$A$1:$T$1,0))&amp;""),""),2)="No","General comment",IF(IFERROR(TRIM(INDEX($A438:$T438,MATCH(Lists!$F$7,$A$1:$T$1,0))&amp;""),"")&lt;&gt;"",IFERROR(TRIM(INDEX($A438:$T438,MATCH(Lists!$F$7,$A$1:$T$1,0))&amp;""),""),IF(IFERROR(TRIM(INDEX($A438:$T438,MATCH(Lists!$F$8,$A$1:$T$1,0))&amp;""),"")&lt;&gt;"",IFERROR(TRIM(INDEX($A438:$T438,MATCH(Lists!$F$8,$A$1:$T$1,0))&amp;""),""),"(no item given)"))))</f>
        <v/>
      </c>
      <c r="AC438" s="21">
        <f>IF(Y438="","",IF(ISNUMBER(SEARCH("support",IFERROR(TRIM(INDEX($A438:$T438,MATCH(Lists!$F$9,$A$1:$T$1,0))&amp;""),""))),"Support",IF(ISNUMBER(SEARCH("oppose",IFERROR(TRIM(INDEX($A438:$T438,MATCH(Lists!$F$9,$A$1:$T$1,0))&amp;""),""))),"Oppose",IF(IFERROR(TRIM(INDEX($A438:$T438,MATCH(Lists!$F$9,$A$1:$T$1,0))&amp;""),"")="","No position","Neither"))))</f>
        <v/>
      </c>
      <c r="AD438" s="21">
        <f>IF(Y438="","",IF(ISNUMBER(SEARCH("in person",IFERROR(TRIM(INDEX($A438:$T438,MATCH(Lists!$F$13,$A$1:$T$1,0))&amp;""),""))),"In person",IF(ISNUMBER(SEARCH("online",IFERROR(TRIM(INDEX($A438:$T438,MATCH(Lists!$F$13,$A$1:$T$1,0))&amp;""),""))),"Online","Written only")))</f>
        <v/>
      </c>
      <c r="AE438" s="21">
        <f>IF(Y438="","",IFERROR(TRIM(INDEX($A438:$T438,MATCH(Lists!$F$11,$A$1:$T$1,0))&amp;""),""))</f>
        <v/>
      </c>
      <c r="AF438" s="21">
        <f>IF(Y438="","",IFERROR(TRIM(INDEX($A438:$T438,MATCH(Lists!$F$12,$A$1:$T$1,0))&amp;""),""))</f>
        <v/>
      </c>
      <c r="AG438" s="21">
        <f>IF(Y438="","",IFERROR(TRIM(INDEX($A438:$T438,MATCH(Lists!$F$14,$A$1:$T$1,0))&amp;""),""))</f>
        <v/>
      </c>
      <c r="AH438" s="21">
        <f>IF(Y438="","",LEFT(IFERROR(TRIM(INDEX($A438:$T438,MATCH(Lists!$F$10,$A$1:$T$1,0))&amp;""),""),80))</f>
        <v/>
      </c>
      <c r="AI438" s="21">
        <f>IF(Y438="",0,IF(OR(Tally!$B$5="",AA438=Tally!$B$5),1,0))</f>
        <v/>
      </c>
      <c r="AJ438" s="21">
        <f>IF(AI438=1,IF(COUNTIFS($AB$2:AB438,AB438,$AI$2:AI438,1)=1,1,0),0)</f>
        <v/>
      </c>
      <c r="AK438" s="21">
        <f>IF(AJ438=1,SUM($AJ$2:AJ438),"")</f>
        <v/>
      </c>
      <c r="AL438" s="21">
        <f>IF(AND(AI438=1,OR(AD438="In person",AD438="Online"),OR(Speakers!$B$5="",AB438=Speakers!$B$5)),N(Z438)+ROW()/1000000000,"")</f>
        <v/>
      </c>
    </row>
    <row r="439">
      <c r="U439" s="19" t="n"/>
      <c r="V439" s="24" t="n"/>
      <c r="W439" s="24" t="n"/>
      <c r="X439" s="19" t="n"/>
      <c r="Y439" s="21">
        <f>IFERROR(TRIM(INDEX($A439:$T439,MATCH(Lists!$F$2,$A$1:$T$1,0))&amp;""),"")</f>
        <v/>
      </c>
      <c r="Z439" s="22">
        <f>IF(Y439="","",IFERROR(IF(ISNUMBER(INDEX($A439:$T439,MATCH(Lists!$F$3,$A$1:$T$1,0))),INDEX($A439:$T439,MATCH(Lists!$F$3,$A$1:$T$1,0)),DATE(VALUE(LEFT(IFERROR(TRIM(INDEX($A439:$T439,MATCH(Lists!$F$3,$A$1:$T$1,0))&amp;""),""),4)),VALUE(MID(IFERROR(TRIM(INDEX($A439:$T439,MATCH(Lists!$F$3,$A$1:$T$1,0))&amp;""),""),6,2)),VALUE(MID(IFERROR(TRIM(INDEX($A439:$T439,MATCH(Lists!$F$3,$A$1:$T$1,0))&amp;""),""),9,2)))+TIME(VALUE(MID(IFERROR(TRIM(INDEX($A439:$T439,MATCH(Lists!$F$3,$A$1:$T$1,0))&amp;""),""),12,2)),VALUE(MID(IFERROR(TRIM(INDEX($A439:$T439,MATCH(Lists!$F$3,$A$1:$T$1,0))&amp;""),""),15,2)),VALUE(MID(IFERROR(TRIM(INDEX($A439:$T439,MATCH(Lists!$F$3,$A$1:$T$1,0))&amp;""),""),18,2)))),""))</f>
        <v/>
      </c>
      <c r="AA439" s="23">
        <f>IF(Y439="","",IF(ISNUMBER(IFERROR(IF(TRIM(INDEX($A439:$T439,MATCH(Lists!$F$4,$A$1:$T$1,0))&amp;"")="","",IF(ISNUMBER(INDEX($A439:$T439,MATCH(Lists!$F$4,$A$1:$T$1,0))),INT(INDEX($A439:$T439,MATCH(Lists!$F$4,$A$1:$T$1,0))),DATE(VALUE(LEFT(INDEX($A439:$T439,MATCH(Lists!$F$4,$A$1:$T$1,0)),4)),VALUE(MID(INDEX($A439:$T439,MATCH(Lists!$F$4,$A$1:$T$1,0)),6,2)),VALUE(MID(INDEX($A439:$T439,MATCH(Lists!$F$4,$A$1:$T$1,0)),9,2))))),"")),IFERROR(IF(TRIM(INDEX($A439:$T439,MATCH(Lists!$F$4,$A$1:$T$1,0))&amp;"")="","",IF(ISNUMBER(INDEX($A439:$T439,MATCH(Lists!$F$4,$A$1:$T$1,0))),INT(INDEX($A439:$T439,MATCH(Lists!$F$4,$A$1:$T$1,0))),DATE(VALUE(LEFT(INDEX($A439:$T439,MATCH(Lists!$F$4,$A$1:$T$1,0)),4)),VALUE(MID(INDEX($A439:$T439,MATCH(Lists!$F$4,$A$1:$T$1,0)),6,2)),VALUE(MID(INDEX($A439:$T439,MATCH(Lists!$F$4,$A$1:$T$1,0)),9,2))))),""),IFERROR(IF(TRIM(INDEX($A439:$T439,MATCH(Lists!$F$5,$A$1:$T$1,0))&amp;"")="","",IF(ISNUMBER(INDEX($A439:$T439,MATCH(Lists!$F$5,$A$1:$T$1,0))),INT(INDEX($A439:$T439,MATCH(Lists!$F$5,$A$1:$T$1,0))),DATE(VALUE(LEFT(INDEX($A439:$T439,MATCH(Lists!$F$5,$A$1:$T$1,0)),4)),VALUE(MID(INDEX($A439:$T439,MATCH(Lists!$F$5,$A$1:$T$1,0)),6,2)),VALUE(MID(INDEX($A439:$T439,MATCH(Lists!$F$5,$A$1:$T$1,0)),9,2))))),"")))</f>
        <v/>
      </c>
      <c r="AB439" s="21">
        <f>IF(Y439="","",IF(LEFT(IFERROR(TRIM(INDEX($A439:$T439,MATCH(Lists!$F$6,$A$1:$T$1,0))&amp;""),""),2)="No","General comment",IF(IFERROR(TRIM(INDEX($A439:$T439,MATCH(Lists!$F$7,$A$1:$T$1,0))&amp;""),"")&lt;&gt;"",IFERROR(TRIM(INDEX($A439:$T439,MATCH(Lists!$F$7,$A$1:$T$1,0))&amp;""),""),IF(IFERROR(TRIM(INDEX($A439:$T439,MATCH(Lists!$F$8,$A$1:$T$1,0))&amp;""),"")&lt;&gt;"",IFERROR(TRIM(INDEX($A439:$T439,MATCH(Lists!$F$8,$A$1:$T$1,0))&amp;""),""),"(no item given)"))))</f>
        <v/>
      </c>
      <c r="AC439" s="21">
        <f>IF(Y439="","",IF(ISNUMBER(SEARCH("support",IFERROR(TRIM(INDEX($A439:$T439,MATCH(Lists!$F$9,$A$1:$T$1,0))&amp;""),""))),"Support",IF(ISNUMBER(SEARCH("oppose",IFERROR(TRIM(INDEX($A439:$T439,MATCH(Lists!$F$9,$A$1:$T$1,0))&amp;""),""))),"Oppose",IF(IFERROR(TRIM(INDEX($A439:$T439,MATCH(Lists!$F$9,$A$1:$T$1,0))&amp;""),"")="","No position","Neither"))))</f>
        <v/>
      </c>
      <c r="AD439" s="21">
        <f>IF(Y439="","",IF(ISNUMBER(SEARCH("in person",IFERROR(TRIM(INDEX($A439:$T439,MATCH(Lists!$F$13,$A$1:$T$1,0))&amp;""),""))),"In person",IF(ISNUMBER(SEARCH("online",IFERROR(TRIM(INDEX($A439:$T439,MATCH(Lists!$F$13,$A$1:$T$1,0))&amp;""),""))),"Online","Written only")))</f>
        <v/>
      </c>
      <c r="AE439" s="21">
        <f>IF(Y439="","",IFERROR(TRIM(INDEX($A439:$T439,MATCH(Lists!$F$11,$A$1:$T$1,0))&amp;""),""))</f>
        <v/>
      </c>
      <c r="AF439" s="21">
        <f>IF(Y439="","",IFERROR(TRIM(INDEX($A439:$T439,MATCH(Lists!$F$12,$A$1:$T$1,0))&amp;""),""))</f>
        <v/>
      </c>
      <c r="AG439" s="21">
        <f>IF(Y439="","",IFERROR(TRIM(INDEX($A439:$T439,MATCH(Lists!$F$14,$A$1:$T$1,0))&amp;""),""))</f>
        <v/>
      </c>
      <c r="AH439" s="21">
        <f>IF(Y439="","",LEFT(IFERROR(TRIM(INDEX($A439:$T439,MATCH(Lists!$F$10,$A$1:$T$1,0))&amp;""),""),80))</f>
        <v/>
      </c>
      <c r="AI439" s="21">
        <f>IF(Y439="",0,IF(OR(Tally!$B$5="",AA439=Tally!$B$5),1,0))</f>
        <v/>
      </c>
      <c r="AJ439" s="21">
        <f>IF(AI439=1,IF(COUNTIFS($AB$2:AB439,AB439,$AI$2:AI439,1)=1,1,0),0)</f>
        <v/>
      </c>
      <c r="AK439" s="21">
        <f>IF(AJ439=1,SUM($AJ$2:AJ439),"")</f>
        <v/>
      </c>
      <c r="AL439" s="21">
        <f>IF(AND(AI439=1,OR(AD439="In person",AD439="Online"),OR(Speakers!$B$5="",AB439=Speakers!$B$5)),N(Z439)+ROW()/1000000000,"")</f>
        <v/>
      </c>
    </row>
    <row r="440">
      <c r="U440" s="19" t="n"/>
      <c r="V440" s="24" t="n"/>
      <c r="W440" s="24" t="n"/>
      <c r="X440" s="19" t="n"/>
      <c r="Y440" s="21">
        <f>IFERROR(TRIM(INDEX($A440:$T440,MATCH(Lists!$F$2,$A$1:$T$1,0))&amp;""),"")</f>
        <v/>
      </c>
      <c r="Z440" s="22">
        <f>IF(Y440="","",IFERROR(IF(ISNUMBER(INDEX($A440:$T440,MATCH(Lists!$F$3,$A$1:$T$1,0))),INDEX($A440:$T440,MATCH(Lists!$F$3,$A$1:$T$1,0)),DATE(VALUE(LEFT(IFERROR(TRIM(INDEX($A440:$T440,MATCH(Lists!$F$3,$A$1:$T$1,0))&amp;""),""),4)),VALUE(MID(IFERROR(TRIM(INDEX($A440:$T440,MATCH(Lists!$F$3,$A$1:$T$1,0))&amp;""),""),6,2)),VALUE(MID(IFERROR(TRIM(INDEX($A440:$T440,MATCH(Lists!$F$3,$A$1:$T$1,0))&amp;""),""),9,2)))+TIME(VALUE(MID(IFERROR(TRIM(INDEX($A440:$T440,MATCH(Lists!$F$3,$A$1:$T$1,0))&amp;""),""),12,2)),VALUE(MID(IFERROR(TRIM(INDEX($A440:$T440,MATCH(Lists!$F$3,$A$1:$T$1,0))&amp;""),""),15,2)),VALUE(MID(IFERROR(TRIM(INDEX($A440:$T440,MATCH(Lists!$F$3,$A$1:$T$1,0))&amp;""),""),18,2)))),""))</f>
        <v/>
      </c>
      <c r="AA440" s="23">
        <f>IF(Y440="","",IF(ISNUMBER(IFERROR(IF(TRIM(INDEX($A440:$T440,MATCH(Lists!$F$4,$A$1:$T$1,0))&amp;"")="","",IF(ISNUMBER(INDEX($A440:$T440,MATCH(Lists!$F$4,$A$1:$T$1,0))),INT(INDEX($A440:$T440,MATCH(Lists!$F$4,$A$1:$T$1,0))),DATE(VALUE(LEFT(INDEX($A440:$T440,MATCH(Lists!$F$4,$A$1:$T$1,0)),4)),VALUE(MID(INDEX($A440:$T440,MATCH(Lists!$F$4,$A$1:$T$1,0)),6,2)),VALUE(MID(INDEX($A440:$T440,MATCH(Lists!$F$4,$A$1:$T$1,0)),9,2))))),"")),IFERROR(IF(TRIM(INDEX($A440:$T440,MATCH(Lists!$F$4,$A$1:$T$1,0))&amp;"")="","",IF(ISNUMBER(INDEX($A440:$T440,MATCH(Lists!$F$4,$A$1:$T$1,0))),INT(INDEX($A440:$T440,MATCH(Lists!$F$4,$A$1:$T$1,0))),DATE(VALUE(LEFT(INDEX($A440:$T440,MATCH(Lists!$F$4,$A$1:$T$1,0)),4)),VALUE(MID(INDEX($A440:$T440,MATCH(Lists!$F$4,$A$1:$T$1,0)),6,2)),VALUE(MID(INDEX($A440:$T440,MATCH(Lists!$F$4,$A$1:$T$1,0)),9,2))))),""),IFERROR(IF(TRIM(INDEX($A440:$T440,MATCH(Lists!$F$5,$A$1:$T$1,0))&amp;"")="","",IF(ISNUMBER(INDEX($A440:$T440,MATCH(Lists!$F$5,$A$1:$T$1,0))),INT(INDEX($A440:$T440,MATCH(Lists!$F$5,$A$1:$T$1,0))),DATE(VALUE(LEFT(INDEX($A440:$T440,MATCH(Lists!$F$5,$A$1:$T$1,0)),4)),VALUE(MID(INDEX($A440:$T440,MATCH(Lists!$F$5,$A$1:$T$1,0)),6,2)),VALUE(MID(INDEX($A440:$T440,MATCH(Lists!$F$5,$A$1:$T$1,0)),9,2))))),"")))</f>
        <v/>
      </c>
      <c r="AB440" s="21">
        <f>IF(Y440="","",IF(LEFT(IFERROR(TRIM(INDEX($A440:$T440,MATCH(Lists!$F$6,$A$1:$T$1,0))&amp;""),""),2)="No","General comment",IF(IFERROR(TRIM(INDEX($A440:$T440,MATCH(Lists!$F$7,$A$1:$T$1,0))&amp;""),"")&lt;&gt;"",IFERROR(TRIM(INDEX($A440:$T440,MATCH(Lists!$F$7,$A$1:$T$1,0))&amp;""),""),IF(IFERROR(TRIM(INDEX($A440:$T440,MATCH(Lists!$F$8,$A$1:$T$1,0))&amp;""),"")&lt;&gt;"",IFERROR(TRIM(INDEX($A440:$T440,MATCH(Lists!$F$8,$A$1:$T$1,0))&amp;""),""),"(no item given)"))))</f>
        <v/>
      </c>
      <c r="AC440" s="21">
        <f>IF(Y440="","",IF(ISNUMBER(SEARCH("support",IFERROR(TRIM(INDEX($A440:$T440,MATCH(Lists!$F$9,$A$1:$T$1,0))&amp;""),""))),"Support",IF(ISNUMBER(SEARCH("oppose",IFERROR(TRIM(INDEX($A440:$T440,MATCH(Lists!$F$9,$A$1:$T$1,0))&amp;""),""))),"Oppose",IF(IFERROR(TRIM(INDEX($A440:$T440,MATCH(Lists!$F$9,$A$1:$T$1,0))&amp;""),"")="","No position","Neither"))))</f>
        <v/>
      </c>
      <c r="AD440" s="21">
        <f>IF(Y440="","",IF(ISNUMBER(SEARCH("in person",IFERROR(TRIM(INDEX($A440:$T440,MATCH(Lists!$F$13,$A$1:$T$1,0))&amp;""),""))),"In person",IF(ISNUMBER(SEARCH("online",IFERROR(TRIM(INDEX($A440:$T440,MATCH(Lists!$F$13,$A$1:$T$1,0))&amp;""),""))),"Online","Written only")))</f>
        <v/>
      </c>
      <c r="AE440" s="21">
        <f>IF(Y440="","",IFERROR(TRIM(INDEX($A440:$T440,MATCH(Lists!$F$11,$A$1:$T$1,0))&amp;""),""))</f>
        <v/>
      </c>
      <c r="AF440" s="21">
        <f>IF(Y440="","",IFERROR(TRIM(INDEX($A440:$T440,MATCH(Lists!$F$12,$A$1:$T$1,0))&amp;""),""))</f>
        <v/>
      </c>
      <c r="AG440" s="21">
        <f>IF(Y440="","",IFERROR(TRIM(INDEX($A440:$T440,MATCH(Lists!$F$14,$A$1:$T$1,0))&amp;""),""))</f>
        <v/>
      </c>
      <c r="AH440" s="21">
        <f>IF(Y440="","",LEFT(IFERROR(TRIM(INDEX($A440:$T440,MATCH(Lists!$F$10,$A$1:$T$1,0))&amp;""),""),80))</f>
        <v/>
      </c>
      <c r="AI440" s="21">
        <f>IF(Y440="",0,IF(OR(Tally!$B$5="",AA440=Tally!$B$5),1,0))</f>
        <v/>
      </c>
      <c r="AJ440" s="21">
        <f>IF(AI440=1,IF(COUNTIFS($AB$2:AB440,AB440,$AI$2:AI440,1)=1,1,0),0)</f>
        <v/>
      </c>
      <c r="AK440" s="21">
        <f>IF(AJ440=1,SUM($AJ$2:AJ440),"")</f>
        <v/>
      </c>
      <c r="AL440" s="21">
        <f>IF(AND(AI440=1,OR(AD440="In person",AD440="Online"),OR(Speakers!$B$5="",AB440=Speakers!$B$5)),N(Z440)+ROW()/1000000000,"")</f>
        <v/>
      </c>
    </row>
    <row r="441">
      <c r="U441" s="19" t="n"/>
      <c r="V441" s="24" t="n"/>
      <c r="W441" s="24" t="n"/>
      <c r="X441" s="19" t="n"/>
      <c r="Y441" s="21">
        <f>IFERROR(TRIM(INDEX($A441:$T441,MATCH(Lists!$F$2,$A$1:$T$1,0))&amp;""),"")</f>
        <v/>
      </c>
      <c r="Z441" s="22">
        <f>IF(Y441="","",IFERROR(IF(ISNUMBER(INDEX($A441:$T441,MATCH(Lists!$F$3,$A$1:$T$1,0))),INDEX($A441:$T441,MATCH(Lists!$F$3,$A$1:$T$1,0)),DATE(VALUE(LEFT(IFERROR(TRIM(INDEX($A441:$T441,MATCH(Lists!$F$3,$A$1:$T$1,0))&amp;""),""),4)),VALUE(MID(IFERROR(TRIM(INDEX($A441:$T441,MATCH(Lists!$F$3,$A$1:$T$1,0))&amp;""),""),6,2)),VALUE(MID(IFERROR(TRIM(INDEX($A441:$T441,MATCH(Lists!$F$3,$A$1:$T$1,0))&amp;""),""),9,2)))+TIME(VALUE(MID(IFERROR(TRIM(INDEX($A441:$T441,MATCH(Lists!$F$3,$A$1:$T$1,0))&amp;""),""),12,2)),VALUE(MID(IFERROR(TRIM(INDEX($A441:$T441,MATCH(Lists!$F$3,$A$1:$T$1,0))&amp;""),""),15,2)),VALUE(MID(IFERROR(TRIM(INDEX($A441:$T441,MATCH(Lists!$F$3,$A$1:$T$1,0))&amp;""),""),18,2)))),""))</f>
        <v/>
      </c>
      <c r="AA441" s="23">
        <f>IF(Y441="","",IF(ISNUMBER(IFERROR(IF(TRIM(INDEX($A441:$T441,MATCH(Lists!$F$4,$A$1:$T$1,0))&amp;"")="","",IF(ISNUMBER(INDEX($A441:$T441,MATCH(Lists!$F$4,$A$1:$T$1,0))),INT(INDEX($A441:$T441,MATCH(Lists!$F$4,$A$1:$T$1,0))),DATE(VALUE(LEFT(INDEX($A441:$T441,MATCH(Lists!$F$4,$A$1:$T$1,0)),4)),VALUE(MID(INDEX($A441:$T441,MATCH(Lists!$F$4,$A$1:$T$1,0)),6,2)),VALUE(MID(INDEX($A441:$T441,MATCH(Lists!$F$4,$A$1:$T$1,0)),9,2))))),"")),IFERROR(IF(TRIM(INDEX($A441:$T441,MATCH(Lists!$F$4,$A$1:$T$1,0))&amp;"")="","",IF(ISNUMBER(INDEX($A441:$T441,MATCH(Lists!$F$4,$A$1:$T$1,0))),INT(INDEX($A441:$T441,MATCH(Lists!$F$4,$A$1:$T$1,0))),DATE(VALUE(LEFT(INDEX($A441:$T441,MATCH(Lists!$F$4,$A$1:$T$1,0)),4)),VALUE(MID(INDEX($A441:$T441,MATCH(Lists!$F$4,$A$1:$T$1,0)),6,2)),VALUE(MID(INDEX($A441:$T441,MATCH(Lists!$F$4,$A$1:$T$1,0)),9,2))))),""),IFERROR(IF(TRIM(INDEX($A441:$T441,MATCH(Lists!$F$5,$A$1:$T$1,0))&amp;"")="","",IF(ISNUMBER(INDEX($A441:$T441,MATCH(Lists!$F$5,$A$1:$T$1,0))),INT(INDEX($A441:$T441,MATCH(Lists!$F$5,$A$1:$T$1,0))),DATE(VALUE(LEFT(INDEX($A441:$T441,MATCH(Lists!$F$5,$A$1:$T$1,0)),4)),VALUE(MID(INDEX($A441:$T441,MATCH(Lists!$F$5,$A$1:$T$1,0)),6,2)),VALUE(MID(INDEX($A441:$T441,MATCH(Lists!$F$5,$A$1:$T$1,0)),9,2))))),"")))</f>
        <v/>
      </c>
      <c r="AB441" s="21">
        <f>IF(Y441="","",IF(LEFT(IFERROR(TRIM(INDEX($A441:$T441,MATCH(Lists!$F$6,$A$1:$T$1,0))&amp;""),""),2)="No","General comment",IF(IFERROR(TRIM(INDEX($A441:$T441,MATCH(Lists!$F$7,$A$1:$T$1,0))&amp;""),"")&lt;&gt;"",IFERROR(TRIM(INDEX($A441:$T441,MATCH(Lists!$F$7,$A$1:$T$1,0))&amp;""),""),IF(IFERROR(TRIM(INDEX($A441:$T441,MATCH(Lists!$F$8,$A$1:$T$1,0))&amp;""),"")&lt;&gt;"",IFERROR(TRIM(INDEX($A441:$T441,MATCH(Lists!$F$8,$A$1:$T$1,0))&amp;""),""),"(no item given)"))))</f>
        <v/>
      </c>
      <c r="AC441" s="21">
        <f>IF(Y441="","",IF(ISNUMBER(SEARCH("support",IFERROR(TRIM(INDEX($A441:$T441,MATCH(Lists!$F$9,$A$1:$T$1,0))&amp;""),""))),"Support",IF(ISNUMBER(SEARCH("oppose",IFERROR(TRIM(INDEX($A441:$T441,MATCH(Lists!$F$9,$A$1:$T$1,0))&amp;""),""))),"Oppose",IF(IFERROR(TRIM(INDEX($A441:$T441,MATCH(Lists!$F$9,$A$1:$T$1,0))&amp;""),"")="","No position","Neither"))))</f>
        <v/>
      </c>
      <c r="AD441" s="21">
        <f>IF(Y441="","",IF(ISNUMBER(SEARCH("in person",IFERROR(TRIM(INDEX($A441:$T441,MATCH(Lists!$F$13,$A$1:$T$1,0))&amp;""),""))),"In person",IF(ISNUMBER(SEARCH("online",IFERROR(TRIM(INDEX($A441:$T441,MATCH(Lists!$F$13,$A$1:$T$1,0))&amp;""),""))),"Online","Written only")))</f>
        <v/>
      </c>
      <c r="AE441" s="21">
        <f>IF(Y441="","",IFERROR(TRIM(INDEX($A441:$T441,MATCH(Lists!$F$11,$A$1:$T$1,0))&amp;""),""))</f>
        <v/>
      </c>
      <c r="AF441" s="21">
        <f>IF(Y441="","",IFERROR(TRIM(INDEX($A441:$T441,MATCH(Lists!$F$12,$A$1:$T$1,0))&amp;""),""))</f>
        <v/>
      </c>
      <c r="AG441" s="21">
        <f>IF(Y441="","",IFERROR(TRIM(INDEX($A441:$T441,MATCH(Lists!$F$14,$A$1:$T$1,0))&amp;""),""))</f>
        <v/>
      </c>
      <c r="AH441" s="21">
        <f>IF(Y441="","",LEFT(IFERROR(TRIM(INDEX($A441:$T441,MATCH(Lists!$F$10,$A$1:$T$1,0))&amp;""),""),80))</f>
        <v/>
      </c>
      <c r="AI441" s="21">
        <f>IF(Y441="",0,IF(OR(Tally!$B$5="",AA441=Tally!$B$5),1,0))</f>
        <v/>
      </c>
      <c r="AJ441" s="21">
        <f>IF(AI441=1,IF(COUNTIFS($AB$2:AB441,AB441,$AI$2:AI441,1)=1,1,0),0)</f>
        <v/>
      </c>
      <c r="AK441" s="21">
        <f>IF(AJ441=1,SUM($AJ$2:AJ441),"")</f>
        <v/>
      </c>
      <c r="AL441" s="21">
        <f>IF(AND(AI441=1,OR(AD441="In person",AD441="Online"),OR(Speakers!$B$5="",AB441=Speakers!$B$5)),N(Z441)+ROW()/1000000000,"")</f>
        <v/>
      </c>
    </row>
    <row r="442">
      <c r="U442" s="19" t="n"/>
      <c r="V442" s="24" t="n"/>
      <c r="W442" s="24" t="n"/>
      <c r="X442" s="19" t="n"/>
      <c r="Y442" s="21">
        <f>IFERROR(TRIM(INDEX($A442:$T442,MATCH(Lists!$F$2,$A$1:$T$1,0))&amp;""),"")</f>
        <v/>
      </c>
      <c r="Z442" s="22">
        <f>IF(Y442="","",IFERROR(IF(ISNUMBER(INDEX($A442:$T442,MATCH(Lists!$F$3,$A$1:$T$1,0))),INDEX($A442:$T442,MATCH(Lists!$F$3,$A$1:$T$1,0)),DATE(VALUE(LEFT(IFERROR(TRIM(INDEX($A442:$T442,MATCH(Lists!$F$3,$A$1:$T$1,0))&amp;""),""),4)),VALUE(MID(IFERROR(TRIM(INDEX($A442:$T442,MATCH(Lists!$F$3,$A$1:$T$1,0))&amp;""),""),6,2)),VALUE(MID(IFERROR(TRIM(INDEX($A442:$T442,MATCH(Lists!$F$3,$A$1:$T$1,0))&amp;""),""),9,2)))+TIME(VALUE(MID(IFERROR(TRIM(INDEX($A442:$T442,MATCH(Lists!$F$3,$A$1:$T$1,0))&amp;""),""),12,2)),VALUE(MID(IFERROR(TRIM(INDEX($A442:$T442,MATCH(Lists!$F$3,$A$1:$T$1,0))&amp;""),""),15,2)),VALUE(MID(IFERROR(TRIM(INDEX($A442:$T442,MATCH(Lists!$F$3,$A$1:$T$1,0))&amp;""),""),18,2)))),""))</f>
        <v/>
      </c>
      <c r="AA442" s="23">
        <f>IF(Y442="","",IF(ISNUMBER(IFERROR(IF(TRIM(INDEX($A442:$T442,MATCH(Lists!$F$4,$A$1:$T$1,0))&amp;"")="","",IF(ISNUMBER(INDEX($A442:$T442,MATCH(Lists!$F$4,$A$1:$T$1,0))),INT(INDEX($A442:$T442,MATCH(Lists!$F$4,$A$1:$T$1,0))),DATE(VALUE(LEFT(INDEX($A442:$T442,MATCH(Lists!$F$4,$A$1:$T$1,0)),4)),VALUE(MID(INDEX($A442:$T442,MATCH(Lists!$F$4,$A$1:$T$1,0)),6,2)),VALUE(MID(INDEX($A442:$T442,MATCH(Lists!$F$4,$A$1:$T$1,0)),9,2))))),"")),IFERROR(IF(TRIM(INDEX($A442:$T442,MATCH(Lists!$F$4,$A$1:$T$1,0))&amp;"")="","",IF(ISNUMBER(INDEX($A442:$T442,MATCH(Lists!$F$4,$A$1:$T$1,0))),INT(INDEX($A442:$T442,MATCH(Lists!$F$4,$A$1:$T$1,0))),DATE(VALUE(LEFT(INDEX($A442:$T442,MATCH(Lists!$F$4,$A$1:$T$1,0)),4)),VALUE(MID(INDEX($A442:$T442,MATCH(Lists!$F$4,$A$1:$T$1,0)),6,2)),VALUE(MID(INDEX($A442:$T442,MATCH(Lists!$F$4,$A$1:$T$1,0)),9,2))))),""),IFERROR(IF(TRIM(INDEX($A442:$T442,MATCH(Lists!$F$5,$A$1:$T$1,0))&amp;"")="","",IF(ISNUMBER(INDEX($A442:$T442,MATCH(Lists!$F$5,$A$1:$T$1,0))),INT(INDEX($A442:$T442,MATCH(Lists!$F$5,$A$1:$T$1,0))),DATE(VALUE(LEFT(INDEX($A442:$T442,MATCH(Lists!$F$5,$A$1:$T$1,0)),4)),VALUE(MID(INDEX($A442:$T442,MATCH(Lists!$F$5,$A$1:$T$1,0)),6,2)),VALUE(MID(INDEX($A442:$T442,MATCH(Lists!$F$5,$A$1:$T$1,0)),9,2))))),"")))</f>
        <v/>
      </c>
      <c r="AB442" s="21">
        <f>IF(Y442="","",IF(LEFT(IFERROR(TRIM(INDEX($A442:$T442,MATCH(Lists!$F$6,$A$1:$T$1,0))&amp;""),""),2)="No","General comment",IF(IFERROR(TRIM(INDEX($A442:$T442,MATCH(Lists!$F$7,$A$1:$T$1,0))&amp;""),"")&lt;&gt;"",IFERROR(TRIM(INDEX($A442:$T442,MATCH(Lists!$F$7,$A$1:$T$1,0))&amp;""),""),IF(IFERROR(TRIM(INDEX($A442:$T442,MATCH(Lists!$F$8,$A$1:$T$1,0))&amp;""),"")&lt;&gt;"",IFERROR(TRIM(INDEX($A442:$T442,MATCH(Lists!$F$8,$A$1:$T$1,0))&amp;""),""),"(no item given)"))))</f>
        <v/>
      </c>
      <c r="AC442" s="21">
        <f>IF(Y442="","",IF(ISNUMBER(SEARCH("support",IFERROR(TRIM(INDEX($A442:$T442,MATCH(Lists!$F$9,$A$1:$T$1,0))&amp;""),""))),"Support",IF(ISNUMBER(SEARCH("oppose",IFERROR(TRIM(INDEX($A442:$T442,MATCH(Lists!$F$9,$A$1:$T$1,0))&amp;""),""))),"Oppose",IF(IFERROR(TRIM(INDEX($A442:$T442,MATCH(Lists!$F$9,$A$1:$T$1,0))&amp;""),"")="","No position","Neither"))))</f>
        <v/>
      </c>
      <c r="AD442" s="21">
        <f>IF(Y442="","",IF(ISNUMBER(SEARCH("in person",IFERROR(TRIM(INDEX($A442:$T442,MATCH(Lists!$F$13,$A$1:$T$1,0))&amp;""),""))),"In person",IF(ISNUMBER(SEARCH("online",IFERROR(TRIM(INDEX($A442:$T442,MATCH(Lists!$F$13,$A$1:$T$1,0))&amp;""),""))),"Online","Written only")))</f>
        <v/>
      </c>
      <c r="AE442" s="21">
        <f>IF(Y442="","",IFERROR(TRIM(INDEX($A442:$T442,MATCH(Lists!$F$11,$A$1:$T$1,0))&amp;""),""))</f>
        <v/>
      </c>
      <c r="AF442" s="21">
        <f>IF(Y442="","",IFERROR(TRIM(INDEX($A442:$T442,MATCH(Lists!$F$12,$A$1:$T$1,0))&amp;""),""))</f>
        <v/>
      </c>
      <c r="AG442" s="21">
        <f>IF(Y442="","",IFERROR(TRIM(INDEX($A442:$T442,MATCH(Lists!$F$14,$A$1:$T$1,0))&amp;""),""))</f>
        <v/>
      </c>
      <c r="AH442" s="21">
        <f>IF(Y442="","",LEFT(IFERROR(TRIM(INDEX($A442:$T442,MATCH(Lists!$F$10,$A$1:$T$1,0))&amp;""),""),80))</f>
        <v/>
      </c>
      <c r="AI442" s="21">
        <f>IF(Y442="",0,IF(OR(Tally!$B$5="",AA442=Tally!$B$5),1,0))</f>
        <v/>
      </c>
      <c r="AJ442" s="21">
        <f>IF(AI442=1,IF(COUNTIFS($AB$2:AB442,AB442,$AI$2:AI442,1)=1,1,0),0)</f>
        <v/>
      </c>
      <c r="AK442" s="21">
        <f>IF(AJ442=1,SUM($AJ$2:AJ442),"")</f>
        <v/>
      </c>
      <c r="AL442" s="21">
        <f>IF(AND(AI442=1,OR(AD442="In person",AD442="Online"),OR(Speakers!$B$5="",AB442=Speakers!$B$5)),N(Z442)+ROW()/1000000000,"")</f>
        <v/>
      </c>
    </row>
    <row r="443">
      <c r="U443" s="19" t="n"/>
      <c r="V443" s="24" t="n"/>
      <c r="W443" s="24" t="n"/>
      <c r="X443" s="19" t="n"/>
      <c r="Y443" s="21">
        <f>IFERROR(TRIM(INDEX($A443:$T443,MATCH(Lists!$F$2,$A$1:$T$1,0))&amp;""),"")</f>
        <v/>
      </c>
      <c r="Z443" s="22">
        <f>IF(Y443="","",IFERROR(IF(ISNUMBER(INDEX($A443:$T443,MATCH(Lists!$F$3,$A$1:$T$1,0))),INDEX($A443:$T443,MATCH(Lists!$F$3,$A$1:$T$1,0)),DATE(VALUE(LEFT(IFERROR(TRIM(INDEX($A443:$T443,MATCH(Lists!$F$3,$A$1:$T$1,0))&amp;""),""),4)),VALUE(MID(IFERROR(TRIM(INDEX($A443:$T443,MATCH(Lists!$F$3,$A$1:$T$1,0))&amp;""),""),6,2)),VALUE(MID(IFERROR(TRIM(INDEX($A443:$T443,MATCH(Lists!$F$3,$A$1:$T$1,0))&amp;""),""),9,2)))+TIME(VALUE(MID(IFERROR(TRIM(INDEX($A443:$T443,MATCH(Lists!$F$3,$A$1:$T$1,0))&amp;""),""),12,2)),VALUE(MID(IFERROR(TRIM(INDEX($A443:$T443,MATCH(Lists!$F$3,$A$1:$T$1,0))&amp;""),""),15,2)),VALUE(MID(IFERROR(TRIM(INDEX($A443:$T443,MATCH(Lists!$F$3,$A$1:$T$1,0))&amp;""),""),18,2)))),""))</f>
        <v/>
      </c>
      <c r="AA443" s="23">
        <f>IF(Y443="","",IF(ISNUMBER(IFERROR(IF(TRIM(INDEX($A443:$T443,MATCH(Lists!$F$4,$A$1:$T$1,0))&amp;"")="","",IF(ISNUMBER(INDEX($A443:$T443,MATCH(Lists!$F$4,$A$1:$T$1,0))),INT(INDEX($A443:$T443,MATCH(Lists!$F$4,$A$1:$T$1,0))),DATE(VALUE(LEFT(INDEX($A443:$T443,MATCH(Lists!$F$4,$A$1:$T$1,0)),4)),VALUE(MID(INDEX($A443:$T443,MATCH(Lists!$F$4,$A$1:$T$1,0)),6,2)),VALUE(MID(INDEX($A443:$T443,MATCH(Lists!$F$4,$A$1:$T$1,0)),9,2))))),"")),IFERROR(IF(TRIM(INDEX($A443:$T443,MATCH(Lists!$F$4,$A$1:$T$1,0))&amp;"")="","",IF(ISNUMBER(INDEX($A443:$T443,MATCH(Lists!$F$4,$A$1:$T$1,0))),INT(INDEX($A443:$T443,MATCH(Lists!$F$4,$A$1:$T$1,0))),DATE(VALUE(LEFT(INDEX($A443:$T443,MATCH(Lists!$F$4,$A$1:$T$1,0)),4)),VALUE(MID(INDEX($A443:$T443,MATCH(Lists!$F$4,$A$1:$T$1,0)),6,2)),VALUE(MID(INDEX($A443:$T443,MATCH(Lists!$F$4,$A$1:$T$1,0)),9,2))))),""),IFERROR(IF(TRIM(INDEX($A443:$T443,MATCH(Lists!$F$5,$A$1:$T$1,0))&amp;"")="","",IF(ISNUMBER(INDEX($A443:$T443,MATCH(Lists!$F$5,$A$1:$T$1,0))),INT(INDEX($A443:$T443,MATCH(Lists!$F$5,$A$1:$T$1,0))),DATE(VALUE(LEFT(INDEX($A443:$T443,MATCH(Lists!$F$5,$A$1:$T$1,0)),4)),VALUE(MID(INDEX($A443:$T443,MATCH(Lists!$F$5,$A$1:$T$1,0)),6,2)),VALUE(MID(INDEX($A443:$T443,MATCH(Lists!$F$5,$A$1:$T$1,0)),9,2))))),"")))</f>
        <v/>
      </c>
      <c r="AB443" s="21">
        <f>IF(Y443="","",IF(LEFT(IFERROR(TRIM(INDEX($A443:$T443,MATCH(Lists!$F$6,$A$1:$T$1,0))&amp;""),""),2)="No","General comment",IF(IFERROR(TRIM(INDEX($A443:$T443,MATCH(Lists!$F$7,$A$1:$T$1,0))&amp;""),"")&lt;&gt;"",IFERROR(TRIM(INDEX($A443:$T443,MATCH(Lists!$F$7,$A$1:$T$1,0))&amp;""),""),IF(IFERROR(TRIM(INDEX($A443:$T443,MATCH(Lists!$F$8,$A$1:$T$1,0))&amp;""),"")&lt;&gt;"",IFERROR(TRIM(INDEX($A443:$T443,MATCH(Lists!$F$8,$A$1:$T$1,0))&amp;""),""),"(no item given)"))))</f>
        <v/>
      </c>
      <c r="AC443" s="21">
        <f>IF(Y443="","",IF(ISNUMBER(SEARCH("support",IFERROR(TRIM(INDEX($A443:$T443,MATCH(Lists!$F$9,$A$1:$T$1,0))&amp;""),""))),"Support",IF(ISNUMBER(SEARCH("oppose",IFERROR(TRIM(INDEX($A443:$T443,MATCH(Lists!$F$9,$A$1:$T$1,0))&amp;""),""))),"Oppose",IF(IFERROR(TRIM(INDEX($A443:$T443,MATCH(Lists!$F$9,$A$1:$T$1,0))&amp;""),"")="","No position","Neither"))))</f>
        <v/>
      </c>
      <c r="AD443" s="21">
        <f>IF(Y443="","",IF(ISNUMBER(SEARCH("in person",IFERROR(TRIM(INDEX($A443:$T443,MATCH(Lists!$F$13,$A$1:$T$1,0))&amp;""),""))),"In person",IF(ISNUMBER(SEARCH("online",IFERROR(TRIM(INDEX($A443:$T443,MATCH(Lists!$F$13,$A$1:$T$1,0))&amp;""),""))),"Online","Written only")))</f>
        <v/>
      </c>
      <c r="AE443" s="21">
        <f>IF(Y443="","",IFERROR(TRIM(INDEX($A443:$T443,MATCH(Lists!$F$11,$A$1:$T$1,0))&amp;""),""))</f>
        <v/>
      </c>
      <c r="AF443" s="21">
        <f>IF(Y443="","",IFERROR(TRIM(INDEX($A443:$T443,MATCH(Lists!$F$12,$A$1:$T$1,0))&amp;""),""))</f>
        <v/>
      </c>
      <c r="AG443" s="21">
        <f>IF(Y443="","",IFERROR(TRIM(INDEX($A443:$T443,MATCH(Lists!$F$14,$A$1:$T$1,0))&amp;""),""))</f>
        <v/>
      </c>
      <c r="AH443" s="21">
        <f>IF(Y443="","",LEFT(IFERROR(TRIM(INDEX($A443:$T443,MATCH(Lists!$F$10,$A$1:$T$1,0))&amp;""),""),80))</f>
        <v/>
      </c>
      <c r="AI443" s="21">
        <f>IF(Y443="",0,IF(OR(Tally!$B$5="",AA443=Tally!$B$5),1,0))</f>
        <v/>
      </c>
      <c r="AJ443" s="21">
        <f>IF(AI443=1,IF(COUNTIFS($AB$2:AB443,AB443,$AI$2:AI443,1)=1,1,0),0)</f>
        <v/>
      </c>
      <c r="AK443" s="21">
        <f>IF(AJ443=1,SUM($AJ$2:AJ443),"")</f>
        <v/>
      </c>
      <c r="AL443" s="21">
        <f>IF(AND(AI443=1,OR(AD443="In person",AD443="Online"),OR(Speakers!$B$5="",AB443=Speakers!$B$5)),N(Z443)+ROW()/1000000000,"")</f>
        <v/>
      </c>
    </row>
    <row r="444">
      <c r="U444" s="19" t="n"/>
      <c r="V444" s="24" t="n"/>
      <c r="W444" s="24" t="n"/>
      <c r="X444" s="19" t="n"/>
      <c r="Y444" s="21">
        <f>IFERROR(TRIM(INDEX($A444:$T444,MATCH(Lists!$F$2,$A$1:$T$1,0))&amp;""),"")</f>
        <v/>
      </c>
      <c r="Z444" s="22">
        <f>IF(Y444="","",IFERROR(IF(ISNUMBER(INDEX($A444:$T444,MATCH(Lists!$F$3,$A$1:$T$1,0))),INDEX($A444:$T444,MATCH(Lists!$F$3,$A$1:$T$1,0)),DATE(VALUE(LEFT(IFERROR(TRIM(INDEX($A444:$T444,MATCH(Lists!$F$3,$A$1:$T$1,0))&amp;""),""),4)),VALUE(MID(IFERROR(TRIM(INDEX($A444:$T444,MATCH(Lists!$F$3,$A$1:$T$1,0))&amp;""),""),6,2)),VALUE(MID(IFERROR(TRIM(INDEX($A444:$T444,MATCH(Lists!$F$3,$A$1:$T$1,0))&amp;""),""),9,2)))+TIME(VALUE(MID(IFERROR(TRIM(INDEX($A444:$T444,MATCH(Lists!$F$3,$A$1:$T$1,0))&amp;""),""),12,2)),VALUE(MID(IFERROR(TRIM(INDEX($A444:$T444,MATCH(Lists!$F$3,$A$1:$T$1,0))&amp;""),""),15,2)),VALUE(MID(IFERROR(TRIM(INDEX($A444:$T444,MATCH(Lists!$F$3,$A$1:$T$1,0))&amp;""),""),18,2)))),""))</f>
        <v/>
      </c>
      <c r="AA444" s="23">
        <f>IF(Y444="","",IF(ISNUMBER(IFERROR(IF(TRIM(INDEX($A444:$T444,MATCH(Lists!$F$4,$A$1:$T$1,0))&amp;"")="","",IF(ISNUMBER(INDEX($A444:$T444,MATCH(Lists!$F$4,$A$1:$T$1,0))),INT(INDEX($A444:$T444,MATCH(Lists!$F$4,$A$1:$T$1,0))),DATE(VALUE(LEFT(INDEX($A444:$T444,MATCH(Lists!$F$4,$A$1:$T$1,0)),4)),VALUE(MID(INDEX($A444:$T444,MATCH(Lists!$F$4,$A$1:$T$1,0)),6,2)),VALUE(MID(INDEX($A444:$T444,MATCH(Lists!$F$4,$A$1:$T$1,0)),9,2))))),"")),IFERROR(IF(TRIM(INDEX($A444:$T444,MATCH(Lists!$F$4,$A$1:$T$1,0))&amp;"")="","",IF(ISNUMBER(INDEX($A444:$T444,MATCH(Lists!$F$4,$A$1:$T$1,0))),INT(INDEX($A444:$T444,MATCH(Lists!$F$4,$A$1:$T$1,0))),DATE(VALUE(LEFT(INDEX($A444:$T444,MATCH(Lists!$F$4,$A$1:$T$1,0)),4)),VALUE(MID(INDEX($A444:$T444,MATCH(Lists!$F$4,$A$1:$T$1,0)),6,2)),VALUE(MID(INDEX($A444:$T444,MATCH(Lists!$F$4,$A$1:$T$1,0)),9,2))))),""),IFERROR(IF(TRIM(INDEX($A444:$T444,MATCH(Lists!$F$5,$A$1:$T$1,0))&amp;"")="","",IF(ISNUMBER(INDEX($A444:$T444,MATCH(Lists!$F$5,$A$1:$T$1,0))),INT(INDEX($A444:$T444,MATCH(Lists!$F$5,$A$1:$T$1,0))),DATE(VALUE(LEFT(INDEX($A444:$T444,MATCH(Lists!$F$5,$A$1:$T$1,0)),4)),VALUE(MID(INDEX($A444:$T444,MATCH(Lists!$F$5,$A$1:$T$1,0)),6,2)),VALUE(MID(INDEX($A444:$T444,MATCH(Lists!$F$5,$A$1:$T$1,0)),9,2))))),"")))</f>
        <v/>
      </c>
      <c r="AB444" s="21">
        <f>IF(Y444="","",IF(LEFT(IFERROR(TRIM(INDEX($A444:$T444,MATCH(Lists!$F$6,$A$1:$T$1,0))&amp;""),""),2)="No","General comment",IF(IFERROR(TRIM(INDEX($A444:$T444,MATCH(Lists!$F$7,$A$1:$T$1,0))&amp;""),"")&lt;&gt;"",IFERROR(TRIM(INDEX($A444:$T444,MATCH(Lists!$F$7,$A$1:$T$1,0))&amp;""),""),IF(IFERROR(TRIM(INDEX($A444:$T444,MATCH(Lists!$F$8,$A$1:$T$1,0))&amp;""),"")&lt;&gt;"",IFERROR(TRIM(INDEX($A444:$T444,MATCH(Lists!$F$8,$A$1:$T$1,0))&amp;""),""),"(no item given)"))))</f>
        <v/>
      </c>
      <c r="AC444" s="21">
        <f>IF(Y444="","",IF(ISNUMBER(SEARCH("support",IFERROR(TRIM(INDEX($A444:$T444,MATCH(Lists!$F$9,$A$1:$T$1,0))&amp;""),""))),"Support",IF(ISNUMBER(SEARCH("oppose",IFERROR(TRIM(INDEX($A444:$T444,MATCH(Lists!$F$9,$A$1:$T$1,0))&amp;""),""))),"Oppose",IF(IFERROR(TRIM(INDEX($A444:$T444,MATCH(Lists!$F$9,$A$1:$T$1,0))&amp;""),"")="","No position","Neither"))))</f>
        <v/>
      </c>
      <c r="AD444" s="21">
        <f>IF(Y444="","",IF(ISNUMBER(SEARCH("in person",IFERROR(TRIM(INDEX($A444:$T444,MATCH(Lists!$F$13,$A$1:$T$1,0))&amp;""),""))),"In person",IF(ISNUMBER(SEARCH("online",IFERROR(TRIM(INDEX($A444:$T444,MATCH(Lists!$F$13,$A$1:$T$1,0))&amp;""),""))),"Online","Written only")))</f>
        <v/>
      </c>
      <c r="AE444" s="21">
        <f>IF(Y444="","",IFERROR(TRIM(INDEX($A444:$T444,MATCH(Lists!$F$11,$A$1:$T$1,0))&amp;""),""))</f>
        <v/>
      </c>
      <c r="AF444" s="21">
        <f>IF(Y444="","",IFERROR(TRIM(INDEX($A444:$T444,MATCH(Lists!$F$12,$A$1:$T$1,0))&amp;""),""))</f>
        <v/>
      </c>
      <c r="AG444" s="21">
        <f>IF(Y444="","",IFERROR(TRIM(INDEX($A444:$T444,MATCH(Lists!$F$14,$A$1:$T$1,0))&amp;""),""))</f>
        <v/>
      </c>
      <c r="AH444" s="21">
        <f>IF(Y444="","",LEFT(IFERROR(TRIM(INDEX($A444:$T444,MATCH(Lists!$F$10,$A$1:$T$1,0))&amp;""),""),80))</f>
        <v/>
      </c>
      <c r="AI444" s="21">
        <f>IF(Y444="",0,IF(OR(Tally!$B$5="",AA444=Tally!$B$5),1,0))</f>
        <v/>
      </c>
      <c r="AJ444" s="21">
        <f>IF(AI444=1,IF(COUNTIFS($AB$2:AB444,AB444,$AI$2:AI444,1)=1,1,0),0)</f>
        <v/>
      </c>
      <c r="AK444" s="21">
        <f>IF(AJ444=1,SUM($AJ$2:AJ444),"")</f>
        <v/>
      </c>
      <c r="AL444" s="21">
        <f>IF(AND(AI444=1,OR(AD444="In person",AD444="Online"),OR(Speakers!$B$5="",AB444=Speakers!$B$5)),N(Z444)+ROW()/1000000000,"")</f>
        <v/>
      </c>
    </row>
    <row r="445">
      <c r="U445" s="19" t="n"/>
      <c r="V445" s="24" t="n"/>
      <c r="W445" s="24" t="n"/>
      <c r="X445" s="19" t="n"/>
      <c r="Y445" s="21">
        <f>IFERROR(TRIM(INDEX($A445:$T445,MATCH(Lists!$F$2,$A$1:$T$1,0))&amp;""),"")</f>
        <v/>
      </c>
      <c r="Z445" s="22">
        <f>IF(Y445="","",IFERROR(IF(ISNUMBER(INDEX($A445:$T445,MATCH(Lists!$F$3,$A$1:$T$1,0))),INDEX($A445:$T445,MATCH(Lists!$F$3,$A$1:$T$1,0)),DATE(VALUE(LEFT(IFERROR(TRIM(INDEX($A445:$T445,MATCH(Lists!$F$3,$A$1:$T$1,0))&amp;""),""),4)),VALUE(MID(IFERROR(TRIM(INDEX($A445:$T445,MATCH(Lists!$F$3,$A$1:$T$1,0))&amp;""),""),6,2)),VALUE(MID(IFERROR(TRIM(INDEX($A445:$T445,MATCH(Lists!$F$3,$A$1:$T$1,0))&amp;""),""),9,2)))+TIME(VALUE(MID(IFERROR(TRIM(INDEX($A445:$T445,MATCH(Lists!$F$3,$A$1:$T$1,0))&amp;""),""),12,2)),VALUE(MID(IFERROR(TRIM(INDEX($A445:$T445,MATCH(Lists!$F$3,$A$1:$T$1,0))&amp;""),""),15,2)),VALUE(MID(IFERROR(TRIM(INDEX($A445:$T445,MATCH(Lists!$F$3,$A$1:$T$1,0))&amp;""),""),18,2)))),""))</f>
        <v/>
      </c>
      <c r="AA445" s="23">
        <f>IF(Y445="","",IF(ISNUMBER(IFERROR(IF(TRIM(INDEX($A445:$T445,MATCH(Lists!$F$4,$A$1:$T$1,0))&amp;"")="","",IF(ISNUMBER(INDEX($A445:$T445,MATCH(Lists!$F$4,$A$1:$T$1,0))),INT(INDEX($A445:$T445,MATCH(Lists!$F$4,$A$1:$T$1,0))),DATE(VALUE(LEFT(INDEX($A445:$T445,MATCH(Lists!$F$4,$A$1:$T$1,0)),4)),VALUE(MID(INDEX($A445:$T445,MATCH(Lists!$F$4,$A$1:$T$1,0)),6,2)),VALUE(MID(INDEX($A445:$T445,MATCH(Lists!$F$4,$A$1:$T$1,0)),9,2))))),"")),IFERROR(IF(TRIM(INDEX($A445:$T445,MATCH(Lists!$F$4,$A$1:$T$1,0))&amp;"")="","",IF(ISNUMBER(INDEX($A445:$T445,MATCH(Lists!$F$4,$A$1:$T$1,0))),INT(INDEX($A445:$T445,MATCH(Lists!$F$4,$A$1:$T$1,0))),DATE(VALUE(LEFT(INDEX($A445:$T445,MATCH(Lists!$F$4,$A$1:$T$1,0)),4)),VALUE(MID(INDEX($A445:$T445,MATCH(Lists!$F$4,$A$1:$T$1,0)),6,2)),VALUE(MID(INDEX($A445:$T445,MATCH(Lists!$F$4,$A$1:$T$1,0)),9,2))))),""),IFERROR(IF(TRIM(INDEX($A445:$T445,MATCH(Lists!$F$5,$A$1:$T$1,0))&amp;"")="","",IF(ISNUMBER(INDEX($A445:$T445,MATCH(Lists!$F$5,$A$1:$T$1,0))),INT(INDEX($A445:$T445,MATCH(Lists!$F$5,$A$1:$T$1,0))),DATE(VALUE(LEFT(INDEX($A445:$T445,MATCH(Lists!$F$5,$A$1:$T$1,0)),4)),VALUE(MID(INDEX($A445:$T445,MATCH(Lists!$F$5,$A$1:$T$1,0)),6,2)),VALUE(MID(INDEX($A445:$T445,MATCH(Lists!$F$5,$A$1:$T$1,0)),9,2))))),"")))</f>
        <v/>
      </c>
      <c r="AB445" s="21">
        <f>IF(Y445="","",IF(LEFT(IFERROR(TRIM(INDEX($A445:$T445,MATCH(Lists!$F$6,$A$1:$T$1,0))&amp;""),""),2)="No","General comment",IF(IFERROR(TRIM(INDEX($A445:$T445,MATCH(Lists!$F$7,$A$1:$T$1,0))&amp;""),"")&lt;&gt;"",IFERROR(TRIM(INDEX($A445:$T445,MATCH(Lists!$F$7,$A$1:$T$1,0))&amp;""),""),IF(IFERROR(TRIM(INDEX($A445:$T445,MATCH(Lists!$F$8,$A$1:$T$1,0))&amp;""),"")&lt;&gt;"",IFERROR(TRIM(INDEX($A445:$T445,MATCH(Lists!$F$8,$A$1:$T$1,0))&amp;""),""),"(no item given)"))))</f>
        <v/>
      </c>
      <c r="AC445" s="21">
        <f>IF(Y445="","",IF(ISNUMBER(SEARCH("support",IFERROR(TRIM(INDEX($A445:$T445,MATCH(Lists!$F$9,$A$1:$T$1,0))&amp;""),""))),"Support",IF(ISNUMBER(SEARCH("oppose",IFERROR(TRIM(INDEX($A445:$T445,MATCH(Lists!$F$9,$A$1:$T$1,0))&amp;""),""))),"Oppose",IF(IFERROR(TRIM(INDEX($A445:$T445,MATCH(Lists!$F$9,$A$1:$T$1,0))&amp;""),"")="","No position","Neither"))))</f>
        <v/>
      </c>
      <c r="AD445" s="21">
        <f>IF(Y445="","",IF(ISNUMBER(SEARCH("in person",IFERROR(TRIM(INDEX($A445:$T445,MATCH(Lists!$F$13,$A$1:$T$1,0))&amp;""),""))),"In person",IF(ISNUMBER(SEARCH("online",IFERROR(TRIM(INDEX($A445:$T445,MATCH(Lists!$F$13,$A$1:$T$1,0))&amp;""),""))),"Online","Written only")))</f>
        <v/>
      </c>
      <c r="AE445" s="21">
        <f>IF(Y445="","",IFERROR(TRIM(INDEX($A445:$T445,MATCH(Lists!$F$11,$A$1:$T$1,0))&amp;""),""))</f>
        <v/>
      </c>
      <c r="AF445" s="21">
        <f>IF(Y445="","",IFERROR(TRIM(INDEX($A445:$T445,MATCH(Lists!$F$12,$A$1:$T$1,0))&amp;""),""))</f>
        <v/>
      </c>
      <c r="AG445" s="21">
        <f>IF(Y445="","",IFERROR(TRIM(INDEX($A445:$T445,MATCH(Lists!$F$14,$A$1:$T$1,0))&amp;""),""))</f>
        <v/>
      </c>
      <c r="AH445" s="21">
        <f>IF(Y445="","",LEFT(IFERROR(TRIM(INDEX($A445:$T445,MATCH(Lists!$F$10,$A$1:$T$1,0))&amp;""),""),80))</f>
        <v/>
      </c>
      <c r="AI445" s="21">
        <f>IF(Y445="",0,IF(OR(Tally!$B$5="",AA445=Tally!$B$5),1,0))</f>
        <v/>
      </c>
      <c r="AJ445" s="21">
        <f>IF(AI445=1,IF(COUNTIFS($AB$2:AB445,AB445,$AI$2:AI445,1)=1,1,0),0)</f>
        <v/>
      </c>
      <c r="AK445" s="21">
        <f>IF(AJ445=1,SUM($AJ$2:AJ445),"")</f>
        <v/>
      </c>
      <c r="AL445" s="21">
        <f>IF(AND(AI445=1,OR(AD445="In person",AD445="Online"),OR(Speakers!$B$5="",AB445=Speakers!$B$5)),N(Z445)+ROW()/1000000000,"")</f>
        <v/>
      </c>
    </row>
    <row r="446">
      <c r="U446" s="19" t="n"/>
      <c r="V446" s="24" t="n"/>
      <c r="W446" s="24" t="n"/>
      <c r="X446" s="19" t="n"/>
      <c r="Y446" s="21">
        <f>IFERROR(TRIM(INDEX($A446:$T446,MATCH(Lists!$F$2,$A$1:$T$1,0))&amp;""),"")</f>
        <v/>
      </c>
      <c r="Z446" s="22">
        <f>IF(Y446="","",IFERROR(IF(ISNUMBER(INDEX($A446:$T446,MATCH(Lists!$F$3,$A$1:$T$1,0))),INDEX($A446:$T446,MATCH(Lists!$F$3,$A$1:$T$1,0)),DATE(VALUE(LEFT(IFERROR(TRIM(INDEX($A446:$T446,MATCH(Lists!$F$3,$A$1:$T$1,0))&amp;""),""),4)),VALUE(MID(IFERROR(TRIM(INDEX($A446:$T446,MATCH(Lists!$F$3,$A$1:$T$1,0))&amp;""),""),6,2)),VALUE(MID(IFERROR(TRIM(INDEX($A446:$T446,MATCH(Lists!$F$3,$A$1:$T$1,0))&amp;""),""),9,2)))+TIME(VALUE(MID(IFERROR(TRIM(INDEX($A446:$T446,MATCH(Lists!$F$3,$A$1:$T$1,0))&amp;""),""),12,2)),VALUE(MID(IFERROR(TRIM(INDEX($A446:$T446,MATCH(Lists!$F$3,$A$1:$T$1,0))&amp;""),""),15,2)),VALUE(MID(IFERROR(TRIM(INDEX($A446:$T446,MATCH(Lists!$F$3,$A$1:$T$1,0))&amp;""),""),18,2)))),""))</f>
        <v/>
      </c>
      <c r="AA446" s="23">
        <f>IF(Y446="","",IF(ISNUMBER(IFERROR(IF(TRIM(INDEX($A446:$T446,MATCH(Lists!$F$4,$A$1:$T$1,0))&amp;"")="","",IF(ISNUMBER(INDEX($A446:$T446,MATCH(Lists!$F$4,$A$1:$T$1,0))),INT(INDEX($A446:$T446,MATCH(Lists!$F$4,$A$1:$T$1,0))),DATE(VALUE(LEFT(INDEX($A446:$T446,MATCH(Lists!$F$4,$A$1:$T$1,0)),4)),VALUE(MID(INDEX($A446:$T446,MATCH(Lists!$F$4,$A$1:$T$1,0)),6,2)),VALUE(MID(INDEX($A446:$T446,MATCH(Lists!$F$4,$A$1:$T$1,0)),9,2))))),"")),IFERROR(IF(TRIM(INDEX($A446:$T446,MATCH(Lists!$F$4,$A$1:$T$1,0))&amp;"")="","",IF(ISNUMBER(INDEX($A446:$T446,MATCH(Lists!$F$4,$A$1:$T$1,0))),INT(INDEX($A446:$T446,MATCH(Lists!$F$4,$A$1:$T$1,0))),DATE(VALUE(LEFT(INDEX($A446:$T446,MATCH(Lists!$F$4,$A$1:$T$1,0)),4)),VALUE(MID(INDEX($A446:$T446,MATCH(Lists!$F$4,$A$1:$T$1,0)),6,2)),VALUE(MID(INDEX($A446:$T446,MATCH(Lists!$F$4,$A$1:$T$1,0)),9,2))))),""),IFERROR(IF(TRIM(INDEX($A446:$T446,MATCH(Lists!$F$5,$A$1:$T$1,0))&amp;"")="","",IF(ISNUMBER(INDEX($A446:$T446,MATCH(Lists!$F$5,$A$1:$T$1,0))),INT(INDEX($A446:$T446,MATCH(Lists!$F$5,$A$1:$T$1,0))),DATE(VALUE(LEFT(INDEX($A446:$T446,MATCH(Lists!$F$5,$A$1:$T$1,0)),4)),VALUE(MID(INDEX($A446:$T446,MATCH(Lists!$F$5,$A$1:$T$1,0)),6,2)),VALUE(MID(INDEX($A446:$T446,MATCH(Lists!$F$5,$A$1:$T$1,0)),9,2))))),"")))</f>
        <v/>
      </c>
      <c r="AB446" s="21">
        <f>IF(Y446="","",IF(LEFT(IFERROR(TRIM(INDEX($A446:$T446,MATCH(Lists!$F$6,$A$1:$T$1,0))&amp;""),""),2)="No","General comment",IF(IFERROR(TRIM(INDEX($A446:$T446,MATCH(Lists!$F$7,$A$1:$T$1,0))&amp;""),"")&lt;&gt;"",IFERROR(TRIM(INDEX($A446:$T446,MATCH(Lists!$F$7,$A$1:$T$1,0))&amp;""),""),IF(IFERROR(TRIM(INDEX($A446:$T446,MATCH(Lists!$F$8,$A$1:$T$1,0))&amp;""),"")&lt;&gt;"",IFERROR(TRIM(INDEX($A446:$T446,MATCH(Lists!$F$8,$A$1:$T$1,0))&amp;""),""),"(no item given)"))))</f>
        <v/>
      </c>
      <c r="AC446" s="21">
        <f>IF(Y446="","",IF(ISNUMBER(SEARCH("support",IFERROR(TRIM(INDEX($A446:$T446,MATCH(Lists!$F$9,$A$1:$T$1,0))&amp;""),""))),"Support",IF(ISNUMBER(SEARCH("oppose",IFERROR(TRIM(INDEX($A446:$T446,MATCH(Lists!$F$9,$A$1:$T$1,0))&amp;""),""))),"Oppose",IF(IFERROR(TRIM(INDEX($A446:$T446,MATCH(Lists!$F$9,$A$1:$T$1,0))&amp;""),"")="","No position","Neither"))))</f>
        <v/>
      </c>
      <c r="AD446" s="21">
        <f>IF(Y446="","",IF(ISNUMBER(SEARCH("in person",IFERROR(TRIM(INDEX($A446:$T446,MATCH(Lists!$F$13,$A$1:$T$1,0))&amp;""),""))),"In person",IF(ISNUMBER(SEARCH("online",IFERROR(TRIM(INDEX($A446:$T446,MATCH(Lists!$F$13,$A$1:$T$1,0))&amp;""),""))),"Online","Written only")))</f>
        <v/>
      </c>
      <c r="AE446" s="21">
        <f>IF(Y446="","",IFERROR(TRIM(INDEX($A446:$T446,MATCH(Lists!$F$11,$A$1:$T$1,0))&amp;""),""))</f>
        <v/>
      </c>
      <c r="AF446" s="21">
        <f>IF(Y446="","",IFERROR(TRIM(INDEX($A446:$T446,MATCH(Lists!$F$12,$A$1:$T$1,0))&amp;""),""))</f>
        <v/>
      </c>
      <c r="AG446" s="21">
        <f>IF(Y446="","",IFERROR(TRIM(INDEX($A446:$T446,MATCH(Lists!$F$14,$A$1:$T$1,0))&amp;""),""))</f>
        <v/>
      </c>
      <c r="AH446" s="21">
        <f>IF(Y446="","",LEFT(IFERROR(TRIM(INDEX($A446:$T446,MATCH(Lists!$F$10,$A$1:$T$1,0))&amp;""),""),80))</f>
        <v/>
      </c>
      <c r="AI446" s="21">
        <f>IF(Y446="",0,IF(OR(Tally!$B$5="",AA446=Tally!$B$5),1,0))</f>
        <v/>
      </c>
      <c r="AJ446" s="21">
        <f>IF(AI446=1,IF(COUNTIFS($AB$2:AB446,AB446,$AI$2:AI446,1)=1,1,0),0)</f>
        <v/>
      </c>
      <c r="AK446" s="21">
        <f>IF(AJ446=1,SUM($AJ$2:AJ446),"")</f>
        <v/>
      </c>
      <c r="AL446" s="21">
        <f>IF(AND(AI446=1,OR(AD446="In person",AD446="Online"),OR(Speakers!$B$5="",AB446=Speakers!$B$5)),N(Z446)+ROW()/1000000000,"")</f>
        <v/>
      </c>
    </row>
    <row r="447">
      <c r="U447" s="19" t="n"/>
      <c r="V447" s="24" t="n"/>
      <c r="W447" s="24" t="n"/>
      <c r="X447" s="19" t="n"/>
      <c r="Y447" s="21">
        <f>IFERROR(TRIM(INDEX($A447:$T447,MATCH(Lists!$F$2,$A$1:$T$1,0))&amp;""),"")</f>
        <v/>
      </c>
      <c r="Z447" s="22">
        <f>IF(Y447="","",IFERROR(IF(ISNUMBER(INDEX($A447:$T447,MATCH(Lists!$F$3,$A$1:$T$1,0))),INDEX($A447:$T447,MATCH(Lists!$F$3,$A$1:$T$1,0)),DATE(VALUE(LEFT(IFERROR(TRIM(INDEX($A447:$T447,MATCH(Lists!$F$3,$A$1:$T$1,0))&amp;""),""),4)),VALUE(MID(IFERROR(TRIM(INDEX($A447:$T447,MATCH(Lists!$F$3,$A$1:$T$1,0))&amp;""),""),6,2)),VALUE(MID(IFERROR(TRIM(INDEX($A447:$T447,MATCH(Lists!$F$3,$A$1:$T$1,0))&amp;""),""),9,2)))+TIME(VALUE(MID(IFERROR(TRIM(INDEX($A447:$T447,MATCH(Lists!$F$3,$A$1:$T$1,0))&amp;""),""),12,2)),VALUE(MID(IFERROR(TRIM(INDEX($A447:$T447,MATCH(Lists!$F$3,$A$1:$T$1,0))&amp;""),""),15,2)),VALUE(MID(IFERROR(TRIM(INDEX($A447:$T447,MATCH(Lists!$F$3,$A$1:$T$1,0))&amp;""),""),18,2)))),""))</f>
        <v/>
      </c>
      <c r="AA447" s="23">
        <f>IF(Y447="","",IF(ISNUMBER(IFERROR(IF(TRIM(INDEX($A447:$T447,MATCH(Lists!$F$4,$A$1:$T$1,0))&amp;"")="","",IF(ISNUMBER(INDEX($A447:$T447,MATCH(Lists!$F$4,$A$1:$T$1,0))),INT(INDEX($A447:$T447,MATCH(Lists!$F$4,$A$1:$T$1,0))),DATE(VALUE(LEFT(INDEX($A447:$T447,MATCH(Lists!$F$4,$A$1:$T$1,0)),4)),VALUE(MID(INDEX($A447:$T447,MATCH(Lists!$F$4,$A$1:$T$1,0)),6,2)),VALUE(MID(INDEX($A447:$T447,MATCH(Lists!$F$4,$A$1:$T$1,0)),9,2))))),"")),IFERROR(IF(TRIM(INDEX($A447:$T447,MATCH(Lists!$F$4,$A$1:$T$1,0))&amp;"")="","",IF(ISNUMBER(INDEX($A447:$T447,MATCH(Lists!$F$4,$A$1:$T$1,0))),INT(INDEX($A447:$T447,MATCH(Lists!$F$4,$A$1:$T$1,0))),DATE(VALUE(LEFT(INDEX($A447:$T447,MATCH(Lists!$F$4,$A$1:$T$1,0)),4)),VALUE(MID(INDEX($A447:$T447,MATCH(Lists!$F$4,$A$1:$T$1,0)),6,2)),VALUE(MID(INDEX($A447:$T447,MATCH(Lists!$F$4,$A$1:$T$1,0)),9,2))))),""),IFERROR(IF(TRIM(INDEX($A447:$T447,MATCH(Lists!$F$5,$A$1:$T$1,0))&amp;"")="","",IF(ISNUMBER(INDEX($A447:$T447,MATCH(Lists!$F$5,$A$1:$T$1,0))),INT(INDEX($A447:$T447,MATCH(Lists!$F$5,$A$1:$T$1,0))),DATE(VALUE(LEFT(INDEX($A447:$T447,MATCH(Lists!$F$5,$A$1:$T$1,0)),4)),VALUE(MID(INDEX($A447:$T447,MATCH(Lists!$F$5,$A$1:$T$1,0)),6,2)),VALUE(MID(INDEX($A447:$T447,MATCH(Lists!$F$5,$A$1:$T$1,0)),9,2))))),"")))</f>
        <v/>
      </c>
      <c r="AB447" s="21">
        <f>IF(Y447="","",IF(LEFT(IFERROR(TRIM(INDEX($A447:$T447,MATCH(Lists!$F$6,$A$1:$T$1,0))&amp;""),""),2)="No","General comment",IF(IFERROR(TRIM(INDEX($A447:$T447,MATCH(Lists!$F$7,$A$1:$T$1,0))&amp;""),"")&lt;&gt;"",IFERROR(TRIM(INDEX($A447:$T447,MATCH(Lists!$F$7,$A$1:$T$1,0))&amp;""),""),IF(IFERROR(TRIM(INDEX($A447:$T447,MATCH(Lists!$F$8,$A$1:$T$1,0))&amp;""),"")&lt;&gt;"",IFERROR(TRIM(INDEX($A447:$T447,MATCH(Lists!$F$8,$A$1:$T$1,0))&amp;""),""),"(no item given)"))))</f>
        <v/>
      </c>
      <c r="AC447" s="21">
        <f>IF(Y447="","",IF(ISNUMBER(SEARCH("support",IFERROR(TRIM(INDEX($A447:$T447,MATCH(Lists!$F$9,$A$1:$T$1,0))&amp;""),""))),"Support",IF(ISNUMBER(SEARCH("oppose",IFERROR(TRIM(INDEX($A447:$T447,MATCH(Lists!$F$9,$A$1:$T$1,0))&amp;""),""))),"Oppose",IF(IFERROR(TRIM(INDEX($A447:$T447,MATCH(Lists!$F$9,$A$1:$T$1,0))&amp;""),"")="","No position","Neither"))))</f>
        <v/>
      </c>
      <c r="AD447" s="21">
        <f>IF(Y447="","",IF(ISNUMBER(SEARCH("in person",IFERROR(TRIM(INDEX($A447:$T447,MATCH(Lists!$F$13,$A$1:$T$1,0))&amp;""),""))),"In person",IF(ISNUMBER(SEARCH("online",IFERROR(TRIM(INDEX($A447:$T447,MATCH(Lists!$F$13,$A$1:$T$1,0))&amp;""),""))),"Online","Written only")))</f>
        <v/>
      </c>
      <c r="AE447" s="21">
        <f>IF(Y447="","",IFERROR(TRIM(INDEX($A447:$T447,MATCH(Lists!$F$11,$A$1:$T$1,0))&amp;""),""))</f>
        <v/>
      </c>
      <c r="AF447" s="21">
        <f>IF(Y447="","",IFERROR(TRIM(INDEX($A447:$T447,MATCH(Lists!$F$12,$A$1:$T$1,0))&amp;""),""))</f>
        <v/>
      </c>
      <c r="AG447" s="21">
        <f>IF(Y447="","",IFERROR(TRIM(INDEX($A447:$T447,MATCH(Lists!$F$14,$A$1:$T$1,0))&amp;""),""))</f>
        <v/>
      </c>
      <c r="AH447" s="21">
        <f>IF(Y447="","",LEFT(IFERROR(TRIM(INDEX($A447:$T447,MATCH(Lists!$F$10,$A$1:$T$1,0))&amp;""),""),80))</f>
        <v/>
      </c>
      <c r="AI447" s="21">
        <f>IF(Y447="",0,IF(OR(Tally!$B$5="",AA447=Tally!$B$5),1,0))</f>
        <v/>
      </c>
      <c r="AJ447" s="21">
        <f>IF(AI447=1,IF(COUNTIFS($AB$2:AB447,AB447,$AI$2:AI447,1)=1,1,0),0)</f>
        <v/>
      </c>
      <c r="AK447" s="21">
        <f>IF(AJ447=1,SUM($AJ$2:AJ447),"")</f>
        <v/>
      </c>
      <c r="AL447" s="21">
        <f>IF(AND(AI447=1,OR(AD447="In person",AD447="Online"),OR(Speakers!$B$5="",AB447=Speakers!$B$5)),N(Z447)+ROW()/1000000000,"")</f>
        <v/>
      </c>
    </row>
    <row r="448">
      <c r="U448" s="19" t="n"/>
      <c r="V448" s="24" t="n"/>
      <c r="W448" s="24" t="n"/>
      <c r="X448" s="19" t="n"/>
      <c r="Y448" s="21">
        <f>IFERROR(TRIM(INDEX($A448:$T448,MATCH(Lists!$F$2,$A$1:$T$1,0))&amp;""),"")</f>
        <v/>
      </c>
      <c r="Z448" s="22">
        <f>IF(Y448="","",IFERROR(IF(ISNUMBER(INDEX($A448:$T448,MATCH(Lists!$F$3,$A$1:$T$1,0))),INDEX($A448:$T448,MATCH(Lists!$F$3,$A$1:$T$1,0)),DATE(VALUE(LEFT(IFERROR(TRIM(INDEX($A448:$T448,MATCH(Lists!$F$3,$A$1:$T$1,0))&amp;""),""),4)),VALUE(MID(IFERROR(TRIM(INDEX($A448:$T448,MATCH(Lists!$F$3,$A$1:$T$1,0))&amp;""),""),6,2)),VALUE(MID(IFERROR(TRIM(INDEX($A448:$T448,MATCH(Lists!$F$3,$A$1:$T$1,0))&amp;""),""),9,2)))+TIME(VALUE(MID(IFERROR(TRIM(INDEX($A448:$T448,MATCH(Lists!$F$3,$A$1:$T$1,0))&amp;""),""),12,2)),VALUE(MID(IFERROR(TRIM(INDEX($A448:$T448,MATCH(Lists!$F$3,$A$1:$T$1,0))&amp;""),""),15,2)),VALUE(MID(IFERROR(TRIM(INDEX($A448:$T448,MATCH(Lists!$F$3,$A$1:$T$1,0))&amp;""),""),18,2)))),""))</f>
        <v/>
      </c>
      <c r="AA448" s="23">
        <f>IF(Y448="","",IF(ISNUMBER(IFERROR(IF(TRIM(INDEX($A448:$T448,MATCH(Lists!$F$4,$A$1:$T$1,0))&amp;"")="","",IF(ISNUMBER(INDEX($A448:$T448,MATCH(Lists!$F$4,$A$1:$T$1,0))),INT(INDEX($A448:$T448,MATCH(Lists!$F$4,$A$1:$T$1,0))),DATE(VALUE(LEFT(INDEX($A448:$T448,MATCH(Lists!$F$4,$A$1:$T$1,0)),4)),VALUE(MID(INDEX($A448:$T448,MATCH(Lists!$F$4,$A$1:$T$1,0)),6,2)),VALUE(MID(INDEX($A448:$T448,MATCH(Lists!$F$4,$A$1:$T$1,0)),9,2))))),"")),IFERROR(IF(TRIM(INDEX($A448:$T448,MATCH(Lists!$F$4,$A$1:$T$1,0))&amp;"")="","",IF(ISNUMBER(INDEX($A448:$T448,MATCH(Lists!$F$4,$A$1:$T$1,0))),INT(INDEX($A448:$T448,MATCH(Lists!$F$4,$A$1:$T$1,0))),DATE(VALUE(LEFT(INDEX($A448:$T448,MATCH(Lists!$F$4,$A$1:$T$1,0)),4)),VALUE(MID(INDEX($A448:$T448,MATCH(Lists!$F$4,$A$1:$T$1,0)),6,2)),VALUE(MID(INDEX($A448:$T448,MATCH(Lists!$F$4,$A$1:$T$1,0)),9,2))))),""),IFERROR(IF(TRIM(INDEX($A448:$T448,MATCH(Lists!$F$5,$A$1:$T$1,0))&amp;"")="","",IF(ISNUMBER(INDEX($A448:$T448,MATCH(Lists!$F$5,$A$1:$T$1,0))),INT(INDEX($A448:$T448,MATCH(Lists!$F$5,$A$1:$T$1,0))),DATE(VALUE(LEFT(INDEX($A448:$T448,MATCH(Lists!$F$5,$A$1:$T$1,0)),4)),VALUE(MID(INDEX($A448:$T448,MATCH(Lists!$F$5,$A$1:$T$1,0)),6,2)),VALUE(MID(INDEX($A448:$T448,MATCH(Lists!$F$5,$A$1:$T$1,0)),9,2))))),"")))</f>
        <v/>
      </c>
      <c r="AB448" s="21">
        <f>IF(Y448="","",IF(LEFT(IFERROR(TRIM(INDEX($A448:$T448,MATCH(Lists!$F$6,$A$1:$T$1,0))&amp;""),""),2)="No","General comment",IF(IFERROR(TRIM(INDEX($A448:$T448,MATCH(Lists!$F$7,$A$1:$T$1,0))&amp;""),"")&lt;&gt;"",IFERROR(TRIM(INDEX($A448:$T448,MATCH(Lists!$F$7,$A$1:$T$1,0))&amp;""),""),IF(IFERROR(TRIM(INDEX($A448:$T448,MATCH(Lists!$F$8,$A$1:$T$1,0))&amp;""),"")&lt;&gt;"",IFERROR(TRIM(INDEX($A448:$T448,MATCH(Lists!$F$8,$A$1:$T$1,0))&amp;""),""),"(no item given)"))))</f>
        <v/>
      </c>
      <c r="AC448" s="21">
        <f>IF(Y448="","",IF(ISNUMBER(SEARCH("support",IFERROR(TRIM(INDEX($A448:$T448,MATCH(Lists!$F$9,$A$1:$T$1,0))&amp;""),""))),"Support",IF(ISNUMBER(SEARCH("oppose",IFERROR(TRIM(INDEX($A448:$T448,MATCH(Lists!$F$9,$A$1:$T$1,0))&amp;""),""))),"Oppose",IF(IFERROR(TRIM(INDEX($A448:$T448,MATCH(Lists!$F$9,$A$1:$T$1,0))&amp;""),"")="","No position","Neither"))))</f>
        <v/>
      </c>
      <c r="AD448" s="21">
        <f>IF(Y448="","",IF(ISNUMBER(SEARCH("in person",IFERROR(TRIM(INDEX($A448:$T448,MATCH(Lists!$F$13,$A$1:$T$1,0))&amp;""),""))),"In person",IF(ISNUMBER(SEARCH("online",IFERROR(TRIM(INDEX($A448:$T448,MATCH(Lists!$F$13,$A$1:$T$1,0))&amp;""),""))),"Online","Written only")))</f>
        <v/>
      </c>
      <c r="AE448" s="21">
        <f>IF(Y448="","",IFERROR(TRIM(INDEX($A448:$T448,MATCH(Lists!$F$11,$A$1:$T$1,0))&amp;""),""))</f>
        <v/>
      </c>
      <c r="AF448" s="21">
        <f>IF(Y448="","",IFERROR(TRIM(INDEX($A448:$T448,MATCH(Lists!$F$12,$A$1:$T$1,0))&amp;""),""))</f>
        <v/>
      </c>
      <c r="AG448" s="21">
        <f>IF(Y448="","",IFERROR(TRIM(INDEX($A448:$T448,MATCH(Lists!$F$14,$A$1:$T$1,0))&amp;""),""))</f>
        <v/>
      </c>
      <c r="AH448" s="21">
        <f>IF(Y448="","",LEFT(IFERROR(TRIM(INDEX($A448:$T448,MATCH(Lists!$F$10,$A$1:$T$1,0))&amp;""),""),80))</f>
        <v/>
      </c>
      <c r="AI448" s="21">
        <f>IF(Y448="",0,IF(OR(Tally!$B$5="",AA448=Tally!$B$5),1,0))</f>
        <v/>
      </c>
      <c r="AJ448" s="21">
        <f>IF(AI448=1,IF(COUNTIFS($AB$2:AB448,AB448,$AI$2:AI448,1)=1,1,0),0)</f>
        <v/>
      </c>
      <c r="AK448" s="21">
        <f>IF(AJ448=1,SUM($AJ$2:AJ448),"")</f>
        <v/>
      </c>
      <c r="AL448" s="21">
        <f>IF(AND(AI448=1,OR(AD448="In person",AD448="Online"),OR(Speakers!$B$5="",AB448=Speakers!$B$5)),N(Z448)+ROW()/1000000000,"")</f>
        <v/>
      </c>
    </row>
    <row r="449">
      <c r="U449" s="19" t="n"/>
      <c r="V449" s="24" t="n"/>
      <c r="W449" s="24" t="n"/>
      <c r="X449" s="19" t="n"/>
      <c r="Y449" s="21">
        <f>IFERROR(TRIM(INDEX($A449:$T449,MATCH(Lists!$F$2,$A$1:$T$1,0))&amp;""),"")</f>
        <v/>
      </c>
      <c r="Z449" s="22">
        <f>IF(Y449="","",IFERROR(IF(ISNUMBER(INDEX($A449:$T449,MATCH(Lists!$F$3,$A$1:$T$1,0))),INDEX($A449:$T449,MATCH(Lists!$F$3,$A$1:$T$1,0)),DATE(VALUE(LEFT(IFERROR(TRIM(INDEX($A449:$T449,MATCH(Lists!$F$3,$A$1:$T$1,0))&amp;""),""),4)),VALUE(MID(IFERROR(TRIM(INDEX($A449:$T449,MATCH(Lists!$F$3,$A$1:$T$1,0))&amp;""),""),6,2)),VALUE(MID(IFERROR(TRIM(INDEX($A449:$T449,MATCH(Lists!$F$3,$A$1:$T$1,0))&amp;""),""),9,2)))+TIME(VALUE(MID(IFERROR(TRIM(INDEX($A449:$T449,MATCH(Lists!$F$3,$A$1:$T$1,0))&amp;""),""),12,2)),VALUE(MID(IFERROR(TRIM(INDEX($A449:$T449,MATCH(Lists!$F$3,$A$1:$T$1,0))&amp;""),""),15,2)),VALUE(MID(IFERROR(TRIM(INDEX($A449:$T449,MATCH(Lists!$F$3,$A$1:$T$1,0))&amp;""),""),18,2)))),""))</f>
        <v/>
      </c>
      <c r="AA449" s="23">
        <f>IF(Y449="","",IF(ISNUMBER(IFERROR(IF(TRIM(INDEX($A449:$T449,MATCH(Lists!$F$4,$A$1:$T$1,0))&amp;"")="","",IF(ISNUMBER(INDEX($A449:$T449,MATCH(Lists!$F$4,$A$1:$T$1,0))),INT(INDEX($A449:$T449,MATCH(Lists!$F$4,$A$1:$T$1,0))),DATE(VALUE(LEFT(INDEX($A449:$T449,MATCH(Lists!$F$4,$A$1:$T$1,0)),4)),VALUE(MID(INDEX($A449:$T449,MATCH(Lists!$F$4,$A$1:$T$1,0)),6,2)),VALUE(MID(INDEX($A449:$T449,MATCH(Lists!$F$4,$A$1:$T$1,0)),9,2))))),"")),IFERROR(IF(TRIM(INDEX($A449:$T449,MATCH(Lists!$F$4,$A$1:$T$1,0))&amp;"")="","",IF(ISNUMBER(INDEX($A449:$T449,MATCH(Lists!$F$4,$A$1:$T$1,0))),INT(INDEX($A449:$T449,MATCH(Lists!$F$4,$A$1:$T$1,0))),DATE(VALUE(LEFT(INDEX($A449:$T449,MATCH(Lists!$F$4,$A$1:$T$1,0)),4)),VALUE(MID(INDEX($A449:$T449,MATCH(Lists!$F$4,$A$1:$T$1,0)),6,2)),VALUE(MID(INDEX($A449:$T449,MATCH(Lists!$F$4,$A$1:$T$1,0)),9,2))))),""),IFERROR(IF(TRIM(INDEX($A449:$T449,MATCH(Lists!$F$5,$A$1:$T$1,0))&amp;"")="","",IF(ISNUMBER(INDEX($A449:$T449,MATCH(Lists!$F$5,$A$1:$T$1,0))),INT(INDEX($A449:$T449,MATCH(Lists!$F$5,$A$1:$T$1,0))),DATE(VALUE(LEFT(INDEX($A449:$T449,MATCH(Lists!$F$5,$A$1:$T$1,0)),4)),VALUE(MID(INDEX($A449:$T449,MATCH(Lists!$F$5,$A$1:$T$1,0)),6,2)),VALUE(MID(INDEX($A449:$T449,MATCH(Lists!$F$5,$A$1:$T$1,0)),9,2))))),"")))</f>
        <v/>
      </c>
      <c r="AB449" s="21">
        <f>IF(Y449="","",IF(LEFT(IFERROR(TRIM(INDEX($A449:$T449,MATCH(Lists!$F$6,$A$1:$T$1,0))&amp;""),""),2)="No","General comment",IF(IFERROR(TRIM(INDEX($A449:$T449,MATCH(Lists!$F$7,$A$1:$T$1,0))&amp;""),"")&lt;&gt;"",IFERROR(TRIM(INDEX($A449:$T449,MATCH(Lists!$F$7,$A$1:$T$1,0))&amp;""),""),IF(IFERROR(TRIM(INDEX($A449:$T449,MATCH(Lists!$F$8,$A$1:$T$1,0))&amp;""),"")&lt;&gt;"",IFERROR(TRIM(INDEX($A449:$T449,MATCH(Lists!$F$8,$A$1:$T$1,0))&amp;""),""),"(no item given)"))))</f>
        <v/>
      </c>
      <c r="AC449" s="21">
        <f>IF(Y449="","",IF(ISNUMBER(SEARCH("support",IFERROR(TRIM(INDEX($A449:$T449,MATCH(Lists!$F$9,$A$1:$T$1,0))&amp;""),""))),"Support",IF(ISNUMBER(SEARCH("oppose",IFERROR(TRIM(INDEX($A449:$T449,MATCH(Lists!$F$9,$A$1:$T$1,0))&amp;""),""))),"Oppose",IF(IFERROR(TRIM(INDEX($A449:$T449,MATCH(Lists!$F$9,$A$1:$T$1,0))&amp;""),"")="","No position","Neither"))))</f>
        <v/>
      </c>
      <c r="AD449" s="21">
        <f>IF(Y449="","",IF(ISNUMBER(SEARCH("in person",IFERROR(TRIM(INDEX($A449:$T449,MATCH(Lists!$F$13,$A$1:$T$1,0))&amp;""),""))),"In person",IF(ISNUMBER(SEARCH("online",IFERROR(TRIM(INDEX($A449:$T449,MATCH(Lists!$F$13,$A$1:$T$1,0))&amp;""),""))),"Online","Written only")))</f>
        <v/>
      </c>
      <c r="AE449" s="21">
        <f>IF(Y449="","",IFERROR(TRIM(INDEX($A449:$T449,MATCH(Lists!$F$11,$A$1:$T$1,0))&amp;""),""))</f>
        <v/>
      </c>
      <c r="AF449" s="21">
        <f>IF(Y449="","",IFERROR(TRIM(INDEX($A449:$T449,MATCH(Lists!$F$12,$A$1:$T$1,0))&amp;""),""))</f>
        <v/>
      </c>
      <c r="AG449" s="21">
        <f>IF(Y449="","",IFERROR(TRIM(INDEX($A449:$T449,MATCH(Lists!$F$14,$A$1:$T$1,0))&amp;""),""))</f>
        <v/>
      </c>
      <c r="AH449" s="21">
        <f>IF(Y449="","",LEFT(IFERROR(TRIM(INDEX($A449:$T449,MATCH(Lists!$F$10,$A$1:$T$1,0))&amp;""),""),80))</f>
        <v/>
      </c>
      <c r="AI449" s="21">
        <f>IF(Y449="",0,IF(OR(Tally!$B$5="",AA449=Tally!$B$5),1,0))</f>
        <v/>
      </c>
      <c r="AJ449" s="21">
        <f>IF(AI449=1,IF(COUNTIFS($AB$2:AB449,AB449,$AI$2:AI449,1)=1,1,0),0)</f>
        <v/>
      </c>
      <c r="AK449" s="21">
        <f>IF(AJ449=1,SUM($AJ$2:AJ449),"")</f>
        <v/>
      </c>
      <c r="AL449" s="21">
        <f>IF(AND(AI449=1,OR(AD449="In person",AD449="Online"),OR(Speakers!$B$5="",AB449=Speakers!$B$5)),N(Z449)+ROW()/1000000000,"")</f>
        <v/>
      </c>
    </row>
    <row r="450">
      <c r="U450" s="19" t="n"/>
      <c r="V450" s="24" t="n"/>
      <c r="W450" s="24" t="n"/>
      <c r="X450" s="19" t="n"/>
      <c r="Y450" s="21">
        <f>IFERROR(TRIM(INDEX($A450:$T450,MATCH(Lists!$F$2,$A$1:$T$1,0))&amp;""),"")</f>
        <v/>
      </c>
      <c r="Z450" s="22">
        <f>IF(Y450="","",IFERROR(IF(ISNUMBER(INDEX($A450:$T450,MATCH(Lists!$F$3,$A$1:$T$1,0))),INDEX($A450:$T450,MATCH(Lists!$F$3,$A$1:$T$1,0)),DATE(VALUE(LEFT(IFERROR(TRIM(INDEX($A450:$T450,MATCH(Lists!$F$3,$A$1:$T$1,0))&amp;""),""),4)),VALUE(MID(IFERROR(TRIM(INDEX($A450:$T450,MATCH(Lists!$F$3,$A$1:$T$1,0))&amp;""),""),6,2)),VALUE(MID(IFERROR(TRIM(INDEX($A450:$T450,MATCH(Lists!$F$3,$A$1:$T$1,0))&amp;""),""),9,2)))+TIME(VALUE(MID(IFERROR(TRIM(INDEX($A450:$T450,MATCH(Lists!$F$3,$A$1:$T$1,0))&amp;""),""),12,2)),VALUE(MID(IFERROR(TRIM(INDEX($A450:$T450,MATCH(Lists!$F$3,$A$1:$T$1,0))&amp;""),""),15,2)),VALUE(MID(IFERROR(TRIM(INDEX($A450:$T450,MATCH(Lists!$F$3,$A$1:$T$1,0))&amp;""),""),18,2)))),""))</f>
        <v/>
      </c>
      <c r="AA450" s="23">
        <f>IF(Y450="","",IF(ISNUMBER(IFERROR(IF(TRIM(INDEX($A450:$T450,MATCH(Lists!$F$4,$A$1:$T$1,0))&amp;"")="","",IF(ISNUMBER(INDEX($A450:$T450,MATCH(Lists!$F$4,$A$1:$T$1,0))),INT(INDEX($A450:$T450,MATCH(Lists!$F$4,$A$1:$T$1,0))),DATE(VALUE(LEFT(INDEX($A450:$T450,MATCH(Lists!$F$4,$A$1:$T$1,0)),4)),VALUE(MID(INDEX($A450:$T450,MATCH(Lists!$F$4,$A$1:$T$1,0)),6,2)),VALUE(MID(INDEX($A450:$T450,MATCH(Lists!$F$4,$A$1:$T$1,0)),9,2))))),"")),IFERROR(IF(TRIM(INDEX($A450:$T450,MATCH(Lists!$F$4,$A$1:$T$1,0))&amp;"")="","",IF(ISNUMBER(INDEX($A450:$T450,MATCH(Lists!$F$4,$A$1:$T$1,0))),INT(INDEX($A450:$T450,MATCH(Lists!$F$4,$A$1:$T$1,0))),DATE(VALUE(LEFT(INDEX($A450:$T450,MATCH(Lists!$F$4,$A$1:$T$1,0)),4)),VALUE(MID(INDEX($A450:$T450,MATCH(Lists!$F$4,$A$1:$T$1,0)),6,2)),VALUE(MID(INDEX($A450:$T450,MATCH(Lists!$F$4,$A$1:$T$1,0)),9,2))))),""),IFERROR(IF(TRIM(INDEX($A450:$T450,MATCH(Lists!$F$5,$A$1:$T$1,0))&amp;"")="","",IF(ISNUMBER(INDEX($A450:$T450,MATCH(Lists!$F$5,$A$1:$T$1,0))),INT(INDEX($A450:$T450,MATCH(Lists!$F$5,$A$1:$T$1,0))),DATE(VALUE(LEFT(INDEX($A450:$T450,MATCH(Lists!$F$5,$A$1:$T$1,0)),4)),VALUE(MID(INDEX($A450:$T450,MATCH(Lists!$F$5,$A$1:$T$1,0)),6,2)),VALUE(MID(INDEX($A450:$T450,MATCH(Lists!$F$5,$A$1:$T$1,0)),9,2))))),"")))</f>
        <v/>
      </c>
      <c r="AB450" s="21">
        <f>IF(Y450="","",IF(LEFT(IFERROR(TRIM(INDEX($A450:$T450,MATCH(Lists!$F$6,$A$1:$T$1,0))&amp;""),""),2)="No","General comment",IF(IFERROR(TRIM(INDEX($A450:$T450,MATCH(Lists!$F$7,$A$1:$T$1,0))&amp;""),"")&lt;&gt;"",IFERROR(TRIM(INDEX($A450:$T450,MATCH(Lists!$F$7,$A$1:$T$1,0))&amp;""),""),IF(IFERROR(TRIM(INDEX($A450:$T450,MATCH(Lists!$F$8,$A$1:$T$1,0))&amp;""),"")&lt;&gt;"",IFERROR(TRIM(INDEX($A450:$T450,MATCH(Lists!$F$8,$A$1:$T$1,0))&amp;""),""),"(no item given)"))))</f>
        <v/>
      </c>
      <c r="AC450" s="21">
        <f>IF(Y450="","",IF(ISNUMBER(SEARCH("support",IFERROR(TRIM(INDEX($A450:$T450,MATCH(Lists!$F$9,$A$1:$T$1,0))&amp;""),""))),"Support",IF(ISNUMBER(SEARCH("oppose",IFERROR(TRIM(INDEX($A450:$T450,MATCH(Lists!$F$9,$A$1:$T$1,0))&amp;""),""))),"Oppose",IF(IFERROR(TRIM(INDEX($A450:$T450,MATCH(Lists!$F$9,$A$1:$T$1,0))&amp;""),"")="","No position","Neither"))))</f>
        <v/>
      </c>
      <c r="AD450" s="21">
        <f>IF(Y450="","",IF(ISNUMBER(SEARCH("in person",IFERROR(TRIM(INDEX($A450:$T450,MATCH(Lists!$F$13,$A$1:$T$1,0))&amp;""),""))),"In person",IF(ISNUMBER(SEARCH("online",IFERROR(TRIM(INDEX($A450:$T450,MATCH(Lists!$F$13,$A$1:$T$1,0))&amp;""),""))),"Online","Written only")))</f>
        <v/>
      </c>
      <c r="AE450" s="21">
        <f>IF(Y450="","",IFERROR(TRIM(INDEX($A450:$T450,MATCH(Lists!$F$11,$A$1:$T$1,0))&amp;""),""))</f>
        <v/>
      </c>
      <c r="AF450" s="21">
        <f>IF(Y450="","",IFERROR(TRIM(INDEX($A450:$T450,MATCH(Lists!$F$12,$A$1:$T$1,0))&amp;""),""))</f>
        <v/>
      </c>
      <c r="AG450" s="21">
        <f>IF(Y450="","",IFERROR(TRIM(INDEX($A450:$T450,MATCH(Lists!$F$14,$A$1:$T$1,0))&amp;""),""))</f>
        <v/>
      </c>
      <c r="AH450" s="21">
        <f>IF(Y450="","",LEFT(IFERROR(TRIM(INDEX($A450:$T450,MATCH(Lists!$F$10,$A$1:$T$1,0))&amp;""),""),80))</f>
        <v/>
      </c>
      <c r="AI450" s="21">
        <f>IF(Y450="",0,IF(OR(Tally!$B$5="",AA450=Tally!$B$5),1,0))</f>
        <v/>
      </c>
      <c r="AJ450" s="21">
        <f>IF(AI450=1,IF(COUNTIFS($AB$2:AB450,AB450,$AI$2:AI450,1)=1,1,0),0)</f>
        <v/>
      </c>
      <c r="AK450" s="21">
        <f>IF(AJ450=1,SUM($AJ$2:AJ450),"")</f>
        <v/>
      </c>
      <c r="AL450" s="21">
        <f>IF(AND(AI450=1,OR(AD450="In person",AD450="Online"),OR(Speakers!$B$5="",AB450=Speakers!$B$5)),N(Z450)+ROW()/1000000000,"")</f>
        <v/>
      </c>
    </row>
    <row r="451">
      <c r="U451" s="19" t="n"/>
      <c r="V451" s="24" t="n"/>
      <c r="W451" s="24" t="n"/>
      <c r="X451" s="19" t="n"/>
      <c r="Y451" s="21">
        <f>IFERROR(TRIM(INDEX($A451:$T451,MATCH(Lists!$F$2,$A$1:$T$1,0))&amp;""),"")</f>
        <v/>
      </c>
      <c r="Z451" s="22">
        <f>IF(Y451="","",IFERROR(IF(ISNUMBER(INDEX($A451:$T451,MATCH(Lists!$F$3,$A$1:$T$1,0))),INDEX($A451:$T451,MATCH(Lists!$F$3,$A$1:$T$1,0)),DATE(VALUE(LEFT(IFERROR(TRIM(INDEX($A451:$T451,MATCH(Lists!$F$3,$A$1:$T$1,0))&amp;""),""),4)),VALUE(MID(IFERROR(TRIM(INDEX($A451:$T451,MATCH(Lists!$F$3,$A$1:$T$1,0))&amp;""),""),6,2)),VALUE(MID(IFERROR(TRIM(INDEX($A451:$T451,MATCH(Lists!$F$3,$A$1:$T$1,0))&amp;""),""),9,2)))+TIME(VALUE(MID(IFERROR(TRIM(INDEX($A451:$T451,MATCH(Lists!$F$3,$A$1:$T$1,0))&amp;""),""),12,2)),VALUE(MID(IFERROR(TRIM(INDEX($A451:$T451,MATCH(Lists!$F$3,$A$1:$T$1,0))&amp;""),""),15,2)),VALUE(MID(IFERROR(TRIM(INDEX($A451:$T451,MATCH(Lists!$F$3,$A$1:$T$1,0))&amp;""),""),18,2)))),""))</f>
        <v/>
      </c>
      <c r="AA451" s="23">
        <f>IF(Y451="","",IF(ISNUMBER(IFERROR(IF(TRIM(INDEX($A451:$T451,MATCH(Lists!$F$4,$A$1:$T$1,0))&amp;"")="","",IF(ISNUMBER(INDEX($A451:$T451,MATCH(Lists!$F$4,$A$1:$T$1,0))),INT(INDEX($A451:$T451,MATCH(Lists!$F$4,$A$1:$T$1,0))),DATE(VALUE(LEFT(INDEX($A451:$T451,MATCH(Lists!$F$4,$A$1:$T$1,0)),4)),VALUE(MID(INDEX($A451:$T451,MATCH(Lists!$F$4,$A$1:$T$1,0)),6,2)),VALUE(MID(INDEX($A451:$T451,MATCH(Lists!$F$4,$A$1:$T$1,0)),9,2))))),"")),IFERROR(IF(TRIM(INDEX($A451:$T451,MATCH(Lists!$F$4,$A$1:$T$1,0))&amp;"")="","",IF(ISNUMBER(INDEX($A451:$T451,MATCH(Lists!$F$4,$A$1:$T$1,0))),INT(INDEX($A451:$T451,MATCH(Lists!$F$4,$A$1:$T$1,0))),DATE(VALUE(LEFT(INDEX($A451:$T451,MATCH(Lists!$F$4,$A$1:$T$1,0)),4)),VALUE(MID(INDEX($A451:$T451,MATCH(Lists!$F$4,$A$1:$T$1,0)),6,2)),VALUE(MID(INDEX($A451:$T451,MATCH(Lists!$F$4,$A$1:$T$1,0)),9,2))))),""),IFERROR(IF(TRIM(INDEX($A451:$T451,MATCH(Lists!$F$5,$A$1:$T$1,0))&amp;"")="","",IF(ISNUMBER(INDEX($A451:$T451,MATCH(Lists!$F$5,$A$1:$T$1,0))),INT(INDEX($A451:$T451,MATCH(Lists!$F$5,$A$1:$T$1,0))),DATE(VALUE(LEFT(INDEX($A451:$T451,MATCH(Lists!$F$5,$A$1:$T$1,0)),4)),VALUE(MID(INDEX($A451:$T451,MATCH(Lists!$F$5,$A$1:$T$1,0)),6,2)),VALUE(MID(INDEX($A451:$T451,MATCH(Lists!$F$5,$A$1:$T$1,0)),9,2))))),"")))</f>
        <v/>
      </c>
      <c r="AB451" s="21">
        <f>IF(Y451="","",IF(LEFT(IFERROR(TRIM(INDEX($A451:$T451,MATCH(Lists!$F$6,$A$1:$T$1,0))&amp;""),""),2)="No","General comment",IF(IFERROR(TRIM(INDEX($A451:$T451,MATCH(Lists!$F$7,$A$1:$T$1,0))&amp;""),"")&lt;&gt;"",IFERROR(TRIM(INDEX($A451:$T451,MATCH(Lists!$F$7,$A$1:$T$1,0))&amp;""),""),IF(IFERROR(TRIM(INDEX($A451:$T451,MATCH(Lists!$F$8,$A$1:$T$1,0))&amp;""),"")&lt;&gt;"",IFERROR(TRIM(INDEX($A451:$T451,MATCH(Lists!$F$8,$A$1:$T$1,0))&amp;""),""),"(no item given)"))))</f>
        <v/>
      </c>
      <c r="AC451" s="21">
        <f>IF(Y451="","",IF(ISNUMBER(SEARCH("support",IFERROR(TRIM(INDEX($A451:$T451,MATCH(Lists!$F$9,$A$1:$T$1,0))&amp;""),""))),"Support",IF(ISNUMBER(SEARCH("oppose",IFERROR(TRIM(INDEX($A451:$T451,MATCH(Lists!$F$9,$A$1:$T$1,0))&amp;""),""))),"Oppose",IF(IFERROR(TRIM(INDEX($A451:$T451,MATCH(Lists!$F$9,$A$1:$T$1,0))&amp;""),"")="","No position","Neither"))))</f>
        <v/>
      </c>
      <c r="AD451" s="21">
        <f>IF(Y451="","",IF(ISNUMBER(SEARCH("in person",IFERROR(TRIM(INDEX($A451:$T451,MATCH(Lists!$F$13,$A$1:$T$1,0))&amp;""),""))),"In person",IF(ISNUMBER(SEARCH("online",IFERROR(TRIM(INDEX($A451:$T451,MATCH(Lists!$F$13,$A$1:$T$1,0))&amp;""),""))),"Online","Written only")))</f>
        <v/>
      </c>
      <c r="AE451" s="21">
        <f>IF(Y451="","",IFERROR(TRIM(INDEX($A451:$T451,MATCH(Lists!$F$11,$A$1:$T$1,0))&amp;""),""))</f>
        <v/>
      </c>
      <c r="AF451" s="21">
        <f>IF(Y451="","",IFERROR(TRIM(INDEX($A451:$T451,MATCH(Lists!$F$12,$A$1:$T$1,0))&amp;""),""))</f>
        <v/>
      </c>
      <c r="AG451" s="21">
        <f>IF(Y451="","",IFERROR(TRIM(INDEX($A451:$T451,MATCH(Lists!$F$14,$A$1:$T$1,0))&amp;""),""))</f>
        <v/>
      </c>
      <c r="AH451" s="21">
        <f>IF(Y451="","",LEFT(IFERROR(TRIM(INDEX($A451:$T451,MATCH(Lists!$F$10,$A$1:$T$1,0))&amp;""),""),80))</f>
        <v/>
      </c>
      <c r="AI451" s="21">
        <f>IF(Y451="",0,IF(OR(Tally!$B$5="",AA451=Tally!$B$5),1,0))</f>
        <v/>
      </c>
      <c r="AJ451" s="21">
        <f>IF(AI451=1,IF(COUNTIFS($AB$2:AB451,AB451,$AI$2:AI451,1)=1,1,0),0)</f>
        <v/>
      </c>
      <c r="AK451" s="21">
        <f>IF(AJ451=1,SUM($AJ$2:AJ451),"")</f>
        <v/>
      </c>
      <c r="AL451" s="21">
        <f>IF(AND(AI451=1,OR(AD451="In person",AD451="Online"),OR(Speakers!$B$5="",AB451=Speakers!$B$5)),N(Z451)+ROW()/1000000000,"")</f>
        <v/>
      </c>
    </row>
    <row r="452">
      <c r="U452" s="19" t="n"/>
      <c r="V452" s="24" t="n"/>
      <c r="W452" s="24" t="n"/>
      <c r="X452" s="19" t="n"/>
      <c r="Y452" s="21">
        <f>IFERROR(TRIM(INDEX($A452:$T452,MATCH(Lists!$F$2,$A$1:$T$1,0))&amp;""),"")</f>
        <v/>
      </c>
      <c r="Z452" s="22">
        <f>IF(Y452="","",IFERROR(IF(ISNUMBER(INDEX($A452:$T452,MATCH(Lists!$F$3,$A$1:$T$1,0))),INDEX($A452:$T452,MATCH(Lists!$F$3,$A$1:$T$1,0)),DATE(VALUE(LEFT(IFERROR(TRIM(INDEX($A452:$T452,MATCH(Lists!$F$3,$A$1:$T$1,0))&amp;""),""),4)),VALUE(MID(IFERROR(TRIM(INDEX($A452:$T452,MATCH(Lists!$F$3,$A$1:$T$1,0))&amp;""),""),6,2)),VALUE(MID(IFERROR(TRIM(INDEX($A452:$T452,MATCH(Lists!$F$3,$A$1:$T$1,0))&amp;""),""),9,2)))+TIME(VALUE(MID(IFERROR(TRIM(INDEX($A452:$T452,MATCH(Lists!$F$3,$A$1:$T$1,0))&amp;""),""),12,2)),VALUE(MID(IFERROR(TRIM(INDEX($A452:$T452,MATCH(Lists!$F$3,$A$1:$T$1,0))&amp;""),""),15,2)),VALUE(MID(IFERROR(TRIM(INDEX($A452:$T452,MATCH(Lists!$F$3,$A$1:$T$1,0))&amp;""),""),18,2)))),""))</f>
        <v/>
      </c>
      <c r="AA452" s="23">
        <f>IF(Y452="","",IF(ISNUMBER(IFERROR(IF(TRIM(INDEX($A452:$T452,MATCH(Lists!$F$4,$A$1:$T$1,0))&amp;"")="","",IF(ISNUMBER(INDEX($A452:$T452,MATCH(Lists!$F$4,$A$1:$T$1,0))),INT(INDEX($A452:$T452,MATCH(Lists!$F$4,$A$1:$T$1,0))),DATE(VALUE(LEFT(INDEX($A452:$T452,MATCH(Lists!$F$4,$A$1:$T$1,0)),4)),VALUE(MID(INDEX($A452:$T452,MATCH(Lists!$F$4,$A$1:$T$1,0)),6,2)),VALUE(MID(INDEX($A452:$T452,MATCH(Lists!$F$4,$A$1:$T$1,0)),9,2))))),"")),IFERROR(IF(TRIM(INDEX($A452:$T452,MATCH(Lists!$F$4,$A$1:$T$1,0))&amp;"")="","",IF(ISNUMBER(INDEX($A452:$T452,MATCH(Lists!$F$4,$A$1:$T$1,0))),INT(INDEX($A452:$T452,MATCH(Lists!$F$4,$A$1:$T$1,0))),DATE(VALUE(LEFT(INDEX($A452:$T452,MATCH(Lists!$F$4,$A$1:$T$1,0)),4)),VALUE(MID(INDEX($A452:$T452,MATCH(Lists!$F$4,$A$1:$T$1,0)),6,2)),VALUE(MID(INDEX($A452:$T452,MATCH(Lists!$F$4,$A$1:$T$1,0)),9,2))))),""),IFERROR(IF(TRIM(INDEX($A452:$T452,MATCH(Lists!$F$5,$A$1:$T$1,0))&amp;"")="","",IF(ISNUMBER(INDEX($A452:$T452,MATCH(Lists!$F$5,$A$1:$T$1,0))),INT(INDEX($A452:$T452,MATCH(Lists!$F$5,$A$1:$T$1,0))),DATE(VALUE(LEFT(INDEX($A452:$T452,MATCH(Lists!$F$5,$A$1:$T$1,0)),4)),VALUE(MID(INDEX($A452:$T452,MATCH(Lists!$F$5,$A$1:$T$1,0)),6,2)),VALUE(MID(INDEX($A452:$T452,MATCH(Lists!$F$5,$A$1:$T$1,0)),9,2))))),"")))</f>
        <v/>
      </c>
      <c r="AB452" s="21">
        <f>IF(Y452="","",IF(LEFT(IFERROR(TRIM(INDEX($A452:$T452,MATCH(Lists!$F$6,$A$1:$T$1,0))&amp;""),""),2)="No","General comment",IF(IFERROR(TRIM(INDEX($A452:$T452,MATCH(Lists!$F$7,$A$1:$T$1,0))&amp;""),"")&lt;&gt;"",IFERROR(TRIM(INDEX($A452:$T452,MATCH(Lists!$F$7,$A$1:$T$1,0))&amp;""),""),IF(IFERROR(TRIM(INDEX($A452:$T452,MATCH(Lists!$F$8,$A$1:$T$1,0))&amp;""),"")&lt;&gt;"",IFERROR(TRIM(INDEX($A452:$T452,MATCH(Lists!$F$8,$A$1:$T$1,0))&amp;""),""),"(no item given)"))))</f>
        <v/>
      </c>
      <c r="AC452" s="21">
        <f>IF(Y452="","",IF(ISNUMBER(SEARCH("support",IFERROR(TRIM(INDEX($A452:$T452,MATCH(Lists!$F$9,$A$1:$T$1,0))&amp;""),""))),"Support",IF(ISNUMBER(SEARCH("oppose",IFERROR(TRIM(INDEX($A452:$T452,MATCH(Lists!$F$9,$A$1:$T$1,0))&amp;""),""))),"Oppose",IF(IFERROR(TRIM(INDEX($A452:$T452,MATCH(Lists!$F$9,$A$1:$T$1,0))&amp;""),"")="","No position","Neither"))))</f>
        <v/>
      </c>
      <c r="AD452" s="21">
        <f>IF(Y452="","",IF(ISNUMBER(SEARCH("in person",IFERROR(TRIM(INDEX($A452:$T452,MATCH(Lists!$F$13,$A$1:$T$1,0))&amp;""),""))),"In person",IF(ISNUMBER(SEARCH("online",IFERROR(TRIM(INDEX($A452:$T452,MATCH(Lists!$F$13,$A$1:$T$1,0))&amp;""),""))),"Online","Written only")))</f>
        <v/>
      </c>
      <c r="AE452" s="21">
        <f>IF(Y452="","",IFERROR(TRIM(INDEX($A452:$T452,MATCH(Lists!$F$11,$A$1:$T$1,0))&amp;""),""))</f>
        <v/>
      </c>
      <c r="AF452" s="21">
        <f>IF(Y452="","",IFERROR(TRIM(INDEX($A452:$T452,MATCH(Lists!$F$12,$A$1:$T$1,0))&amp;""),""))</f>
        <v/>
      </c>
      <c r="AG452" s="21">
        <f>IF(Y452="","",IFERROR(TRIM(INDEX($A452:$T452,MATCH(Lists!$F$14,$A$1:$T$1,0))&amp;""),""))</f>
        <v/>
      </c>
      <c r="AH452" s="21">
        <f>IF(Y452="","",LEFT(IFERROR(TRIM(INDEX($A452:$T452,MATCH(Lists!$F$10,$A$1:$T$1,0))&amp;""),""),80))</f>
        <v/>
      </c>
      <c r="AI452" s="21">
        <f>IF(Y452="",0,IF(OR(Tally!$B$5="",AA452=Tally!$B$5),1,0))</f>
        <v/>
      </c>
      <c r="AJ452" s="21">
        <f>IF(AI452=1,IF(COUNTIFS($AB$2:AB452,AB452,$AI$2:AI452,1)=1,1,0),0)</f>
        <v/>
      </c>
      <c r="AK452" s="21">
        <f>IF(AJ452=1,SUM($AJ$2:AJ452),"")</f>
        <v/>
      </c>
      <c r="AL452" s="21">
        <f>IF(AND(AI452=1,OR(AD452="In person",AD452="Online"),OR(Speakers!$B$5="",AB452=Speakers!$B$5)),N(Z452)+ROW()/1000000000,"")</f>
        <v/>
      </c>
    </row>
    <row r="453">
      <c r="U453" s="19" t="n"/>
      <c r="V453" s="24" t="n"/>
      <c r="W453" s="24" t="n"/>
      <c r="X453" s="19" t="n"/>
      <c r="Y453" s="21">
        <f>IFERROR(TRIM(INDEX($A453:$T453,MATCH(Lists!$F$2,$A$1:$T$1,0))&amp;""),"")</f>
        <v/>
      </c>
      <c r="Z453" s="22">
        <f>IF(Y453="","",IFERROR(IF(ISNUMBER(INDEX($A453:$T453,MATCH(Lists!$F$3,$A$1:$T$1,0))),INDEX($A453:$T453,MATCH(Lists!$F$3,$A$1:$T$1,0)),DATE(VALUE(LEFT(IFERROR(TRIM(INDEX($A453:$T453,MATCH(Lists!$F$3,$A$1:$T$1,0))&amp;""),""),4)),VALUE(MID(IFERROR(TRIM(INDEX($A453:$T453,MATCH(Lists!$F$3,$A$1:$T$1,0))&amp;""),""),6,2)),VALUE(MID(IFERROR(TRIM(INDEX($A453:$T453,MATCH(Lists!$F$3,$A$1:$T$1,0))&amp;""),""),9,2)))+TIME(VALUE(MID(IFERROR(TRIM(INDEX($A453:$T453,MATCH(Lists!$F$3,$A$1:$T$1,0))&amp;""),""),12,2)),VALUE(MID(IFERROR(TRIM(INDEX($A453:$T453,MATCH(Lists!$F$3,$A$1:$T$1,0))&amp;""),""),15,2)),VALUE(MID(IFERROR(TRIM(INDEX($A453:$T453,MATCH(Lists!$F$3,$A$1:$T$1,0))&amp;""),""),18,2)))),""))</f>
        <v/>
      </c>
      <c r="AA453" s="23">
        <f>IF(Y453="","",IF(ISNUMBER(IFERROR(IF(TRIM(INDEX($A453:$T453,MATCH(Lists!$F$4,$A$1:$T$1,0))&amp;"")="","",IF(ISNUMBER(INDEX($A453:$T453,MATCH(Lists!$F$4,$A$1:$T$1,0))),INT(INDEX($A453:$T453,MATCH(Lists!$F$4,$A$1:$T$1,0))),DATE(VALUE(LEFT(INDEX($A453:$T453,MATCH(Lists!$F$4,$A$1:$T$1,0)),4)),VALUE(MID(INDEX($A453:$T453,MATCH(Lists!$F$4,$A$1:$T$1,0)),6,2)),VALUE(MID(INDEX($A453:$T453,MATCH(Lists!$F$4,$A$1:$T$1,0)),9,2))))),"")),IFERROR(IF(TRIM(INDEX($A453:$T453,MATCH(Lists!$F$4,$A$1:$T$1,0))&amp;"")="","",IF(ISNUMBER(INDEX($A453:$T453,MATCH(Lists!$F$4,$A$1:$T$1,0))),INT(INDEX($A453:$T453,MATCH(Lists!$F$4,$A$1:$T$1,0))),DATE(VALUE(LEFT(INDEX($A453:$T453,MATCH(Lists!$F$4,$A$1:$T$1,0)),4)),VALUE(MID(INDEX($A453:$T453,MATCH(Lists!$F$4,$A$1:$T$1,0)),6,2)),VALUE(MID(INDEX($A453:$T453,MATCH(Lists!$F$4,$A$1:$T$1,0)),9,2))))),""),IFERROR(IF(TRIM(INDEX($A453:$T453,MATCH(Lists!$F$5,$A$1:$T$1,0))&amp;"")="","",IF(ISNUMBER(INDEX($A453:$T453,MATCH(Lists!$F$5,$A$1:$T$1,0))),INT(INDEX($A453:$T453,MATCH(Lists!$F$5,$A$1:$T$1,0))),DATE(VALUE(LEFT(INDEX($A453:$T453,MATCH(Lists!$F$5,$A$1:$T$1,0)),4)),VALUE(MID(INDEX($A453:$T453,MATCH(Lists!$F$5,$A$1:$T$1,0)),6,2)),VALUE(MID(INDEX($A453:$T453,MATCH(Lists!$F$5,$A$1:$T$1,0)),9,2))))),"")))</f>
        <v/>
      </c>
      <c r="AB453" s="21">
        <f>IF(Y453="","",IF(LEFT(IFERROR(TRIM(INDEX($A453:$T453,MATCH(Lists!$F$6,$A$1:$T$1,0))&amp;""),""),2)="No","General comment",IF(IFERROR(TRIM(INDEX($A453:$T453,MATCH(Lists!$F$7,$A$1:$T$1,0))&amp;""),"")&lt;&gt;"",IFERROR(TRIM(INDEX($A453:$T453,MATCH(Lists!$F$7,$A$1:$T$1,0))&amp;""),""),IF(IFERROR(TRIM(INDEX($A453:$T453,MATCH(Lists!$F$8,$A$1:$T$1,0))&amp;""),"")&lt;&gt;"",IFERROR(TRIM(INDEX($A453:$T453,MATCH(Lists!$F$8,$A$1:$T$1,0))&amp;""),""),"(no item given)"))))</f>
        <v/>
      </c>
      <c r="AC453" s="21">
        <f>IF(Y453="","",IF(ISNUMBER(SEARCH("support",IFERROR(TRIM(INDEX($A453:$T453,MATCH(Lists!$F$9,$A$1:$T$1,0))&amp;""),""))),"Support",IF(ISNUMBER(SEARCH("oppose",IFERROR(TRIM(INDEX($A453:$T453,MATCH(Lists!$F$9,$A$1:$T$1,0))&amp;""),""))),"Oppose",IF(IFERROR(TRIM(INDEX($A453:$T453,MATCH(Lists!$F$9,$A$1:$T$1,0))&amp;""),"")="","No position","Neither"))))</f>
        <v/>
      </c>
      <c r="AD453" s="21">
        <f>IF(Y453="","",IF(ISNUMBER(SEARCH("in person",IFERROR(TRIM(INDEX($A453:$T453,MATCH(Lists!$F$13,$A$1:$T$1,0))&amp;""),""))),"In person",IF(ISNUMBER(SEARCH("online",IFERROR(TRIM(INDEX($A453:$T453,MATCH(Lists!$F$13,$A$1:$T$1,0))&amp;""),""))),"Online","Written only")))</f>
        <v/>
      </c>
      <c r="AE453" s="21">
        <f>IF(Y453="","",IFERROR(TRIM(INDEX($A453:$T453,MATCH(Lists!$F$11,$A$1:$T$1,0))&amp;""),""))</f>
        <v/>
      </c>
      <c r="AF453" s="21">
        <f>IF(Y453="","",IFERROR(TRIM(INDEX($A453:$T453,MATCH(Lists!$F$12,$A$1:$T$1,0))&amp;""),""))</f>
        <v/>
      </c>
      <c r="AG453" s="21">
        <f>IF(Y453="","",IFERROR(TRIM(INDEX($A453:$T453,MATCH(Lists!$F$14,$A$1:$T$1,0))&amp;""),""))</f>
        <v/>
      </c>
      <c r="AH453" s="21">
        <f>IF(Y453="","",LEFT(IFERROR(TRIM(INDEX($A453:$T453,MATCH(Lists!$F$10,$A$1:$T$1,0))&amp;""),""),80))</f>
        <v/>
      </c>
      <c r="AI453" s="21">
        <f>IF(Y453="",0,IF(OR(Tally!$B$5="",AA453=Tally!$B$5),1,0))</f>
        <v/>
      </c>
      <c r="AJ453" s="21">
        <f>IF(AI453=1,IF(COUNTIFS($AB$2:AB453,AB453,$AI$2:AI453,1)=1,1,0),0)</f>
        <v/>
      </c>
      <c r="AK453" s="21">
        <f>IF(AJ453=1,SUM($AJ$2:AJ453),"")</f>
        <v/>
      </c>
      <c r="AL453" s="21">
        <f>IF(AND(AI453=1,OR(AD453="In person",AD453="Online"),OR(Speakers!$B$5="",AB453=Speakers!$B$5)),N(Z453)+ROW()/1000000000,"")</f>
        <v/>
      </c>
    </row>
    <row r="454">
      <c r="U454" s="19" t="n"/>
      <c r="V454" s="24" t="n"/>
      <c r="W454" s="24" t="n"/>
      <c r="X454" s="19" t="n"/>
      <c r="Y454" s="21">
        <f>IFERROR(TRIM(INDEX($A454:$T454,MATCH(Lists!$F$2,$A$1:$T$1,0))&amp;""),"")</f>
        <v/>
      </c>
      <c r="Z454" s="22">
        <f>IF(Y454="","",IFERROR(IF(ISNUMBER(INDEX($A454:$T454,MATCH(Lists!$F$3,$A$1:$T$1,0))),INDEX($A454:$T454,MATCH(Lists!$F$3,$A$1:$T$1,0)),DATE(VALUE(LEFT(IFERROR(TRIM(INDEX($A454:$T454,MATCH(Lists!$F$3,$A$1:$T$1,0))&amp;""),""),4)),VALUE(MID(IFERROR(TRIM(INDEX($A454:$T454,MATCH(Lists!$F$3,$A$1:$T$1,0))&amp;""),""),6,2)),VALUE(MID(IFERROR(TRIM(INDEX($A454:$T454,MATCH(Lists!$F$3,$A$1:$T$1,0))&amp;""),""),9,2)))+TIME(VALUE(MID(IFERROR(TRIM(INDEX($A454:$T454,MATCH(Lists!$F$3,$A$1:$T$1,0))&amp;""),""),12,2)),VALUE(MID(IFERROR(TRIM(INDEX($A454:$T454,MATCH(Lists!$F$3,$A$1:$T$1,0))&amp;""),""),15,2)),VALUE(MID(IFERROR(TRIM(INDEX($A454:$T454,MATCH(Lists!$F$3,$A$1:$T$1,0))&amp;""),""),18,2)))),""))</f>
        <v/>
      </c>
      <c r="AA454" s="23">
        <f>IF(Y454="","",IF(ISNUMBER(IFERROR(IF(TRIM(INDEX($A454:$T454,MATCH(Lists!$F$4,$A$1:$T$1,0))&amp;"")="","",IF(ISNUMBER(INDEX($A454:$T454,MATCH(Lists!$F$4,$A$1:$T$1,0))),INT(INDEX($A454:$T454,MATCH(Lists!$F$4,$A$1:$T$1,0))),DATE(VALUE(LEFT(INDEX($A454:$T454,MATCH(Lists!$F$4,$A$1:$T$1,0)),4)),VALUE(MID(INDEX($A454:$T454,MATCH(Lists!$F$4,$A$1:$T$1,0)),6,2)),VALUE(MID(INDEX($A454:$T454,MATCH(Lists!$F$4,$A$1:$T$1,0)),9,2))))),"")),IFERROR(IF(TRIM(INDEX($A454:$T454,MATCH(Lists!$F$4,$A$1:$T$1,0))&amp;"")="","",IF(ISNUMBER(INDEX($A454:$T454,MATCH(Lists!$F$4,$A$1:$T$1,0))),INT(INDEX($A454:$T454,MATCH(Lists!$F$4,$A$1:$T$1,0))),DATE(VALUE(LEFT(INDEX($A454:$T454,MATCH(Lists!$F$4,$A$1:$T$1,0)),4)),VALUE(MID(INDEX($A454:$T454,MATCH(Lists!$F$4,$A$1:$T$1,0)),6,2)),VALUE(MID(INDEX($A454:$T454,MATCH(Lists!$F$4,$A$1:$T$1,0)),9,2))))),""),IFERROR(IF(TRIM(INDEX($A454:$T454,MATCH(Lists!$F$5,$A$1:$T$1,0))&amp;"")="","",IF(ISNUMBER(INDEX($A454:$T454,MATCH(Lists!$F$5,$A$1:$T$1,0))),INT(INDEX($A454:$T454,MATCH(Lists!$F$5,$A$1:$T$1,0))),DATE(VALUE(LEFT(INDEX($A454:$T454,MATCH(Lists!$F$5,$A$1:$T$1,0)),4)),VALUE(MID(INDEX($A454:$T454,MATCH(Lists!$F$5,$A$1:$T$1,0)),6,2)),VALUE(MID(INDEX($A454:$T454,MATCH(Lists!$F$5,$A$1:$T$1,0)),9,2))))),"")))</f>
        <v/>
      </c>
      <c r="AB454" s="21">
        <f>IF(Y454="","",IF(LEFT(IFERROR(TRIM(INDEX($A454:$T454,MATCH(Lists!$F$6,$A$1:$T$1,0))&amp;""),""),2)="No","General comment",IF(IFERROR(TRIM(INDEX($A454:$T454,MATCH(Lists!$F$7,$A$1:$T$1,0))&amp;""),"")&lt;&gt;"",IFERROR(TRIM(INDEX($A454:$T454,MATCH(Lists!$F$7,$A$1:$T$1,0))&amp;""),""),IF(IFERROR(TRIM(INDEX($A454:$T454,MATCH(Lists!$F$8,$A$1:$T$1,0))&amp;""),"")&lt;&gt;"",IFERROR(TRIM(INDEX($A454:$T454,MATCH(Lists!$F$8,$A$1:$T$1,0))&amp;""),""),"(no item given)"))))</f>
        <v/>
      </c>
      <c r="AC454" s="21">
        <f>IF(Y454="","",IF(ISNUMBER(SEARCH("support",IFERROR(TRIM(INDEX($A454:$T454,MATCH(Lists!$F$9,$A$1:$T$1,0))&amp;""),""))),"Support",IF(ISNUMBER(SEARCH("oppose",IFERROR(TRIM(INDEX($A454:$T454,MATCH(Lists!$F$9,$A$1:$T$1,0))&amp;""),""))),"Oppose",IF(IFERROR(TRIM(INDEX($A454:$T454,MATCH(Lists!$F$9,$A$1:$T$1,0))&amp;""),"")="","No position","Neither"))))</f>
        <v/>
      </c>
      <c r="AD454" s="21">
        <f>IF(Y454="","",IF(ISNUMBER(SEARCH("in person",IFERROR(TRIM(INDEX($A454:$T454,MATCH(Lists!$F$13,$A$1:$T$1,0))&amp;""),""))),"In person",IF(ISNUMBER(SEARCH("online",IFERROR(TRIM(INDEX($A454:$T454,MATCH(Lists!$F$13,$A$1:$T$1,0))&amp;""),""))),"Online","Written only")))</f>
        <v/>
      </c>
      <c r="AE454" s="21">
        <f>IF(Y454="","",IFERROR(TRIM(INDEX($A454:$T454,MATCH(Lists!$F$11,$A$1:$T$1,0))&amp;""),""))</f>
        <v/>
      </c>
      <c r="AF454" s="21">
        <f>IF(Y454="","",IFERROR(TRIM(INDEX($A454:$T454,MATCH(Lists!$F$12,$A$1:$T$1,0))&amp;""),""))</f>
        <v/>
      </c>
      <c r="AG454" s="21">
        <f>IF(Y454="","",IFERROR(TRIM(INDEX($A454:$T454,MATCH(Lists!$F$14,$A$1:$T$1,0))&amp;""),""))</f>
        <v/>
      </c>
      <c r="AH454" s="21">
        <f>IF(Y454="","",LEFT(IFERROR(TRIM(INDEX($A454:$T454,MATCH(Lists!$F$10,$A$1:$T$1,0))&amp;""),""),80))</f>
        <v/>
      </c>
      <c r="AI454" s="21">
        <f>IF(Y454="",0,IF(OR(Tally!$B$5="",AA454=Tally!$B$5),1,0))</f>
        <v/>
      </c>
      <c r="AJ454" s="21">
        <f>IF(AI454=1,IF(COUNTIFS($AB$2:AB454,AB454,$AI$2:AI454,1)=1,1,0),0)</f>
        <v/>
      </c>
      <c r="AK454" s="21">
        <f>IF(AJ454=1,SUM($AJ$2:AJ454),"")</f>
        <v/>
      </c>
      <c r="AL454" s="21">
        <f>IF(AND(AI454=1,OR(AD454="In person",AD454="Online"),OR(Speakers!$B$5="",AB454=Speakers!$B$5)),N(Z454)+ROW()/1000000000,"")</f>
        <v/>
      </c>
    </row>
    <row r="455">
      <c r="U455" s="19" t="n"/>
      <c r="V455" s="24" t="n"/>
      <c r="W455" s="24" t="n"/>
      <c r="X455" s="19" t="n"/>
      <c r="Y455" s="21">
        <f>IFERROR(TRIM(INDEX($A455:$T455,MATCH(Lists!$F$2,$A$1:$T$1,0))&amp;""),"")</f>
        <v/>
      </c>
      <c r="Z455" s="22">
        <f>IF(Y455="","",IFERROR(IF(ISNUMBER(INDEX($A455:$T455,MATCH(Lists!$F$3,$A$1:$T$1,0))),INDEX($A455:$T455,MATCH(Lists!$F$3,$A$1:$T$1,0)),DATE(VALUE(LEFT(IFERROR(TRIM(INDEX($A455:$T455,MATCH(Lists!$F$3,$A$1:$T$1,0))&amp;""),""),4)),VALUE(MID(IFERROR(TRIM(INDEX($A455:$T455,MATCH(Lists!$F$3,$A$1:$T$1,0))&amp;""),""),6,2)),VALUE(MID(IFERROR(TRIM(INDEX($A455:$T455,MATCH(Lists!$F$3,$A$1:$T$1,0))&amp;""),""),9,2)))+TIME(VALUE(MID(IFERROR(TRIM(INDEX($A455:$T455,MATCH(Lists!$F$3,$A$1:$T$1,0))&amp;""),""),12,2)),VALUE(MID(IFERROR(TRIM(INDEX($A455:$T455,MATCH(Lists!$F$3,$A$1:$T$1,0))&amp;""),""),15,2)),VALUE(MID(IFERROR(TRIM(INDEX($A455:$T455,MATCH(Lists!$F$3,$A$1:$T$1,0))&amp;""),""),18,2)))),""))</f>
        <v/>
      </c>
      <c r="AA455" s="23">
        <f>IF(Y455="","",IF(ISNUMBER(IFERROR(IF(TRIM(INDEX($A455:$T455,MATCH(Lists!$F$4,$A$1:$T$1,0))&amp;"")="","",IF(ISNUMBER(INDEX($A455:$T455,MATCH(Lists!$F$4,$A$1:$T$1,0))),INT(INDEX($A455:$T455,MATCH(Lists!$F$4,$A$1:$T$1,0))),DATE(VALUE(LEFT(INDEX($A455:$T455,MATCH(Lists!$F$4,$A$1:$T$1,0)),4)),VALUE(MID(INDEX($A455:$T455,MATCH(Lists!$F$4,$A$1:$T$1,0)),6,2)),VALUE(MID(INDEX($A455:$T455,MATCH(Lists!$F$4,$A$1:$T$1,0)),9,2))))),"")),IFERROR(IF(TRIM(INDEX($A455:$T455,MATCH(Lists!$F$4,$A$1:$T$1,0))&amp;"")="","",IF(ISNUMBER(INDEX($A455:$T455,MATCH(Lists!$F$4,$A$1:$T$1,0))),INT(INDEX($A455:$T455,MATCH(Lists!$F$4,$A$1:$T$1,0))),DATE(VALUE(LEFT(INDEX($A455:$T455,MATCH(Lists!$F$4,$A$1:$T$1,0)),4)),VALUE(MID(INDEX($A455:$T455,MATCH(Lists!$F$4,$A$1:$T$1,0)),6,2)),VALUE(MID(INDEX($A455:$T455,MATCH(Lists!$F$4,$A$1:$T$1,0)),9,2))))),""),IFERROR(IF(TRIM(INDEX($A455:$T455,MATCH(Lists!$F$5,$A$1:$T$1,0))&amp;"")="","",IF(ISNUMBER(INDEX($A455:$T455,MATCH(Lists!$F$5,$A$1:$T$1,0))),INT(INDEX($A455:$T455,MATCH(Lists!$F$5,$A$1:$T$1,0))),DATE(VALUE(LEFT(INDEX($A455:$T455,MATCH(Lists!$F$5,$A$1:$T$1,0)),4)),VALUE(MID(INDEX($A455:$T455,MATCH(Lists!$F$5,$A$1:$T$1,0)),6,2)),VALUE(MID(INDEX($A455:$T455,MATCH(Lists!$F$5,$A$1:$T$1,0)),9,2))))),"")))</f>
        <v/>
      </c>
      <c r="AB455" s="21">
        <f>IF(Y455="","",IF(LEFT(IFERROR(TRIM(INDEX($A455:$T455,MATCH(Lists!$F$6,$A$1:$T$1,0))&amp;""),""),2)="No","General comment",IF(IFERROR(TRIM(INDEX($A455:$T455,MATCH(Lists!$F$7,$A$1:$T$1,0))&amp;""),"")&lt;&gt;"",IFERROR(TRIM(INDEX($A455:$T455,MATCH(Lists!$F$7,$A$1:$T$1,0))&amp;""),""),IF(IFERROR(TRIM(INDEX($A455:$T455,MATCH(Lists!$F$8,$A$1:$T$1,0))&amp;""),"")&lt;&gt;"",IFERROR(TRIM(INDEX($A455:$T455,MATCH(Lists!$F$8,$A$1:$T$1,0))&amp;""),""),"(no item given)"))))</f>
        <v/>
      </c>
      <c r="AC455" s="21">
        <f>IF(Y455="","",IF(ISNUMBER(SEARCH("support",IFERROR(TRIM(INDEX($A455:$T455,MATCH(Lists!$F$9,$A$1:$T$1,0))&amp;""),""))),"Support",IF(ISNUMBER(SEARCH("oppose",IFERROR(TRIM(INDEX($A455:$T455,MATCH(Lists!$F$9,$A$1:$T$1,0))&amp;""),""))),"Oppose",IF(IFERROR(TRIM(INDEX($A455:$T455,MATCH(Lists!$F$9,$A$1:$T$1,0))&amp;""),"")="","No position","Neither"))))</f>
        <v/>
      </c>
      <c r="AD455" s="21">
        <f>IF(Y455="","",IF(ISNUMBER(SEARCH("in person",IFERROR(TRIM(INDEX($A455:$T455,MATCH(Lists!$F$13,$A$1:$T$1,0))&amp;""),""))),"In person",IF(ISNUMBER(SEARCH("online",IFERROR(TRIM(INDEX($A455:$T455,MATCH(Lists!$F$13,$A$1:$T$1,0))&amp;""),""))),"Online","Written only")))</f>
        <v/>
      </c>
      <c r="AE455" s="21">
        <f>IF(Y455="","",IFERROR(TRIM(INDEX($A455:$T455,MATCH(Lists!$F$11,$A$1:$T$1,0))&amp;""),""))</f>
        <v/>
      </c>
      <c r="AF455" s="21">
        <f>IF(Y455="","",IFERROR(TRIM(INDEX($A455:$T455,MATCH(Lists!$F$12,$A$1:$T$1,0))&amp;""),""))</f>
        <v/>
      </c>
      <c r="AG455" s="21">
        <f>IF(Y455="","",IFERROR(TRIM(INDEX($A455:$T455,MATCH(Lists!$F$14,$A$1:$T$1,0))&amp;""),""))</f>
        <v/>
      </c>
      <c r="AH455" s="21">
        <f>IF(Y455="","",LEFT(IFERROR(TRIM(INDEX($A455:$T455,MATCH(Lists!$F$10,$A$1:$T$1,0))&amp;""),""),80))</f>
        <v/>
      </c>
      <c r="AI455" s="21">
        <f>IF(Y455="",0,IF(OR(Tally!$B$5="",AA455=Tally!$B$5),1,0))</f>
        <v/>
      </c>
      <c r="AJ455" s="21">
        <f>IF(AI455=1,IF(COUNTIFS($AB$2:AB455,AB455,$AI$2:AI455,1)=1,1,0),0)</f>
        <v/>
      </c>
      <c r="AK455" s="21">
        <f>IF(AJ455=1,SUM($AJ$2:AJ455),"")</f>
        <v/>
      </c>
      <c r="AL455" s="21">
        <f>IF(AND(AI455=1,OR(AD455="In person",AD455="Online"),OR(Speakers!$B$5="",AB455=Speakers!$B$5)),N(Z455)+ROW()/1000000000,"")</f>
        <v/>
      </c>
    </row>
    <row r="456">
      <c r="U456" s="19" t="n"/>
      <c r="V456" s="24" t="n"/>
      <c r="W456" s="24" t="n"/>
      <c r="X456" s="19" t="n"/>
      <c r="Y456" s="21">
        <f>IFERROR(TRIM(INDEX($A456:$T456,MATCH(Lists!$F$2,$A$1:$T$1,0))&amp;""),"")</f>
        <v/>
      </c>
      <c r="Z456" s="22">
        <f>IF(Y456="","",IFERROR(IF(ISNUMBER(INDEX($A456:$T456,MATCH(Lists!$F$3,$A$1:$T$1,0))),INDEX($A456:$T456,MATCH(Lists!$F$3,$A$1:$T$1,0)),DATE(VALUE(LEFT(IFERROR(TRIM(INDEX($A456:$T456,MATCH(Lists!$F$3,$A$1:$T$1,0))&amp;""),""),4)),VALUE(MID(IFERROR(TRIM(INDEX($A456:$T456,MATCH(Lists!$F$3,$A$1:$T$1,0))&amp;""),""),6,2)),VALUE(MID(IFERROR(TRIM(INDEX($A456:$T456,MATCH(Lists!$F$3,$A$1:$T$1,0))&amp;""),""),9,2)))+TIME(VALUE(MID(IFERROR(TRIM(INDEX($A456:$T456,MATCH(Lists!$F$3,$A$1:$T$1,0))&amp;""),""),12,2)),VALUE(MID(IFERROR(TRIM(INDEX($A456:$T456,MATCH(Lists!$F$3,$A$1:$T$1,0))&amp;""),""),15,2)),VALUE(MID(IFERROR(TRIM(INDEX($A456:$T456,MATCH(Lists!$F$3,$A$1:$T$1,0))&amp;""),""),18,2)))),""))</f>
        <v/>
      </c>
      <c r="AA456" s="23">
        <f>IF(Y456="","",IF(ISNUMBER(IFERROR(IF(TRIM(INDEX($A456:$T456,MATCH(Lists!$F$4,$A$1:$T$1,0))&amp;"")="","",IF(ISNUMBER(INDEX($A456:$T456,MATCH(Lists!$F$4,$A$1:$T$1,0))),INT(INDEX($A456:$T456,MATCH(Lists!$F$4,$A$1:$T$1,0))),DATE(VALUE(LEFT(INDEX($A456:$T456,MATCH(Lists!$F$4,$A$1:$T$1,0)),4)),VALUE(MID(INDEX($A456:$T456,MATCH(Lists!$F$4,$A$1:$T$1,0)),6,2)),VALUE(MID(INDEX($A456:$T456,MATCH(Lists!$F$4,$A$1:$T$1,0)),9,2))))),"")),IFERROR(IF(TRIM(INDEX($A456:$T456,MATCH(Lists!$F$4,$A$1:$T$1,0))&amp;"")="","",IF(ISNUMBER(INDEX($A456:$T456,MATCH(Lists!$F$4,$A$1:$T$1,0))),INT(INDEX($A456:$T456,MATCH(Lists!$F$4,$A$1:$T$1,0))),DATE(VALUE(LEFT(INDEX($A456:$T456,MATCH(Lists!$F$4,$A$1:$T$1,0)),4)),VALUE(MID(INDEX($A456:$T456,MATCH(Lists!$F$4,$A$1:$T$1,0)),6,2)),VALUE(MID(INDEX($A456:$T456,MATCH(Lists!$F$4,$A$1:$T$1,0)),9,2))))),""),IFERROR(IF(TRIM(INDEX($A456:$T456,MATCH(Lists!$F$5,$A$1:$T$1,0))&amp;"")="","",IF(ISNUMBER(INDEX($A456:$T456,MATCH(Lists!$F$5,$A$1:$T$1,0))),INT(INDEX($A456:$T456,MATCH(Lists!$F$5,$A$1:$T$1,0))),DATE(VALUE(LEFT(INDEX($A456:$T456,MATCH(Lists!$F$5,$A$1:$T$1,0)),4)),VALUE(MID(INDEX($A456:$T456,MATCH(Lists!$F$5,$A$1:$T$1,0)),6,2)),VALUE(MID(INDEX($A456:$T456,MATCH(Lists!$F$5,$A$1:$T$1,0)),9,2))))),"")))</f>
        <v/>
      </c>
      <c r="AB456" s="21">
        <f>IF(Y456="","",IF(LEFT(IFERROR(TRIM(INDEX($A456:$T456,MATCH(Lists!$F$6,$A$1:$T$1,0))&amp;""),""),2)="No","General comment",IF(IFERROR(TRIM(INDEX($A456:$T456,MATCH(Lists!$F$7,$A$1:$T$1,0))&amp;""),"")&lt;&gt;"",IFERROR(TRIM(INDEX($A456:$T456,MATCH(Lists!$F$7,$A$1:$T$1,0))&amp;""),""),IF(IFERROR(TRIM(INDEX($A456:$T456,MATCH(Lists!$F$8,$A$1:$T$1,0))&amp;""),"")&lt;&gt;"",IFERROR(TRIM(INDEX($A456:$T456,MATCH(Lists!$F$8,$A$1:$T$1,0))&amp;""),""),"(no item given)"))))</f>
        <v/>
      </c>
      <c r="AC456" s="21">
        <f>IF(Y456="","",IF(ISNUMBER(SEARCH("support",IFERROR(TRIM(INDEX($A456:$T456,MATCH(Lists!$F$9,$A$1:$T$1,0))&amp;""),""))),"Support",IF(ISNUMBER(SEARCH("oppose",IFERROR(TRIM(INDEX($A456:$T456,MATCH(Lists!$F$9,$A$1:$T$1,0))&amp;""),""))),"Oppose",IF(IFERROR(TRIM(INDEX($A456:$T456,MATCH(Lists!$F$9,$A$1:$T$1,0))&amp;""),"")="","No position","Neither"))))</f>
        <v/>
      </c>
      <c r="AD456" s="21">
        <f>IF(Y456="","",IF(ISNUMBER(SEARCH("in person",IFERROR(TRIM(INDEX($A456:$T456,MATCH(Lists!$F$13,$A$1:$T$1,0))&amp;""),""))),"In person",IF(ISNUMBER(SEARCH("online",IFERROR(TRIM(INDEX($A456:$T456,MATCH(Lists!$F$13,$A$1:$T$1,0))&amp;""),""))),"Online","Written only")))</f>
        <v/>
      </c>
      <c r="AE456" s="21">
        <f>IF(Y456="","",IFERROR(TRIM(INDEX($A456:$T456,MATCH(Lists!$F$11,$A$1:$T$1,0))&amp;""),""))</f>
        <v/>
      </c>
      <c r="AF456" s="21">
        <f>IF(Y456="","",IFERROR(TRIM(INDEX($A456:$T456,MATCH(Lists!$F$12,$A$1:$T$1,0))&amp;""),""))</f>
        <v/>
      </c>
      <c r="AG456" s="21">
        <f>IF(Y456="","",IFERROR(TRIM(INDEX($A456:$T456,MATCH(Lists!$F$14,$A$1:$T$1,0))&amp;""),""))</f>
        <v/>
      </c>
      <c r="AH456" s="21">
        <f>IF(Y456="","",LEFT(IFERROR(TRIM(INDEX($A456:$T456,MATCH(Lists!$F$10,$A$1:$T$1,0))&amp;""),""),80))</f>
        <v/>
      </c>
      <c r="AI456" s="21">
        <f>IF(Y456="",0,IF(OR(Tally!$B$5="",AA456=Tally!$B$5),1,0))</f>
        <v/>
      </c>
      <c r="AJ456" s="21">
        <f>IF(AI456=1,IF(COUNTIFS($AB$2:AB456,AB456,$AI$2:AI456,1)=1,1,0),0)</f>
        <v/>
      </c>
      <c r="AK456" s="21">
        <f>IF(AJ456=1,SUM($AJ$2:AJ456),"")</f>
        <v/>
      </c>
      <c r="AL456" s="21">
        <f>IF(AND(AI456=1,OR(AD456="In person",AD456="Online"),OR(Speakers!$B$5="",AB456=Speakers!$B$5)),N(Z456)+ROW()/1000000000,"")</f>
        <v/>
      </c>
    </row>
    <row r="457">
      <c r="U457" s="19" t="n"/>
      <c r="V457" s="24" t="n"/>
      <c r="W457" s="24" t="n"/>
      <c r="X457" s="19" t="n"/>
      <c r="Y457" s="21">
        <f>IFERROR(TRIM(INDEX($A457:$T457,MATCH(Lists!$F$2,$A$1:$T$1,0))&amp;""),"")</f>
        <v/>
      </c>
      <c r="Z457" s="22">
        <f>IF(Y457="","",IFERROR(IF(ISNUMBER(INDEX($A457:$T457,MATCH(Lists!$F$3,$A$1:$T$1,0))),INDEX($A457:$T457,MATCH(Lists!$F$3,$A$1:$T$1,0)),DATE(VALUE(LEFT(IFERROR(TRIM(INDEX($A457:$T457,MATCH(Lists!$F$3,$A$1:$T$1,0))&amp;""),""),4)),VALUE(MID(IFERROR(TRIM(INDEX($A457:$T457,MATCH(Lists!$F$3,$A$1:$T$1,0))&amp;""),""),6,2)),VALUE(MID(IFERROR(TRIM(INDEX($A457:$T457,MATCH(Lists!$F$3,$A$1:$T$1,0))&amp;""),""),9,2)))+TIME(VALUE(MID(IFERROR(TRIM(INDEX($A457:$T457,MATCH(Lists!$F$3,$A$1:$T$1,0))&amp;""),""),12,2)),VALUE(MID(IFERROR(TRIM(INDEX($A457:$T457,MATCH(Lists!$F$3,$A$1:$T$1,0))&amp;""),""),15,2)),VALUE(MID(IFERROR(TRIM(INDEX($A457:$T457,MATCH(Lists!$F$3,$A$1:$T$1,0))&amp;""),""),18,2)))),""))</f>
        <v/>
      </c>
      <c r="AA457" s="23">
        <f>IF(Y457="","",IF(ISNUMBER(IFERROR(IF(TRIM(INDEX($A457:$T457,MATCH(Lists!$F$4,$A$1:$T$1,0))&amp;"")="","",IF(ISNUMBER(INDEX($A457:$T457,MATCH(Lists!$F$4,$A$1:$T$1,0))),INT(INDEX($A457:$T457,MATCH(Lists!$F$4,$A$1:$T$1,0))),DATE(VALUE(LEFT(INDEX($A457:$T457,MATCH(Lists!$F$4,$A$1:$T$1,0)),4)),VALUE(MID(INDEX($A457:$T457,MATCH(Lists!$F$4,$A$1:$T$1,0)),6,2)),VALUE(MID(INDEX($A457:$T457,MATCH(Lists!$F$4,$A$1:$T$1,0)),9,2))))),"")),IFERROR(IF(TRIM(INDEX($A457:$T457,MATCH(Lists!$F$4,$A$1:$T$1,0))&amp;"")="","",IF(ISNUMBER(INDEX($A457:$T457,MATCH(Lists!$F$4,$A$1:$T$1,0))),INT(INDEX($A457:$T457,MATCH(Lists!$F$4,$A$1:$T$1,0))),DATE(VALUE(LEFT(INDEX($A457:$T457,MATCH(Lists!$F$4,$A$1:$T$1,0)),4)),VALUE(MID(INDEX($A457:$T457,MATCH(Lists!$F$4,$A$1:$T$1,0)),6,2)),VALUE(MID(INDEX($A457:$T457,MATCH(Lists!$F$4,$A$1:$T$1,0)),9,2))))),""),IFERROR(IF(TRIM(INDEX($A457:$T457,MATCH(Lists!$F$5,$A$1:$T$1,0))&amp;"")="","",IF(ISNUMBER(INDEX($A457:$T457,MATCH(Lists!$F$5,$A$1:$T$1,0))),INT(INDEX($A457:$T457,MATCH(Lists!$F$5,$A$1:$T$1,0))),DATE(VALUE(LEFT(INDEX($A457:$T457,MATCH(Lists!$F$5,$A$1:$T$1,0)),4)),VALUE(MID(INDEX($A457:$T457,MATCH(Lists!$F$5,$A$1:$T$1,0)),6,2)),VALUE(MID(INDEX($A457:$T457,MATCH(Lists!$F$5,$A$1:$T$1,0)),9,2))))),"")))</f>
        <v/>
      </c>
      <c r="AB457" s="21">
        <f>IF(Y457="","",IF(LEFT(IFERROR(TRIM(INDEX($A457:$T457,MATCH(Lists!$F$6,$A$1:$T$1,0))&amp;""),""),2)="No","General comment",IF(IFERROR(TRIM(INDEX($A457:$T457,MATCH(Lists!$F$7,$A$1:$T$1,0))&amp;""),"")&lt;&gt;"",IFERROR(TRIM(INDEX($A457:$T457,MATCH(Lists!$F$7,$A$1:$T$1,0))&amp;""),""),IF(IFERROR(TRIM(INDEX($A457:$T457,MATCH(Lists!$F$8,$A$1:$T$1,0))&amp;""),"")&lt;&gt;"",IFERROR(TRIM(INDEX($A457:$T457,MATCH(Lists!$F$8,$A$1:$T$1,0))&amp;""),""),"(no item given)"))))</f>
        <v/>
      </c>
      <c r="AC457" s="21">
        <f>IF(Y457="","",IF(ISNUMBER(SEARCH("support",IFERROR(TRIM(INDEX($A457:$T457,MATCH(Lists!$F$9,$A$1:$T$1,0))&amp;""),""))),"Support",IF(ISNUMBER(SEARCH("oppose",IFERROR(TRIM(INDEX($A457:$T457,MATCH(Lists!$F$9,$A$1:$T$1,0))&amp;""),""))),"Oppose",IF(IFERROR(TRIM(INDEX($A457:$T457,MATCH(Lists!$F$9,$A$1:$T$1,0))&amp;""),"")="","No position","Neither"))))</f>
        <v/>
      </c>
      <c r="AD457" s="21">
        <f>IF(Y457="","",IF(ISNUMBER(SEARCH("in person",IFERROR(TRIM(INDEX($A457:$T457,MATCH(Lists!$F$13,$A$1:$T$1,0))&amp;""),""))),"In person",IF(ISNUMBER(SEARCH("online",IFERROR(TRIM(INDEX($A457:$T457,MATCH(Lists!$F$13,$A$1:$T$1,0))&amp;""),""))),"Online","Written only")))</f>
        <v/>
      </c>
      <c r="AE457" s="21">
        <f>IF(Y457="","",IFERROR(TRIM(INDEX($A457:$T457,MATCH(Lists!$F$11,$A$1:$T$1,0))&amp;""),""))</f>
        <v/>
      </c>
      <c r="AF457" s="21">
        <f>IF(Y457="","",IFERROR(TRIM(INDEX($A457:$T457,MATCH(Lists!$F$12,$A$1:$T$1,0))&amp;""),""))</f>
        <v/>
      </c>
      <c r="AG457" s="21">
        <f>IF(Y457="","",IFERROR(TRIM(INDEX($A457:$T457,MATCH(Lists!$F$14,$A$1:$T$1,0))&amp;""),""))</f>
        <v/>
      </c>
      <c r="AH457" s="21">
        <f>IF(Y457="","",LEFT(IFERROR(TRIM(INDEX($A457:$T457,MATCH(Lists!$F$10,$A$1:$T$1,0))&amp;""),""),80))</f>
        <v/>
      </c>
      <c r="AI457" s="21">
        <f>IF(Y457="",0,IF(OR(Tally!$B$5="",AA457=Tally!$B$5),1,0))</f>
        <v/>
      </c>
      <c r="AJ457" s="21">
        <f>IF(AI457=1,IF(COUNTIFS($AB$2:AB457,AB457,$AI$2:AI457,1)=1,1,0),0)</f>
        <v/>
      </c>
      <c r="AK457" s="21">
        <f>IF(AJ457=1,SUM($AJ$2:AJ457),"")</f>
        <v/>
      </c>
      <c r="AL457" s="21">
        <f>IF(AND(AI457=1,OR(AD457="In person",AD457="Online"),OR(Speakers!$B$5="",AB457=Speakers!$B$5)),N(Z457)+ROW()/1000000000,"")</f>
        <v/>
      </c>
    </row>
    <row r="458">
      <c r="U458" s="19" t="n"/>
      <c r="V458" s="24" t="n"/>
      <c r="W458" s="24" t="n"/>
      <c r="X458" s="19" t="n"/>
      <c r="Y458" s="21">
        <f>IFERROR(TRIM(INDEX($A458:$T458,MATCH(Lists!$F$2,$A$1:$T$1,0))&amp;""),"")</f>
        <v/>
      </c>
      <c r="Z458" s="22">
        <f>IF(Y458="","",IFERROR(IF(ISNUMBER(INDEX($A458:$T458,MATCH(Lists!$F$3,$A$1:$T$1,0))),INDEX($A458:$T458,MATCH(Lists!$F$3,$A$1:$T$1,0)),DATE(VALUE(LEFT(IFERROR(TRIM(INDEX($A458:$T458,MATCH(Lists!$F$3,$A$1:$T$1,0))&amp;""),""),4)),VALUE(MID(IFERROR(TRIM(INDEX($A458:$T458,MATCH(Lists!$F$3,$A$1:$T$1,0))&amp;""),""),6,2)),VALUE(MID(IFERROR(TRIM(INDEX($A458:$T458,MATCH(Lists!$F$3,$A$1:$T$1,0))&amp;""),""),9,2)))+TIME(VALUE(MID(IFERROR(TRIM(INDEX($A458:$T458,MATCH(Lists!$F$3,$A$1:$T$1,0))&amp;""),""),12,2)),VALUE(MID(IFERROR(TRIM(INDEX($A458:$T458,MATCH(Lists!$F$3,$A$1:$T$1,0))&amp;""),""),15,2)),VALUE(MID(IFERROR(TRIM(INDEX($A458:$T458,MATCH(Lists!$F$3,$A$1:$T$1,0))&amp;""),""),18,2)))),""))</f>
        <v/>
      </c>
      <c r="AA458" s="23">
        <f>IF(Y458="","",IF(ISNUMBER(IFERROR(IF(TRIM(INDEX($A458:$T458,MATCH(Lists!$F$4,$A$1:$T$1,0))&amp;"")="","",IF(ISNUMBER(INDEX($A458:$T458,MATCH(Lists!$F$4,$A$1:$T$1,0))),INT(INDEX($A458:$T458,MATCH(Lists!$F$4,$A$1:$T$1,0))),DATE(VALUE(LEFT(INDEX($A458:$T458,MATCH(Lists!$F$4,$A$1:$T$1,0)),4)),VALUE(MID(INDEX($A458:$T458,MATCH(Lists!$F$4,$A$1:$T$1,0)),6,2)),VALUE(MID(INDEX($A458:$T458,MATCH(Lists!$F$4,$A$1:$T$1,0)),9,2))))),"")),IFERROR(IF(TRIM(INDEX($A458:$T458,MATCH(Lists!$F$4,$A$1:$T$1,0))&amp;"")="","",IF(ISNUMBER(INDEX($A458:$T458,MATCH(Lists!$F$4,$A$1:$T$1,0))),INT(INDEX($A458:$T458,MATCH(Lists!$F$4,$A$1:$T$1,0))),DATE(VALUE(LEFT(INDEX($A458:$T458,MATCH(Lists!$F$4,$A$1:$T$1,0)),4)),VALUE(MID(INDEX($A458:$T458,MATCH(Lists!$F$4,$A$1:$T$1,0)),6,2)),VALUE(MID(INDEX($A458:$T458,MATCH(Lists!$F$4,$A$1:$T$1,0)),9,2))))),""),IFERROR(IF(TRIM(INDEX($A458:$T458,MATCH(Lists!$F$5,$A$1:$T$1,0))&amp;"")="","",IF(ISNUMBER(INDEX($A458:$T458,MATCH(Lists!$F$5,$A$1:$T$1,0))),INT(INDEX($A458:$T458,MATCH(Lists!$F$5,$A$1:$T$1,0))),DATE(VALUE(LEFT(INDEX($A458:$T458,MATCH(Lists!$F$5,$A$1:$T$1,0)),4)),VALUE(MID(INDEX($A458:$T458,MATCH(Lists!$F$5,$A$1:$T$1,0)),6,2)),VALUE(MID(INDEX($A458:$T458,MATCH(Lists!$F$5,$A$1:$T$1,0)),9,2))))),"")))</f>
        <v/>
      </c>
      <c r="AB458" s="21">
        <f>IF(Y458="","",IF(LEFT(IFERROR(TRIM(INDEX($A458:$T458,MATCH(Lists!$F$6,$A$1:$T$1,0))&amp;""),""),2)="No","General comment",IF(IFERROR(TRIM(INDEX($A458:$T458,MATCH(Lists!$F$7,$A$1:$T$1,0))&amp;""),"")&lt;&gt;"",IFERROR(TRIM(INDEX($A458:$T458,MATCH(Lists!$F$7,$A$1:$T$1,0))&amp;""),""),IF(IFERROR(TRIM(INDEX($A458:$T458,MATCH(Lists!$F$8,$A$1:$T$1,0))&amp;""),"")&lt;&gt;"",IFERROR(TRIM(INDEX($A458:$T458,MATCH(Lists!$F$8,$A$1:$T$1,0))&amp;""),""),"(no item given)"))))</f>
        <v/>
      </c>
      <c r="AC458" s="21">
        <f>IF(Y458="","",IF(ISNUMBER(SEARCH("support",IFERROR(TRIM(INDEX($A458:$T458,MATCH(Lists!$F$9,$A$1:$T$1,0))&amp;""),""))),"Support",IF(ISNUMBER(SEARCH("oppose",IFERROR(TRIM(INDEX($A458:$T458,MATCH(Lists!$F$9,$A$1:$T$1,0))&amp;""),""))),"Oppose",IF(IFERROR(TRIM(INDEX($A458:$T458,MATCH(Lists!$F$9,$A$1:$T$1,0))&amp;""),"")="","No position","Neither"))))</f>
        <v/>
      </c>
      <c r="AD458" s="21">
        <f>IF(Y458="","",IF(ISNUMBER(SEARCH("in person",IFERROR(TRIM(INDEX($A458:$T458,MATCH(Lists!$F$13,$A$1:$T$1,0))&amp;""),""))),"In person",IF(ISNUMBER(SEARCH("online",IFERROR(TRIM(INDEX($A458:$T458,MATCH(Lists!$F$13,$A$1:$T$1,0))&amp;""),""))),"Online","Written only")))</f>
        <v/>
      </c>
      <c r="AE458" s="21">
        <f>IF(Y458="","",IFERROR(TRIM(INDEX($A458:$T458,MATCH(Lists!$F$11,$A$1:$T$1,0))&amp;""),""))</f>
        <v/>
      </c>
      <c r="AF458" s="21">
        <f>IF(Y458="","",IFERROR(TRIM(INDEX($A458:$T458,MATCH(Lists!$F$12,$A$1:$T$1,0))&amp;""),""))</f>
        <v/>
      </c>
      <c r="AG458" s="21">
        <f>IF(Y458="","",IFERROR(TRIM(INDEX($A458:$T458,MATCH(Lists!$F$14,$A$1:$T$1,0))&amp;""),""))</f>
        <v/>
      </c>
      <c r="AH458" s="21">
        <f>IF(Y458="","",LEFT(IFERROR(TRIM(INDEX($A458:$T458,MATCH(Lists!$F$10,$A$1:$T$1,0))&amp;""),""),80))</f>
        <v/>
      </c>
      <c r="AI458" s="21">
        <f>IF(Y458="",0,IF(OR(Tally!$B$5="",AA458=Tally!$B$5),1,0))</f>
        <v/>
      </c>
      <c r="AJ458" s="21">
        <f>IF(AI458=1,IF(COUNTIFS($AB$2:AB458,AB458,$AI$2:AI458,1)=1,1,0),0)</f>
        <v/>
      </c>
      <c r="AK458" s="21">
        <f>IF(AJ458=1,SUM($AJ$2:AJ458),"")</f>
        <v/>
      </c>
      <c r="AL458" s="21">
        <f>IF(AND(AI458=1,OR(AD458="In person",AD458="Online"),OR(Speakers!$B$5="",AB458=Speakers!$B$5)),N(Z458)+ROW()/1000000000,"")</f>
        <v/>
      </c>
    </row>
    <row r="459">
      <c r="U459" s="19" t="n"/>
      <c r="V459" s="24" t="n"/>
      <c r="W459" s="24" t="n"/>
      <c r="X459" s="19" t="n"/>
      <c r="Y459" s="21">
        <f>IFERROR(TRIM(INDEX($A459:$T459,MATCH(Lists!$F$2,$A$1:$T$1,0))&amp;""),"")</f>
        <v/>
      </c>
      <c r="Z459" s="22">
        <f>IF(Y459="","",IFERROR(IF(ISNUMBER(INDEX($A459:$T459,MATCH(Lists!$F$3,$A$1:$T$1,0))),INDEX($A459:$T459,MATCH(Lists!$F$3,$A$1:$T$1,0)),DATE(VALUE(LEFT(IFERROR(TRIM(INDEX($A459:$T459,MATCH(Lists!$F$3,$A$1:$T$1,0))&amp;""),""),4)),VALUE(MID(IFERROR(TRIM(INDEX($A459:$T459,MATCH(Lists!$F$3,$A$1:$T$1,0))&amp;""),""),6,2)),VALUE(MID(IFERROR(TRIM(INDEX($A459:$T459,MATCH(Lists!$F$3,$A$1:$T$1,0))&amp;""),""),9,2)))+TIME(VALUE(MID(IFERROR(TRIM(INDEX($A459:$T459,MATCH(Lists!$F$3,$A$1:$T$1,0))&amp;""),""),12,2)),VALUE(MID(IFERROR(TRIM(INDEX($A459:$T459,MATCH(Lists!$F$3,$A$1:$T$1,0))&amp;""),""),15,2)),VALUE(MID(IFERROR(TRIM(INDEX($A459:$T459,MATCH(Lists!$F$3,$A$1:$T$1,0))&amp;""),""),18,2)))),""))</f>
        <v/>
      </c>
      <c r="AA459" s="23">
        <f>IF(Y459="","",IF(ISNUMBER(IFERROR(IF(TRIM(INDEX($A459:$T459,MATCH(Lists!$F$4,$A$1:$T$1,0))&amp;"")="","",IF(ISNUMBER(INDEX($A459:$T459,MATCH(Lists!$F$4,$A$1:$T$1,0))),INT(INDEX($A459:$T459,MATCH(Lists!$F$4,$A$1:$T$1,0))),DATE(VALUE(LEFT(INDEX($A459:$T459,MATCH(Lists!$F$4,$A$1:$T$1,0)),4)),VALUE(MID(INDEX($A459:$T459,MATCH(Lists!$F$4,$A$1:$T$1,0)),6,2)),VALUE(MID(INDEX($A459:$T459,MATCH(Lists!$F$4,$A$1:$T$1,0)),9,2))))),"")),IFERROR(IF(TRIM(INDEX($A459:$T459,MATCH(Lists!$F$4,$A$1:$T$1,0))&amp;"")="","",IF(ISNUMBER(INDEX($A459:$T459,MATCH(Lists!$F$4,$A$1:$T$1,0))),INT(INDEX($A459:$T459,MATCH(Lists!$F$4,$A$1:$T$1,0))),DATE(VALUE(LEFT(INDEX($A459:$T459,MATCH(Lists!$F$4,$A$1:$T$1,0)),4)),VALUE(MID(INDEX($A459:$T459,MATCH(Lists!$F$4,$A$1:$T$1,0)),6,2)),VALUE(MID(INDEX($A459:$T459,MATCH(Lists!$F$4,$A$1:$T$1,0)),9,2))))),""),IFERROR(IF(TRIM(INDEX($A459:$T459,MATCH(Lists!$F$5,$A$1:$T$1,0))&amp;"")="","",IF(ISNUMBER(INDEX($A459:$T459,MATCH(Lists!$F$5,$A$1:$T$1,0))),INT(INDEX($A459:$T459,MATCH(Lists!$F$5,$A$1:$T$1,0))),DATE(VALUE(LEFT(INDEX($A459:$T459,MATCH(Lists!$F$5,$A$1:$T$1,0)),4)),VALUE(MID(INDEX($A459:$T459,MATCH(Lists!$F$5,$A$1:$T$1,0)),6,2)),VALUE(MID(INDEX($A459:$T459,MATCH(Lists!$F$5,$A$1:$T$1,0)),9,2))))),"")))</f>
        <v/>
      </c>
      <c r="AB459" s="21">
        <f>IF(Y459="","",IF(LEFT(IFERROR(TRIM(INDEX($A459:$T459,MATCH(Lists!$F$6,$A$1:$T$1,0))&amp;""),""),2)="No","General comment",IF(IFERROR(TRIM(INDEX($A459:$T459,MATCH(Lists!$F$7,$A$1:$T$1,0))&amp;""),"")&lt;&gt;"",IFERROR(TRIM(INDEX($A459:$T459,MATCH(Lists!$F$7,$A$1:$T$1,0))&amp;""),""),IF(IFERROR(TRIM(INDEX($A459:$T459,MATCH(Lists!$F$8,$A$1:$T$1,0))&amp;""),"")&lt;&gt;"",IFERROR(TRIM(INDEX($A459:$T459,MATCH(Lists!$F$8,$A$1:$T$1,0))&amp;""),""),"(no item given)"))))</f>
        <v/>
      </c>
      <c r="AC459" s="21">
        <f>IF(Y459="","",IF(ISNUMBER(SEARCH("support",IFERROR(TRIM(INDEX($A459:$T459,MATCH(Lists!$F$9,$A$1:$T$1,0))&amp;""),""))),"Support",IF(ISNUMBER(SEARCH("oppose",IFERROR(TRIM(INDEX($A459:$T459,MATCH(Lists!$F$9,$A$1:$T$1,0))&amp;""),""))),"Oppose",IF(IFERROR(TRIM(INDEX($A459:$T459,MATCH(Lists!$F$9,$A$1:$T$1,0))&amp;""),"")="","No position","Neither"))))</f>
        <v/>
      </c>
      <c r="AD459" s="21">
        <f>IF(Y459="","",IF(ISNUMBER(SEARCH("in person",IFERROR(TRIM(INDEX($A459:$T459,MATCH(Lists!$F$13,$A$1:$T$1,0))&amp;""),""))),"In person",IF(ISNUMBER(SEARCH("online",IFERROR(TRIM(INDEX($A459:$T459,MATCH(Lists!$F$13,$A$1:$T$1,0))&amp;""),""))),"Online","Written only")))</f>
        <v/>
      </c>
      <c r="AE459" s="21">
        <f>IF(Y459="","",IFERROR(TRIM(INDEX($A459:$T459,MATCH(Lists!$F$11,$A$1:$T$1,0))&amp;""),""))</f>
        <v/>
      </c>
      <c r="AF459" s="21">
        <f>IF(Y459="","",IFERROR(TRIM(INDEX($A459:$T459,MATCH(Lists!$F$12,$A$1:$T$1,0))&amp;""),""))</f>
        <v/>
      </c>
      <c r="AG459" s="21">
        <f>IF(Y459="","",IFERROR(TRIM(INDEX($A459:$T459,MATCH(Lists!$F$14,$A$1:$T$1,0))&amp;""),""))</f>
        <v/>
      </c>
      <c r="AH459" s="21">
        <f>IF(Y459="","",LEFT(IFERROR(TRIM(INDEX($A459:$T459,MATCH(Lists!$F$10,$A$1:$T$1,0))&amp;""),""),80))</f>
        <v/>
      </c>
      <c r="AI459" s="21">
        <f>IF(Y459="",0,IF(OR(Tally!$B$5="",AA459=Tally!$B$5),1,0))</f>
        <v/>
      </c>
      <c r="AJ459" s="21">
        <f>IF(AI459=1,IF(COUNTIFS($AB$2:AB459,AB459,$AI$2:AI459,1)=1,1,0),0)</f>
        <v/>
      </c>
      <c r="AK459" s="21">
        <f>IF(AJ459=1,SUM($AJ$2:AJ459),"")</f>
        <v/>
      </c>
      <c r="AL459" s="21">
        <f>IF(AND(AI459=1,OR(AD459="In person",AD459="Online"),OR(Speakers!$B$5="",AB459=Speakers!$B$5)),N(Z459)+ROW()/1000000000,"")</f>
        <v/>
      </c>
    </row>
    <row r="460">
      <c r="U460" s="19" t="n"/>
      <c r="V460" s="24" t="n"/>
      <c r="W460" s="24" t="n"/>
      <c r="X460" s="19" t="n"/>
      <c r="Y460" s="21">
        <f>IFERROR(TRIM(INDEX($A460:$T460,MATCH(Lists!$F$2,$A$1:$T$1,0))&amp;""),"")</f>
        <v/>
      </c>
      <c r="Z460" s="22">
        <f>IF(Y460="","",IFERROR(IF(ISNUMBER(INDEX($A460:$T460,MATCH(Lists!$F$3,$A$1:$T$1,0))),INDEX($A460:$T460,MATCH(Lists!$F$3,$A$1:$T$1,0)),DATE(VALUE(LEFT(IFERROR(TRIM(INDEX($A460:$T460,MATCH(Lists!$F$3,$A$1:$T$1,0))&amp;""),""),4)),VALUE(MID(IFERROR(TRIM(INDEX($A460:$T460,MATCH(Lists!$F$3,$A$1:$T$1,0))&amp;""),""),6,2)),VALUE(MID(IFERROR(TRIM(INDEX($A460:$T460,MATCH(Lists!$F$3,$A$1:$T$1,0))&amp;""),""),9,2)))+TIME(VALUE(MID(IFERROR(TRIM(INDEX($A460:$T460,MATCH(Lists!$F$3,$A$1:$T$1,0))&amp;""),""),12,2)),VALUE(MID(IFERROR(TRIM(INDEX($A460:$T460,MATCH(Lists!$F$3,$A$1:$T$1,0))&amp;""),""),15,2)),VALUE(MID(IFERROR(TRIM(INDEX($A460:$T460,MATCH(Lists!$F$3,$A$1:$T$1,0))&amp;""),""),18,2)))),""))</f>
        <v/>
      </c>
      <c r="AA460" s="23">
        <f>IF(Y460="","",IF(ISNUMBER(IFERROR(IF(TRIM(INDEX($A460:$T460,MATCH(Lists!$F$4,$A$1:$T$1,0))&amp;"")="","",IF(ISNUMBER(INDEX($A460:$T460,MATCH(Lists!$F$4,$A$1:$T$1,0))),INT(INDEX($A460:$T460,MATCH(Lists!$F$4,$A$1:$T$1,0))),DATE(VALUE(LEFT(INDEX($A460:$T460,MATCH(Lists!$F$4,$A$1:$T$1,0)),4)),VALUE(MID(INDEX($A460:$T460,MATCH(Lists!$F$4,$A$1:$T$1,0)),6,2)),VALUE(MID(INDEX($A460:$T460,MATCH(Lists!$F$4,$A$1:$T$1,0)),9,2))))),"")),IFERROR(IF(TRIM(INDEX($A460:$T460,MATCH(Lists!$F$4,$A$1:$T$1,0))&amp;"")="","",IF(ISNUMBER(INDEX($A460:$T460,MATCH(Lists!$F$4,$A$1:$T$1,0))),INT(INDEX($A460:$T460,MATCH(Lists!$F$4,$A$1:$T$1,0))),DATE(VALUE(LEFT(INDEX($A460:$T460,MATCH(Lists!$F$4,$A$1:$T$1,0)),4)),VALUE(MID(INDEX($A460:$T460,MATCH(Lists!$F$4,$A$1:$T$1,0)),6,2)),VALUE(MID(INDEX($A460:$T460,MATCH(Lists!$F$4,$A$1:$T$1,0)),9,2))))),""),IFERROR(IF(TRIM(INDEX($A460:$T460,MATCH(Lists!$F$5,$A$1:$T$1,0))&amp;"")="","",IF(ISNUMBER(INDEX($A460:$T460,MATCH(Lists!$F$5,$A$1:$T$1,0))),INT(INDEX($A460:$T460,MATCH(Lists!$F$5,$A$1:$T$1,0))),DATE(VALUE(LEFT(INDEX($A460:$T460,MATCH(Lists!$F$5,$A$1:$T$1,0)),4)),VALUE(MID(INDEX($A460:$T460,MATCH(Lists!$F$5,$A$1:$T$1,0)),6,2)),VALUE(MID(INDEX($A460:$T460,MATCH(Lists!$F$5,$A$1:$T$1,0)),9,2))))),"")))</f>
        <v/>
      </c>
      <c r="AB460" s="21">
        <f>IF(Y460="","",IF(LEFT(IFERROR(TRIM(INDEX($A460:$T460,MATCH(Lists!$F$6,$A$1:$T$1,0))&amp;""),""),2)="No","General comment",IF(IFERROR(TRIM(INDEX($A460:$T460,MATCH(Lists!$F$7,$A$1:$T$1,0))&amp;""),"")&lt;&gt;"",IFERROR(TRIM(INDEX($A460:$T460,MATCH(Lists!$F$7,$A$1:$T$1,0))&amp;""),""),IF(IFERROR(TRIM(INDEX($A460:$T460,MATCH(Lists!$F$8,$A$1:$T$1,0))&amp;""),"")&lt;&gt;"",IFERROR(TRIM(INDEX($A460:$T460,MATCH(Lists!$F$8,$A$1:$T$1,0))&amp;""),""),"(no item given)"))))</f>
        <v/>
      </c>
      <c r="AC460" s="21">
        <f>IF(Y460="","",IF(ISNUMBER(SEARCH("support",IFERROR(TRIM(INDEX($A460:$T460,MATCH(Lists!$F$9,$A$1:$T$1,0))&amp;""),""))),"Support",IF(ISNUMBER(SEARCH("oppose",IFERROR(TRIM(INDEX($A460:$T460,MATCH(Lists!$F$9,$A$1:$T$1,0))&amp;""),""))),"Oppose",IF(IFERROR(TRIM(INDEX($A460:$T460,MATCH(Lists!$F$9,$A$1:$T$1,0))&amp;""),"")="","No position","Neither"))))</f>
        <v/>
      </c>
      <c r="AD460" s="21">
        <f>IF(Y460="","",IF(ISNUMBER(SEARCH("in person",IFERROR(TRIM(INDEX($A460:$T460,MATCH(Lists!$F$13,$A$1:$T$1,0))&amp;""),""))),"In person",IF(ISNUMBER(SEARCH("online",IFERROR(TRIM(INDEX($A460:$T460,MATCH(Lists!$F$13,$A$1:$T$1,0))&amp;""),""))),"Online","Written only")))</f>
        <v/>
      </c>
      <c r="AE460" s="21">
        <f>IF(Y460="","",IFERROR(TRIM(INDEX($A460:$T460,MATCH(Lists!$F$11,$A$1:$T$1,0))&amp;""),""))</f>
        <v/>
      </c>
      <c r="AF460" s="21">
        <f>IF(Y460="","",IFERROR(TRIM(INDEX($A460:$T460,MATCH(Lists!$F$12,$A$1:$T$1,0))&amp;""),""))</f>
        <v/>
      </c>
      <c r="AG460" s="21">
        <f>IF(Y460="","",IFERROR(TRIM(INDEX($A460:$T460,MATCH(Lists!$F$14,$A$1:$T$1,0))&amp;""),""))</f>
        <v/>
      </c>
      <c r="AH460" s="21">
        <f>IF(Y460="","",LEFT(IFERROR(TRIM(INDEX($A460:$T460,MATCH(Lists!$F$10,$A$1:$T$1,0))&amp;""),""),80))</f>
        <v/>
      </c>
      <c r="AI460" s="21">
        <f>IF(Y460="",0,IF(OR(Tally!$B$5="",AA460=Tally!$B$5),1,0))</f>
        <v/>
      </c>
      <c r="AJ460" s="21">
        <f>IF(AI460=1,IF(COUNTIFS($AB$2:AB460,AB460,$AI$2:AI460,1)=1,1,0),0)</f>
        <v/>
      </c>
      <c r="AK460" s="21">
        <f>IF(AJ460=1,SUM($AJ$2:AJ460),"")</f>
        <v/>
      </c>
      <c r="AL460" s="21">
        <f>IF(AND(AI460=1,OR(AD460="In person",AD460="Online"),OR(Speakers!$B$5="",AB460=Speakers!$B$5)),N(Z460)+ROW()/1000000000,"")</f>
        <v/>
      </c>
    </row>
    <row r="461">
      <c r="U461" s="19" t="n"/>
      <c r="V461" s="24" t="n"/>
      <c r="W461" s="24" t="n"/>
      <c r="X461" s="19" t="n"/>
      <c r="Y461" s="21">
        <f>IFERROR(TRIM(INDEX($A461:$T461,MATCH(Lists!$F$2,$A$1:$T$1,0))&amp;""),"")</f>
        <v/>
      </c>
      <c r="Z461" s="22">
        <f>IF(Y461="","",IFERROR(IF(ISNUMBER(INDEX($A461:$T461,MATCH(Lists!$F$3,$A$1:$T$1,0))),INDEX($A461:$T461,MATCH(Lists!$F$3,$A$1:$T$1,0)),DATE(VALUE(LEFT(IFERROR(TRIM(INDEX($A461:$T461,MATCH(Lists!$F$3,$A$1:$T$1,0))&amp;""),""),4)),VALUE(MID(IFERROR(TRIM(INDEX($A461:$T461,MATCH(Lists!$F$3,$A$1:$T$1,0))&amp;""),""),6,2)),VALUE(MID(IFERROR(TRIM(INDEX($A461:$T461,MATCH(Lists!$F$3,$A$1:$T$1,0))&amp;""),""),9,2)))+TIME(VALUE(MID(IFERROR(TRIM(INDEX($A461:$T461,MATCH(Lists!$F$3,$A$1:$T$1,0))&amp;""),""),12,2)),VALUE(MID(IFERROR(TRIM(INDEX($A461:$T461,MATCH(Lists!$F$3,$A$1:$T$1,0))&amp;""),""),15,2)),VALUE(MID(IFERROR(TRIM(INDEX($A461:$T461,MATCH(Lists!$F$3,$A$1:$T$1,0))&amp;""),""),18,2)))),""))</f>
        <v/>
      </c>
      <c r="AA461" s="23">
        <f>IF(Y461="","",IF(ISNUMBER(IFERROR(IF(TRIM(INDEX($A461:$T461,MATCH(Lists!$F$4,$A$1:$T$1,0))&amp;"")="","",IF(ISNUMBER(INDEX($A461:$T461,MATCH(Lists!$F$4,$A$1:$T$1,0))),INT(INDEX($A461:$T461,MATCH(Lists!$F$4,$A$1:$T$1,0))),DATE(VALUE(LEFT(INDEX($A461:$T461,MATCH(Lists!$F$4,$A$1:$T$1,0)),4)),VALUE(MID(INDEX($A461:$T461,MATCH(Lists!$F$4,$A$1:$T$1,0)),6,2)),VALUE(MID(INDEX($A461:$T461,MATCH(Lists!$F$4,$A$1:$T$1,0)),9,2))))),"")),IFERROR(IF(TRIM(INDEX($A461:$T461,MATCH(Lists!$F$4,$A$1:$T$1,0))&amp;"")="","",IF(ISNUMBER(INDEX($A461:$T461,MATCH(Lists!$F$4,$A$1:$T$1,0))),INT(INDEX($A461:$T461,MATCH(Lists!$F$4,$A$1:$T$1,0))),DATE(VALUE(LEFT(INDEX($A461:$T461,MATCH(Lists!$F$4,$A$1:$T$1,0)),4)),VALUE(MID(INDEX($A461:$T461,MATCH(Lists!$F$4,$A$1:$T$1,0)),6,2)),VALUE(MID(INDEX($A461:$T461,MATCH(Lists!$F$4,$A$1:$T$1,0)),9,2))))),""),IFERROR(IF(TRIM(INDEX($A461:$T461,MATCH(Lists!$F$5,$A$1:$T$1,0))&amp;"")="","",IF(ISNUMBER(INDEX($A461:$T461,MATCH(Lists!$F$5,$A$1:$T$1,0))),INT(INDEX($A461:$T461,MATCH(Lists!$F$5,$A$1:$T$1,0))),DATE(VALUE(LEFT(INDEX($A461:$T461,MATCH(Lists!$F$5,$A$1:$T$1,0)),4)),VALUE(MID(INDEX($A461:$T461,MATCH(Lists!$F$5,$A$1:$T$1,0)),6,2)),VALUE(MID(INDEX($A461:$T461,MATCH(Lists!$F$5,$A$1:$T$1,0)),9,2))))),"")))</f>
        <v/>
      </c>
      <c r="AB461" s="21">
        <f>IF(Y461="","",IF(LEFT(IFERROR(TRIM(INDEX($A461:$T461,MATCH(Lists!$F$6,$A$1:$T$1,0))&amp;""),""),2)="No","General comment",IF(IFERROR(TRIM(INDEX($A461:$T461,MATCH(Lists!$F$7,$A$1:$T$1,0))&amp;""),"")&lt;&gt;"",IFERROR(TRIM(INDEX($A461:$T461,MATCH(Lists!$F$7,$A$1:$T$1,0))&amp;""),""),IF(IFERROR(TRIM(INDEX($A461:$T461,MATCH(Lists!$F$8,$A$1:$T$1,0))&amp;""),"")&lt;&gt;"",IFERROR(TRIM(INDEX($A461:$T461,MATCH(Lists!$F$8,$A$1:$T$1,0))&amp;""),""),"(no item given)"))))</f>
        <v/>
      </c>
      <c r="AC461" s="21">
        <f>IF(Y461="","",IF(ISNUMBER(SEARCH("support",IFERROR(TRIM(INDEX($A461:$T461,MATCH(Lists!$F$9,$A$1:$T$1,0))&amp;""),""))),"Support",IF(ISNUMBER(SEARCH("oppose",IFERROR(TRIM(INDEX($A461:$T461,MATCH(Lists!$F$9,$A$1:$T$1,0))&amp;""),""))),"Oppose",IF(IFERROR(TRIM(INDEX($A461:$T461,MATCH(Lists!$F$9,$A$1:$T$1,0))&amp;""),"")="","No position","Neither"))))</f>
        <v/>
      </c>
      <c r="AD461" s="21">
        <f>IF(Y461="","",IF(ISNUMBER(SEARCH("in person",IFERROR(TRIM(INDEX($A461:$T461,MATCH(Lists!$F$13,$A$1:$T$1,0))&amp;""),""))),"In person",IF(ISNUMBER(SEARCH("online",IFERROR(TRIM(INDEX($A461:$T461,MATCH(Lists!$F$13,$A$1:$T$1,0))&amp;""),""))),"Online","Written only")))</f>
        <v/>
      </c>
      <c r="AE461" s="21">
        <f>IF(Y461="","",IFERROR(TRIM(INDEX($A461:$T461,MATCH(Lists!$F$11,$A$1:$T$1,0))&amp;""),""))</f>
        <v/>
      </c>
      <c r="AF461" s="21">
        <f>IF(Y461="","",IFERROR(TRIM(INDEX($A461:$T461,MATCH(Lists!$F$12,$A$1:$T$1,0))&amp;""),""))</f>
        <v/>
      </c>
      <c r="AG461" s="21">
        <f>IF(Y461="","",IFERROR(TRIM(INDEX($A461:$T461,MATCH(Lists!$F$14,$A$1:$T$1,0))&amp;""),""))</f>
        <v/>
      </c>
      <c r="AH461" s="21">
        <f>IF(Y461="","",LEFT(IFERROR(TRIM(INDEX($A461:$T461,MATCH(Lists!$F$10,$A$1:$T$1,0))&amp;""),""),80))</f>
        <v/>
      </c>
      <c r="AI461" s="21">
        <f>IF(Y461="",0,IF(OR(Tally!$B$5="",AA461=Tally!$B$5),1,0))</f>
        <v/>
      </c>
      <c r="AJ461" s="21">
        <f>IF(AI461=1,IF(COUNTIFS($AB$2:AB461,AB461,$AI$2:AI461,1)=1,1,0),0)</f>
        <v/>
      </c>
      <c r="AK461" s="21">
        <f>IF(AJ461=1,SUM($AJ$2:AJ461),"")</f>
        <v/>
      </c>
      <c r="AL461" s="21">
        <f>IF(AND(AI461=1,OR(AD461="In person",AD461="Online"),OR(Speakers!$B$5="",AB461=Speakers!$B$5)),N(Z461)+ROW()/1000000000,"")</f>
        <v/>
      </c>
    </row>
    <row r="462">
      <c r="U462" s="19" t="n"/>
      <c r="V462" s="24" t="n"/>
      <c r="W462" s="24" t="n"/>
      <c r="X462" s="19" t="n"/>
      <c r="Y462" s="21">
        <f>IFERROR(TRIM(INDEX($A462:$T462,MATCH(Lists!$F$2,$A$1:$T$1,0))&amp;""),"")</f>
        <v/>
      </c>
      <c r="Z462" s="22">
        <f>IF(Y462="","",IFERROR(IF(ISNUMBER(INDEX($A462:$T462,MATCH(Lists!$F$3,$A$1:$T$1,0))),INDEX($A462:$T462,MATCH(Lists!$F$3,$A$1:$T$1,0)),DATE(VALUE(LEFT(IFERROR(TRIM(INDEX($A462:$T462,MATCH(Lists!$F$3,$A$1:$T$1,0))&amp;""),""),4)),VALUE(MID(IFERROR(TRIM(INDEX($A462:$T462,MATCH(Lists!$F$3,$A$1:$T$1,0))&amp;""),""),6,2)),VALUE(MID(IFERROR(TRIM(INDEX($A462:$T462,MATCH(Lists!$F$3,$A$1:$T$1,0))&amp;""),""),9,2)))+TIME(VALUE(MID(IFERROR(TRIM(INDEX($A462:$T462,MATCH(Lists!$F$3,$A$1:$T$1,0))&amp;""),""),12,2)),VALUE(MID(IFERROR(TRIM(INDEX($A462:$T462,MATCH(Lists!$F$3,$A$1:$T$1,0))&amp;""),""),15,2)),VALUE(MID(IFERROR(TRIM(INDEX($A462:$T462,MATCH(Lists!$F$3,$A$1:$T$1,0))&amp;""),""),18,2)))),""))</f>
        <v/>
      </c>
      <c r="AA462" s="23">
        <f>IF(Y462="","",IF(ISNUMBER(IFERROR(IF(TRIM(INDEX($A462:$T462,MATCH(Lists!$F$4,$A$1:$T$1,0))&amp;"")="","",IF(ISNUMBER(INDEX($A462:$T462,MATCH(Lists!$F$4,$A$1:$T$1,0))),INT(INDEX($A462:$T462,MATCH(Lists!$F$4,$A$1:$T$1,0))),DATE(VALUE(LEFT(INDEX($A462:$T462,MATCH(Lists!$F$4,$A$1:$T$1,0)),4)),VALUE(MID(INDEX($A462:$T462,MATCH(Lists!$F$4,$A$1:$T$1,0)),6,2)),VALUE(MID(INDEX($A462:$T462,MATCH(Lists!$F$4,$A$1:$T$1,0)),9,2))))),"")),IFERROR(IF(TRIM(INDEX($A462:$T462,MATCH(Lists!$F$4,$A$1:$T$1,0))&amp;"")="","",IF(ISNUMBER(INDEX($A462:$T462,MATCH(Lists!$F$4,$A$1:$T$1,0))),INT(INDEX($A462:$T462,MATCH(Lists!$F$4,$A$1:$T$1,0))),DATE(VALUE(LEFT(INDEX($A462:$T462,MATCH(Lists!$F$4,$A$1:$T$1,0)),4)),VALUE(MID(INDEX($A462:$T462,MATCH(Lists!$F$4,$A$1:$T$1,0)),6,2)),VALUE(MID(INDEX($A462:$T462,MATCH(Lists!$F$4,$A$1:$T$1,0)),9,2))))),""),IFERROR(IF(TRIM(INDEX($A462:$T462,MATCH(Lists!$F$5,$A$1:$T$1,0))&amp;"")="","",IF(ISNUMBER(INDEX($A462:$T462,MATCH(Lists!$F$5,$A$1:$T$1,0))),INT(INDEX($A462:$T462,MATCH(Lists!$F$5,$A$1:$T$1,0))),DATE(VALUE(LEFT(INDEX($A462:$T462,MATCH(Lists!$F$5,$A$1:$T$1,0)),4)),VALUE(MID(INDEX($A462:$T462,MATCH(Lists!$F$5,$A$1:$T$1,0)),6,2)),VALUE(MID(INDEX($A462:$T462,MATCH(Lists!$F$5,$A$1:$T$1,0)),9,2))))),"")))</f>
        <v/>
      </c>
      <c r="AB462" s="21">
        <f>IF(Y462="","",IF(LEFT(IFERROR(TRIM(INDEX($A462:$T462,MATCH(Lists!$F$6,$A$1:$T$1,0))&amp;""),""),2)="No","General comment",IF(IFERROR(TRIM(INDEX($A462:$T462,MATCH(Lists!$F$7,$A$1:$T$1,0))&amp;""),"")&lt;&gt;"",IFERROR(TRIM(INDEX($A462:$T462,MATCH(Lists!$F$7,$A$1:$T$1,0))&amp;""),""),IF(IFERROR(TRIM(INDEX($A462:$T462,MATCH(Lists!$F$8,$A$1:$T$1,0))&amp;""),"")&lt;&gt;"",IFERROR(TRIM(INDEX($A462:$T462,MATCH(Lists!$F$8,$A$1:$T$1,0))&amp;""),""),"(no item given)"))))</f>
        <v/>
      </c>
      <c r="AC462" s="21">
        <f>IF(Y462="","",IF(ISNUMBER(SEARCH("support",IFERROR(TRIM(INDEX($A462:$T462,MATCH(Lists!$F$9,$A$1:$T$1,0))&amp;""),""))),"Support",IF(ISNUMBER(SEARCH("oppose",IFERROR(TRIM(INDEX($A462:$T462,MATCH(Lists!$F$9,$A$1:$T$1,0))&amp;""),""))),"Oppose",IF(IFERROR(TRIM(INDEX($A462:$T462,MATCH(Lists!$F$9,$A$1:$T$1,0))&amp;""),"")="","No position","Neither"))))</f>
        <v/>
      </c>
      <c r="AD462" s="21">
        <f>IF(Y462="","",IF(ISNUMBER(SEARCH("in person",IFERROR(TRIM(INDEX($A462:$T462,MATCH(Lists!$F$13,$A$1:$T$1,0))&amp;""),""))),"In person",IF(ISNUMBER(SEARCH("online",IFERROR(TRIM(INDEX($A462:$T462,MATCH(Lists!$F$13,$A$1:$T$1,0))&amp;""),""))),"Online","Written only")))</f>
        <v/>
      </c>
      <c r="AE462" s="21">
        <f>IF(Y462="","",IFERROR(TRIM(INDEX($A462:$T462,MATCH(Lists!$F$11,$A$1:$T$1,0))&amp;""),""))</f>
        <v/>
      </c>
      <c r="AF462" s="21">
        <f>IF(Y462="","",IFERROR(TRIM(INDEX($A462:$T462,MATCH(Lists!$F$12,$A$1:$T$1,0))&amp;""),""))</f>
        <v/>
      </c>
      <c r="AG462" s="21">
        <f>IF(Y462="","",IFERROR(TRIM(INDEX($A462:$T462,MATCH(Lists!$F$14,$A$1:$T$1,0))&amp;""),""))</f>
        <v/>
      </c>
      <c r="AH462" s="21">
        <f>IF(Y462="","",LEFT(IFERROR(TRIM(INDEX($A462:$T462,MATCH(Lists!$F$10,$A$1:$T$1,0))&amp;""),""),80))</f>
        <v/>
      </c>
      <c r="AI462" s="21">
        <f>IF(Y462="",0,IF(OR(Tally!$B$5="",AA462=Tally!$B$5),1,0))</f>
        <v/>
      </c>
      <c r="AJ462" s="21">
        <f>IF(AI462=1,IF(COUNTIFS($AB$2:AB462,AB462,$AI$2:AI462,1)=1,1,0),0)</f>
        <v/>
      </c>
      <c r="AK462" s="21">
        <f>IF(AJ462=1,SUM($AJ$2:AJ462),"")</f>
        <v/>
      </c>
      <c r="AL462" s="21">
        <f>IF(AND(AI462=1,OR(AD462="In person",AD462="Online"),OR(Speakers!$B$5="",AB462=Speakers!$B$5)),N(Z462)+ROW()/1000000000,"")</f>
        <v/>
      </c>
    </row>
    <row r="463">
      <c r="U463" s="19" t="n"/>
      <c r="V463" s="24" t="n"/>
      <c r="W463" s="24" t="n"/>
      <c r="X463" s="19" t="n"/>
      <c r="Y463" s="21">
        <f>IFERROR(TRIM(INDEX($A463:$T463,MATCH(Lists!$F$2,$A$1:$T$1,0))&amp;""),"")</f>
        <v/>
      </c>
      <c r="Z463" s="22">
        <f>IF(Y463="","",IFERROR(IF(ISNUMBER(INDEX($A463:$T463,MATCH(Lists!$F$3,$A$1:$T$1,0))),INDEX($A463:$T463,MATCH(Lists!$F$3,$A$1:$T$1,0)),DATE(VALUE(LEFT(IFERROR(TRIM(INDEX($A463:$T463,MATCH(Lists!$F$3,$A$1:$T$1,0))&amp;""),""),4)),VALUE(MID(IFERROR(TRIM(INDEX($A463:$T463,MATCH(Lists!$F$3,$A$1:$T$1,0))&amp;""),""),6,2)),VALUE(MID(IFERROR(TRIM(INDEX($A463:$T463,MATCH(Lists!$F$3,$A$1:$T$1,0))&amp;""),""),9,2)))+TIME(VALUE(MID(IFERROR(TRIM(INDEX($A463:$T463,MATCH(Lists!$F$3,$A$1:$T$1,0))&amp;""),""),12,2)),VALUE(MID(IFERROR(TRIM(INDEX($A463:$T463,MATCH(Lists!$F$3,$A$1:$T$1,0))&amp;""),""),15,2)),VALUE(MID(IFERROR(TRIM(INDEX($A463:$T463,MATCH(Lists!$F$3,$A$1:$T$1,0))&amp;""),""),18,2)))),""))</f>
        <v/>
      </c>
      <c r="AA463" s="23">
        <f>IF(Y463="","",IF(ISNUMBER(IFERROR(IF(TRIM(INDEX($A463:$T463,MATCH(Lists!$F$4,$A$1:$T$1,0))&amp;"")="","",IF(ISNUMBER(INDEX($A463:$T463,MATCH(Lists!$F$4,$A$1:$T$1,0))),INT(INDEX($A463:$T463,MATCH(Lists!$F$4,$A$1:$T$1,0))),DATE(VALUE(LEFT(INDEX($A463:$T463,MATCH(Lists!$F$4,$A$1:$T$1,0)),4)),VALUE(MID(INDEX($A463:$T463,MATCH(Lists!$F$4,$A$1:$T$1,0)),6,2)),VALUE(MID(INDEX($A463:$T463,MATCH(Lists!$F$4,$A$1:$T$1,0)),9,2))))),"")),IFERROR(IF(TRIM(INDEX($A463:$T463,MATCH(Lists!$F$4,$A$1:$T$1,0))&amp;"")="","",IF(ISNUMBER(INDEX($A463:$T463,MATCH(Lists!$F$4,$A$1:$T$1,0))),INT(INDEX($A463:$T463,MATCH(Lists!$F$4,$A$1:$T$1,0))),DATE(VALUE(LEFT(INDEX($A463:$T463,MATCH(Lists!$F$4,$A$1:$T$1,0)),4)),VALUE(MID(INDEX($A463:$T463,MATCH(Lists!$F$4,$A$1:$T$1,0)),6,2)),VALUE(MID(INDEX($A463:$T463,MATCH(Lists!$F$4,$A$1:$T$1,0)),9,2))))),""),IFERROR(IF(TRIM(INDEX($A463:$T463,MATCH(Lists!$F$5,$A$1:$T$1,0))&amp;"")="","",IF(ISNUMBER(INDEX($A463:$T463,MATCH(Lists!$F$5,$A$1:$T$1,0))),INT(INDEX($A463:$T463,MATCH(Lists!$F$5,$A$1:$T$1,0))),DATE(VALUE(LEFT(INDEX($A463:$T463,MATCH(Lists!$F$5,$A$1:$T$1,0)),4)),VALUE(MID(INDEX($A463:$T463,MATCH(Lists!$F$5,$A$1:$T$1,0)),6,2)),VALUE(MID(INDEX($A463:$T463,MATCH(Lists!$F$5,$A$1:$T$1,0)),9,2))))),"")))</f>
        <v/>
      </c>
      <c r="AB463" s="21">
        <f>IF(Y463="","",IF(LEFT(IFERROR(TRIM(INDEX($A463:$T463,MATCH(Lists!$F$6,$A$1:$T$1,0))&amp;""),""),2)="No","General comment",IF(IFERROR(TRIM(INDEX($A463:$T463,MATCH(Lists!$F$7,$A$1:$T$1,0))&amp;""),"")&lt;&gt;"",IFERROR(TRIM(INDEX($A463:$T463,MATCH(Lists!$F$7,$A$1:$T$1,0))&amp;""),""),IF(IFERROR(TRIM(INDEX($A463:$T463,MATCH(Lists!$F$8,$A$1:$T$1,0))&amp;""),"")&lt;&gt;"",IFERROR(TRIM(INDEX($A463:$T463,MATCH(Lists!$F$8,$A$1:$T$1,0))&amp;""),""),"(no item given)"))))</f>
        <v/>
      </c>
      <c r="AC463" s="21">
        <f>IF(Y463="","",IF(ISNUMBER(SEARCH("support",IFERROR(TRIM(INDEX($A463:$T463,MATCH(Lists!$F$9,$A$1:$T$1,0))&amp;""),""))),"Support",IF(ISNUMBER(SEARCH("oppose",IFERROR(TRIM(INDEX($A463:$T463,MATCH(Lists!$F$9,$A$1:$T$1,0))&amp;""),""))),"Oppose",IF(IFERROR(TRIM(INDEX($A463:$T463,MATCH(Lists!$F$9,$A$1:$T$1,0))&amp;""),"")="","No position","Neither"))))</f>
        <v/>
      </c>
      <c r="AD463" s="21">
        <f>IF(Y463="","",IF(ISNUMBER(SEARCH("in person",IFERROR(TRIM(INDEX($A463:$T463,MATCH(Lists!$F$13,$A$1:$T$1,0))&amp;""),""))),"In person",IF(ISNUMBER(SEARCH("online",IFERROR(TRIM(INDEX($A463:$T463,MATCH(Lists!$F$13,$A$1:$T$1,0))&amp;""),""))),"Online","Written only")))</f>
        <v/>
      </c>
      <c r="AE463" s="21">
        <f>IF(Y463="","",IFERROR(TRIM(INDEX($A463:$T463,MATCH(Lists!$F$11,$A$1:$T$1,0))&amp;""),""))</f>
        <v/>
      </c>
      <c r="AF463" s="21">
        <f>IF(Y463="","",IFERROR(TRIM(INDEX($A463:$T463,MATCH(Lists!$F$12,$A$1:$T$1,0))&amp;""),""))</f>
        <v/>
      </c>
      <c r="AG463" s="21">
        <f>IF(Y463="","",IFERROR(TRIM(INDEX($A463:$T463,MATCH(Lists!$F$14,$A$1:$T$1,0))&amp;""),""))</f>
        <v/>
      </c>
      <c r="AH463" s="21">
        <f>IF(Y463="","",LEFT(IFERROR(TRIM(INDEX($A463:$T463,MATCH(Lists!$F$10,$A$1:$T$1,0))&amp;""),""),80))</f>
        <v/>
      </c>
      <c r="AI463" s="21">
        <f>IF(Y463="",0,IF(OR(Tally!$B$5="",AA463=Tally!$B$5),1,0))</f>
        <v/>
      </c>
      <c r="AJ463" s="21">
        <f>IF(AI463=1,IF(COUNTIFS($AB$2:AB463,AB463,$AI$2:AI463,1)=1,1,0),0)</f>
        <v/>
      </c>
      <c r="AK463" s="21">
        <f>IF(AJ463=1,SUM($AJ$2:AJ463),"")</f>
        <v/>
      </c>
      <c r="AL463" s="21">
        <f>IF(AND(AI463=1,OR(AD463="In person",AD463="Online"),OR(Speakers!$B$5="",AB463=Speakers!$B$5)),N(Z463)+ROW()/1000000000,"")</f>
        <v/>
      </c>
    </row>
    <row r="464">
      <c r="U464" s="19" t="n"/>
      <c r="V464" s="24" t="n"/>
      <c r="W464" s="24" t="n"/>
      <c r="X464" s="19" t="n"/>
      <c r="Y464" s="21">
        <f>IFERROR(TRIM(INDEX($A464:$T464,MATCH(Lists!$F$2,$A$1:$T$1,0))&amp;""),"")</f>
        <v/>
      </c>
      <c r="Z464" s="22">
        <f>IF(Y464="","",IFERROR(IF(ISNUMBER(INDEX($A464:$T464,MATCH(Lists!$F$3,$A$1:$T$1,0))),INDEX($A464:$T464,MATCH(Lists!$F$3,$A$1:$T$1,0)),DATE(VALUE(LEFT(IFERROR(TRIM(INDEX($A464:$T464,MATCH(Lists!$F$3,$A$1:$T$1,0))&amp;""),""),4)),VALUE(MID(IFERROR(TRIM(INDEX($A464:$T464,MATCH(Lists!$F$3,$A$1:$T$1,0))&amp;""),""),6,2)),VALUE(MID(IFERROR(TRIM(INDEX($A464:$T464,MATCH(Lists!$F$3,$A$1:$T$1,0))&amp;""),""),9,2)))+TIME(VALUE(MID(IFERROR(TRIM(INDEX($A464:$T464,MATCH(Lists!$F$3,$A$1:$T$1,0))&amp;""),""),12,2)),VALUE(MID(IFERROR(TRIM(INDEX($A464:$T464,MATCH(Lists!$F$3,$A$1:$T$1,0))&amp;""),""),15,2)),VALUE(MID(IFERROR(TRIM(INDEX($A464:$T464,MATCH(Lists!$F$3,$A$1:$T$1,0))&amp;""),""),18,2)))),""))</f>
        <v/>
      </c>
      <c r="AA464" s="23">
        <f>IF(Y464="","",IF(ISNUMBER(IFERROR(IF(TRIM(INDEX($A464:$T464,MATCH(Lists!$F$4,$A$1:$T$1,0))&amp;"")="","",IF(ISNUMBER(INDEX($A464:$T464,MATCH(Lists!$F$4,$A$1:$T$1,0))),INT(INDEX($A464:$T464,MATCH(Lists!$F$4,$A$1:$T$1,0))),DATE(VALUE(LEFT(INDEX($A464:$T464,MATCH(Lists!$F$4,$A$1:$T$1,0)),4)),VALUE(MID(INDEX($A464:$T464,MATCH(Lists!$F$4,$A$1:$T$1,0)),6,2)),VALUE(MID(INDEX($A464:$T464,MATCH(Lists!$F$4,$A$1:$T$1,0)),9,2))))),"")),IFERROR(IF(TRIM(INDEX($A464:$T464,MATCH(Lists!$F$4,$A$1:$T$1,0))&amp;"")="","",IF(ISNUMBER(INDEX($A464:$T464,MATCH(Lists!$F$4,$A$1:$T$1,0))),INT(INDEX($A464:$T464,MATCH(Lists!$F$4,$A$1:$T$1,0))),DATE(VALUE(LEFT(INDEX($A464:$T464,MATCH(Lists!$F$4,$A$1:$T$1,0)),4)),VALUE(MID(INDEX($A464:$T464,MATCH(Lists!$F$4,$A$1:$T$1,0)),6,2)),VALUE(MID(INDEX($A464:$T464,MATCH(Lists!$F$4,$A$1:$T$1,0)),9,2))))),""),IFERROR(IF(TRIM(INDEX($A464:$T464,MATCH(Lists!$F$5,$A$1:$T$1,0))&amp;"")="","",IF(ISNUMBER(INDEX($A464:$T464,MATCH(Lists!$F$5,$A$1:$T$1,0))),INT(INDEX($A464:$T464,MATCH(Lists!$F$5,$A$1:$T$1,0))),DATE(VALUE(LEFT(INDEX($A464:$T464,MATCH(Lists!$F$5,$A$1:$T$1,0)),4)),VALUE(MID(INDEX($A464:$T464,MATCH(Lists!$F$5,$A$1:$T$1,0)),6,2)),VALUE(MID(INDEX($A464:$T464,MATCH(Lists!$F$5,$A$1:$T$1,0)),9,2))))),"")))</f>
        <v/>
      </c>
      <c r="AB464" s="21">
        <f>IF(Y464="","",IF(LEFT(IFERROR(TRIM(INDEX($A464:$T464,MATCH(Lists!$F$6,$A$1:$T$1,0))&amp;""),""),2)="No","General comment",IF(IFERROR(TRIM(INDEX($A464:$T464,MATCH(Lists!$F$7,$A$1:$T$1,0))&amp;""),"")&lt;&gt;"",IFERROR(TRIM(INDEX($A464:$T464,MATCH(Lists!$F$7,$A$1:$T$1,0))&amp;""),""),IF(IFERROR(TRIM(INDEX($A464:$T464,MATCH(Lists!$F$8,$A$1:$T$1,0))&amp;""),"")&lt;&gt;"",IFERROR(TRIM(INDEX($A464:$T464,MATCH(Lists!$F$8,$A$1:$T$1,0))&amp;""),""),"(no item given)"))))</f>
        <v/>
      </c>
      <c r="AC464" s="21">
        <f>IF(Y464="","",IF(ISNUMBER(SEARCH("support",IFERROR(TRIM(INDEX($A464:$T464,MATCH(Lists!$F$9,$A$1:$T$1,0))&amp;""),""))),"Support",IF(ISNUMBER(SEARCH("oppose",IFERROR(TRIM(INDEX($A464:$T464,MATCH(Lists!$F$9,$A$1:$T$1,0))&amp;""),""))),"Oppose",IF(IFERROR(TRIM(INDEX($A464:$T464,MATCH(Lists!$F$9,$A$1:$T$1,0))&amp;""),"")="","No position","Neither"))))</f>
        <v/>
      </c>
      <c r="AD464" s="21">
        <f>IF(Y464="","",IF(ISNUMBER(SEARCH("in person",IFERROR(TRIM(INDEX($A464:$T464,MATCH(Lists!$F$13,$A$1:$T$1,0))&amp;""),""))),"In person",IF(ISNUMBER(SEARCH("online",IFERROR(TRIM(INDEX($A464:$T464,MATCH(Lists!$F$13,$A$1:$T$1,0))&amp;""),""))),"Online","Written only")))</f>
        <v/>
      </c>
      <c r="AE464" s="21">
        <f>IF(Y464="","",IFERROR(TRIM(INDEX($A464:$T464,MATCH(Lists!$F$11,$A$1:$T$1,0))&amp;""),""))</f>
        <v/>
      </c>
      <c r="AF464" s="21">
        <f>IF(Y464="","",IFERROR(TRIM(INDEX($A464:$T464,MATCH(Lists!$F$12,$A$1:$T$1,0))&amp;""),""))</f>
        <v/>
      </c>
      <c r="AG464" s="21">
        <f>IF(Y464="","",IFERROR(TRIM(INDEX($A464:$T464,MATCH(Lists!$F$14,$A$1:$T$1,0))&amp;""),""))</f>
        <v/>
      </c>
      <c r="AH464" s="21">
        <f>IF(Y464="","",LEFT(IFERROR(TRIM(INDEX($A464:$T464,MATCH(Lists!$F$10,$A$1:$T$1,0))&amp;""),""),80))</f>
        <v/>
      </c>
      <c r="AI464" s="21">
        <f>IF(Y464="",0,IF(OR(Tally!$B$5="",AA464=Tally!$B$5),1,0))</f>
        <v/>
      </c>
      <c r="AJ464" s="21">
        <f>IF(AI464=1,IF(COUNTIFS($AB$2:AB464,AB464,$AI$2:AI464,1)=1,1,0),0)</f>
        <v/>
      </c>
      <c r="AK464" s="21">
        <f>IF(AJ464=1,SUM($AJ$2:AJ464),"")</f>
        <v/>
      </c>
      <c r="AL464" s="21">
        <f>IF(AND(AI464=1,OR(AD464="In person",AD464="Online"),OR(Speakers!$B$5="",AB464=Speakers!$B$5)),N(Z464)+ROW()/1000000000,"")</f>
        <v/>
      </c>
    </row>
    <row r="465">
      <c r="U465" s="19" t="n"/>
      <c r="V465" s="24" t="n"/>
      <c r="W465" s="24" t="n"/>
      <c r="X465" s="19" t="n"/>
      <c r="Y465" s="21">
        <f>IFERROR(TRIM(INDEX($A465:$T465,MATCH(Lists!$F$2,$A$1:$T$1,0))&amp;""),"")</f>
        <v/>
      </c>
      <c r="Z465" s="22">
        <f>IF(Y465="","",IFERROR(IF(ISNUMBER(INDEX($A465:$T465,MATCH(Lists!$F$3,$A$1:$T$1,0))),INDEX($A465:$T465,MATCH(Lists!$F$3,$A$1:$T$1,0)),DATE(VALUE(LEFT(IFERROR(TRIM(INDEX($A465:$T465,MATCH(Lists!$F$3,$A$1:$T$1,0))&amp;""),""),4)),VALUE(MID(IFERROR(TRIM(INDEX($A465:$T465,MATCH(Lists!$F$3,$A$1:$T$1,0))&amp;""),""),6,2)),VALUE(MID(IFERROR(TRIM(INDEX($A465:$T465,MATCH(Lists!$F$3,$A$1:$T$1,0))&amp;""),""),9,2)))+TIME(VALUE(MID(IFERROR(TRIM(INDEX($A465:$T465,MATCH(Lists!$F$3,$A$1:$T$1,0))&amp;""),""),12,2)),VALUE(MID(IFERROR(TRIM(INDEX($A465:$T465,MATCH(Lists!$F$3,$A$1:$T$1,0))&amp;""),""),15,2)),VALUE(MID(IFERROR(TRIM(INDEX($A465:$T465,MATCH(Lists!$F$3,$A$1:$T$1,0))&amp;""),""),18,2)))),""))</f>
        <v/>
      </c>
      <c r="AA465" s="23">
        <f>IF(Y465="","",IF(ISNUMBER(IFERROR(IF(TRIM(INDEX($A465:$T465,MATCH(Lists!$F$4,$A$1:$T$1,0))&amp;"")="","",IF(ISNUMBER(INDEX($A465:$T465,MATCH(Lists!$F$4,$A$1:$T$1,0))),INT(INDEX($A465:$T465,MATCH(Lists!$F$4,$A$1:$T$1,0))),DATE(VALUE(LEFT(INDEX($A465:$T465,MATCH(Lists!$F$4,$A$1:$T$1,0)),4)),VALUE(MID(INDEX($A465:$T465,MATCH(Lists!$F$4,$A$1:$T$1,0)),6,2)),VALUE(MID(INDEX($A465:$T465,MATCH(Lists!$F$4,$A$1:$T$1,0)),9,2))))),"")),IFERROR(IF(TRIM(INDEX($A465:$T465,MATCH(Lists!$F$4,$A$1:$T$1,0))&amp;"")="","",IF(ISNUMBER(INDEX($A465:$T465,MATCH(Lists!$F$4,$A$1:$T$1,0))),INT(INDEX($A465:$T465,MATCH(Lists!$F$4,$A$1:$T$1,0))),DATE(VALUE(LEFT(INDEX($A465:$T465,MATCH(Lists!$F$4,$A$1:$T$1,0)),4)),VALUE(MID(INDEX($A465:$T465,MATCH(Lists!$F$4,$A$1:$T$1,0)),6,2)),VALUE(MID(INDEX($A465:$T465,MATCH(Lists!$F$4,$A$1:$T$1,0)),9,2))))),""),IFERROR(IF(TRIM(INDEX($A465:$T465,MATCH(Lists!$F$5,$A$1:$T$1,0))&amp;"")="","",IF(ISNUMBER(INDEX($A465:$T465,MATCH(Lists!$F$5,$A$1:$T$1,0))),INT(INDEX($A465:$T465,MATCH(Lists!$F$5,$A$1:$T$1,0))),DATE(VALUE(LEFT(INDEX($A465:$T465,MATCH(Lists!$F$5,$A$1:$T$1,0)),4)),VALUE(MID(INDEX($A465:$T465,MATCH(Lists!$F$5,$A$1:$T$1,0)),6,2)),VALUE(MID(INDEX($A465:$T465,MATCH(Lists!$F$5,$A$1:$T$1,0)),9,2))))),"")))</f>
        <v/>
      </c>
      <c r="AB465" s="21">
        <f>IF(Y465="","",IF(LEFT(IFERROR(TRIM(INDEX($A465:$T465,MATCH(Lists!$F$6,$A$1:$T$1,0))&amp;""),""),2)="No","General comment",IF(IFERROR(TRIM(INDEX($A465:$T465,MATCH(Lists!$F$7,$A$1:$T$1,0))&amp;""),"")&lt;&gt;"",IFERROR(TRIM(INDEX($A465:$T465,MATCH(Lists!$F$7,$A$1:$T$1,0))&amp;""),""),IF(IFERROR(TRIM(INDEX($A465:$T465,MATCH(Lists!$F$8,$A$1:$T$1,0))&amp;""),"")&lt;&gt;"",IFERROR(TRIM(INDEX($A465:$T465,MATCH(Lists!$F$8,$A$1:$T$1,0))&amp;""),""),"(no item given)"))))</f>
        <v/>
      </c>
      <c r="AC465" s="21">
        <f>IF(Y465="","",IF(ISNUMBER(SEARCH("support",IFERROR(TRIM(INDEX($A465:$T465,MATCH(Lists!$F$9,$A$1:$T$1,0))&amp;""),""))),"Support",IF(ISNUMBER(SEARCH("oppose",IFERROR(TRIM(INDEX($A465:$T465,MATCH(Lists!$F$9,$A$1:$T$1,0))&amp;""),""))),"Oppose",IF(IFERROR(TRIM(INDEX($A465:$T465,MATCH(Lists!$F$9,$A$1:$T$1,0))&amp;""),"")="","No position","Neither"))))</f>
        <v/>
      </c>
      <c r="AD465" s="21">
        <f>IF(Y465="","",IF(ISNUMBER(SEARCH("in person",IFERROR(TRIM(INDEX($A465:$T465,MATCH(Lists!$F$13,$A$1:$T$1,0))&amp;""),""))),"In person",IF(ISNUMBER(SEARCH("online",IFERROR(TRIM(INDEX($A465:$T465,MATCH(Lists!$F$13,$A$1:$T$1,0))&amp;""),""))),"Online","Written only")))</f>
        <v/>
      </c>
      <c r="AE465" s="21">
        <f>IF(Y465="","",IFERROR(TRIM(INDEX($A465:$T465,MATCH(Lists!$F$11,$A$1:$T$1,0))&amp;""),""))</f>
        <v/>
      </c>
      <c r="AF465" s="21">
        <f>IF(Y465="","",IFERROR(TRIM(INDEX($A465:$T465,MATCH(Lists!$F$12,$A$1:$T$1,0))&amp;""),""))</f>
        <v/>
      </c>
      <c r="AG465" s="21">
        <f>IF(Y465="","",IFERROR(TRIM(INDEX($A465:$T465,MATCH(Lists!$F$14,$A$1:$T$1,0))&amp;""),""))</f>
        <v/>
      </c>
      <c r="AH465" s="21">
        <f>IF(Y465="","",LEFT(IFERROR(TRIM(INDEX($A465:$T465,MATCH(Lists!$F$10,$A$1:$T$1,0))&amp;""),""),80))</f>
        <v/>
      </c>
      <c r="AI465" s="21">
        <f>IF(Y465="",0,IF(OR(Tally!$B$5="",AA465=Tally!$B$5),1,0))</f>
        <v/>
      </c>
      <c r="AJ465" s="21">
        <f>IF(AI465=1,IF(COUNTIFS($AB$2:AB465,AB465,$AI$2:AI465,1)=1,1,0),0)</f>
        <v/>
      </c>
      <c r="AK465" s="21">
        <f>IF(AJ465=1,SUM($AJ$2:AJ465),"")</f>
        <v/>
      </c>
      <c r="AL465" s="21">
        <f>IF(AND(AI465=1,OR(AD465="In person",AD465="Online"),OR(Speakers!$B$5="",AB465=Speakers!$B$5)),N(Z465)+ROW()/1000000000,"")</f>
        <v/>
      </c>
    </row>
    <row r="466">
      <c r="U466" s="19" t="n"/>
      <c r="V466" s="24" t="n"/>
      <c r="W466" s="24" t="n"/>
      <c r="X466" s="19" t="n"/>
      <c r="Y466" s="21">
        <f>IFERROR(TRIM(INDEX($A466:$T466,MATCH(Lists!$F$2,$A$1:$T$1,0))&amp;""),"")</f>
        <v/>
      </c>
      <c r="Z466" s="22">
        <f>IF(Y466="","",IFERROR(IF(ISNUMBER(INDEX($A466:$T466,MATCH(Lists!$F$3,$A$1:$T$1,0))),INDEX($A466:$T466,MATCH(Lists!$F$3,$A$1:$T$1,0)),DATE(VALUE(LEFT(IFERROR(TRIM(INDEX($A466:$T466,MATCH(Lists!$F$3,$A$1:$T$1,0))&amp;""),""),4)),VALUE(MID(IFERROR(TRIM(INDEX($A466:$T466,MATCH(Lists!$F$3,$A$1:$T$1,0))&amp;""),""),6,2)),VALUE(MID(IFERROR(TRIM(INDEX($A466:$T466,MATCH(Lists!$F$3,$A$1:$T$1,0))&amp;""),""),9,2)))+TIME(VALUE(MID(IFERROR(TRIM(INDEX($A466:$T466,MATCH(Lists!$F$3,$A$1:$T$1,0))&amp;""),""),12,2)),VALUE(MID(IFERROR(TRIM(INDEX($A466:$T466,MATCH(Lists!$F$3,$A$1:$T$1,0))&amp;""),""),15,2)),VALUE(MID(IFERROR(TRIM(INDEX($A466:$T466,MATCH(Lists!$F$3,$A$1:$T$1,0))&amp;""),""),18,2)))),""))</f>
        <v/>
      </c>
      <c r="AA466" s="23">
        <f>IF(Y466="","",IF(ISNUMBER(IFERROR(IF(TRIM(INDEX($A466:$T466,MATCH(Lists!$F$4,$A$1:$T$1,0))&amp;"")="","",IF(ISNUMBER(INDEX($A466:$T466,MATCH(Lists!$F$4,$A$1:$T$1,0))),INT(INDEX($A466:$T466,MATCH(Lists!$F$4,$A$1:$T$1,0))),DATE(VALUE(LEFT(INDEX($A466:$T466,MATCH(Lists!$F$4,$A$1:$T$1,0)),4)),VALUE(MID(INDEX($A466:$T466,MATCH(Lists!$F$4,$A$1:$T$1,0)),6,2)),VALUE(MID(INDEX($A466:$T466,MATCH(Lists!$F$4,$A$1:$T$1,0)),9,2))))),"")),IFERROR(IF(TRIM(INDEX($A466:$T466,MATCH(Lists!$F$4,$A$1:$T$1,0))&amp;"")="","",IF(ISNUMBER(INDEX($A466:$T466,MATCH(Lists!$F$4,$A$1:$T$1,0))),INT(INDEX($A466:$T466,MATCH(Lists!$F$4,$A$1:$T$1,0))),DATE(VALUE(LEFT(INDEX($A466:$T466,MATCH(Lists!$F$4,$A$1:$T$1,0)),4)),VALUE(MID(INDEX($A466:$T466,MATCH(Lists!$F$4,$A$1:$T$1,0)),6,2)),VALUE(MID(INDEX($A466:$T466,MATCH(Lists!$F$4,$A$1:$T$1,0)),9,2))))),""),IFERROR(IF(TRIM(INDEX($A466:$T466,MATCH(Lists!$F$5,$A$1:$T$1,0))&amp;"")="","",IF(ISNUMBER(INDEX($A466:$T466,MATCH(Lists!$F$5,$A$1:$T$1,0))),INT(INDEX($A466:$T466,MATCH(Lists!$F$5,$A$1:$T$1,0))),DATE(VALUE(LEFT(INDEX($A466:$T466,MATCH(Lists!$F$5,$A$1:$T$1,0)),4)),VALUE(MID(INDEX($A466:$T466,MATCH(Lists!$F$5,$A$1:$T$1,0)),6,2)),VALUE(MID(INDEX($A466:$T466,MATCH(Lists!$F$5,$A$1:$T$1,0)),9,2))))),"")))</f>
        <v/>
      </c>
      <c r="AB466" s="21">
        <f>IF(Y466="","",IF(LEFT(IFERROR(TRIM(INDEX($A466:$T466,MATCH(Lists!$F$6,$A$1:$T$1,0))&amp;""),""),2)="No","General comment",IF(IFERROR(TRIM(INDEX($A466:$T466,MATCH(Lists!$F$7,$A$1:$T$1,0))&amp;""),"")&lt;&gt;"",IFERROR(TRIM(INDEX($A466:$T466,MATCH(Lists!$F$7,$A$1:$T$1,0))&amp;""),""),IF(IFERROR(TRIM(INDEX($A466:$T466,MATCH(Lists!$F$8,$A$1:$T$1,0))&amp;""),"")&lt;&gt;"",IFERROR(TRIM(INDEX($A466:$T466,MATCH(Lists!$F$8,$A$1:$T$1,0))&amp;""),""),"(no item given)"))))</f>
        <v/>
      </c>
      <c r="AC466" s="21">
        <f>IF(Y466="","",IF(ISNUMBER(SEARCH("support",IFERROR(TRIM(INDEX($A466:$T466,MATCH(Lists!$F$9,$A$1:$T$1,0))&amp;""),""))),"Support",IF(ISNUMBER(SEARCH("oppose",IFERROR(TRIM(INDEX($A466:$T466,MATCH(Lists!$F$9,$A$1:$T$1,0))&amp;""),""))),"Oppose",IF(IFERROR(TRIM(INDEX($A466:$T466,MATCH(Lists!$F$9,$A$1:$T$1,0))&amp;""),"")="","No position","Neither"))))</f>
        <v/>
      </c>
      <c r="AD466" s="21">
        <f>IF(Y466="","",IF(ISNUMBER(SEARCH("in person",IFERROR(TRIM(INDEX($A466:$T466,MATCH(Lists!$F$13,$A$1:$T$1,0))&amp;""),""))),"In person",IF(ISNUMBER(SEARCH("online",IFERROR(TRIM(INDEX($A466:$T466,MATCH(Lists!$F$13,$A$1:$T$1,0))&amp;""),""))),"Online","Written only")))</f>
        <v/>
      </c>
      <c r="AE466" s="21">
        <f>IF(Y466="","",IFERROR(TRIM(INDEX($A466:$T466,MATCH(Lists!$F$11,$A$1:$T$1,0))&amp;""),""))</f>
        <v/>
      </c>
      <c r="AF466" s="21">
        <f>IF(Y466="","",IFERROR(TRIM(INDEX($A466:$T466,MATCH(Lists!$F$12,$A$1:$T$1,0))&amp;""),""))</f>
        <v/>
      </c>
      <c r="AG466" s="21">
        <f>IF(Y466="","",IFERROR(TRIM(INDEX($A466:$T466,MATCH(Lists!$F$14,$A$1:$T$1,0))&amp;""),""))</f>
        <v/>
      </c>
      <c r="AH466" s="21">
        <f>IF(Y466="","",LEFT(IFERROR(TRIM(INDEX($A466:$T466,MATCH(Lists!$F$10,$A$1:$T$1,0))&amp;""),""),80))</f>
        <v/>
      </c>
      <c r="AI466" s="21">
        <f>IF(Y466="",0,IF(OR(Tally!$B$5="",AA466=Tally!$B$5),1,0))</f>
        <v/>
      </c>
      <c r="AJ466" s="21">
        <f>IF(AI466=1,IF(COUNTIFS($AB$2:AB466,AB466,$AI$2:AI466,1)=1,1,0),0)</f>
        <v/>
      </c>
      <c r="AK466" s="21">
        <f>IF(AJ466=1,SUM($AJ$2:AJ466),"")</f>
        <v/>
      </c>
      <c r="AL466" s="21">
        <f>IF(AND(AI466=1,OR(AD466="In person",AD466="Online"),OR(Speakers!$B$5="",AB466=Speakers!$B$5)),N(Z466)+ROW()/1000000000,"")</f>
        <v/>
      </c>
    </row>
    <row r="467">
      <c r="U467" s="19" t="n"/>
      <c r="V467" s="24" t="n"/>
      <c r="W467" s="24" t="n"/>
      <c r="X467" s="19" t="n"/>
      <c r="Y467" s="21">
        <f>IFERROR(TRIM(INDEX($A467:$T467,MATCH(Lists!$F$2,$A$1:$T$1,0))&amp;""),"")</f>
        <v/>
      </c>
      <c r="Z467" s="22">
        <f>IF(Y467="","",IFERROR(IF(ISNUMBER(INDEX($A467:$T467,MATCH(Lists!$F$3,$A$1:$T$1,0))),INDEX($A467:$T467,MATCH(Lists!$F$3,$A$1:$T$1,0)),DATE(VALUE(LEFT(IFERROR(TRIM(INDEX($A467:$T467,MATCH(Lists!$F$3,$A$1:$T$1,0))&amp;""),""),4)),VALUE(MID(IFERROR(TRIM(INDEX($A467:$T467,MATCH(Lists!$F$3,$A$1:$T$1,0))&amp;""),""),6,2)),VALUE(MID(IFERROR(TRIM(INDEX($A467:$T467,MATCH(Lists!$F$3,$A$1:$T$1,0))&amp;""),""),9,2)))+TIME(VALUE(MID(IFERROR(TRIM(INDEX($A467:$T467,MATCH(Lists!$F$3,$A$1:$T$1,0))&amp;""),""),12,2)),VALUE(MID(IFERROR(TRIM(INDEX($A467:$T467,MATCH(Lists!$F$3,$A$1:$T$1,0))&amp;""),""),15,2)),VALUE(MID(IFERROR(TRIM(INDEX($A467:$T467,MATCH(Lists!$F$3,$A$1:$T$1,0))&amp;""),""),18,2)))),""))</f>
        <v/>
      </c>
      <c r="AA467" s="23">
        <f>IF(Y467="","",IF(ISNUMBER(IFERROR(IF(TRIM(INDEX($A467:$T467,MATCH(Lists!$F$4,$A$1:$T$1,0))&amp;"")="","",IF(ISNUMBER(INDEX($A467:$T467,MATCH(Lists!$F$4,$A$1:$T$1,0))),INT(INDEX($A467:$T467,MATCH(Lists!$F$4,$A$1:$T$1,0))),DATE(VALUE(LEFT(INDEX($A467:$T467,MATCH(Lists!$F$4,$A$1:$T$1,0)),4)),VALUE(MID(INDEX($A467:$T467,MATCH(Lists!$F$4,$A$1:$T$1,0)),6,2)),VALUE(MID(INDEX($A467:$T467,MATCH(Lists!$F$4,$A$1:$T$1,0)),9,2))))),"")),IFERROR(IF(TRIM(INDEX($A467:$T467,MATCH(Lists!$F$4,$A$1:$T$1,0))&amp;"")="","",IF(ISNUMBER(INDEX($A467:$T467,MATCH(Lists!$F$4,$A$1:$T$1,0))),INT(INDEX($A467:$T467,MATCH(Lists!$F$4,$A$1:$T$1,0))),DATE(VALUE(LEFT(INDEX($A467:$T467,MATCH(Lists!$F$4,$A$1:$T$1,0)),4)),VALUE(MID(INDEX($A467:$T467,MATCH(Lists!$F$4,$A$1:$T$1,0)),6,2)),VALUE(MID(INDEX($A467:$T467,MATCH(Lists!$F$4,$A$1:$T$1,0)),9,2))))),""),IFERROR(IF(TRIM(INDEX($A467:$T467,MATCH(Lists!$F$5,$A$1:$T$1,0))&amp;"")="","",IF(ISNUMBER(INDEX($A467:$T467,MATCH(Lists!$F$5,$A$1:$T$1,0))),INT(INDEX($A467:$T467,MATCH(Lists!$F$5,$A$1:$T$1,0))),DATE(VALUE(LEFT(INDEX($A467:$T467,MATCH(Lists!$F$5,$A$1:$T$1,0)),4)),VALUE(MID(INDEX($A467:$T467,MATCH(Lists!$F$5,$A$1:$T$1,0)),6,2)),VALUE(MID(INDEX($A467:$T467,MATCH(Lists!$F$5,$A$1:$T$1,0)),9,2))))),"")))</f>
        <v/>
      </c>
      <c r="AB467" s="21">
        <f>IF(Y467="","",IF(LEFT(IFERROR(TRIM(INDEX($A467:$T467,MATCH(Lists!$F$6,$A$1:$T$1,0))&amp;""),""),2)="No","General comment",IF(IFERROR(TRIM(INDEX($A467:$T467,MATCH(Lists!$F$7,$A$1:$T$1,0))&amp;""),"")&lt;&gt;"",IFERROR(TRIM(INDEX($A467:$T467,MATCH(Lists!$F$7,$A$1:$T$1,0))&amp;""),""),IF(IFERROR(TRIM(INDEX($A467:$T467,MATCH(Lists!$F$8,$A$1:$T$1,0))&amp;""),"")&lt;&gt;"",IFERROR(TRIM(INDEX($A467:$T467,MATCH(Lists!$F$8,$A$1:$T$1,0))&amp;""),""),"(no item given)"))))</f>
        <v/>
      </c>
      <c r="AC467" s="21">
        <f>IF(Y467="","",IF(ISNUMBER(SEARCH("support",IFERROR(TRIM(INDEX($A467:$T467,MATCH(Lists!$F$9,$A$1:$T$1,0))&amp;""),""))),"Support",IF(ISNUMBER(SEARCH("oppose",IFERROR(TRIM(INDEX($A467:$T467,MATCH(Lists!$F$9,$A$1:$T$1,0))&amp;""),""))),"Oppose",IF(IFERROR(TRIM(INDEX($A467:$T467,MATCH(Lists!$F$9,$A$1:$T$1,0))&amp;""),"")="","No position","Neither"))))</f>
        <v/>
      </c>
      <c r="AD467" s="21">
        <f>IF(Y467="","",IF(ISNUMBER(SEARCH("in person",IFERROR(TRIM(INDEX($A467:$T467,MATCH(Lists!$F$13,$A$1:$T$1,0))&amp;""),""))),"In person",IF(ISNUMBER(SEARCH("online",IFERROR(TRIM(INDEX($A467:$T467,MATCH(Lists!$F$13,$A$1:$T$1,0))&amp;""),""))),"Online","Written only")))</f>
        <v/>
      </c>
      <c r="AE467" s="21">
        <f>IF(Y467="","",IFERROR(TRIM(INDEX($A467:$T467,MATCH(Lists!$F$11,$A$1:$T$1,0))&amp;""),""))</f>
        <v/>
      </c>
      <c r="AF467" s="21">
        <f>IF(Y467="","",IFERROR(TRIM(INDEX($A467:$T467,MATCH(Lists!$F$12,$A$1:$T$1,0))&amp;""),""))</f>
        <v/>
      </c>
      <c r="AG467" s="21">
        <f>IF(Y467="","",IFERROR(TRIM(INDEX($A467:$T467,MATCH(Lists!$F$14,$A$1:$T$1,0))&amp;""),""))</f>
        <v/>
      </c>
      <c r="AH467" s="21">
        <f>IF(Y467="","",LEFT(IFERROR(TRIM(INDEX($A467:$T467,MATCH(Lists!$F$10,$A$1:$T$1,0))&amp;""),""),80))</f>
        <v/>
      </c>
      <c r="AI467" s="21">
        <f>IF(Y467="",0,IF(OR(Tally!$B$5="",AA467=Tally!$B$5),1,0))</f>
        <v/>
      </c>
      <c r="AJ467" s="21">
        <f>IF(AI467=1,IF(COUNTIFS($AB$2:AB467,AB467,$AI$2:AI467,1)=1,1,0),0)</f>
        <v/>
      </c>
      <c r="AK467" s="21">
        <f>IF(AJ467=1,SUM($AJ$2:AJ467),"")</f>
        <v/>
      </c>
      <c r="AL467" s="21">
        <f>IF(AND(AI467=1,OR(AD467="In person",AD467="Online"),OR(Speakers!$B$5="",AB467=Speakers!$B$5)),N(Z467)+ROW()/1000000000,"")</f>
        <v/>
      </c>
    </row>
    <row r="468">
      <c r="U468" s="19" t="n"/>
      <c r="V468" s="24" t="n"/>
      <c r="W468" s="24" t="n"/>
      <c r="X468" s="19" t="n"/>
      <c r="Y468" s="21">
        <f>IFERROR(TRIM(INDEX($A468:$T468,MATCH(Lists!$F$2,$A$1:$T$1,0))&amp;""),"")</f>
        <v/>
      </c>
      <c r="Z468" s="22">
        <f>IF(Y468="","",IFERROR(IF(ISNUMBER(INDEX($A468:$T468,MATCH(Lists!$F$3,$A$1:$T$1,0))),INDEX($A468:$T468,MATCH(Lists!$F$3,$A$1:$T$1,0)),DATE(VALUE(LEFT(IFERROR(TRIM(INDEX($A468:$T468,MATCH(Lists!$F$3,$A$1:$T$1,0))&amp;""),""),4)),VALUE(MID(IFERROR(TRIM(INDEX($A468:$T468,MATCH(Lists!$F$3,$A$1:$T$1,0))&amp;""),""),6,2)),VALUE(MID(IFERROR(TRIM(INDEX($A468:$T468,MATCH(Lists!$F$3,$A$1:$T$1,0))&amp;""),""),9,2)))+TIME(VALUE(MID(IFERROR(TRIM(INDEX($A468:$T468,MATCH(Lists!$F$3,$A$1:$T$1,0))&amp;""),""),12,2)),VALUE(MID(IFERROR(TRIM(INDEX($A468:$T468,MATCH(Lists!$F$3,$A$1:$T$1,0))&amp;""),""),15,2)),VALUE(MID(IFERROR(TRIM(INDEX($A468:$T468,MATCH(Lists!$F$3,$A$1:$T$1,0))&amp;""),""),18,2)))),""))</f>
        <v/>
      </c>
      <c r="AA468" s="23">
        <f>IF(Y468="","",IF(ISNUMBER(IFERROR(IF(TRIM(INDEX($A468:$T468,MATCH(Lists!$F$4,$A$1:$T$1,0))&amp;"")="","",IF(ISNUMBER(INDEX($A468:$T468,MATCH(Lists!$F$4,$A$1:$T$1,0))),INT(INDEX($A468:$T468,MATCH(Lists!$F$4,$A$1:$T$1,0))),DATE(VALUE(LEFT(INDEX($A468:$T468,MATCH(Lists!$F$4,$A$1:$T$1,0)),4)),VALUE(MID(INDEX($A468:$T468,MATCH(Lists!$F$4,$A$1:$T$1,0)),6,2)),VALUE(MID(INDEX($A468:$T468,MATCH(Lists!$F$4,$A$1:$T$1,0)),9,2))))),"")),IFERROR(IF(TRIM(INDEX($A468:$T468,MATCH(Lists!$F$4,$A$1:$T$1,0))&amp;"")="","",IF(ISNUMBER(INDEX($A468:$T468,MATCH(Lists!$F$4,$A$1:$T$1,0))),INT(INDEX($A468:$T468,MATCH(Lists!$F$4,$A$1:$T$1,0))),DATE(VALUE(LEFT(INDEX($A468:$T468,MATCH(Lists!$F$4,$A$1:$T$1,0)),4)),VALUE(MID(INDEX($A468:$T468,MATCH(Lists!$F$4,$A$1:$T$1,0)),6,2)),VALUE(MID(INDEX($A468:$T468,MATCH(Lists!$F$4,$A$1:$T$1,0)),9,2))))),""),IFERROR(IF(TRIM(INDEX($A468:$T468,MATCH(Lists!$F$5,$A$1:$T$1,0))&amp;"")="","",IF(ISNUMBER(INDEX($A468:$T468,MATCH(Lists!$F$5,$A$1:$T$1,0))),INT(INDEX($A468:$T468,MATCH(Lists!$F$5,$A$1:$T$1,0))),DATE(VALUE(LEFT(INDEX($A468:$T468,MATCH(Lists!$F$5,$A$1:$T$1,0)),4)),VALUE(MID(INDEX($A468:$T468,MATCH(Lists!$F$5,$A$1:$T$1,0)),6,2)),VALUE(MID(INDEX($A468:$T468,MATCH(Lists!$F$5,$A$1:$T$1,0)),9,2))))),"")))</f>
        <v/>
      </c>
      <c r="AB468" s="21">
        <f>IF(Y468="","",IF(LEFT(IFERROR(TRIM(INDEX($A468:$T468,MATCH(Lists!$F$6,$A$1:$T$1,0))&amp;""),""),2)="No","General comment",IF(IFERROR(TRIM(INDEX($A468:$T468,MATCH(Lists!$F$7,$A$1:$T$1,0))&amp;""),"")&lt;&gt;"",IFERROR(TRIM(INDEX($A468:$T468,MATCH(Lists!$F$7,$A$1:$T$1,0))&amp;""),""),IF(IFERROR(TRIM(INDEX($A468:$T468,MATCH(Lists!$F$8,$A$1:$T$1,0))&amp;""),"")&lt;&gt;"",IFERROR(TRIM(INDEX($A468:$T468,MATCH(Lists!$F$8,$A$1:$T$1,0))&amp;""),""),"(no item given)"))))</f>
        <v/>
      </c>
      <c r="AC468" s="21">
        <f>IF(Y468="","",IF(ISNUMBER(SEARCH("support",IFERROR(TRIM(INDEX($A468:$T468,MATCH(Lists!$F$9,$A$1:$T$1,0))&amp;""),""))),"Support",IF(ISNUMBER(SEARCH("oppose",IFERROR(TRIM(INDEX($A468:$T468,MATCH(Lists!$F$9,$A$1:$T$1,0))&amp;""),""))),"Oppose",IF(IFERROR(TRIM(INDEX($A468:$T468,MATCH(Lists!$F$9,$A$1:$T$1,0))&amp;""),"")="","No position","Neither"))))</f>
        <v/>
      </c>
      <c r="AD468" s="21">
        <f>IF(Y468="","",IF(ISNUMBER(SEARCH("in person",IFERROR(TRIM(INDEX($A468:$T468,MATCH(Lists!$F$13,$A$1:$T$1,0))&amp;""),""))),"In person",IF(ISNUMBER(SEARCH("online",IFERROR(TRIM(INDEX($A468:$T468,MATCH(Lists!$F$13,$A$1:$T$1,0))&amp;""),""))),"Online","Written only")))</f>
        <v/>
      </c>
      <c r="AE468" s="21">
        <f>IF(Y468="","",IFERROR(TRIM(INDEX($A468:$T468,MATCH(Lists!$F$11,$A$1:$T$1,0))&amp;""),""))</f>
        <v/>
      </c>
      <c r="AF468" s="21">
        <f>IF(Y468="","",IFERROR(TRIM(INDEX($A468:$T468,MATCH(Lists!$F$12,$A$1:$T$1,0))&amp;""),""))</f>
        <v/>
      </c>
      <c r="AG468" s="21">
        <f>IF(Y468="","",IFERROR(TRIM(INDEX($A468:$T468,MATCH(Lists!$F$14,$A$1:$T$1,0))&amp;""),""))</f>
        <v/>
      </c>
      <c r="AH468" s="21">
        <f>IF(Y468="","",LEFT(IFERROR(TRIM(INDEX($A468:$T468,MATCH(Lists!$F$10,$A$1:$T$1,0))&amp;""),""),80))</f>
        <v/>
      </c>
      <c r="AI468" s="21">
        <f>IF(Y468="",0,IF(OR(Tally!$B$5="",AA468=Tally!$B$5),1,0))</f>
        <v/>
      </c>
      <c r="AJ468" s="21">
        <f>IF(AI468=1,IF(COUNTIFS($AB$2:AB468,AB468,$AI$2:AI468,1)=1,1,0),0)</f>
        <v/>
      </c>
      <c r="AK468" s="21">
        <f>IF(AJ468=1,SUM($AJ$2:AJ468),"")</f>
        <v/>
      </c>
      <c r="AL468" s="21">
        <f>IF(AND(AI468=1,OR(AD468="In person",AD468="Online"),OR(Speakers!$B$5="",AB468=Speakers!$B$5)),N(Z468)+ROW()/1000000000,"")</f>
        <v/>
      </c>
    </row>
    <row r="469">
      <c r="U469" s="19" t="n"/>
      <c r="V469" s="24" t="n"/>
      <c r="W469" s="24" t="n"/>
      <c r="X469" s="19" t="n"/>
      <c r="Y469" s="21">
        <f>IFERROR(TRIM(INDEX($A469:$T469,MATCH(Lists!$F$2,$A$1:$T$1,0))&amp;""),"")</f>
        <v/>
      </c>
      <c r="Z469" s="22">
        <f>IF(Y469="","",IFERROR(IF(ISNUMBER(INDEX($A469:$T469,MATCH(Lists!$F$3,$A$1:$T$1,0))),INDEX($A469:$T469,MATCH(Lists!$F$3,$A$1:$T$1,0)),DATE(VALUE(LEFT(IFERROR(TRIM(INDEX($A469:$T469,MATCH(Lists!$F$3,$A$1:$T$1,0))&amp;""),""),4)),VALUE(MID(IFERROR(TRIM(INDEX($A469:$T469,MATCH(Lists!$F$3,$A$1:$T$1,0))&amp;""),""),6,2)),VALUE(MID(IFERROR(TRIM(INDEX($A469:$T469,MATCH(Lists!$F$3,$A$1:$T$1,0))&amp;""),""),9,2)))+TIME(VALUE(MID(IFERROR(TRIM(INDEX($A469:$T469,MATCH(Lists!$F$3,$A$1:$T$1,0))&amp;""),""),12,2)),VALUE(MID(IFERROR(TRIM(INDEX($A469:$T469,MATCH(Lists!$F$3,$A$1:$T$1,0))&amp;""),""),15,2)),VALUE(MID(IFERROR(TRIM(INDEX($A469:$T469,MATCH(Lists!$F$3,$A$1:$T$1,0))&amp;""),""),18,2)))),""))</f>
        <v/>
      </c>
      <c r="AA469" s="23">
        <f>IF(Y469="","",IF(ISNUMBER(IFERROR(IF(TRIM(INDEX($A469:$T469,MATCH(Lists!$F$4,$A$1:$T$1,0))&amp;"")="","",IF(ISNUMBER(INDEX($A469:$T469,MATCH(Lists!$F$4,$A$1:$T$1,0))),INT(INDEX($A469:$T469,MATCH(Lists!$F$4,$A$1:$T$1,0))),DATE(VALUE(LEFT(INDEX($A469:$T469,MATCH(Lists!$F$4,$A$1:$T$1,0)),4)),VALUE(MID(INDEX($A469:$T469,MATCH(Lists!$F$4,$A$1:$T$1,0)),6,2)),VALUE(MID(INDEX($A469:$T469,MATCH(Lists!$F$4,$A$1:$T$1,0)),9,2))))),"")),IFERROR(IF(TRIM(INDEX($A469:$T469,MATCH(Lists!$F$4,$A$1:$T$1,0))&amp;"")="","",IF(ISNUMBER(INDEX($A469:$T469,MATCH(Lists!$F$4,$A$1:$T$1,0))),INT(INDEX($A469:$T469,MATCH(Lists!$F$4,$A$1:$T$1,0))),DATE(VALUE(LEFT(INDEX($A469:$T469,MATCH(Lists!$F$4,$A$1:$T$1,0)),4)),VALUE(MID(INDEX($A469:$T469,MATCH(Lists!$F$4,$A$1:$T$1,0)),6,2)),VALUE(MID(INDEX($A469:$T469,MATCH(Lists!$F$4,$A$1:$T$1,0)),9,2))))),""),IFERROR(IF(TRIM(INDEX($A469:$T469,MATCH(Lists!$F$5,$A$1:$T$1,0))&amp;"")="","",IF(ISNUMBER(INDEX($A469:$T469,MATCH(Lists!$F$5,$A$1:$T$1,0))),INT(INDEX($A469:$T469,MATCH(Lists!$F$5,$A$1:$T$1,0))),DATE(VALUE(LEFT(INDEX($A469:$T469,MATCH(Lists!$F$5,$A$1:$T$1,0)),4)),VALUE(MID(INDEX($A469:$T469,MATCH(Lists!$F$5,$A$1:$T$1,0)),6,2)),VALUE(MID(INDEX($A469:$T469,MATCH(Lists!$F$5,$A$1:$T$1,0)),9,2))))),"")))</f>
        <v/>
      </c>
      <c r="AB469" s="21">
        <f>IF(Y469="","",IF(LEFT(IFERROR(TRIM(INDEX($A469:$T469,MATCH(Lists!$F$6,$A$1:$T$1,0))&amp;""),""),2)="No","General comment",IF(IFERROR(TRIM(INDEX($A469:$T469,MATCH(Lists!$F$7,$A$1:$T$1,0))&amp;""),"")&lt;&gt;"",IFERROR(TRIM(INDEX($A469:$T469,MATCH(Lists!$F$7,$A$1:$T$1,0))&amp;""),""),IF(IFERROR(TRIM(INDEX($A469:$T469,MATCH(Lists!$F$8,$A$1:$T$1,0))&amp;""),"")&lt;&gt;"",IFERROR(TRIM(INDEX($A469:$T469,MATCH(Lists!$F$8,$A$1:$T$1,0))&amp;""),""),"(no item given)"))))</f>
        <v/>
      </c>
      <c r="AC469" s="21">
        <f>IF(Y469="","",IF(ISNUMBER(SEARCH("support",IFERROR(TRIM(INDEX($A469:$T469,MATCH(Lists!$F$9,$A$1:$T$1,0))&amp;""),""))),"Support",IF(ISNUMBER(SEARCH("oppose",IFERROR(TRIM(INDEX($A469:$T469,MATCH(Lists!$F$9,$A$1:$T$1,0))&amp;""),""))),"Oppose",IF(IFERROR(TRIM(INDEX($A469:$T469,MATCH(Lists!$F$9,$A$1:$T$1,0))&amp;""),"")="","No position","Neither"))))</f>
        <v/>
      </c>
      <c r="AD469" s="21">
        <f>IF(Y469="","",IF(ISNUMBER(SEARCH("in person",IFERROR(TRIM(INDEX($A469:$T469,MATCH(Lists!$F$13,$A$1:$T$1,0))&amp;""),""))),"In person",IF(ISNUMBER(SEARCH("online",IFERROR(TRIM(INDEX($A469:$T469,MATCH(Lists!$F$13,$A$1:$T$1,0))&amp;""),""))),"Online","Written only")))</f>
        <v/>
      </c>
      <c r="AE469" s="21">
        <f>IF(Y469="","",IFERROR(TRIM(INDEX($A469:$T469,MATCH(Lists!$F$11,$A$1:$T$1,0))&amp;""),""))</f>
        <v/>
      </c>
      <c r="AF469" s="21">
        <f>IF(Y469="","",IFERROR(TRIM(INDEX($A469:$T469,MATCH(Lists!$F$12,$A$1:$T$1,0))&amp;""),""))</f>
        <v/>
      </c>
      <c r="AG469" s="21">
        <f>IF(Y469="","",IFERROR(TRIM(INDEX($A469:$T469,MATCH(Lists!$F$14,$A$1:$T$1,0))&amp;""),""))</f>
        <v/>
      </c>
      <c r="AH469" s="21">
        <f>IF(Y469="","",LEFT(IFERROR(TRIM(INDEX($A469:$T469,MATCH(Lists!$F$10,$A$1:$T$1,0))&amp;""),""),80))</f>
        <v/>
      </c>
      <c r="AI469" s="21">
        <f>IF(Y469="",0,IF(OR(Tally!$B$5="",AA469=Tally!$B$5),1,0))</f>
        <v/>
      </c>
      <c r="AJ469" s="21">
        <f>IF(AI469=1,IF(COUNTIFS($AB$2:AB469,AB469,$AI$2:AI469,1)=1,1,0),0)</f>
        <v/>
      </c>
      <c r="AK469" s="21">
        <f>IF(AJ469=1,SUM($AJ$2:AJ469),"")</f>
        <v/>
      </c>
      <c r="AL469" s="21">
        <f>IF(AND(AI469=1,OR(AD469="In person",AD469="Online"),OR(Speakers!$B$5="",AB469=Speakers!$B$5)),N(Z469)+ROW()/1000000000,"")</f>
        <v/>
      </c>
    </row>
    <row r="470">
      <c r="U470" s="19" t="n"/>
      <c r="V470" s="24" t="n"/>
      <c r="W470" s="24" t="n"/>
      <c r="X470" s="19" t="n"/>
      <c r="Y470" s="21">
        <f>IFERROR(TRIM(INDEX($A470:$T470,MATCH(Lists!$F$2,$A$1:$T$1,0))&amp;""),"")</f>
        <v/>
      </c>
      <c r="Z470" s="22">
        <f>IF(Y470="","",IFERROR(IF(ISNUMBER(INDEX($A470:$T470,MATCH(Lists!$F$3,$A$1:$T$1,0))),INDEX($A470:$T470,MATCH(Lists!$F$3,$A$1:$T$1,0)),DATE(VALUE(LEFT(IFERROR(TRIM(INDEX($A470:$T470,MATCH(Lists!$F$3,$A$1:$T$1,0))&amp;""),""),4)),VALUE(MID(IFERROR(TRIM(INDEX($A470:$T470,MATCH(Lists!$F$3,$A$1:$T$1,0))&amp;""),""),6,2)),VALUE(MID(IFERROR(TRIM(INDEX($A470:$T470,MATCH(Lists!$F$3,$A$1:$T$1,0))&amp;""),""),9,2)))+TIME(VALUE(MID(IFERROR(TRIM(INDEX($A470:$T470,MATCH(Lists!$F$3,$A$1:$T$1,0))&amp;""),""),12,2)),VALUE(MID(IFERROR(TRIM(INDEX($A470:$T470,MATCH(Lists!$F$3,$A$1:$T$1,0))&amp;""),""),15,2)),VALUE(MID(IFERROR(TRIM(INDEX($A470:$T470,MATCH(Lists!$F$3,$A$1:$T$1,0))&amp;""),""),18,2)))),""))</f>
        <v/>
      </c>
      <c r="AA470" s="23">
        <f>IF(Y470="","",IF(ISNUMBER(IFERROR(IF(TRIM(INDEX($A470:$T470,MATCH(Lists!$F$4,$A$1:$T$1,0))&amp;"")="","",IF(ISNUMBER(INDEX($A470:$T470,MATCH(Lists!$F$4,$A$1:$T$1,0))),INT(INDEX($A470:$T470,MATCH(Lists!$F$4,$A$1:$T$1,0))),DATE(VALUE(LEFT(INDEX($A470:$T470,MATCH(Lists!$F$4,$A$1:$T$1,0)),4)),VALUE(MID(INDEX($A470:$T470,MATCH(Lists!$F$4,$A$1:$T$1,0)),6,2)),VALUE(MID(INDEX($A470:$T470,MATCH(Lists!$F$4,$A$1:$T$1,0)),9,2))))),"")),IFERROR(IF(TRIM(INDEX($A470:$T470,MATCH(Lists!$F$4,$A$1:$T$1,0))&amp;"")="","",IF(ISNUMBER(INDEX($A470:$T470,MATCH(Lists!$F$4,$A$1:$T$1,0))),INT(INDEX($A470:$T470,MATCH(Lists!$F$4,$A$1:$T$1,0))),DATE(VALUE(LEFT(INDEX($A470:$T470,MATCH(Lists!$F$4,$A$1:$T$1,0)),4)),VALUE(MID(INDEX($A470:$T470,MATCH(Lists!$F$4,$A$1:$T$1,0)),6,2)),VALUE(MID(INDEX($A470:$T470,MATCH(Lists!$F$4,$A$1:$T$1,0)),9,2))))),""),IFERROR(IF(TRIM(INDEX($A470:$T470,MATCH(Lists!$F$5,$A$1:$T$1,0))&amp;"")="","",IF(ISNUMBER(INDEX($A470:$T470,MATCH(Lists!$F$5,$A$1:$T$1,0))),INT(INDEX($A470:$T470,MATCH(Lists!$F$5,$A$1:$T$1,0))),DATE(VALUE(LEFT(INDEX($A470:$T470,MATCH(Lists!$F$5,$A$1:$T$1,0)),4)),VALUE(MID(INDEX($A470:$T470,MATCH(Lists!$F$5,$A$1:$T$1,0)),6,2)),VALUE(MID(INDEX($A470:$T470,MATCH(Lists!$F$5,$A$1:$T$1,0)),9,2))))),"")))</f>
        <v/>
      </c>
      <c r="AB470" s="21">
        <f>IF(Y470="","",IF(LEFT(IFERROR(TRIM(INDEX($A470:$T470,MATCH(Lists!$F$6,$A$1:$T$1,0))&amp;""),""),2)="No","General comment",IF(IFERROR(TRIM(INDEX($A470:$T470,MATCH(Lists!$F$7,$A$1:$T$1,0))&amp;""),"")&lt;&gt;"",IFERROR(TRIM(INDEX($A470:$T470,MATCH(Lists!$F$7,$A$1:$T$1,0))&amp;""),""),IF(IFERROR(TRIM(INDEX($A470:$T470,MATCH(Lists!$F$8,$A$1:$T$1,0))&amp;""),"")&lt;&gt;"",IFERROR(TRIM(INDEX($A470:$T470,MATCH(Lists!$F$8,$A$1:$T$1,0))&amp;""),""),"(no item given)"))))</f>
        <v/>
      </c>
      <c r="AC470" s="21">
        <f>IF(Y470="","",IF(ISNUMBER(SEARCH("support",IFERROR(TRIM(INDEX($A470:$T470,MATCH(Lists!$F$9,$A$1:$T$1,0))&amp;""),""))),"Support",IF(ISNUMBER(SEARCH("oppose",IFERROR(TRIM(INDEX($A470:$T470,MATCH(Lists!$F$9,$A$1:$T$1,0))&amp;""),""))),"Oppose",IF(IFERROR(TRIM(INDEX($A470:$T470,MATCH(Lists!$F$9,$A$1:$T$1,0))&amp;""),"")="","No position","Neither"))))</f>
        <v/>
      </c>
      <c r="AD470" s="21">
        <f>IF(Y470="","",IF(ISNUMBER(SEARCH("in person",IFERROR(TRIM(INDEX($A470:$T470,MATCH(Lists!$F$13,$A$1:$T$1,0))&amp;""),""))),"In person",IF(ISNUMBER(SEARCH("online",IFERROR(TRIM(INDEX($A470:$T470,MATCH(Lists!$F$13,$A$1:$T$1,0))&amp;""),""))),"Online","Written only")))</f>
        <v/>
      </c>
      <c r="AE470" s="21">
        <f>IF(Y470="","",IFERROR(TRIM(INDEX($A470:$T470,MATCH(Lists!$F$11,$A$1:$T$1,0))&amp;""),""))</f>
        <v/>
      </c>
      <c r="AF470" s="21">
        <f>IF(Y470="","",IFERROR(TRIM(INDEX($A470:$T470,MATCH(Lists!$F$12,$A$1:$T$1,0))&amp;""),""))</f>
        <v/>
      </c>
      <c r="AG470" s="21">
        <f>IF(Y470="","",IFERROR(TRIM(INDEX($A470:$T470,MATCH(Lists!$F$14,$A$1:$T$1,0))&amp;""),""))</f>
        <v/>
      </c>
      <c r="AH470" s="21">
        <f>IF(Y470="","",LEFT(IFERROR(TRIM(INDEX($A470:$T470,MATCH(Lists!$F$10,$A$1:$T$1,0))&amp;""),""),80))</f>
        <v/>
      </c>
      <c r="AI470" s="21">
        <f>IF(Y470="",0,IF(OR(Tally!$B$5="",AA470=Tally!$B$5),1,0))</f>
        <v/>
      </c>
      <c r="AJ470" s="21">
        <f>IF(AI470=1,IF(COUNTIFS($AB$2:AB470,AB470,$AI$2:AI470,1)=1,1,0),0)</f>
        <v/>
      </c>
      <c r="AK470" s="21">
        <f>IF(AJ470=1,SUM($AJ$2:AJ470),"")</f>
        <v/>
      </c>
      <c r="AL470" s="21">
        <f>IF(AND(AI470=1,OR(AD470="In person",AD470="Online"),OR(Speakers!$B$5="",AB470=Speakers!$B$5)),N(Z470)+ROW()/1000000000,"")</f>
        <v/>
      </c>
    </row>
    <row r="471">
      <c r="U471" s="19" t="n"/>
      <c r="V471" s="24" t="n"/>
      <c r="W471" s="24" t="n"/>
      <c r="X471" s="19" t="n"/>
      <c r="Y471" s="21">
        <f>IFERROR(TRIM(INDEX($A471:$T471,MATCH(Lists!$F$2,$A$1:$T$1,0))&amp;""),"")</f>
        <v/>
      </c>
      <c r="Z471" s="22">
        <f>IF(Y471="","",IFERROR(IF(ISNUMBER(INDEX($A471:$T471,MATCH(Lists!$F$3,$A$1:$T$1,0))),INDEX($A471:$T471,MATCH(Lists!$F$3,$A$1:$T$1,0)),DATE(VALUE(LEFT(IFERROR(TRIM(INDEX($A471:$T471,MATCH(Lists!$F$3,$A$1:$T$1,0))&amp;""),""),4)),VALUE(MID(IFERROR(TRIM(INDEX($A471:$T471,MATCH(Lists!$F$3,$A$1:$T$1,0))&amp;""),""),6,2)),VALUE(MID(IFERROR(TRIM(INDEX($A471:$T471,MATCH(Lists!$F$3,$A$1:$T$1,0))&amp;""),""),9,2)))+TIME(VALUE(MID(IFERROR(TRIM(INDEX($A471:$T471,MATCH(Lists!$F$3,$A$1:$T$1,0))&amp;""),""),12,2)),VALUE(MID(IFERROR(TRIM(INDEX($A471:$T471,MATCH(Lists!$F$3,$A$1:$T$1,0))&amp;""),""),15,2)),VALUE(MID(IFERROR(TRIM(INDEX($A471:$T471,MATCH(Lists!$F$3,$A$1:$T$1,0))&amp;""),""),18,2)))),""))</f>
        <v/>
      </c>
      <c r="AA471" s="23">
        <f>IF(Y471="","",IF(ISNUMBER(IFERROR(IF(TRIM(INDEX($A471:$T471,MATCH(Lists!$F$4,$A$1:$T$1,0))&amp;"")="","",IF(ISNUMBER(INDEX($A471:$T471,MATCH(Lists!$F$4,$A$1:$T$1,0))),INT(INDEX($A471:$T471,MATCH(Lists!$F$4,$A$1:$T$1,0))),DATE(VALUE(LEFT(INDEX($A471:$T471,MATCH(Lists!$F$4,$A$1:$T$1,0)),4)),VALUE(MID(INDEX($A471:$T471,MATCH(Lists!$F$4,$A$1:$T$1,0)),6,2)),VALUE(MID(INDEX($A471:$T471,MATCH(Lists!$F$4,$A$1:$T$1,0)),9,2))))),"")),IFERROR(IF(TRIM(INDEX($A471:$T471,MATCH(Lists!$F$4,$A$1:$T$1,0))&amp;"")="","",IF(ISNUMBER(INDEX($A471:$T471,MATCH(Lists!$F$4,$A$1:$T$1,0))),INT(INDEX($A471:$T471,MATCH(Lists!$F$4,$A$1:$T$1,0))),DATE(VALUE(LEFT(INDEX($A471:$T471,MATCH(Lists!$F$4,$A$1:$T$1,0)),4)),VALUE(MID(INDEX($A471:$T471,MATCH(Lists!$F$4,$A$1:$T$1,0)),6,2)),VALUE(MID(INDEX($A471:$T471,MATCH(Lists!$F$4,$A$1:$T$1,0)),9,2))))),""),IFERROR(IF(TRIM(INDEX($A471:$T471,MATCH(Lists!$F$5,$A$1:$T$1,0))&amp;"")="","",IF(ISNUMBER(INDEX($A471:$T471,MATCH(Lists!$F$5,$A$1:$T$1,0))),INT(INDEX($A471:$T471,MATCH(Lists!$F$5,$A$1:$T$1,0))),DATE(VALUE(LEFT(INDEX($A471:$T471,MATCH(Lists!$F$5,$A$1:$T$1,0)),4)),VALUE(MID(INDEX($A471:$T471,MATCH(Lists!$F$5,$A$1:$T$1,0)),6,2)),VALUE(MID(INDEX($A471:$T471,MATCH(Lists!$F$5,$A$1:$T$1,0)),9,2))))),"")))</f>
        <v/>
      </c>
      <c r="AB471" s="21">
        <f>IF(Y471="","",IF(LEFT(IFERROR(TRIM(INDEX($A471:$T471,MATCH(Lists!$F$6,$A$1:$T$1,0))&amp;""),""),2)="No","General comment",IF(IFERROR(TRIM(INDEX($A471:$T471,MATCH(Lists!$F$7,$A$1:$T$1,0))&amp;""),"")&lt;&gt;"",IFERROR(TRIM(INDEX($A471:$T471,MATCH(Lists!$F$7,$A$1:$T$1,0))&amp;""),""),IF(IFERROR(TRIM(INDEX($A471:$T471,MATCH(Lists!$F$8,$A$1:$T$1,0))&amp;""),"")&lt;&gt;"",IFERROR(TRIM(INDEX($A471:$T471,MATCH(Lists!$F$8,$A$1:$T$1,0))&amp;""),""),"(no item given)"))))</f>
        <v/>
      </c>
      <c r="AC471" s="21">
        <f>IF(Y471="","",IF(ISNUMBER(SEARCH("support",IFERROR(TRIM(INDEX($A471:$T471,MATCH(Lists!$F$9,$A$1:$T$1,0))&amp;""),""))),"Support",IF(ISNUMBER(SEARCH("oppose",IFERROR(TRIM(INDEX($A471:$T471,MATCH(Lists!$F$9,$A$1:$T$1,0))&amp;""),""))),"Oppose",IF(IFERROR(TRIM(INDEX($A471:$T471,MATCH(Lists!$F$9,$A$1:$T$1,0))&amp;""),"")="","No position","Neither"))))</f>
        <v/>
      </c>
      <c r="AD471" s="21">
        <f>IF(Y471="","",IF(ISNUMBER(SEARCH("in person",IFERROR(TRIM(INDEX($A471:$T471,MATCH(Lists!$F$13,$A$1:$T$1,0))&amp;""),""))),"In person",IF(ISNUMBER(SEARCH("online",IFERROR(TRIM(INDEX($A471:$T471,MATCH(Lists!$F$13,$A$1:$T$1,0))&amp;""),""))),"Online","Written only")))</f>
        <v/>
      </c>
      <c r="AE471" s="21">
        <f>IF(Y471="","",IFERROR(TRIM(INDEX($A471:$T471,MATCH(Lists!$F$11,$A$1:$T$1,0))&amp;""),""))</f>
        <v/>
      </c>
      <c r="AF471" s="21">
        <f>IF(Y471="","",IFERROR(TRIM(INDEX($A471:$T471,MATCH(Lists!$F$12,$A$1:$T$1,0))&amp;""),""))</f>
        <v/>
      </c>
      <c r="AG471" s="21">
        <f>IF(Y471="","",IFERROR(TRIM(INDEX($A471:$T471,MATCH(Lists!$F$14,$A$1:$T$1,0))&amp;""),""))</f>
        <v/>
      </c>
      <c r="AH471" s="21">
        <f>IF(Y471="","",LEFT(IFERROR(TRIM(INDEX($A471:$T471,MATCH(Lists!$F$10,$A$1:$T$1,0))&amp;""),""),80))</f>
        <v/>
      </c>
      <c r="AI471" s="21">
        <f>IF(Y471="",0,IF(OR(Tally!$B$5="",AA471=Tally!$B$5),1,0))</f>
        <v/>
      </c>
      <c r="AJ471" s="21">
        <f>IF(AI471=1,IF(COUNTIFS($AB$2:AB471,AB471,$AI$2:AI471,1)=1,1,0),0)</f>
        <v/>
      </c>
      <c r="AK471" s="21">
        <f>IF(AJ471=1,SUM($AJ$2:AJ471),"")</f>
        <v/>
      </c>
      <c r="AL471" s="21">
        <f>IF(AND(AI471=1,OR(AD471="In person",AD471="Online"),OR(Speakers!$B$5="",AB471=Speakers!$B$5)),N(Z471)+ROW()/1000000000,"")</f>
        <v/>
      </c>
    </row>
    <row r="472">
      <c r="U472" s="19" t="n"/>
      <c r="V472" s="24" t="n"/>
      <c r="W472" s="24" t="n"/>
      <c r="X472" s="19" t="n"/>
      <c r="Y472" s="21">
        <f>IFERROR(TRIM(INDEX($A472:$T472,MATCH(Lists!$F$2,$A$1:$T$1,0))&amp;""),"")</f>
        <v/>
      </c>
      <c r="Z472" s="22">
        <f>IF(Y472="","",IFERROR(IF(ISNUMBER(INDEX($A472:$T472,MATCH(Lists!$F$3,$A$1:$T$1,0))),INDEX($A472:$T472,MATCH(Lists!$F$3,$A$1:$T$1,0)),DATE(VALUE(LEFT(IFERROR(TRIM(INDEX($A472:$T472,MATCH(Lists!$F$3,$A$1:$T$1,0))&amp;""),""),4)),VALUE(MID(IFERROR(TRIM(INDEX($A472:$T472,MATCH(Lists!$F$3,$A$1:$T$1,0))&amp;""),""),6,2)),VALUE(MID(IFERROR(TRIM(INDEX($A472:$T472,MATCH(Lists!$F$3,$A$1:$T$1,0))&amp;""),""),9,2)))+TIME(VALUE(MID(IFERROR(TRIM(INDEX($A472:$T472,MATCH(Lists!$F$3,$A$1:$T$1,0))&amp;""),""),12,2)),VALUE(MID(IFERROR(TRIM(INDEX($A472:$T472,MATCH(Lists!$F$3,$A$1:$T$1,0))&amp;""),""),15,2)),VALUE(MID(IFERROR(TRIM(INDEX($A472:$T472,MATCH(Lists!$F$3,$A$1:$T$1,0))&amp;""),""),18,2)))),""))</f>
        <v/>
      </c>
      <c r="AA472" s="23">
        <f>IF(Y472="","",IF(ISNUMBER(IFERROR(IF(TRIM(INDEX($A472:$T472,MATCH(Lists!$F$4,$A$1:$T$1,0))&amp;"")="","",IF(ISNUMBER(INDEX($A472:$T472,MATCH(Lists!$F$4,$A$1:$T$1,0))),INT(INDEX($A472:$T472,MATCH(Lists!$F$4,$A$1:$T$1,0))),DATE(VALUE(LEFT(INDEX($A472:$T472,MATCH(Lists!$F$4,$A$1:$T$1,0)),4)),VALUE(MID(INDEX($A472:$T472,MATCH(Lists!$F$4,$A$1:$T$1,0)),6,2)),VALUE(MID(INDEX($A472:$T472,MATCH(Lists!$F$4,$A$1:$T$1,0)),9,2))))),"")),IFERROR(IF(TRIM(INDEX($A472:$T472,MATCH(Lists!$F$4,$A$1:$T$1,0))&amp;"")="","",IF(ISNUMBER(INDEX($A472:$T472,MATCH(Lists!$F$4,$A$1:$T$1,0))),INT(INDEX($A472:$T472,MATCH(Lists!$F$4,$A$1:$T$1,0))),DATE(VALUE(LEFT(INDEX($A472:$T472,MATCH(Lists!$F$4,$A$1:$T$1,0)),4)),VALUE(MID(INDEX($A472:$T472,MATCH(Lists!$F$4,$A$1:$T$1,0)),6,2)),VALUE(MID(INDEX($A472:$T472,MATCH(Lists!$F$4,$A$1:$T$1,0)),9,2))))),""),IFERROR(IF(TRIM(INDEX($A472:$T472,MATCH(Lists!$F$5,$A$1:$T$1,0))&amp;"")="","",IF(ISNUMBER(INDEX($A472:$T472,MATCH(Lists!$F$5,$A$1:$T$1,0))),INT(INDEX($A472:$T472,MATCH(Lists!$F$5,$A$1:$T$1,0))),DATE(VALUE(LEFT(INDEX($A472:$T472,MATCH(Lists!$F$5,$A$1:$T$1,0)),4)),VALUE(MID(INDEX($A472:$T472,MATCH(Lists!$F$5,$A$1:$T$1,0)),6,2)),VALUE(MID(INDEX($A472:$T472,MATCH(Lists!$F$5,$A$1:$T$1,0)),9,2))))),"")))</f>
        <v/>
      </c>
      <c r="AB472" s="21">
        <f>IF(Y472="","",IF(LEFT(IFERROR(TRIM(INDEX($A472:$T472,MATCH(Lists!$F$6,$A$1:$T$1,0))&amp;""),""),2)="No","General comment",IF(IFERROR(TRIM(INDEX($A472:$T472,MATCH(Lists!$F$7,$A$1:$T$1,0))&amp;""),"")&lt;&gt;"",IFERROR(TRIM(INDEX($A472:$T472,MATCH(Lists!$F$7,$A$1:$T$1,0))&amp;""),""),IF(IFERROR(TRIM(INDEX($A472:$T472,MATCH(Lists!$F$8,$A$1:$T$1,0))&amp;""),"")&lt;&gt;"",IFERROR(TRIM(INDEX($A472:$T472,MATCH(Lists!$F$8,$A$1:$T$1,0))&amp;""),""),"(no item given)"))))</f>
        <v/>
      </c>
      <c r="AC472" s="21">
        <f>IF(Y472="","",IF(ISNUMBER(SEARCH("support",IFERROR(TRIM(INDEX($A472:$T472,MATCH(Lists!$F$9,$A$1:$T$1,0))&amp;""),""))),"Support",IF(ISNUMBER(SEARCH("oppose",IFERROR(TRIM(INDEX($A472:$T472,MATCH(Lists!$F$9,$A$1:$T$1,0))&amp;""),""))),"Oppose",IF(IFERROR(TRIM(INDEX($A472:$T472,MATCH(Lists!$F$9,$A$1:$T$1,0))&amp;""),"")="","No position","Neither"))))</f>
        <v/>
      </c>
      <c r="AD472" s="21">
        <f>IF(Y472="","",IF(ISNUMBER(SEARCH("in person",IFERROR(TRIM(INDEX($A472:$T472,MATCH(Lists!$F$13,$A$1:$T$1,0))&amp;""),""))),"In person",IF(ISNUMBER(SEARCH("online",IFERROR(TRIM(INDEX($A472:$T472,MATCH(Lists!$F$13,$A$1:$T$1,0))&amp;""),""))),"Online","Written only")))</f>
        <v/>
      </c>
      <c r="AE472" s="21">
        <f>IF(Y472="","",IFERROR(TRIM(INDEX($A472:$T472,MATCH(Lists!$F$11,$A$1:$T$1,0))&amp;""),""))</f>
        <v/>
      </c>
      <c r="AF472" s="21">
        <f>IF(Y472="","",IFERROR(TRIM(INDEX($A472:$T472,MATCH(Lists!$F$12,$A$1:$T$1,0))&amp;""),""))</f>
        <v/>
      </c>
      <c r="AG472" s="21">
        <f>IF(Y472="","",IFERROR(TRIM(INDEX($A472:$T472,MATCH(Lists!$F$14,$A$1:$T$1,0))&amp;""),""))</f>
        <v/>
      </c>
      <c r="AH472" s="21">
        <f>IF(Y472="","",LEFT(IFERROR(TRIM(INDEX($A472:$T472,MATCH(Lists!$F$10,$A$1:$T$1,0))&amp;""),""),80))</f>
        <v/>
      </c>
      <c r="AI472" s="21">
        <f>IF(Y472="",0,IF(OR(Tally!$B$5="",AA472=Tally!$B$5),1,0))</f>
        <v/>
      </c>
      <c r="AJ472" s="21">
        <f>IF(AI472=1,IF(COUNTIFS($AB$2:AB472,AB472,$AI$2:AI472,1)=1,1,0),0)</f>
        <v/>
      </c>
      <c r="AK472" s="21">
        <f>IF(AJ472=1,SUM($AJ$2:AJ472),"")</f>
        <v/>
      </c>
      <c r="AL472" s="21">
        <f>IF(AND(AI472=1,OR(AD472="In person",AD472="Online"),OR(Speakers!$B$5="",AB472=Speakers!$B$5)),N(Z472)+ROW()/1000000000,"")</f>
        <v/>
      </c>
    </row>
    <row r="473">
      <c r="U473" s="19" t="n"/>
      <c r="V473" s="24" t="n"/>
      <c r="W473" s="24" t="n"/>
      <c r="X473" s="19" t="n"/>
      <c r="Y473" s="21">
        <f>IFERROR(TRIM(INDEX($A473:$T473,MATCH(Lists!$F$2,$A$1:$T$1,0))&amp;""),"")</f>
        <v/>
      </c>
      <c r="Z473" s="22">
        <f>IF(Y473="","",IFERROR(IF(ISNUMBER(INDEX($A473:$T473,MATCH(Lists!$F$3,$A$1:$T$1,0))),INDEX($A473:$T473,MATCH(Lists!$F$3,$A$1:$T$1,0)),DATE(VALUE(LEFT(IFERROR(TRIM(INDEX($A473:$T473,MATCH(Lists!$F$3,$A$1:$T$1,0))&amp;""),""),4)),VALUE(MID(IFERROR(TRIM(INDEX($A473:$T473,MATCH(Lists!$F$3,$A$1:$T$1,0))&amp;""),""),6,2)),VALUE(MID(IFERROR(TRIM(INDEX($A473:$T473,MATCH(Lists!$F$3,$A$1:$T$1,0))&amp;""),""),9,2)))+TIME(VALUE(MID(IFERROR(TRIM(INDEX($A473:$T473,MATCH(Lists!$F$3,$A$1:$T$1,0))&amp;""),""),12,2)),VALUE(MID(IFERROR(TRIM(INDEX($A473:$T473,MATCH(Lists!$F$3,$A$1:$T$1,0))&amp;""),""),15,2)),VALUE(MID(IFERROR(TRIM(INDEX($A473:$T473,MATCH(Lists!$F$3,$A$1:$T$1,0))&amp;""),""),18,2)))),""))</f>
        <v/>
      </c>
      <c r="AA473" s="23">
        <f>IF(Y473="","",IF(ISNUMBER(IFERROR(IF(TRIM(INDEX($A473:$T473,MATCH(Lists!$F$4,$A$1:$T$1,0))&amp;"")="","",IF(ISNUMBER(INDEX($A473:$T473,MATCH(Lists!$F$4,$A$1:$T$1,0))),INT(INDEX($A473:$T473,MATCH(Lists!$F$4,$A$1:$T$1,0))),DATE(VALUE(LEFT(INDEX($A473:$T473,MATCH(Lists!$F$4,$A$1:$T$1,0)),4)),VALUE(MID(INDEX($A473:$T473,MATCH(Lists!$F$4,$A$1:$T$1,0)),6,2)),VALUE(MID(INDEX($A473:$T473,MATCH(Lists!$F$4,$A$1:$T$1,0)),9,2))))),"")),IFERROR(IF(TRIM(INDEX($A473:$T473,MATCH(Lists!$F$4,$A$1:$T$1,0))&amp;"")="","",IF(ISNUMBER(INDEX($A473:$T473,MATCH(Lists!$F$4,$A$1:$T$1,0))),INT(INDEX($A473:$T473,MATCH(Lists!$F$4,$A$1:$T$1,0))),DATE(VALUE(LEFT(INDEX($A473:$T473,MATCH(Lists!$F$4,$A$1:$T$1,0)),4)),VALUE(MID(INDEX($A473:$T473,MATCH(Lists!$F$4,$A$1:$T$1,0)),6,2)),VALUE(MID(INDEX($A473:$T473,MATCH(Lists!$F$4,$A$1:$T$1,0)),9,2))))),""),IFERROR(IF(TRIM(INDEX($A473:$T473,MATCH(Lists!$F$5,$A$1:$T$1,0))&amp;"")="","",IF(ISNUMBER(INDEX($A473:$T473,MATCH(Lists!$F$5,$A$1:$T$1,0))),INT(INDEX($A473:$T473,MATCH(Lists!$F$5,$A$1:$T$1,0))),DATE(VALUE(LEFT(INDEX($A473:$T473,MATCH(Lists!$F$5,$A$1:$T$1,0)),4)),VALUE(MID(INDEX($A473:$T473,MATCH(Lists!$F$5,$A$1:$T$1,0)),6,2)),VALUE(MID(INDEX($A473:$T473,MATCH(Lists!$F$5,$A$1:$T$1,0)),9,2))))),"")))</f>
        <v/>
      </c>
      <c r="AB473" s="21">
        <f>IF(Y473="","",IF(LEFT(IFERROR(TRIM(INDEX($A473:$T473,MATCH(Lists!$F$6,$A$1:$T$1,0))&amp;""),""),2)="No","General comment",IF(IFERROR(TRIM(INDEX($A473:$T473,MATCH(Lists!$F$7,$A$1:$T$1,0))&amp;""),"")&lt;&gt;"",IFERROR(TRIM(INDEX($A473:$T473,MATCH(Lists!$F$7,$A$1:$T$1,0))&amp;""),""),IF(IFERROR(TRIM(INDEX($A473:$T473,MATCH(Lists!$F$8,$A$1:$T$1,0))&amp;""),"")&lt;&gt;"",IFERROR(TRIM(INDEX($A473:$T473,MATCH(Lists!$F$8,$A$1:$T$1,0))&amp;""),""),"(no item given)"))))</f>
        <v/>
      </c>
      <c r="AC473" s="21">
        <f>IF(Y473="","",IF(ISNUMBER(SEARCH("support",IFERROR(TRIM(INDEX($A473:$T473,MATCH(Lists!$F$9,$A$1:$T$1,0))&amp;""),""))),"Support",IF(ISNUMBER(SEARCH("oppose",IFERROR(TRIM(INDEX($A473:$T473,MATCH(Lists!$F$9,$A$1:$T$1,0))&amp;""),""))),"Oppose",IF(IFERROR(TRIM(INDEX($A473:$T473,MATCH(Lists!$F$9,$A$1:$T$1,0))&amp;""),"")="","No position","Neither"))))</f>
        <v/>
      </c>
      <c r="AD473" s="21">
        <f>IF(Y473="","",IF(ISNUMBER(SEARCH("in person",IFERROR(TRIM(INDEX($A473:$T473,MATCH(Lists!$F$13,$A$1:$T$1,0))&amp;""),""))),"In person",IF(ISNUMBER(SEARCH("online",IFERROR(TRIM(INDEX($A473:$T473,MATCH(Lists!$F$13,$A$1:$T$1,0))&amp;""),""))),"Online","Written only")))</f>
        <v/>
      </c>
      <c r="AE473" s="21">
        <f>IF(Y473="","",IFERROR(TRIM(INDEX($A473:$T473,MATCH(Lists!$F$11,$A$1:$T$1,0))&amp;""),""))</f>
        <v/>
      </c>
      <c r="AF473" s="21">
        <f>IF(Y473="","",IFERROR(TRIM(INDEX($A473:$T473,MATCH(Lists!$F$12,$A$1:$T$1,0))&amp;""),""))</f>
        <v/>
      </c>
      <c r="AG473" s="21">
        <f>IF(Y473="","",IFERROR(TRIM(INDEX($A473:$T473,MATCH(Lists!$F$14,$A$1:$T$1,0))&amp;""),""))</f>
        <v/>
      </c>
      <c r="AH473" s="21">
        <f>IF(Y473="","",LEFT(IFERROR(TRIM(INDEX($A473:$T473,MATCH(Lists!$F$10,$A$1:$T$1,0))&amp;""),""),80))</f>
        <v/>
      </c>
      <c r="AI473" s="21">
        <f>IF(Y473="",0,IF(OR(Tally!$B$5="",AA473=Tally!$B$5),1,0))</f>
        <v/>
      </c>
      <c r="AJ473" s="21">
        <f>IF(AI473=1,IF(COUNTIFS($AB$2:AB473,AB473,$AI$2:AI473,1)=1,1,0),0)</f>
        <v/>
      </c>
      <c r="AK473" s="21">
        <f>IF(AJ473=1,SUM($AJ$2:AJ473),"")</f>
        <v/>
      </c>
      <c r="AL473" s="21">
        <f>IF(AND(AI473=1,OR(AD473="In person",AD473="Online"),OR(Speakers!$B$5="",AB473=Speakers!$B$5)),N(Z473)+ROW()/1000000000,"")</f>
        <v/>
      </c>
    </row>
    <row r="474">
      <c r="U474" s="19" t="n"/>
      <c r="V474" s="24" t="n"/>
      <c r="W474" s="24" t="n"/>
      <c r="X474" s="19" t="n"/>
      <c r="Y474" s="21">
        <f>IFERROR(TRIM(INDEX($A474:$T474,MATCH(Lists!$F$2,$A$1:$T$1,0))&amp;""),"")</f>
        <v/>
      </c>
      <c r="Z474" s="22">
        <f>IF(Y474="","",IFERROR(IF(ISNUMBER(INDEX($A474:$T474,MATCH(Lists!$F$3,$A$1:$T$1,0))),INDEX($A474:$T474,MATCH(Lists!$F$3,$A$1:$T$1,0)),DATE(VALUE(LEFT(IFERROR(TRIM(INDEX($A474:$T474,MATCH(Lists!$F$3,$A$1:$T$1,0))&amp;""),""),4)),VALUE(MID(IFERROR(TRIM(INDEX($A474:$T474,MATCH(Lists!$F$3,$A$1:$T$1,0))&amp;""),""),6,2)),VALUE(MID(IFERROR(TRIM(INDEX($A474:$T474,MATCH(Lists!$F$3,$A$1:$T$1,0))&amp;""),""),9,2)))+TIME(VALUE(MID(IFERROR(TRIM(INDEX($A474:$T474,MATCH(Lists!$F$3,$A$1:$T$1,0))&amp;""),""),12,2)),VALUE(MID(IFERROR(TRIM(INDEX($A474:$T474,MATCH(Lists!$F$3,$A$1:$T$1,0))&amp;""),""),15,2)),VALUE(MID(IFERROR(TRIM(INDEX($A474:$T474,MATCH(Lists!$F$3,$A$1:$T$1,0))&amp;""),""),18,2)))),""))</f>
        <v/>
      </c>
      <c r="AA474" s="23">
        <f>IF(Y474="","",IF(ISNUMBER(IFERROR(IF(TRIM(INDEX($A474:$T474,MATCH(Lists!$F$4,$A$1:$T$1,0))&amp;"")="","",IF(ISNUMBER(INDEX($A474:$T474,MATCH(Lists!$F$4,$A$1:$T$1,0))),INT(INDEX($A474:$T474,MATCH(Lists!$F$4,$A$1:$T$1,0))),DATE(VALUE(LEFT(INDEX($A474:$T474,MATCH(Lists!$F$4,$A$1:$T$1,0)),4)),VALUE(MID(INDEX($A474:$T474,MATCH(Lists!$F$4,$A$1:$T$1,0)),6,2)),VALUE(MID(INDEX($A474:$T474,MATCH(Lists!$F$4,$A$1:$T$1,0)),9,2))))),"")),IFERROR(IF(TRIM(INDEX($A474:$T474,MATCH(Lists!$F$4,$A$1:$T$1,0))&amp;"")="","",IF(ISNUMBER(INDEX($A474:$T474,MATCH(Lists!$F$4,$A$1:$T$1,0))),INT(INDEX($A474:$T474,MATCH(Lists!$F$4,$A$1:$T$1,0))),DATE(VALUE(LEFT(INDEX($A474:$T474,MATCH(Lists!$F$4,$A$1:$T$1,0)),4)),VALUE(MID(INDEX($A474:$T474,MATCH(Lists!$F$4,$A$1:$T$1,0)),6,2)),VALUE(MID(INDEX($A474:$T474,MATCH(Lists!$F$4,$A$1:$T$1,0)),9,2))))),""),IFERROR(IF(TRIM(INDEX($A474:$T474,MATCH(Lists!$F$5,$A$1:$T$1,0))&amp;"")="","",IF(ISNUMBER(INDEX($A474:$T474,MATCH(Lists!$F$5,$A$1:$T$1,0))),INT(INDEX($A474:$T474,MATCH(Lists!$F$5,$A$1:$T$1,0))),DATE(VALUE(LEFT(INDEX($A474:$T474,MATCH(Lists!$F$5,$A$1:$T$1,0)),4)),VALUE(MID(INDEX($A474:$T474,MATCH(Lists!$F$5,$A$1:$T$1,0)),6,2)),VALUE(MID(INDEX($A474:$T474,MATCH(Lists!$F$5,$A$1:$T$1,0)),9,2))))),"")))</f>
        <v/>
      </c>
      <c r="AB474" s="21">
        <f>IF(Y474="","",IF(LEFT(IFERROR(TRIM(INDEX($A474:$T474,MATCH(Lists!$F$6,$A$1:$T$1,0))&amp;""),""),2)="No","General comment",IF(IFERROR(TRIM(INDEX($A474:$T474,MATCH(Lists!$F$7,$A$1:$T$1,0))&amp;""),"")&lt;&gt;"",IFERROR(TRIM(INDEX($A474:$T474,MATCH(Lists!$F$7,$A$1:$T$1,0))&amp;""),""),IF(IFERROR(TRIM(INDEX($A474:$T474,MATCH(Lists!$F$8,$A$1:$T$1,0))&amp;""),"")&lt;&gt;"",IFERROR(TRIM(INDEX($A474:$T474,MATCH(Lists!$F$8,$A$1:$T$1,0))&amp;""),""),"(no item given)"))))</f>
        <v/>
      </c>
      <c r="AC474" s="21">
        <f>IF(Y474="","",IF(ISNUMBER(SEARCH("support",IFERROR(TRIM(INDEX($A474:$T474,MATCH(Lists!$F$9,$A$1:$T$1,0))&amp;""),""))),"Support",IF(ISNUMBER(SEARCH("oppose",IFERROR(TRIM(INDEX($A474:$T474,MATCH(Lists!$F$9,$A$1:$T$1,0))&amp;""),""))),"Oppose",IF(IFERROR(TRIM(INDEX($A474:$T474,MATCH(Lists!$F$9,$A$1:$T$1,0))&amp;""),"")="","No position","Neither"))))</f>
        <v/>
      </c>
      <c r="AD474" s="21">
        <f>IF(Y474="","",IF(ISNUMBER(SEARCH("in person",IFERROR(TRIM(INDEX($A474:$T474,MATCH(Lists!$F$13,$A$1:$T$1,0))&amp;""),""))),"In person",IF(ISNUMBER(SEARCH("online",IFERROR(TRIM(INDEX($A474:$T474,MATCH(Lists!$F$13,$A$1:$T$1,0))&amp;""),""))),"Online","Written only")))</f>
        <v/>
      </c>
      <c r="AE474" s="21">
        <f>IF(Y474="","",IFERROR(TRIM(INDEX($A474:$T474,MATCH(Lists!$F$11,$A$1:$T$1,0))&amp;""),""))</f>
        <v/>
      </c>
      <c r="AF474" s="21">
        <f>IF(Y474="","",IFERROR(TRIM(INDEX($A474:$T474,MATCH(Lists!$F$12,$A$1:$T$1,0))&amp;""),""))</f>
        <v/>
      </c>
      <c r="AG474" s="21">
        <f>IF(Y474="","",IFERROR(TRIM(INDEX($A474:$T474,MATCH(Lists!$F$14,$A$1:$T$1,0))&amp;""),""))</f>
        <v/>
      </c>
      <c r="AH474" s="21">
        <f>IF(Y474="","",LEFT(IFERROR(TRIM(INDEX($A474:$T474,MATCH(Lists!$F$10,$A$1:$T$1,0))&amp;""),""),80))</f>
        <v/>
      </c>
      <c r="AI474" s="21">
        <f>IF(Y474="",0,IF(OR(Tally!$B$5="",AA474=Tally!$B$5),1,0))</f>
        <v/>
      </c>
      <c r="AJ474" s="21">
        <f>IF(AI474=1,IF(COUNTIFS($AB$2:AB474,AB474,$AI$2:AI474,1)=1,1,0),0)</f>
        <v/>
      </c>
      <c r="AK474" s="21">
        <f>IF(AJ474=1,SUM($AJ$2:AJ474),"")</f>
        <v/>
      </c>
      <c r="AL474" s="21">
        <f>IF(AND(AI474=1,OR(AD474="In person",AD474="Online"),OR(Speakers!$B$5="",AB474=Speakers!$B$5)),N(Z474)+ROW()/1000000000,"")</f>
        <v/>
      </c>
    </row>
    <row r="475">
      <c r="U475" s="19" t="n"/>
      <c r="V475" s="24" t="n"/>
      <c r="W475" s="24" t="n"/>
      <c r="X475" s="19" t="n"/>
      <c r="Y475" s="21">
        <f>IFERROR(TRIM(INDEX($A475:$T475,MATCH(Lists!$F$2,$A$1:$T$1,0))&amp;""),"")</f>
        <v/>
      </c>
      <c r="Z475" s="22">
        <f>IF(Y475="","",IFERROR(IF(ISNUMBER(INDEX($A475:$T475,MATCH(Lists!$F$3,$A$1:$T$1,0))),INDEX($A475:$T475,MATCH(Lists!$F$3,$A$1:$T$1,0)),DATE(VALUE(LEFT(IFERROR(TRIM(INDEX($A475:$T475,MATCH(Lists!$F$3,$A$1:$T$1,0))&amp;""),""),4)),VALUE(MID(IFERROR(TRIM(INDEX($A475:$T475,MATCH(Lists!$F$3,$A$1:$T$1,0))&amp;""),""),6,2)),VALUE(MID(IFERROR(TRIM(INDEX($A475:$T475,MATCH(Lists!$F$3,$A$1:$T$1,0))&amp;""),""),9,2)))+TIME(VALUE(MID(IFERROR(TRIM(INDEX($A475:$T475,MATCH(Lists!$F$3,$A$1:$T$1,0))&amp;""),""),12,2)),VALUE(MID(IFERROR(TRIM(INDEX($A475:$T475,MATCH(Lists!$F$3,$A$1:$T$1,0))&amp;""),""),15,2)),VALUE(MID(IFERROR(TRIM(INDEX($A475:$T475,MATCH(Lists!$F$3,$A$1:$T$1,0))&amp;""),""),18,2)))),""))</f>
        <v/>
      </c>
      <c r="AA475" s="23">
        <f>IF(Y475="","",IF(ISNUMBER(IFERROR(IF(TRIM(INDEX($A475:$T475,MATCH(Lists!$F$4,$A$1:$T$1,0))&amp;"")="","",IF(ISNUMBER(INDEX($A475:$T475,MATCH(Lists!$F$4,$A$1:$T$1,0))),INT(INDEX($A475:$T475,MATCH(Lists!$F$4,$A$1:$T$1,0))),DATE(VALUE(LEFT(INDEX($A475:$T475,MATCH(Lists!$F$4,$A$1:$T$1,0)),4)),VALUE(MID(INDEX($A475:$T475,MATCH(Lists!$F$4,$A$1:$T$1,0)),6,2)),VALUE(MID(INDEX($A475:$T475,MATCH(Lists!$F$4,$A$1:$T$1,0)),9,2))))),"")),IFERROR(IF(TRIM(INDEX($A475:$T475,MATCH(Lists!$F$4,$A$1:$T$1,0))&amp;"")="","",IF(ISNUMBER(INDEX($A475:$T475,MATCH(Lists!$F$4,$A$1:$T$1,0))),INT(INDEX($A475:$T475,MATCH(Lists!$F$4,$A$1:$T$1,0))),DATE(VALUE(LEFT(INDEX($A475:$T475,MATCH(Lists!$F$4,$A$1:$T$1,0)),4)),VALUE(MID(INDEX($A475:$T475,MATCH(Lists!$F$4,$A$1:$T$1,0)),6,2)),VALUE(MID(INDEX($A475:$T475,MATCH(Lists!$F$4,$A$1:$T$1,0)),9,2))))),""),IFERROR(IF(TRIM(INDEX($A475:$T475,MATCH(Lists!$F$5,$A$1:$T$1,0))&amp;"")="","",IF(ISNUMBER(INDEX($A475:$T475,MATCH(Lists!$F$5,$A$1:$T$1,0))),INT(INDEX($A475:$T475,MATCH(Lists!$F$5,$A$1:$T$1,0))),DATE(VALUE(LEFT(INDEX($A475:$T475,MATCH(Lists!$F$5,$A$1:$T$1,0)),4)),VALUE(MID(INDEX($A475:$T475,MATCH(Lists!$F$5,$A$1:$T$1,0)),6,2)),VALUE(MID(INDEX($A475:$T475,MATCH(Lists!$F$5,$A$1:$T$1,0)),9,2))))),"")))</f>
        <v/>
      </c>
      <c r="AB475" s="21">
        <f>IF(Y475="","",IF(LEFT(IFERROR(TRIM(INDEX($A475:$T475,MATCH(Lists!$F$6,$A$1:$T$1,0))&amp;""),""),2)="No","General comment",IF(IFERROR(TRIM(INDEX($A475:$T475,MATCH(Lists!$F$7,$A$1:$T$1,0))&amp;""),"")&lt;&gt;"",IFERROR(TRIM(INDEX($A475:$T475,MATCH(Lists!$F$7,$A$1:$T$1,0))&amp;""),""),IF(IFERROR(TRIM(INDEX($A475:$T475,MATCH(Lists!$F$8,$A$1:$T$1,0))&amp;""),"")&lt;&gt;"",IFERROR(TRIM(INDEX($A475:$T475,MATCH(Lists!$F$8,$A$1:$T$1,0))&amp;""),""),"(no item given)"))))</f>
        <v/>
      </c>
      <c r="AC475" s="21">
        <f>IF(Y475="","",IF(ISNUMBER(SEARCH("support",IFERROR(TRIM(INDEX($A475:$T475,MATCH(Lists!$F$9,$A$1:$T$1,0))&amp;""),""))),"Support",IF(ISNUMBER(SEARCH("oppose",IFERROR(TRIM(INDEX($A475:$T475,MATCH(Lists!$F$9,$A$1:$T$1,0))&amp;""),""))),"Oppose",IF(IFERROR(TRIM(INDEX($A475:$T475,MATCH(Lists!$F$9,$A$1:$T$1,0))&amp;""),"")="","No position","Neither"))))</f>
        <v/>
      </c>
      <c r="AD475" s="21">
        <f>IF(Y475="","",IF(ISNUMBER(SEARCH("in person",IFERROR(TRIM(INDEX($A475:$T475,MATCH(Lists!$F$13,$A$1:$T$1,0))&amp;""),""))),"In person",IF(ISNUMBER(SEARCH("online",IFERROR(TRIM(INDEX($A475:$T475,MATCH(Lists!$F$13,$A$1:$T$1,0))&amp;""),""))),"Online","Written only")))</f>
        <v/>
      </c>
      <c r="AE475" s="21">
        <f>IF(Y475="","",IFERROR(TRIM(INDEX($A475:$T475,MATCH(Lists!$F$11,$A$1:$T$1,0))&amp;""),""))</f>
        <v/>
      </c>
      <c r="AF475" s="21">
        <f>IF(Y475="","",IFERROR(TRIM(INDEX($A475:$T475,MATCH(Lists!$F$12,$A$1:$T$1,0))&amp;""),""))</f>
        <v/>
      </c>
      <c r="AG475" s="21">
        <f>IF(Y475="","",IFERROR(TRIM(INDEX($A475:$T475,MATCH(Lists!$F$14,$A$1:$T$1,0))&amp;""),""))</f>
        <v/>
      </c>
      <c r="AH475" s="21">
        <f>IF(Y475="","",LEFT(IFERROR(TRIM(INDEX($A475:$T475,MATCH(Lists!$F$10,$A$1:$T$1,0))&amp;""),""),80))</f>
        <v/>
      </c>
      <c r="AI475" s="21">
        <f>IF(Y475="",0,IF(OR(Tally!$B$5="",AA475=Tally!$B$5),1,0))</f>
        <v/>
      </c>
      <c r="AJ475" s="21">
        <f>IF(AI475=1,IF(COUNTIFS($AB$2:AB475,AB475,$AI$2:AI475,1)=1,1,0),0)</f>
        <v/>
      </c>
      <c r="AK475" s="21">
        <f>IF(AJ475=1,SUM($AJ$2:AJ475),"")</f>
        <v/>
      </c>
      <c r="AL475" s="21">
        <f>IF(AND(AI475=1,OR(AD475="In person",AD475="Online"),OR(Speakers!$B$5="",AB475=Speakers!$B$5)),N(Z475)+ROW()/1000000000,"")</f>
        <v/>
      </c>
    </row>
    <row r="476">
      <c r="U476" s="19" t="n"/>
      <c r="V476" s="24" t="n"/>
      <c r="W476" s="24" t="n"/>
      <c r="X476" s="19" t="n"/>
      <c r="Y476" s="21">
        <f>IFERROR(TRIM(INDEX($A476:$T476,MATCH(Lists!$F$2,$A$1:$T$1,0))&amp;""),"")</f>
        <v/>
      </c>
      <c r="Z476" s="22">
        <f>IF(Y476="","",IFERROR(IF(ISNUMBER(INDEX($A476:$T476,MATCH(Lists!$F$3,$A$1:$T$1,0))),INDEX($A476:$T476,MATCH(Lists!$F$3,$A$1:$T$1,0)),DATE(VALUE(LEFT(IFERROR(TRIM(INDEX($A476:$T476,MATCH(Lists!$F$3,$A$1:$T$1,0))&amp;""),""),4)),VALUE(MID(IFERROR(TRIM(INDEX($A476:$T476,MATCH(Lists!$F$3,$A$1:$T$1,0))&amp;""),""),6,2)),VALUE(MID(IFERROR(TRIM(INDEX($A476:$T476,MATCH(Lists!$F$3,$A$1:$T$1,0))&amp;""),""),9,2)))+TIME(VALUE(MID(IFERROR(TRIM(INDEX($A476:$T476,MATCH(Lists!$F$3,$A$1:$T$1,0))&amp;""),""),12,2)),VALUE(MID(IFERROR(TRIM(INDEX($A476:$T476,MATCH(Lists!$F$3,$A$1:$T$1,0))&amp;""),""),15,2)),VALUE(MID(IFERROR(TRIM(INDEX($A476:$T476,MATCH(Lists!$F$3,$A$1:$T$1,0))&amp;""),""),18,2)))),""))</f>
        <v/>
      </c>
      <c r="AA476" s="23">
        <f>IF(Y476="","",IF(ISNUMBER(IFERROR(IF(TRIM(INDEX($A476:$T476,MATCH(Lists!$F$4,$A$1:$T$1,0))&amp;"")="","",IF(ISNUMBER(INDEX($A476:$T476,MATCH(Lists!$F$4,$A$1:$T$1,0))),INT(INDEX($A476:$T476,MATCH(Lists!$F$4,$A$1:$T$1,0))),DATE(VALUE(LEFT(INDEX($A476:$T476,MATCH(Lists!$F$4,$A$1:$T$1,0)),4)),VALUE(MID(INDEX($A476:$T476,MATCH(Lists!$F$4,$A$1:$T$1,0)),6,2)),VALUE(MID(INDEX($A476:$T476,MATCH(Lists!$F$4,$A$1:$T$1,0)),9,2))))),"")),IFERROR(IF(TRIM(INDEX($A476:$T476,MATCH(Lists!$F$4,$A$1:$T$1,0))&amp;"")="","",IF(ISNUMBER(INDEX($A476:$T476,MATCH(Lists!$F$4,$A$1:$T$1,0))),INT(INDEX($A476:$T476,MATCH(Lists!$F$4,$A$1:$T$1,0))),DATE(VALUE(LEFT(INDEX($A476:$T476,MATCH(Lists!$F$4,$A$1:$T$1,0)),4)),VALUE(MID(INDEX($A476:$T476,MATCH(Lists!$F$4,$A$1:$T$1,0)),6,2)),VALUE(MID(INDEX($A476:$T476,MATCH(Lists!$F$4,$A$1:$T$1,0)),9,2))))),""),IFERROR(IF(TRIM(INDEX($A476:$T476,MATCH(Lists!$F$5,$A$1:$T$1,0))&amp;"")="","",IF(ISNUMBER(INDEX($A476:$T476,MATCH(Lists!$F$5,$A$1:$T$1,0))),INT(INDEX($A476:$T476,MATCH(Lists!$F$5,$A$1:$T$1,0))),DATE(VALUE(LEFT(INDEX($A476:$T476,MATCH(Lists!$F$5,$A$1:$T$1,0)),4)),VALUE(MID(INDEX($A476:$T476,MATCH(Lists!$F$5,$A$1:$T$1,0)),6,2)),VALUE(MID(INDEX($A476:$T476,MATCH(Lists!$F$5,$A$1:$T$1,0)),9,2))))),"")))</f>
        <v/>
      </c>
      <c r="AB476" s="21">
        <f>IF(Y476="","",IF(LEFT(IFERROR(TRIM(INDEX($A476:$T476,MATCH(Lists!$F$6,$A$1:$T$1,0))&amp;""),""),2)="No","General comment",IF(IFERROR(TRIM(INDEX($A476:$T476,MATCH(Lists!$F$7,$A$1:$T$1,0))&amp;""),"")&lt;&gt;"",IFERROR(TRIM(INDEX($A476:$T476,MATCH(Lists!$F$7,$A$1:$T$1,0))&amp;""),""),IF(IFERROR(TRIM(INDEX($A476:$T476,MATCH(Lists!$F$8,$A$1:$T$1,0))&amp;""),"")&lt;&gt;"",IFERROR(TRIM(INDEX($A476:$T476,MATCH(Lists!$F$8,$A$1:$T$1,0))&amp;""),""),"(no item given)"))))</f>
        <v/>
      </c>
      <c r="AC476" s="21">
        <f>IF(Y476="","",IF(ISNUMBER(SEARCH("support",IFERROR(TRIM(INDEX($A476:$T476,MATCH(Lists!$F$9,$A$1:$T$1,0))&amp;""),""))),"Support",IF(ISNUMBER(SEARCH("oppose",IFERROR(TRIM(INDEX($A476:$T476,MATCH(Lists!$F$9,$A$1:$T$1,0))&amp;""),""))),"Oppose",IF(IFERROR(TRIM(INDEX($A476:$T476,MATCH(Lists!$F$9,$A$1:$T$1,0))&amp;""),"")="","No position","Neither"))))</f>
        <v/>
      </c>
      <c r="AD476" s="21">
        <f>IF(Y476="","",IF(ISNUMBER(SEARCH("in person",IFERROR(TRIM(INDEX($A476:$T476,MATCH(Lists!$F$13,$A$1:$T$1,0))&amp;""),""))),"In person",IF(ISNUMBER(SEARCH("online",IFERROR(TRIM(INDEX($A476:$T476,MATCH(Lists!$F$13,$A$1:$T$1,0))&amp;""),""))),"Online","Written only")))</f>
        <v/>
      </c>
      <c r="AE476" s="21">
        <f>IF(Y476="","",IFERROR(TRIM(INDEX($A476:$T476,MATCH(Lists!$F$11,$A$1:$T$1,0))&amp;""),""))</f>
        <v/>
      </c>
      <c r="AF476" s="21">
        <f>IF(Y476="","",IFERROR(TRIM(INDEX($A476:$T476,MATCH(Lists!$F$12,$A$1:$T$1,0))&amp;""),""))</f>
        <v/>
      </c>
      <c r="AG476" s="21">
        <f>IF(Y476="","",IFERROR(TRIM(INDEX($A476:$T476,MATCH(Lists!$F$14,$A$1:$T$1,0))&amp;""),""))</f>
        <v/>
      </c>
      <c r="AH476" s="21">
        <f>IF(Y476="","",LEFT(IFERROR(TRIM(INDEX($A476:$T476,MATCH(Lists!$F$10,$A$1:$T$1,0))&amp;""),""),80))</f>
        <v/>
      </c>
      <c r="AI476" s="21">
        <f>IF(Y476="",0,IF(OR(Tally!$B$5="",AA476=Tally!$B$5),1,0))</f>
        <v/>
      </c>
      <c r="AJ476" s="21">
        <f>IF(AI476=1,IF(COUNTIFS($AB$2:AB476,AB476,$AI$2:AI476,1)=1,1,0),0)</f>
        <v/>
      </c>
      <c r="AK476" s="21">
        <f>IF(AJ476=1,SUM($AJ$2:AJ476),"")</f>
        <v/>
      </c>
      <c r="AL476" s="21">
        <f>IF(AND(AI476=1,OR(AD476="In person",AD476="Online"),OR(Speakers!$B$5="",AB476=Speakers!$B$5)),N(Z476)+ROW()/1000000000,"")</f>
        <v/>
      </c>
    </row>
    <row r="477">
      <c r="U477" s="19" t="n"/>
      <c r="V477" s="24" t="n"/>
      <c r="W477" s="24" t="n"/>
      <c r="X477" s="19" t="n"/>
      <c r="Y477" s="21">
        <f>IFERROR(TRIM(INDEX($A477:$T477,MATCH(Lists!$F$2,$A$1:$T$1,0))&amp;""),"")</f>
        <v/>
      </c>
      <c r="Z477" s="22">
        <f>IF(Y477="","",IFERROR(IF(ISNUMBER(INDEX($A477:$T477,MATCH(Lists!$F$3,$A$1:$T$1,0))),INDEX($A477:$T477,MATCH(Lists!$F$3,$A$1:$T$1,0)),DATE(VALUE(LEFT(IFERROR(TRIM(INDEX($A477:$T477,MATCH(Lists!$F$3,$A$1:$T$1,0))&amp;""),""),4)),VALUE(MID(IFERROR(TRIM(INDEX($A477:$T477,MATCH(Lists!$F$3,$A$1:$T$1,0))&amp;""),""),6,2)),VALUE(MID(IFERROR(TRIM(INDEX($A477:$T477,MATCH(Lists!$F$3,$A$1:$T$1,0))&amp;""),""),9,2)))+TIME(VALUE(MID(IFERROR(TRIM(INDEX($A477:$T477,MATCH(Lists!$F$3,$A$1:$T$1,0))&amp;""),""),12,2)),VALUE(MID(IFERROR(TRIM(INDEX($A477:$T477,MATCH(Lists!$F$3,$A$1:$T$1,0))&amp;""),""),15,2)),VALUE(MID(IFERROR(TRIM(INDEX($A477:$T477,MATCH(Lists!$F$3,$A$1:$T$1,0))&amp;""),""),18,2)))),""))</f>
        <v/>
      </c>
      <c r="AA477" s="23">
        <f>IF(Y477="","",IF(ISNUMBER(IFERROR(IF(TRIM(INDEX($A477:$T477,MATCH(Lists!$F$4,$A$1:$T$1,0))&amp;"")="","",IF(ISNUMBER(INDEX($A477:$T477,MATCH(Lists!$F$4,$A$1:$T$1,0))),INT(INDEX($A477:$T477,MATCH(Lists!$F$4,$A$1:$T$1,0))),DATE(VALUE(LEFT(INDEX($A477:$T477,MATCH(Lists!$F$4,$A$1:$T$1,0)),4)),VALUE(MID(INDEX($A477:$T477,MATCH(Lists!$F$4,$A$1:$T$1,0)),6,2)),VALUE(MID(INDEX($A477:$T477,MATCH(Lists!$F$4,$A$1:$T$1,0)),9,2))))),"")),IFERROR(IF(TRIM(INDEX($A477:$T477,MATCH(Lists!$F$4,$A$1:$T$1,0))&amp;"")="","",IF(ISNUMBER(INDEX($A477:$T477,MATCH(Lists!$F$4,$A$1:$T$1,0))),INT(INDEX($A477:$T477,MATCH(Lists!$F$4,$A$1:$T$1,0))),DATE(VALUE(LEFT(INDEX($A477:$T477,MATCH(Lists!$F$4,$A$1:$T$1,0)),4)),VALUE(MID(INDEX($A477:$T477,MATCH(Lists!$F$4,$A$1:$T$1,0)),6,2)),VALUE(MID(INDEX($A477:$T477,MATCH(Lists!$F$4,$A$1:$T$1,0)),9,2))))),""),IFERROR(IF(TRIM(INDEX($A477:$T477,MATCH(Lists!$F$5,$A$1:$T$1,0))&amp;"")="","",IF(ISNUMBER(INDEX($A477:$T477,MATCH(Lists!$F$5,$A$1:$T$1,0))),INT(INDEX($A477:$T477,MATCH(Lists!$F$5,$A$1:$T$1,0))),DATE(VALUE(LEFT(INDEX($A477:$T477,MATCH(Lists!$F$5,$A$1:$T$1,0)),4)),VALUE(MID(INDEX($A477:$T477,MATCH(Lists!$F$5,$A$1:$T$1,0)),6,2)),VALUE(MID(INDEX($A477:$T477,MATCH(Lists!$F$5,$A$1:$T$1,0)),9,2))))),"")))</f>
        <v/>
      </c>
      <c r="AB477" s="21">
        <f>IF(Y477="","",IF(LEFT(IFERROR(TRIM(INDEX($A477:$T477,MATCH(Lists!$F$6,$A$1:$T$1,0))&amp;""),""),2)="No","General comment",IF(IFERROR(TRIM(INDEX($A477:$T477,MATCH(Lists!$F$7,$A$1:$T$1,0))&amp;""),"")&lt;&gt;"",IFERROR(TRIM(INDEX($A477:$T477,MATCH(Lists!$F$7,$A$1:$T$1,0))&amp;""),""),IF(IFERROR(TRIM(INDEX($A477:$T477,MATCH(Lists!$F$8,$A$1:$T$1,0))&amp;""),"")&lt;&gt;"",IFERROR(TRIM(INDEX($A477:$T477,MATCH(Lists!$F$8,$A$1:$T$1,0))&amp;""),""),"(no item given)"))))</f>
        <v/>
      </c>
      <c r="AC477" s="21">
        <f>IF(Y477="","",IF(ISNUMBER(SEARCH("support",IFERROR(TRIM(INDEX($A477:$T477,MATCH(Lists!$F$9,$A$1:$T$1,0))&amp;""),""))),"Support",IF(ISNUMBER(SEARCH("oppose",IFERROR(TRIM(INDEX($A477:$T477,MATCH(Lists!$F$9,$A$1:$T$1,0))&amp;""),""))),"Oppose",IF(IFERROR(TRIM(INDEX($A477:$T477,MATCH(Lists!$F$9,$A$1:$T$1,0))&amp;""),"")="","No position","Neither"))))</f>
        <v/>
      </c>
      <c r="AD477" s="21">
        <f>IF(Y477="","",IF(ISNUMBER(SEARCH("in person",IFERROR(TRIM(INDEX($A477:$T477,MATCH(Lists!$F$13,$A$1:$T$1,0))&amp;""),""))),"In person",IF(ISNUMBER(SEARCH("online",IFERROR(TRIM(INDEX($A477:$T477,MATCH(Lists!$F$13,$A$1:$T$1,0))&amp;""),""))),"Online","Written only")))</f>
        <v/>
      </c>
      <c r="AE477" s="21">
        <f>IF(Y477="","",IFERROR(TRIM(INDEX($A477:$T477,MATCH(Lists!$F$11,$A$1:$T$1,0))&amp;""),""))</f>
        <v/>
      </c>
      <c r="AF477" s="21">
        <f>IF(Y477="","",IFERROR(TRIM(INDEX($A477:$T477,MATCH(Lists!$F$12,$A$1:$T$1,0))&amp;""),""))</f>
        <v/>
      </c>
      <c r="AG477" s="21">
        <f>IF(Y477="","",IFERROR(TRIM(INDEX($A477:$T477,MATCH(Lists!$F$14,$A$1:$T$1,0))&amp;""),""))</f>
        <v/>
      </c>
      <c r="AH477" s="21">
        <f>IF(Y477="","",LEFT(IFERROR(TRIM(INDEX($A477:$T477,MATCH(Lists!$F$10,$A$1:$T$1,0))&amp;""),""),80))</f>
        <v/>
      </c>
      <c r="AI477" s="21">
        <f>IF(Y477="",0,IF(OR(Tally!$B$5="",AA477=Tally!$B$5),1,0))</f>
        <v/>
      </c>
      <c r="AJ477" s="21">
        <f>IF(AI477=1,IF(COUNTIFS($AB$2:AB477,AB477,$AI$2:AI477,1)=1,1,0),0)</f>
        <v/>
      </c>
      <c r="AK477" s="21">
        <f>IF(AJ477=1,SUM($AJ$2:AJ477),"")</f>
        <v/>
      </c>
      <c r="AL477" s="21">
        <f>IF(AND(AI477=1,OR(AD477="In person",AD477="Online"),OR(Speakers!$B$5="",AB477=Speakers!$B$5)),N(Z477)+ROW()/1000000000,"")</f>
        <v/>
      </c>
    </row>
    <row r="478">
      <c r="U478" s="19" t="n"/>
      <c r="V478" s="24" t="n"/>
      <c r="W478" s="24" t="n"/>
      <c r="X478" s="19" t="n"/>
      <c r="Y478" s="21">
        <f>IFERROR(TRIM(INDEX($A478:$T478,MATCH(Lists!$F$2,$A$1:$T$1,0))&amp;""),"")</f>
        <v/>
      </c>
      <c r="Z478" s="22">
        <f>IF(Y478="","",IFERROR(IF(ISNUMBER(INDEX($A478:$T478,MATCH(Lists!$F$3,$A$1:$T$1,0))),INDEX($A478:$T478,MATCH(Lists!$F$3,$A$1:$T$1,0)),DATE(VALUE(LEFT(IFERROR(TRIM(INDEX($A478:$T478,MATCH(Lists!$F$3,$A$1:$T$1,0))&amp;""),""),4)),VALUE(MID(IFERROR(TRIM(INDEX($A478:$T478,MATCH(Lists!$F$3,$A$1:$T$1,0))&amp;""),""),6,2)),VALUE(MID(IFERROR(TRIM(INDEX($A478:$T478,MATCH(Lists!$F$3,$A$1:$T$1,0))&amp;""),""),9,2)))+TIME(VALUE(MID(IFERROR(TRIM(INDEX($A478:$T478,MATCH(Lists!$F$3,$A$1:$T$1,0))&amp;""),""),12,2)),VALUE(MID(IFERROR(TRIM(INDEX($A478:$T478,MATCH(Lists!$F$3,$A$1:$T$1,0))&amp;""),""),15,2)),VALUE(MID(IFERROR(TRIM(INDEX($A478:$T478,MATCH(Lists!$F$3,$A$1:$T$1,0))&amp;""),""),18,2)))),""))</f>
        <v/>
      </c>
      <c r="AA478" s="23">
        <f>IF(Y478="","",IF(ISNUMBER(IFERROR(IF(TRIM(INDEX($A478:$T478,MATCH(Lists!$F$4,$A$1:$T$1,0))&amp;"")="","",IF(ISNUMBER(INDEX($A478:$T478,MATCH(Lists!$F$4,$A$1:$T$1,0))),INT(INDEX($A478:$T478,MATCH(Lists!$F$4,$A$1:$T$1,0))),DATE(VALUE(LEFT(INDEX($A478:$T478,MATCH(Lists!$F$4,$A$1:$T$1,0)),4)),VALUE(MID(INDEX($A478:$T478,MATCH(Lists!$F$4,$A$1:$T$1,0)),6,2)),VALUE(MID(INDEX($A478:$T478,MATCH(Lists!$F$4,$A$1:$T$1,0)),9,2))))),"")),IFERROR(IF(TRIM(INDEX($A478:$T478,MATCH(Lists!$F$4,$A$1:$T$1,0))&amp;"")="","",IF(ISNUMBER(INDEX($A478:$T478,MATCH(Lists!$F$4,$A$1:$T$1,0))),INT(INDEX($A478:$T478,MATCH(Lists!$F$4,$A$1:$T$1,0))),DATE(VALUE(LEFT(INDEX($A478:$T478,MATCH(Lists!$F$4,$A$1:$T$1,0)),4)),VALUE(MID(INDEX($A478:$T478,MATCH(Lists!$F$4,$A$1:$T$1,0)),6,2)),VALUE(MID(INDEX($A478:$T478,MATCH(Lists!$F$4,$A$1:$T$1,0)),9,2))))),""),IFERROR(IF(TRIM(INDEX($A478:$T478,MATCH(Lists!$F$5,$A$1:$T$1,0))&amp;"")="","",IF(ISNUMBER(INDEX($A478:$T478,MATCH(Lists!$F$5,$A$1:$T$1,0))),INT(INDEX($A478:$T478,MATCH(Lists!$F$5,$A$1:$T$1,0))),DATE(VALUE(LEFT(INDEX($A478:$T478,MATCH(Lists!$F$5,$A$1:$T$1,0)),4)),VALUE(MID(INDEX($A478:$T478,MATCH(Lists!$F$5,$A$1:$T$1,0)),6,2)),VALUE(MID(INDEX($A478:$T478,MATCH(Lists!$F$5,$A$1:$T$1,0)),9,2))))),"")))</f>
        <v/>
      </c>
      <c r="AB478" s="21">
        <f>IF(Y478="","",IF(LEFT(IFERROR(TRIM(INDEX($A478:$T478,MATCH(Lists!$F$6,$A$1:$T$1,0))&amp;""),""),2)="No","General comment",IF(IFERROR(TRIM(INDEX($A478:$T478,MATCH(Lists!$F$7,$A$1:$T$1,0))&amp;""),"")&lt;&gt;"",IFERROR(TRIM(INDEX($A478:$T478,MATCH(Lists!$F$7,$A$1:$T$1,0))&amp;""),""),IF(IFERROR(TRIM(INDEX($A478:$T478,MATCH(Lists!$F$8,$A$1:$T$1,0))&amp;""),"")&lt;&gt;"",IFERROR(TRIM(INDEX($A478:$T478,MATCH(Lists!$F$8,$A$1:$T$1,0))&amp;""),""),"(no item given)"))))</f>
        <v/>
      </c>
      <c r="AC478" s="21">
        <f>IF(Y478="","",IF(ISNUMBER(SEARCH("support",IFERROR(TRIM(INDEX($A478:$T478,MATCH(Lists!$F$9,$A$1:$T$1,0))&amp;""),""))),"Support",IF(ISNUMBER(SEARCH("oppose",IFERROR(TRIM(INDEX($A478:$T478,MATCH(Lists!$F$9,$A$1:$T$1,0))&amp;""),""))),"Oppose",IF(IFERROR(TRIM(INDEX($A478:$T478,MATCH(Lists!$F$9,$A$1:$T$1,0))&amp;""),"")="","No position","Neither"))))</f>
        <v/>
      </c>
      <c r="AD478" s="21">
        <f>IF(Y478="","",IF(ISNUMBER(SEARCH("in person",IFERROR(TRIM(INDEX($A478:$T478,MATCH(Lists!$F$13,$A$1:$T$1,0))&amp;""),""))),"In person",IF(ISNUMBER(SEARCH("online",IFERROR(TRIM(INDEX($A478:$T478,MATCH(Lists!$F$13,$A$1:$T$1,0))&amp;""),""))),"Online","Written only")))</f>
        <v/>
      </c>
      <c r="AE478" s="21">
        <f>IF(Y478="","",IFERROR(TRIM(INDEX($A478:$T478,MATCH(Lists!$F$11,$A$1:$T$1,0))&amp;""),""))</f>
        <v/>
      </c>
      <c r="AF478" s="21">
        <f>IF(Y478="","",IFERROR(TRIM(INDEX($A478:$T478,MATCH(Lists!$F$12,$A$1:$T$1,0))&amp;""),""))</f>
        <v/>
      </c>
      <c r="AG478" s="21">
        <f>IF(Y478="","",IFERROR(TRIM(INDEX($A478:$T478,MATCH(Lists!$F$14,$A$1:$T$1,0))&amp;""),""))</f>
        <v/>
      </c>
      <c r="AH478" s="21">
        <f>IF(Y478="","",LEFT(IFERROR(TRIM(INDEX($A478:$T478,MATCH(Lists!$F$10,$A$1:$T$1,0))&amp;""),""),80))</f>
        <v/>
      </c>
      <c r="AI478" s="21">
        <f>IF(Y478="",0,IF(OR(Tally!$B$5="",AA478=Tally!$B$5),1,0))</f>
        <v/>
      </c>
      <c r="AJ478" s="21">
        <f>IF(AI478=1,IF(COUNTIFS($AB$2:AB478,AB478,$AI$2:AI478,1)=1,1,0),0)</f>
        <v/>
      </c>
      <c r="AK478" s="21">
        <f>IF(AJ478=1,SUM($AJ$2:AJ478),"")</f>
        <v/>
      </c>
      <c r="AL478" s="21">
        <f>IF(AND(AI478=1,OR(AD478="In person",AD478="Online"),OR(Speakers!$B$5="",AB478=Speakers!$B$5)),N(Z478)+ROW()/1000000000,"")</f>
        <v/>
      </c>
    </row>
    <row r="479">
      <c r="U479" s="19" t="n"/>
      <c r="V479" s="24" t="n"/>
      <c r="W479" s="24" t="n"/>
      <c r="X479" s="19" t="n"/>
      <c r="Y479" s="21">
        <f>IFERROR(TRIM(INDEX($A479:$T479,MATCH(Lists!$F$2,$A$1:$T$1,0))&amp;""),"")</f>
        <v/>
      </c>
      <c r="Z479" s="22">
        <f>IF(Y479="","",IFERROR(IF(ISNUMBER(INDEX($A479:$T479,MATCH(Lists!$F$3,$A$1:$T$1,0))),INDEX($A479:$T479,MATCH(Lists!$F$3,$A$1:$T$1,0)),DATE(VALUE(LEFT(IFERROR(TRIM(INDEX($A479:$T479,MATCH(Lists!$F$3,$A$1:$T$1,0))&amp;""),""),4)),VALUE(MID(IFERROR(TRIM(INDEX($A479:$T479,MATCH(Lists!$F$3,$A$1:$T$1,0))&amp;""),""),6,2)),VALUE(MID(IFERROR(TRIM(INDEX($A479:$T479,MATCH(Lists!$F$3,$A$1:$T$1,0))&amp;""),""),9,2)))+TIME(VALUE(MID(IFERROR(TRIM(INDEX($A479:$T479,MATCH(Lists!$F$3,$A$1:$T$1,0))&amp;""),""),12,2)),VALUE(MID(IFERROR(TRIM(INDEX($A479:$T479,MATCH(Lists!$F$3,$A$1:$T$1,0))&amp;""),""),15,2)),VALUE(MID(IFERROR(TRIM(INDEX($A479:$T479,MATCH(Lists!$F$3,$A$1:$T$1,0))&amp;""),""),18,2)))),""))</f>
        <v/>
      </c>
      <c r="AA479" s="23">
        <f>IF(Y479="","",IF(ISNUMBER(IFERROR(IF(TRIM(INDEX($A479:$T479,MATCH(Lists!$F$4,$A$1:$T$1,0))&amp;"")="","",IF(ISNUMBER(INDEX($A479:$T479,MATCH(Lists!$F$4,$A$1:$T$1,0))),INT(INDEX($A479:$T479,MATCH(Lists!$F$4,$A$1:$T$1,0))),DATE(VALUE(LEFT(INDEX($A479:$T479,MATCH(Lists!$F$4,$A$1:$T$1,0)),4)),VALUE(MID(INDEX($A479:$T479,MATCH(Lists!$F$4,$A$1:$T$1,0)),6,2)),VALUE(MID(INDEX($A479:$T479,MATCH(Lists!$F$4,$A$1:$T$1,0)),9,2))))),"")),IFERROR(IF(TRIM(INDEX($A479:$T479,MATCH(Lists!$F$4,$A$1:$T$1,0))&amp;"")="","",IF(ISNUMBER(INDEX($A479:$T479,MATCH(Lists!$F$4,$A$1:$T$1,0))),INT(INDEX($A479:$T479,MATCH(Lists!$F$4,$A$1:$T$1,0))),DATE(VALUE(LEFT(INDEX($A479:$T479,MATCH(Lists!$F$4,$A$1:$T$1,0)),4)),VALUE(MID(INDEX($A479:$T479,MATCH(Lists!$F$4,$A$1:$T$1,0)),6,2)),VALUE(MID(INDEX($A479:$T479,MATCH(Lists!$F$4,$A$1:$T$1,0)),9,2))))),""),IFERROR(IF(TRIM(INDEX($A479:$T479,MATCH(Lists!$F$5,$A$1:$T$1,0))&amp;"")="","",IF(ISNUMBER(INDEX($A479:$T479,MATCH(Lists!$F$5,$A$1:$T$1,0))),INT(INDEX($A479:$T479,MATCH(Lists!$F$5,$A$1:$T$1,0))),DATE(VALUE(LEFT(INDEX($A479:$T479,MATCH(Lists!$F$5,$A$1:$T$1,0)),4)),VALUE(MID(INDEX($A479:$T479,MATCH(Lists!$F$5,$A$1:$T$1,0)),6,2)),VALUE(MID(INDEX($A479:$T479,MATCH(Lists!$F$5,$A$1:$T$1,0)),9,2))))),"")))</f>
        <v/>
      </c>
      <c r="AB479" s="21">
        <f>IF(Y479="","",IF(LEFT(IFERROR(TRIM(INDEX($A479:$T479,MATCH(Lists!$F$6,$A$1:$T$1,0))&amp;""),""),2)="No","General comment",IF(IFERROR(TRIM(INDEX($A479:$T479,MATCH(Lists!$F$7,$A$1:$T$1,0))&amp;""),"")&lt;&gt;"",IFERROR(TRIM(INDEX($A479:$T479,MATCH(Lists!$F$7,$A$1:$T$1,0))&amp;""),""),IF(IFERROR(TRIM(INDEX($A479:$T479,MATCH(Lists!$F$8,$A$1:$T$1,0))&amp;""),"")&lt;&gt;"",IFERROR(TRIM(INDEX($A479:$T479,MATCH(Lists!$F$8,$A$1:$T$1,0))&amp;""),""),"(no item given)"))))</f>
        <v/>
      </c>
      <c r="AC479" s="21">
        <f>IF(Y479="","",IF(ISNUMBER(SEARCH("support",IFERROR(TRIM(INDEX($A479:$T479,MATCH(Lists!$F$9,$A$1:$T$1,0))&amp;""),""))),"Support",IF(ISNUMBER(SEARCH("oppose",IFERROR(TRIM(INDEX($A479:$T479,MATCH(Lists!$F$9,$A$1:$T$1,0))&amp;""),""))),"Oppose",IF(IFERROR(TRIM(INDEX($A479:$T479,MATCH(Lists!$F$9,$A$1:$T$1,0))&amp;""),"")="","No position","Neither"))))</f>
        <v/>
      </c>
      <c r="AD479" s="21">
        <f>IF(Y479="","",IF(ISNUMBER(SEARCH("in person",IFERROR(TRIM(INDEX($A479:$T479,MATCH(Lists!$F$13,$A$1:$T$1,0))&amp;""),""))),"In person",IF(ISNUMBER(SEARCH("online",IFERROR(TRIM(INDEX($A479:$T479,MATCH(Lists!$F$13,$A$1:$T$1,0))&amp;""),""))),"Online","Written only")))</f>
        <v/>
      </c>
      <c r="AE479" s="21">
        <f>IF(Y479="","",IFERROR(TRIM(INDEX($A479:$T479,MATCH(Lists!$F$11,$A$1:$T$1,0))&amp;""),""))</f>
        <v/>
      </c>
      <c r="AF479" s="21">
        <f>IF(Y479="","",IFERROR(TRIM(INDEX($A479:$T479,MATCH(Lists!$F$12,$A$1:$T$1,0))&amp;""),""))</f>
        <v/>
      </c>
      <c r="AG479" s="21">
        <f>IF(Y479="","",IFERROR(TRIM(INDEX($A479:$T479,MATCH(Lists!$F$14,$A$1:$T$1,0))&amp;""),""))</f>
        <v/>
      </c>
      <c r="AH479" s="21">
        <f>IF(Y479="","",LEFT(IFERROR(TRIM(INDEX($A479:$T479,MATCH(Lists!$F$10,$A$1:$T$1,0))&amp;""),""),80))</f>
        <v/>
      </c>
      <c r="AI479" s="21">
        <f>IF(Y479="",0,IF(OR(Tally!$B$5="",AA479=Tally!$B$5),1,0))</f>
        <v/>
      </c>
      <c r="AJ479" s="21">
        <f>IF(AI479=1,IF(COUNTIFS($AB$2:AB479,AB479,$AI$2:AI479,1)=1,1,0),0)</f>
        <v/>
      </c>
      <c r="AK479" s="21">
        <f>IF(AJ479=1,SUM($AJ$2:AJ479),"")</f>
        <v/>
      </c>
      <c r="AL479" s="21">
        <f>IF(AND(AI479=1,OR(AD479="In person",AD479="Online"),OR(Speakers!$B$5="",AB479=Speakers!$B$5)),N(Z479)+ROW()/1000000000,"")</f>
        <v/>
      </c>
    </row>
    <row r="480">
      <c r="U480" s="19" t="n"/>
      <c r="V480" s="24" t="n"/>
      <c r="W480" s="24" t="n"/>
      <c r="X480" s="19" t="n"/>
      <c r="Y480" s="21">
        <f>IFERROR(TRIM(INDEX($A480:$T480,MATCH(Lists!$F$2,$A$1:$T$1,0))&amp;""),"")</f>
        <v/>
      </c>
      <c r="Z480" s="22">
        <f>IF(Y480="","",IFERROR(IF(ISNUMBER(INDEX($A480:$T480,MATCH(Lists!$F$3,$A$1:$T$1,0))),INDEX($A480:$T480,MATCH(Lists!$F$3,$A$1:$T$1,0)),DATE(VALUE(LEFT(IFERROR(TRIM(INDEX($A480:$T480,MATCH(Lists!$F$3,$A$1:$T$1,0))&amp;""),""),4)),VALUE(MID(IFERROR(TRIM(INDEX($A480:$T480,MATCH(Lists!$F$3,$A$1:$T$1,0))&amp;""),""),6,2)),VALUE(MID(IFERROR(TRIM(INDEX($A480:$T480,MATCH(Lists!$F$3,$A$1:$T$1,0))&amp;""),""),9,2)))+TIME(VALUE(MID(IFERROR(TRIM(INDEX($A480:$T480,MATCH(Lists!$F$3,$A$1:$T$1,0))&amp;""),""),12,2)),VALUE(MID(IFERROR(TRIM(INDEX($A480:$T480,MATCH(Lists!$F$3,$A$1:$T$1,0))&amp;""),""),15,2)),VALUE(MID(IFERROR(TRIM(INDEX($A480:$T480,MATCH(Lists!$F$3,$A$1:$T$1,0))&amp;""),""),18,2)))),""))</f>
        <v/>
      </c>
      <c r="AA480" s="23">
        <f>IF(Y480="","",IF(ISNUMBER(IFERROR(IF(TRIM(INDEX($A480:$T480,MATCH(Lists!$F$4,$A$1:$T$1,0))&amp;"")="","",IF(ISNUMBER(INDEX($A480:$T480,MATCH(Lists!$F$4,$A$1:$T$1,0))),INT(INDEX($A480:$T480,MATCH(Lists!$F$4,$A$1:$T$1,0))),DATE(VALUE(LEFT(INDEX($A480:$T480,MATCH(Lists!$F$4,$A$1:$T$1,0)),4)),VALUE(MID(INDEX($A480:$T480,MATCH(Lists!$F$4,$A$1:$T$1,0)),6,2)),VALUE(MID(INDEX($A480:$T480,MATCH(Lists!$F$4,$A$1:$T$1,0)),9,2))))),"")),IFERROR(IF(TRIM(INDEX($A480:$T480,MATCH(Lists!$F$4,$A$1:$T$1,0))&amp;"")="","",IF(ISNUMBER(INDEX($A480:$T480,MATCH(Lists!$F$4,$A$1:$T$1,0))),INT(INDEX($A480:$T480,MATCH(Lists!$F$4,$A$1:$T$1,0))),DATE(VALUE(LEFT(INDEX($A480:$T480,MATCH(Lists!$F$4,$A$1:$T$1,0)),4)),VALUE(MID(INDEX($A480:$T480,MATCH(Lists!$F$4,$A$1:$T$1,0)),6,2)),VALUE(MID(INDEX($A480:$T480,MATCH(Lists!$F$4,$A$1:$T$1,0)),9,2))))),""),IFERROR(IF(TRIM(INDEX($A480:$T480,MATCH(Lists!$F$5,$A$1:$T$1,0))&amp;"")="","",IF(ISNUMBER(INDEX($A480:$T480,MATCH(Lists!$F$5,$A$1:$T$1,0))),INT(INDEX($A480:$T480,MATCH(Lists!$F$5,$A$1:$T$1,0))),DATE(VALUE(LEFT(INDEX($A480:$T480,MATCH(Lists!$F$5,$A$1:$T$1,0)),4)),VALUE(MID(INDEX($A480:$T480,MATCH(Lists!$F$5,$A$1:$T$1,0)),6,2)),VALUE(MID(INDEX($A480:$T480,MATCH(Lists!$F$5,$A$1:$T$1,0)),9,2))))),"")))</f>
        <v/>
      </c>
      <c r="AB480" s="21">
        <f>IF(Y480="","",IF(LEFT(IFERROR(TRIM(INDEX($A480:$T480,MATCH(Lists!$F$6,$A$1:$T$1,0))&amp;""),""),2)="No","General comment",IF(IFERROR(TRIM(INDEX($A480:$T480,MATCH(Lists!$F$7,$A$1:$T$1,0))&amp;""),"")&lt;&gt;"",IFERROR(TRIM(INDEX($A480:$T480,MATCH(Lists!$F$7,$A$1:$T$1,0))&amp;""),""),IF(IFERROR(TRIM(INDEX($A480:$T480,MATCH(Lists!$F$8,$A$1:$T$1,0))&amp;""),"")&lt;&gt;"",IFERROR(TRIM(INDEX($A480:$T480,MATCH(Lists!$F$8,$A$1:$T$1,0))&amp;""),""),"(no item given)"))))</f>
        <v/>
      </c>
      <c r="AC480" s="21">
        <f>IF(Y480="","",IF(ISNUMBER(SEARCH("support",IFERROR(TRIM(INDEX($A480:$T480,MATCH(Lists!$F$9,$A$1:$T$1,0))&amp;""),""))),"Support",IF(ISNUMBER(SEARCH("oppose",IFERROR(TRIM(INDEX($A480:$T480,MATCH(Lists!$F$9,$A$1:$T$1,0))&amp;""),""))),"Oppose",IF(IFERROR(TRIM(INDEX($A480:$T480,MATCH(Lists!$F$9,$A$1:$T$1,0))&amp;""),"")="","No position","Neither"))))</f>
        <v/>
      </c>
      <c r="AD480" s="21">
        <f>IF(Y480="","",IF(ISNUMBER(SEARCH("in person",IFERROR(TRIM(INDEX($A480:$T480,MATCH(Lists!$F$13,$A$1:$T$1,0))&amp;""),""))),"In person",IF(ISNUMBER(SEARCH("online",IFERROR(TRIM(INDEX($A480:$T480,MATCH(Lists!$F$13,$A$1:$T$1,0))&amp;""),""))),"Online","Written only")))</f>
        <v/>
      </c>
      <c r="AE480" s="21">
        <f>IF(Y480="","",IFERROR(TRIM(INDEX($A480:$T480,MATCH(Lists!$F$11,$A$1:$T$1,0))&amp;""),""))</f>
        <v/>
      </c>
      <c r="AF480" s="21">
        <f>IF(Y480="","",IFERROR(TRIM(INDEX($A480:$T480,MATCH(Lists!$F$12,$A$1:$T$1,0))&amp;""),""))</f>
        <v/>
      </c>
      <c r="AG480" s="21">
        <f>IF(Y480="","",IFERROR(TRIM(INDEX($A480:$T480,MATCH(Lists!$F$14,$A$1:$T$1,0))&amp;""),""))</f>
        <v/>
      </c>
      <c r="AH480" s="21">
        <f>IF(Y480="","",LEFT(IFERROR(TRIM(INDEX($A480:$T480,MATCH(Lists!$F$10,$A$1:$T$1,0))&amp;""),""),80))</f>
        <v/>
      </c>
      <c r="AI480" s="21">
        <f>IF(Y480="",0,IF(OR(Tally!$B$5="",AA480=Tally!$B$5),1,0))</f>
        <v/>
      </c>
      <c r="AJ480" s="21">
        <f>IF(AI480=1,IF(COUNTIFS($AB$2:AB480,AB480,$AI$2:AI480,1)=1,1,0),0)</f>
        <v/>
      </c>
      <c r="AK480" s="21">
        <f>IF(AJ480=1,SUM($AJ$2:AJ480),"")</f>
        <v/>
      </c>
      <c r="AL480" s="21">
        <f>IF(AND(AI480=1,OR(AD480="In person",AD480="Online"),OR(Speakers!$B$5="",AB480=Speakers!$B$5)),N(Z480)+ROW()/1000000000,"")</f>
        <v/>
      </c>
    </row>
    <row r="481">
      <c r="U481" s="19" t="n"/>
      <c r="V481" s="24" t="n"/>
      <c r="W481" s="24" t="n"/>
      <c r="X481" s="19" t="n"/>
      <c r="Y481" s="21">
        <f>IFERROR(TRIM(INDEX($A481:$T481,MATCH(Lists!$F$2,$A$1:$T$1,0))&amp;""),"")</f>
        <v/>
      </c>
      <c r="Z481" s="22">
        <f>IF(Y481="","",IFERROR(IF(ISNUMBER(INDEX($A481:$T481,MATCH(Lists!$F$3,$A$1:$T$1,0))),INDEX($A481:$T481,MATCH(Lists!$F$3,$A$1:$T$1,0)),DATE(VALUE(LEFT(IFERROR(TRIM(INDEX($A481:$T481,MATCH(Lists!$F$3,$A$1:$T$1,0))&amp;""),""),4)),VALUE(MID(IFERROR(TRIM(INDEX($A481:$T481,MATCH(Lists!$F$3,$A$1:$T$1,0))&amp;""),""),6,2)),VALUE(MID(IFERROR(TRIM(INDEX($A481:$T481,MATCH(Lists!$F$3,$A$1:$T$1,0))&amp;""),""),9,2)))+TIME(VALUE(MID(IFERROR(TRIM(INDEX($A481:$T481,MATCH(Lists!$F$3,$A$1:$T$1,0))&amp;""),""),12,2)),VALUE(MID(IFERROR(TRIM(INDEX($A481:$T481,MATCH(Lists!$F$3,$A$1:$T$1,0))&amp;""),""),15,2)),VALUE(MID(IFERROR(TRIM(INDEX($A481:$T481,MATCH(Lists!$F$3,$A$1:$T$1,0))&amp;""),""),18,2)))),""))</f>
        <v/>
      </c>
      <c r="AA481" s="23">
        <f>IF(Y481="","",IF(ISNUMBER(IFERROR(IF(TRIM(INDEX($A481:$T481,MATCH(Lists!$F$4,$A$1:$T$1,0))&amp;"")="","",IF(ISNUMBER(INDEX($A481:$T481,MATCH(Lists!$F$4,$A$1:$T$1,0))),INT(INDEX($A481:$T481,MATCH(Lists!$F$4,$A$1:$T$1,0))),DATE(VALUE(LEFT(INDEX($A481:$T481,MATCH(Lists!$F$4,$A$1:$T$1,0)),4)),VALUE(MID(INDEX($A481:$T481,MATCH(Lists!$F$4,$A$1:$T$1,0)),6,2)),VALUE(MID(INDEX($A481:$T481,MATCH(Lists!$F$4,$A$1:$T$1,0)),9,2))))),"")),IFERROR(IF(TRIM(INDEX($A481:$T481,MATCH(Lists!$F$4,$A$1:$T$1,0))&amp;"")="","",IF(ISNUMBER(INDEX($A481:$T481,MATCH(Lists!$F$4,$A$1:$T$1,0))),INT(INDEX($A481:$T481,MATCH(Lists!$F$4,$A$1:$T$1,0))),DATE(VALUE(LEFT(INDEX($A481:$T481,MATCH(Lists!$F$4,$A$1:$T$1,0)),4)),VALUE(MID(INDEX($A481:$T481,MATCH(Lists!$F$4,$A$1:$T$1,0)),6,2)),VALUE(MID(INDEX($A481:$T481,MATCH(Lists!$F$4,$A$1:$T$1,0)),9,2))))),""),IFERROR(IF(TRIM(INDEX($A481:$T481,MATCH(Lists!$F$5,$A$1:$T$1,0))&amp;"")="","",IF(ISNUMBER(INDEX($A481:$T481,MATCH(Lists!$F$5,$A$1:$T$1,0))),INT(INDEX($A481:$T481,MATCH(Lists!$F$5,$A$1:$T$1,0))),DATE(VALUE(LEFT(INDEX($A481:$T481,MATCH(Lists!$F$5,$A$1:$T$1,0)),4)),VALUE(MID(INDEX($A481:$T481,MATCH(Lists!$F$5,$A$1:$T$1,0)),6,2)),VALUE(MID(INDEX($A481:$T481,MATCH(Lists!$F$5,$A$1:$T$1,0)),9,2))))),"")))</f>
        <v/>
      </c>
      <c r="AB481" s="21">
        <f>IF(Y481="","",IF(LEFT(IFERROR(TRIM(INDEX($A481:$T481,MATCH(Lists!$F$6,$A$1:$T$1,0))&amp;""),""),2)="No","General comment",IF(IFERROR(TRIM(INDEX($A481:$T481,MATCH(Lists!$F$7,$A$1:$T$1,0))&amp;""),"")&lt;&gt;"",IFERROR(TRIM(INDEX($A481:$T481,MATCH(Lists!$F$7,$A$1:$T$1,0))&amp;""),""),IF(IFERROR(TRIM(INDEX($A481:$T481,MATCH(Lists!$F$8,$A$1:$T$1,0))&amp;""),"")&lt;&gt;"",IFERROR(TRIM(INDEX($A481:$T481,MATCH(Lists!$F$8,$A$1:$T$1,0))&amp;""),""),"(no item given)"))))</f>
        <v/>
      </c>
      <c r="AC481" s="21">
        <f>IF(Y481="","",IF(ISNUMBER(SEARCH("support",IFERROR(TRIM(INDEX($A481:$T481,MATCH(Lists!$F$9,$A$1:$T$1,0))&amp;""),""))),"Support",IF(ISNUMBER(SEARCH("oppose",IFERROR(TRIM(INDEX($A481:$T481,MATCH(Lists!$F$9,$A$1:$T$1,0))&amp;""),""))),"Oppose",IF(IFERROR(TRIM(INDEX($A481:$T481,MATCH(Lists!$F$9,$A$1:$T$1,0))&amp;""),"")="","No position","Neither"))))</f>
        <v/>
      </c>
      <c r="AD481" s="21">
        <f>IF(Y481="","",IF(ISNUMBER(SEARCH("in person",IFERROR(TRIM(INDEX($A481:$T481,MATCH(Lists!$F$13,$A$1:$T$1,0))&amp;""),""))),"In person",IF(ISNUMBER(SEARCH("online",IFERROR(TRIM(INDEX($A481:$T481,MATCH(Lists!$F$13,$A$1:$T$1,0))&amp;""),""))),"Online","Written only")))</f>
        <v/>
      </c>
      <c r="AE481" s="21">
        <f>IF(Y481="","",IFERROR(TRIM(INDEX($A481:$T481,MATCH(Lists!$F$11,$A$1:$T$1,0))&amp;""),""))</f>
        <v/>
      </c>
      <c r="AF481" s="21">
        <f>IF(Y481="","",IFERROR(TRIM(INDEX($A481:$T481,MATCH(Lists!$F$12,$A$1:$T$1,0))&amp;""),""))</f>
        <v/>
      </c>
      <c r="AG481" s="21">
        <f>IF(Y481="","",IFERROR(TRIM(INDEX($A481:$T481,MATCH(Lists!$F$14,$A$1:$T$1,0))&amp;""),""))</f>
        <v/>
      </c>
      <c r="AH481" s="21">
        <f>IF(Y481="","",LEFT(IFERROR(TRIM(INDEX($A481:$T481,MATCH(Lists!$F$10,$A$1:$T$1,0))&amp;""),""),80))</f>
        <v/>
      </c>
      <c r="AI481" s="21">
        <f>IF(Y481="",0,IF(OR(Tally!$B$5="",AA481=Tally!$B$5),1,0))</f>
        <v/>
      </c>
      <c r="AJ481" s="21">
        <f>IF(AI481=1,IF(COUNTIFS($AB$2:AB481,AB481,$AI$2:AI481,1)=1,1,0),0)</f>
        <v/>
      </c>
      <c r="AK481" s="21">
        <f>IF(AJ481=1,SUM($AJ$2:AJ481),"")</f>
        <v/>
      </c>
      <c r="AL481" s="21">
        <f>IF(AND(AI481=1,OR(AD481="In person",AD481="Online"),OR(Speakers!$B$5="",AB481=Speakers!$B$5)),N(Z481)+ROW()/1000000000,"")</f>
        <v/>
      </c>
    </row>
    <row r="482">
      <c r="U482" s="19" t="n"/>
      <c r="V482" s="24" t="n"/>
      <c r="W482" s="24" t="n"/>
      <c r="X482" s="19" t="n"/>
      <c r="Y482" s="21">
        <f>IFERROR(TRIM(INDEX($A482:$T482,MATCH(Lists!$F$2,$A$1:$T$1,0))&amp;""),"")</f>
        <v/>
      </c>
      <c r="Z482" s="22">
        <f>IF(Y482="","",IFERROR(IF(ISNUMBER(INDEX($A482:$T482,MATCH(Lists!$F$3,$A$1:$T$1,0))),INDEX($A482:$T482,MATCH(Lists!$F$3,$A$1:$T$1,0)),DATE(VALUE(LEFT(IFERROR(TRIM(INDEX($A482:$T482,MATCH(Lists!$F$3,$A$1:$T$1,0))&amp;""),""),4)),VALUE(MID(IFERROR(TRIM(INDEX($A482:$T482,MATCH(Lists!$F$3,$A$1:$T$1,0))&amp;""),""),6,2)),VALUE(MID(IFERROR(TRIM(INDEX($A482:$T482,MATCH(Lists!$F$3,$A$1:$T$1,0))&amp;""),""),9,2)))+TIME(VALUE(MID(IFERROR(TRIM(INDEX($A482:$T482,MATCH(Lists!$F$3,$A$1:$T$1,0))&amp;""),""),12,2)),VALUE(MID(IFERROR(TRIM(INDEX($A482:$T482,MATCH(Lists!$F$3,$A$1:$T$1,0))&amp;""),""),15,2)),VALUE(MID(IFERROR(TRIM(INDEX($A482:$T482,MATCH(Lists!$F$3,$A$1:$T$1,0))&amp;""),""),18,2)))),""))</f>
        <v/>
      </c>
      <c r="AA482" s="23">
        <f>IF(Y482="","",IF(ISNUMBER(IFERROR(IF(TRIM(INDEX($A482:$T482,MATCH(Lists!$F$4,$A$1:$T$1,0))&amp;"")="","",IF(ISNUMBER(INDEX($A482:$T482,MATCH(Lists!$F$4,$A$1:$T$1,0))),INT(INDEX($A482:$T482,MATCH(Lists!$F$4,$A$1:$T$1,0))),DATE(VALUE(LEFT(INDEX($A482:$T482,MATCH(Lists!$F$4,$A$1:$T$1,0)),4)),VALUE(MID(INDEX($A482:$T482,MATCH(Lists!$F$4,$A$1:$T$1,0)),6,2)),VALUE(MID(INDEX($A482:$T482,MATCH(Lists!$F$4,$A$1:$T$1,0)),9,2))))),"")),IFERROR(IF(TRIM(INDEX($A482:$T482,MATCH(Lists!$F$4,$A$1:$T$1,0))&amp;"")="","",IF(ISNUMBER(INDEX($A482:$T482,MATCH(Lists!$F$4,$A$1:$T$1,0))),INT(INDEX($A482:$T482,MATCH(Lists!$F$4,$A$1:$T$1,0))),DATE(VALUE(LEFT(INDEX($A482:$T482,MATCH(Lists!$F$4,$A$1:$T$1,0)),4)),VALUE(MID(INDEX($A482:$T482,MATCH(Lists!$F$4,$A$1:$T$1,0)),6,2)),VALUE(MID(INDEX($A482:$T482,MATCH(Lists!$F$4,$A$1:$T$1,0)),9,2))))),""),IFERROR(IF(TRIM(INDEX($A482:$T482,MATCH(Lists!$F$5,$A$1:$T$1,0))&amp;"")="","",IF(ISNUMBER(INDEX($A482:$T482,MATCH(Lists!$F$5,$A$1:$T$1,0))),INT(INDEX($A482:$T482,MATCH(Lists!$F$5,$A$1:$T$1,0))),DATE(VALUE(LEFT(INDEX($A482:$T482,MATCH(Lists!$F$5,$A$1:$T$1,0)),4)),VALUE(MID(INDEX($A482:$T482,MATCH(Lists!$F$5,$A$1:$T$1,0)),6,2)),VALUE(MID(INDEX($A482:$T482,MATCH(Lists!$F$5,$A$1:$T$1,0)),9,2))))),"")))</f>
        <v/>
      </c>
      <c r="AB482" s="21">
        <f>IF(Y482="","",IF(LEFT(IFERROR(TRIM(INDEX($A482:$T482,MATCH(Lists!$F$6,$A$1:$T$1,0))&amp;""),""),2)="No","General comment",IF(IFERROR(TRIM(INDEX($A482:$T482,MATCH(Lists!$F$7,$A$1:$T$1,0))&amp;""),"")&lt;&gt;"",IFERROR(TRIM(INDEX($A482:$T482,MATCH(Lists!$F$7,$A$1:$T$1,0))&amp;""),""),IF(IFERROR(TRIM(INDEX($A482:$T482,MATCH(Lists!$F$8,$A$1:$T$1,0))&amp;""),"")&lt;&gt;"",IFERROR(TRIM(INDEX($A482:$T482,MATCH(Lists!$F$8,$A$1:$T$1,0))&amp;""),""),"(no item given)"))))</f>
        <v/>
      </c>
      <c r="AC482" s="21">
        <f>IF(Y482="","",IF(ISNUMBER(SEARCH("support",IFERROR(TRIM(INDEX($A482:$T482,MATCH(Lists!$F$9,$A$1:$T$1,0))&amp;""),""))),"Support",IF(ISNUMBER(SEARCH("oppose",IFERROR(TRIM(INDEX($A482:$T482,MATCH(Lists!$F$9,$A$1:$T$1,0))&amp;""),""))),"Oppose",IF(IFERROR(TRIM(INDEX($A482:$T482,MATCH(Lists!$F$9,$A$1:$T$1,0))&amp;""),"")="","No position","Neither"))))</f>
        <v/>
      </c>
      <c r="AD482" s="21">
        <f>IF(Y482="","",IF(ISNUMBER(SEARCH("in person",IFERROR(TRIM(INDEX($A482:$T482,MATCH(Lists!$F$13,$A$1:$T$1,0))&amp;""),""))),"In person",IF(ISNUMBER(SEARCH("online",IFERROR(TRIM(INDEX($A482:$T482,MATCH(Lists!$F$13,$A$1:$T$1,0))&amp;""),""))),"Online","Written only")))</f>
        <v/>
      </c>
      <c r="AE482" s="21">
        <f>IF(Y482="","",IFERROR(TRIM(INDEX($A482:$T482,MATCH(Lists!$F$11,$A$1:$T$1,0))&amp;""),""))</f>
        <v/>
      </c>
      <c r="AF482" s="21">
        <f>IF(Y482="","",IFERROR(TRIM(INDEX($A482:$T482,MATCH(Lists!$F$12,$A$1:$T$1,0))&amp;""),""))</f>
        <v/>
      </c>
      <c r="AG482" s="21">
        <f>IF(Y482="","",IFERROR(TRIM(INDEX($A482:$T482,MATCH(Lists!$F$14,$A$1:$T$1,0))&amp;""),""))</f>
        <v/>
      </c>
      <c r="AH482" s="21">
        <f>IF(Y482="","",LEFT(IFERROR(TRIM(INDEX($A482:$T482,MATCH(Lists!$F$10,$A$1:$T$1,0))&amp;""),""),80))</f>
        <v/>
      </c>
      <c r="AI482" s="21">
        <f>IF(Y482="",0,IF(OR(Tally!$B$5="",AA482=Tally!$B$5),1,0))</f>
        <v/>
      </c>
      <c r="AJ482" s="21">
        <f>IF(AI482=1,IF(COUNTIFS($AB$2:AB482,AB482,$AI$2:AI482,1)=1,1,0),0)</f>
        <v/>
      </c>
      <c r="AK482" s="21">
        <f>IF(AJ482=1,SUM($AJ$2:AJ482),"")</f>
        <v/>
      </c>
      <c r="AL482" s="21">
        <f>IF(AND(AI482=1,OR(AD482="In person",AD482="Online"),OR(Speakers!$B$5="",AB482=Speakers!$B$5)),N(Z482)+ROW()/1000000000,"")</f>
        <v/>
      </c>
    </row>
    <row r="483">
      <c r="U483" s="19" t="n"/>
      <c r="V483" s="24" t="n"/>
      <c r="W483" s="24" t="n"/>
      <c r="X483" s="19" t="n"/>
      <c r="Y483" s="21">
        <f>IFERROR(TRIM(INDEX($A483:$T483,MATCH(Lists!$F$2,$A$1:$T$1,0))&amp;""),"")</f>
        <v/>
      </c>
      <c r="Z483" s="22">
        <f>IF(Y483="","",IFERROR(IF(ISNUMBER(INDEX($A483:$T483,MATCH(Lists!$F$3,$A$1:$T$1,0))),INDEX($A483:$T483,MATCH(Lists!$F$3,$A$1:$T$1,0)),DATE(VALUE(LEFT(IFERROR(TRIM(INDEX($A483:$T483,MATCH(Lists!$F$3,$A$1:$T$1,0))&amp;""),""),4)),VALUE(MID(IFERROR(TRIM(INDEX($A483:$T483,MATCH(Lists!$F$3,$A$1:$T$1,0))&amp;""),""),6,2)),VALUE(MID(IFERROR(TRIM(INDEX($A483:$T483,MATCH(Lists!$F$3,$A$1:$T$1,0))&amp;""),""),9,2)))+TIME(VALUE(MID(IFERROR(TRIM(INDEX($A483:$T483,MATCH(Lists!$F$3,$A$1:$T$1,0))&amp;""),""),12,2)),VALUE(MID(IFERROR(TRIM(INDEX($A483:$T483,MATCH(Lists!$F$3,$A$1:$T$1,0))&amp;""),""),15,2)),VALUE(MID(IFERROR(TRIM(INDEX($A483:$T483,MATCH(Lists!$F$3,$A$1:$T$1,0))&amp;""),""),18,2)))),""))</f>
        <v/>
      </c>
      <c r="AA483" s="23">
        <f>IF(Y483="","",IF(ISNUMBER(IFERROR(IF(TRIM(INDEX($A483:$T483,MATCH(Lists!$F$4,$A$1:$T$1,0))&amp;"")="","",IF(ISNUMBER(INDEX($A483:$T483,MATCH(Lists!$F$4,$A$1:$T$1,0))),INT(INDEX($A483:$T483,MATCH(Lists!$F$4,$A$1:$T$1,0))),DATE(VALUE(LEFT(INDEX($A483:$T483,MATCH(Lists!$F$4,$A$1:$T$1,0)),4)),VALUE(MID(INDEX($A483:$T483,MATCH(Lists!$F$4,$A$1:$T$1,0)),6,2)),VALUE(MID(INDEX($A483:$T483,MATCH(Lists!$F$4,$A$1:$T$1,0)),9,2))))),"")),IFERROR(IF(TRIM(INDEX($A483:$T483,MATCH(Lists!$F$4,$A$1:$T$1,0))&amp;"")="","",IF(ISNUMBER(INDEX($A483:$T483,MATCH(Lists!$F$4,$A$1:$T$1,0))),INT(INDEX($A483:$T483,MATCH(Lists!$F$4,$A$1:$T$1,0))),DATE(VALUE(LEFT(INDEX($A483:$T483,MATCH(Lists!$F$4,$A$1:$T$1,0)),4)),VALUE(MID(INDEX($A483:$T483,MATCH(Lists!$F$4,$A$1:$T$1,0)),6,2)),VALUE(MID(INDEX($A483:$T483,MATCH(Lists!$F$4,$A$1:$T$1,0)),9,2))))),""),IFERROR(IF(TRIM(INDEX($A483:$T483,MATCH(Lists!$F$5,$A$1:$T$1,0))&amp;"")="","",IF(ISNUMBER(INDEX($A483:$T483,MATCH(Lists!$F$5,$A$1:$T$1,0))),INT(INDEX($A483:$T483,MATCH(Lists!$F$5,$A$1:$T$1,0))),DATE(VALUE(LEFT(INDEX($A483:$T483,MATCH(Lists!$F$5,$A$1:$T$1,0)),4)),VALUE(MID(INDEX($A483:$T483,MATCH(Lists!$F$5,$A$1:$T$1,0)),6,2)),VALUE(MID(INDEX($A483:$T483,MATCH(Lists!$F$5,$A$1:$T$1,0)),9,2))))),"")))</f>
        <v/>
      </c>
      <c r="AB483" s="21">
        <f>IF(Y483="","",IF(LEFT(IFERROR(TRIM(INDEX($A483:$T483,MATCH(Lists!$F$6,$A$1:$T$1,0))&amp;""),""),2)="No","General comment",IF(IFERROR(TRIM(INDEX($A483:$T483,MATCH(Lists!$F$7,$A$1:$T$1,0))&amp;""),"")&lt;&gt;"",IFERROR(TRIM(INDEX($A483:$T483,MATCH(Lists!$F$7,$A$1:$T$1,0))&amp;""),""),IF(IFERROR(TRIM(INDEX($A483:$T483,MATCH(Lists!$F$8,$A$1:$T$1,0))&amp;""),"")&lt;&gt;"",IFERROR(TRIM(INDEX($A483:$T483,MATCH(Lists!$F$8,$A$1:$T$1,0))&amp;""),""),"(no item given)"))))</f>
        <v/>
      </c>
      <c r="AC483" s="21">
        <f>IF(Y483="","",IF(ISNUMBER(SEARCH("support",IFERROR(TRIM(INDEX($A483:$T483,MATCH(Lists!$F$9,$A$1:$T$1,0))&amp;""),""))),"Support",IF(ISNUMBER(SEARCH("oppose",IFERROR(TRIM(INDEX($A483:$T483,MATCH(Lists!$F$9,$A$1:$T$1,0))&amp;""),""))),"Oppose",IF(IFERROR(TRIM(INDEX($A483:$T483,MATCH(Lists!$F$9,$A$1:$T$1,0))&amp;""),"")="","No position","Neither"))))</f>
        <v/>
      </c>
      <c r="AD483" s="21">
        <f>IF(Y483="","",IF(ISNUMBER(SEARCH("in person",IFERROR(TRIM(INDEX($A483:$T483,MATCH(Lists!$F$13,$A$1:$T$1,0))&amp;""),""))),"In person",IF(ISNUMBER(SEARCH("online",IFERROR(TRIM(INDEX($A483:$T483,MATCH(Lists!$F$13,$A$1:$T$1,0))&amp;""),""))),"Online","Written only")))</f>
        <v/>
      </c>
      <c r="AE483" s="21">
        <f>IF(Y483="","",IFERROR(TRIM(INDEX($A483:$T483,MATCH(Lists!$F$11,$A$1:$T$1,0))&amp;""),""))</f>
        <v/>
      </c>
      <c r="AF483" s="21">
        <f>IF(Y483="","",IFERROR(TRIM(INDEX($A483:$T483,MATCH(Lists!$F$12,$A$1:$T$1,0))&amp;""),""))</f>
        <v/>
      </c>
      <c r="AG483" s="21">
        <f>IF(Y483="","",IFERROR(TRIM(INDEX($A483:$T483,MATCH(Lists!$F$14,$A$1:$T$1,0))&amp;""),""))</f>
        <v/>
      </c>
      <c r="AH483" s="21">
        <f>IF(Y483="","",LEFT(IFERROR(TRIM(INDEX($A483:$T483,MATCH(Lists!$F$10,$A$1:$T$1,0))&amp;""),""),80))</f>
        <v/>
      </c>
      <c r="AI483" s="21">
        <f>IF(Y483="",0,IF(OR(Tally!$B$5="",AA483=Tally!$B$5),1,0))</f>
        <v/>
      </c>
      <c r="AJ483" s="21">
        <f>IF(AI483=1,IF(COUNTIFS($AB$2:AB483,AB483,$AI$2:AI483,1)=1,1,0),0)</f>
        <v/>
      </c>
      <c r="AK483" s="21">
        <f>IF(AJ483=1,SUM($AJ$2:AJ483),"")</f>
        <v/>
      </c>
      <c r="AL483" s="21">
        <f>IF(AND(AI483=1,OR(AD483="In person",AD483="Online"),OR(Speakers!$B$5="",AB483=Speakers!$B$5)),N(Z483)+ROW()/1000000000,"")</f>
        <v/>
      </c>
    </row>
    <row r="484">
      <c r="U484" s="19" t="n"/>
      <c r="V484" s="24" t="n"/>
      <c r="W484" s="24" t="n"/>
      <c r="X484" s="19" t="n"/>
      <c r="Y484" s="21">
        <f>IFERROR(TRIM(INDEX($A484:$T484,MATCH(Lists!$F$2,$A$1:$T$1,0))&amp;""),"")</f>
        <v/>
      </c>
      <c r="Z484" s="22">
        <f>IF(Y484="","",IFERROR(IF(ISNUMBER(INDEX($A484:$T484,MATCH(Lists!$F$3,$A$1:$T$1,0))),INDEX($A484:$T484,MATCH(Lists!$F$3,$A$1:$T$1,0)),DATE(VALUE(LEFT(IFERROR(TRIM(INDEX($A484:$T484,MATCH(Lists!$F$3,$A$1:$T$1,0))&amp;""),""),4)),VALUE(MID(IFERROR(TRIM(INDEX($A484:$T484,MATCH(Lists!$F$3,$A$1:$T$1,0))&amp;""),""),6,2)),VALUE(MID(IFERROR(TRIM(INDEX($A484:$T484,MATCH(Lists!$F$3,$A$1:$T$1,0))&amp;""),""),9,2)))+TIME(VALUE(MID(IFERROR(TRIM(INDEX($A484:$T484,MATCH(Lists!$F$3,$A$1:$T$1,0))&amp;""),""),12,2)),VALUE(MID(IFERROR(TRIM(INDEX($A484:$T484,MATCH(Lists!$F$3,$A$1:$T$1,0))&amp;""),""),15,2)),VALUE(MID(IFERROR(TRIM(INDEX($A484:$T484,MATCH(Lists!$F$3,$A$1:$T$1,0))&amp;""),""),18,2)))),""))</f>
        <v/>
      </c>
      <c r="AA484" s="23">
        <f>IF(Y484="","",IF(ISNUMBER(IFERROR(IF(TRIM(INDEX($A484:$T484,MATCH(Lists!$F$4,$A$1:$T$1,0))&amp;"")="","",IF(ISNUMBER(INDEX($A484:$T484,MATCH(Lists!$F$4,$A$1:$T$1,0))),INT(INDEX($A484:$T484,MATCH(Lists!$F$4,$A$1:$T$1,0))),DATE(VALUE(LEFT(INDEX($A484:$T484,MATCH(Lists!$F$4,$A$1:$T$1,0)),4)),VALUE(MID(INDEX($A484:$T484,MATCH(Lists!$F$4,$A$1:$T$1,0)),6,2)),VALUE(MID(INDEX($A484:$T484,MATCH(Lists!$F$4,$A$1:$T$1,0)),9,2))))),"")),IFERROR(IF(TRIM(INDEX($A484:$T484,MATCH(Lists!$F$4,$A$1:$T$1,0))&amp;"")="","",IF(ISNUMBER(INDEX($A484:$T484,MATCH(Lists!$F$4,$A$1:$T$1,0))),INT(INDEX($A484:$T484,MATCH(Lists!$F$4,$A$1:$T$1,0))),DATE(VALUE(LEFT(INDEX($A484:$T484,MATCH(Lists!$F$4,$A$1:$T$1,0)),4)),VALUE(MID(INDEX($A484:$T484,MATCH(Lists!$F$4,$A$1:$T$1,0)),6,2)),VALUE(MID(INDEX($A484:$T484,MATCH(Lists!$F$4,$A$1:$T$1,0)),9,2))))),""),IFERROR(IF(TRIM(INDEX($A484:$T484,MATCH(Lists!$F$5,$A$1:$T$1,0))&amp;"")="","",IF(ISNUMBER(INDEX($A484:$T484,MATCH(Lists!$F$5,$A$1:$T$1,0))),INT(INDEX($A484:$T484,MATCH(Lists!$F$5,$A$1:$T$1,0))),DATE(VALUE(LEFT(INDEX($A484:$T484,MATCH(Lists!$F$5,$A$1:$T$1,0)),4)),VALUE(MID(INDEX($A484:$T484,MATCH(Lists!$F$5,$A$1:$T$1,0)),6,2)),VALUE(MID(INDEX($A484:$T484,MATCH(Lists!$F$5,$A$1:$T$1,0)),9,2))))),"")))</f>
        <v/>
      </c>
      <c r="AB484" s="21">
        <f>IF(Y484="","",IF(LEFT(IFERROR(TRIM(INDEX($A484:$T484,MATCH(Lists!$F$6,$A$1:$T$1,0))&amp;""),""),2)="No","General comment",IF(IFERROR(TRIM(INDEX($A484:$T484,MATCH(Lists!$F$7,$A$1:$T$1,0))&amp;""),"")&lt;&gt;"",IFERROR(TRIM(INDEX($A484:$T484,MATCH(Lists!$F$7,$A$1:$T$1,0))&amp;""),""),IF(IFERROR(TRIM(INDEX($A484:$T484,MATCH(Lists!$F$8,$A$1:$T$1,0))&amp;""),"")&lt;&gt;"",IFERROR(TRIM(INDEX($A484:$T484,MATCH(Lists!$F$8,$A$1:$T$1,0))&amp;""),""),"(no item given)"))))</f>
        <v/>
      </c>
      <c r="AC484" s="21">
        <f>IF(Y484="","",IF(ISNUMBER(SEARCH("support",IFERROR(TRIM(INDEX($A484:$T484,MATCH(Lists!$F$9,$A$1:$T$1,0))&amp;""),""))),"Support",IF(ISNUMBER(SEARCH("oppose",IFERROR(TRIM(INDEX($A484:$T484,MATCH(Lists!$F$9,$A$1:$T$1,0))&amp;""),""))),"Oppose",IF(IFERROR(TRIM(INDEX($A484:$T484,MATCH(Lists!$F$9,$A$1:$T$1,0))&amp;""),"")="","No position","Neither"))))</f>
        <v/>
      </c>
      <c r="AD484" s="21">
        <f>IF(Y484="","",IF(ISNUMBER(SEARCH("in person",IFERROR(TRIM(INDEX($A484:$T484,MATCH(Lists!$F$13,$A$1:$T$1,0))&amp;""),""))),"In person",IF(ISNUMBER(SEARCH("online",IFERROR(TRIM(INDEX($A484:$T484,MATCH(Lists!$F$13,$A$1:$T$1,0))&amp;""),""))),"Online","Written only")))</f>
        <v/>
      </c>
      <c r="AE484" s="21">
        <f>IF(Y484="","",IFERROR(TRIM(INDEX($A484:$T484,MATCH(Lists!$F$11,$A$1:$T$1,0))&amp;""),""))</f>
        <v/>
      </c>
      <c r="AF484" s="21">
        <f>IF(Y484="","",IFERROR(TRIM(INDEX($A484:$T484,MATCH(Lists!$F$12,$A$1:$T$1,0))&amp;""),""))</f>
        <v/>
      </c>
      <c r="AG484" s="21">
        <f>IF(Y484="","",IFERROR(TRIM(INDEX($A484:$T484,MATCH(Lists!$F$14,$A$1:$T$1,0))&amp;""),""))</f>
        <v/>
      </c>
      <c r="AH484" s="21">
        <f>IF(Y484="","",LEFT(IFERROR(TRIM(INDEX($A484:$T484,MATCH(Lists!$F$10,$A$1:$T$1,0))&amp;""),""),80))</f>
        <v/>
      </c>
      <c r="AI484" s="21">
        <f>IF(Y484="",0,IF(OR(Tally!$B$5="",AA484=Tally!$B$5),1,0))</f>
        <v/>
      </c>
      <c r="AJ484" s="21">
        <f>IF(AI484=1,IF(COUNTIFS($AB$2:AB484,AB484,$AI$2:AI484,1)=1,1,0),0)</f>
        <v/>
      </c>
      <c r="AK484" s="21">
        <f>IF(AJ484=1,SUM($AJ$2:AJ484),"")</f>
        <v/>
      </c>
      <c r="AL484" s="21">
        <f>IF(AND(AI484=1,OR(AD484="In person",AD484="Online"),OR(Speakers!$B$5="",AB484=Speakers!$B$5)),N(Z484)+ROW()/1000000000,"")</f>
        <v/>
      </c>
    </row>
    <row r="485">
      <c r="U485" s="19" t="n"/>
      <c r="V485" s="24" t="n"/>
      <c r="W485" s="24" t="n"/>
      <c r="X485" s="19" t="n"/>
      <c r="Y485" s="21">
        <f>IFERROR(TRIM(INDEX($A485:$T485,MATCH(Lists!$F$2,$A$1:$T$1,0))&amp;""),"")</f>
        <v/>
      </c>
      <c r="Z485" s="22">
        <f>IF(Y485="","",IFERROR(IF(ISNUMBER(INDEX($A485:$T485,MATCH(Lists!$F$3,$A$1:$T$1,0))),INDEX($A485:$T485,MATCH(Lists!$F$3,$A$1:$T$1,0)),DATE(VALUE(LEFT(IFERROR(TRIM(INDEX($A485:$T485,MATCH(Lists!$F$3,$A$1:$T$1,0))&amp;""),""),4)),VALUE(MID(IFERROR(TRIM(INDEX($A485:$T485,MATCH(Lists!$F$3,$A$1:$T$1,0))&amp;""),""),6,2)),VALUE(MID(IFERROR(TRIM(INDEX($A485:$T485,MATCH(Lists!$F$3,$A$1:$T$1,0))&amp;""),""),9,2)))+TIME(VALUE(MID(IFERROR(TRIM(INDEX($A485:$T485,MATCH(Lists!$F$3,$A$1:$T$1,0))&amp;""),""),12,2)),VALUE(MID(IFERROR(TRIM(INDEX($A485:$T485,MATCH(Lists!$F$3,$A$1:$T$1,0))&amp;""),""),15,2)),VALUE(MID(IFERROR(TRIM(INDEX($A485:$T485,MATCH(Lists!$F$3,$A$1:$T$1,0))&amp;""),""),18,2)))),""))</f>
        <v/>
      </c>
      <c r="AA485" s="23">
        <f>IF(Y485="","",IF(ISNUMBER(IFERROR(IF(TRIM(INDEX($A485:$T485,MATCH(Lists!$F$4,$A$1:$T$1,0))&amp;"")="","",IF(ISNUMBER(INDEX($A485:$T485,MATCH(Lists!$F$4,$A$1:$T$1,0))),INT(INDEX($A485:$T485,MATCH(Lists!$F$4,$A$1:$T$1,0))),DATE(VALUE(LEFT(INDEX($A485:$T485,MATCH(Lists!$F$4,$A$1:$T$1,0)),4)),VALUE(MID(INDEX($A485:$T485,MATCH(Lists!$F$4,$A$1:$T$1,0)),6,2)),VALUE(MID(INDEX($A485:$T485,MATCH(Lists!$F$4,$A$1:$T$1,0)),9,2))))),"")),IFERROR(IF(TRIM(INDEX($A485:$T485,MATCH(Lists!$F$4,$A$1:$T$1,0))&amp;"")="","",IF(ISNUMBER(INDEX($A485:$T485,MATCH(Lists!$F$4,$A$1:$T$1,0))),INT(INDEX($A485:$T485,MATCH(Lists!$F$4,$A$1:$T$1,0))),DATE(VALUE(LEFT(INDEX($A485:$T485,MATCH(Lists!$F$4,$A$1:$T$1,0)),4)),VALUE(MID(INDEX($A485:$T485,MATCH(Lists!$F$4,$A$1:$T$1,0)),6,2)),VALUE(MID(INDEX($A485:$T485,MATCH(Lists!$F$4,$A$1:$T$1,0)),9,2))))),""),IFERROR(IF(TRIM(INDEX($A485:$T485,MATCH(Lists!$F$5,$A$1:$T$1,0))&amp;"")="","",IF(ISNUMBER(INDEX($A485:$T485,MATCH(Lists!$F$5,$A$1:$T$1,0))),INT(INDEX($A485:$T485,MATCH(Lists!$F$5,$A$1:$T$1,0))),DATE(VALUE(LEFT(INDEX($A485:$T485,MATCH(Lists!$F$5,$A$1:$T$1,0)),4)),VALUE(MID(INDEX($A485:$T485,MATCH(Lists!$F$5,$A$1:$T$1,0)),6,2)),VALUE(MID(INDEX($A485:$T485,MATCH(Lists!$F$5,$A$1:$T$1,0)),9,2))))),"")))</f>
        <v/>
      </c>
      <c r="AB485" s="21">
        <f>IF(Y485="","",IF(LEFT(IFERROR(TRIM(INDEX($A485:$T485,MATCH(Lists!$F$6,$A$1:$T$1,0))&amp;""),""),2)="No","General comment",IF(IFERROR(TRIM(INDEX($A485:$T485,MATCH(Lists!$F$7,$A$1:$T$1,0))&amp;""),"")&lt;&gt;"",IFERROR(TRIM(INDEX($A485:$T485,MATCH(Lists!$F$7,$A$1:$T$1,0))&amp;""),""),IF(IFERROR(TRIM(INDEX($A485:$T485,MATCH(Lists!$F$8,$A$1:$T$1,0))&amp;""),"")&lt;&gt;"",IFERROR(TRIM(INDEX($A485:$T485,MATCH(Lists!$F$8,$A$1:$T$1,0))&amp;""),""),"(no item given)"))))</f>
        <v/>
      </c>
      <c r="AC485" s="21">
        <f>IF(Y485="","",IF(ISNUMBER(SEARCH("support",IFERROR(TRIM(INDEX($A485:$T485,MATCH(Lists!$F$9,$A$1:$T$1,0))&amp;""),""))),"Support",IF(ISNUMBER(SEARCH("oppose",IFERROR(TRIM(INDEX($A485:$T485,MATCH(Lists!$F$9,$A$1:$T$1,0))&amp;""),""))),"Oppose",IF(IFERROR(TRIM(INDEX($A485:$T485,MATCH(Lists!$F$9,$A$1:$T$1,0))&amp;""),"")="","No position","Neither"))))</f>
        <v/>
      </c>
      <c r="AD485" s="21">
        <f>IF(Y485="","",IF(ISNUMBER(SEARCH("in person",IFERROR(TRIM(INDEX($A485:$T485,MATCH(Lists!$F$13,$A$1:$T$1,0))&amp;""),""))),"In person",IF(ISNUMBER(SEARCH("online",IFERROR(TRIM(INDEX($A485:$T485,MATCH(Lists!$F$13,$A$1:$T$1,0))&amp;""),""))),"Online","Written only")))</f>
        <v/>
      </c>
      <c r="AE485" s="21">
        <f>IF(Y485="","",IFERROR(TRIM(INDEX($A485:$T485,MATCH(Lists!$F$11,$A$1:$T$1,0))&amp;""),""))</f>
        <v/>
      </c>
      <c r="AF485" s="21">
        <f>IF(Y485="","",IFERROR(TRIM(INDEX($A485:$T485,MATCH(Lists!$F$12,$A$1:$T$1,0))&amp;""),""))</f>
        <v/>
      </c>
      <c r="AG485" s="21">
        <f>IF(Y485="","",IFERROR(TRIM(INDEX($A485:$T485,MATCH(Lists!$F$14,$A$1:$T$1,0))&amp;""),""))</f>
        <v/>
      </c>
      <c r="AH485" s="21">
        <f>IF(Y485="","",LEFT(IFERROR(TRIM(INDEX($A485:$T485,MATCH(Lists!$F$10,$A$1:$T$1,0))&amp;""),""),80))</f>
        <v/>
      </c>
      <c r="AI485" s="21">
        <f>IF(Y485="",0,IF(OR(Tally!$B$5="",AA485=Tally!$B$5),1,0))</f>
        <v/>
      </c>
      <c r="AJ485" s="21">
        <f>IF(AI485=1,IF(COUNTIFS($AB$2:AB485,AB485,$AI$2:AI485,1)=1,1,0),0)</f>
        <v/>
      </c>
      <c r="AK485" s="21">
        <f>IF(AJ485=1,SUM($AJ$2:AJ485),"")</f>
        <v/>
      </c>
      <c r="AL485" s="21">
        <f>IF(AND(AI485=1,OR(AD485="In person",AD485="Online"),OR(Speakers!$B$5="",AB485=Speakers!$B$5)),N(Z485)+ROW()/1000000000,"")</f>
        <v/>
      </c>
    </row>
    <row r="486">
      <c r="U486" s="19" t="n"/>
      <c r="V486" s="24" t="n"/>
      <c r="W486" s="24" t="n"/>
      <c r="X486" s="19" t="n"/>
      <c r="Y486" s="21">
        <f>IFERROR(TRIM(INDEX($A486:$T486,MATCH(Lists!$F$2,$A$1:$T$1,0))&amp;""),"")</f>
        <v/>
      </c>
      <c r="Z486" s="22">
        <f>IF(Y486="","",IFERROR(IF(ISNUMBER(INDEX($A486:$T486,MATCH(Lists!$F$3,$A$1:$T$1,0))),INDEX($A486:$T486,MATCH(Lists!$F$3,$A$1:$T$1,0)),DATE(VALUE(LEFT(IFERROR(TRIM(INDEX($A486:$T486,MATCH(Lists!$F$3,$A$1:$T$1,0))&amp;""),""),4)),VALUE(MID(IFERROR(TRIM(INDEX($A486:$T486,MATCH(Lists!$F$3,$A$1:$T$1,0))&amp;""),""),6,2)),VALUE(MID(IFERROR(TRIM(INDEX($A486:$T486,MATCH(Lists!$F$3,$A$1:$T$1,0))&amp;""),""),9,2)))+TIME(VALUE(MID(IFERROR(TRIM(INDEX($A486:$T486,MATCH(Lists!$F$3,$A$1:$T$1,0))&amp;""),""),12,2)),VALUE(MID(IFERROR(TRIM(INDEX($A486:$T486,MATCH(Lists!$F$3,$A$1:$T$1,0))&amp;""),""),15,2)),VALUE(MID(IFERROR(TRIM(INDEX($A486:$T486,MATCH(Lists!$F$3,$A$1:$T$1,0))&amp;""),""),18,2)))),""))</f>
        <v/>
      </c>
      <c r="AA486" s="23">
        <f>IF(Y486="","",IF(ISNUMBER(IFERROR(IF(TRIM(INDEX($A486:$T486,MATCH(Lists!$F$4,$A$1:$T$1,0))&amp;"")="","",IF(ISNUMBER(INDEX($A486:$T486,MATCH(Lists!$F$4,$A$1:$T$1,0))),INT(INDEX($A486:$T486,MATCH(Lists!$F$4,$A$1:$T$1,0))),DATE(VALUE(LEFT(INDEX($A486:$T486,MATCH(Lists!$F$4,$A$1:$T$1,0)),4)),VALUE(MID(INDEX($A486:$T486,MATCH(Lists!$F$4,$A$1:$T$1,0)),6,2)),VALUE(MID(INDEX($A486:$T486,MATCH(Lists!$F$4,$A$1:$T$1,0)),9,2))))),"")),IFERROR(IF(TRIM(INDEX($A486:$T486,MATCH(Lists!$F$4,$A$1:$T$1,0))&amp;"")="","",IF(ISNUMBER(INDEX($A486:$T486,MATCH(Lists!$F$4,$A$1:$T$1,0))),INT(INDEX($A486:$T486,MATCH(Lists!$F$4,$A$1:$T$1,0))),DATE(VALUE(LEFT(INDEX($A486:$T486,MATCH(Lists!$F$4,$A$1:$T$1,0)),4)),VALUE(MID(INDEX($A486:$T486,MATCH(Lists!$F$4,$A$1:$T$1,0)),6,2)),VALUE(MID(INDEX($A486:$T486,MATCH(Lists!$F$4,$A$1:$T$1,0)),9,2))))),""),IFERROR(IF(TRIM(INDEX($A486:$T486,MATCH(Lists!$F$5,$A$1:$T$1,0))&amp;"")="","",IF(ISNUMBER(INDEX($A486:$T486,MATCH(Lists!$F$5,$A$1:$T$1,0))),INT(INDEX($A486:$T486,MATCH(Lists!$F$5,$A$1:$T$1,0))),DATE(VALUE(LEFT(INDEX($A486:$T486,MATCH(Lists!$F$5,$A$1:$T$1,0)),4)),VALUE(MID(INDEX($A486:$T486,MATCH(Lists!$F$5,$A$1:$T$1,0)),6,2)),VALUE(MID(INDEX($A486:$T486,MATCH(Lists!$F$5,$A$1:$T$1,0)),9,2))))),"")))</f>
        <v/>
      </c>
      <c r="AB486" s="21">
        <f>IF(Y486="","",IF(LEFT(IFERROR(TRIM(INDEX($A486:$T486,MATCH(Lists!$F$6,$A$1:$T$1,0))&amp;""),""),2)="No","General comment",IF(IFERROR(TRIM(INDEX($A486:$T486,MATCH(Lists!$F$7,$A$1:$T$1,0))&amp;""),"")&lt;&gt;"",IFERROR(TRIM(INDEX($A486:$T486,MATCH(Lists!$F$7,$A$1:$T$1,0))&amp;""),""),IF(IFERROR(TRIM(INDEX($A486:$T486,MATCH(Lists!$F$8,$A$1:$T$1,0))&amp;""),"")&lt;&gt;"",IFERROR(TRIM(INDEX($A486:$T486,MATCH(Lists!$F$8,$A$1:$T$1,0))&amp;""),""),"(no item given)"))))</f>
        <v/>
      </c>
      <c r="AC486" s="21">
        <f>IF(Y486="","",IF(ISNUMBER(SEARCH("support",IFERROR(TRIM(INDEX($A486:$T486,MATCH(Lists!$F$9,$A$1:$T$1,0))&amp;""),""))),"Support",IF(ISNUMBER(SEARCH("oppose",IFERROR(TRIM(INDEX($A486:$T486,MATCH(Lists!$F$9,$A$1:$T$1,0))&amp;""),""))),"Oppose",IF(IFERROR(TRIM(INDEX($A486:$T486,MATCH(Lists!$F$9,$A$1:$T$1,0))&amp;""),"")="","No position","Neither"))))</f>
        <v/>
      </c>
      <c r="AD486" s="21">
        <f>IF(Y486="","",IF(ISNUMBER(SEARCH("in person",IFERROR(TRIM(INDEX($A486:$T486,MATCH(Lists!$F$13,$A$1:$T$1,0))&amp;""),""))),"In person",IF(ISNUMBER(SEARCH("online",IFERROR(TRIM(INDEX($A486:$T486,MATCH(Lists!$F$13,$A$1:$T$1,0))&amp;""),""))),"Online","Written only")))</f>
        <v/>
      </c>
      <c r="AE486" s="21">
        <f>IF(Y486="","",IFERROR(TRIM(INDEX($A486:$T486,MATCH(Lists!$F$11,$A$1:$T$1,0))&amp;""),""))</f>
        <v/>
      </c>
      <c r="AF486" s="21">
        <f>IF(Y486="","",IFERROR(TRIM(INDEX($A486:$T486,MATCH(Lists!$F$12,$A$1:$T$1,0))&amp;""),""))</f>
        <v/>
      </c>
      <c r="AG486" s="21">
        <f>IF(Y486="","",IFERROR(TRIM(INDEX($A486:$T486,MATCH(Lists!$F$14,$A$1:$T$1,0))&amp;""),""))</f>
        <v/>
      </c>
      <c r="AH486" s="21">
        <f>IF(Y486="","",LEFT(IFERROR(TRIM(INDEX($A486:$T486,MATCH(Lists!$F$10,$A$1:$T$1,0))&amp;""),""),80))</f>
        <v/>
      </c>
      <c r="AI486" s="21">
        <f>IF(Y486="",0,IF(OR(Tally!$B$5="",AA486=Tally!$B$5),1,0))</f>
        <v/>
      </c>
      <c r="AJ486" s="21">
        <f>IF(AI486=1,IF(COUNTIFS($AB$2:AB486,AB486,$AI$2:AI486,1)=1,1,0),0)</f>
        <v/>
      </c>
      <c r="AK486" s="21">
        <f>IF(AJ486=1,SUM($AJ$2:AJ486),"")</f>
        <v/>
      </c>
      <c r="AL486" s="21">
        <f>IF(AND(AI486=1,OR(AD486="In person",AD486="Online"),OR(Speakers!$B$5="",AB486=Speakers!$B$5)),N(Z486)+ROW()/1000000000,"")</f>
        <v/>
      </c>
    </row>
    <row r="487">
      <c r="U487" s="19" t="n"/>
      <c r="V487" s="24" t="n"/>
      <c r="W487" s="24" t="n"/>
      <c r="X487" s="19" t="n"/>
      <c r="Y487" s="21">
        <f>IFERROR(TRIM(INDEX($A487:$T487,MATCH(Lists!$F$2,$A$1:$T$1,0))&amp;""),"")</f>
        <v/>
      </c>
      <c r="Z487" s="22">
        <f>IF(Y487="","",IFERROR(IF(ISNUMBER(INDEX($A487:$T487,MATCH(Lists!$F$3,$A$1:$T$1,0))),INDEX($A487:$T487,MATCH(Lists!$F$3,$A$1:$T$1,0)),DATE(VALUE(LEFT(IFERROR(TRIM(INDEX($A487:$T487,MATCH(Lists!$F$3,$A$1:$T$1,0))&amp;""),""),4)),VALUE(MID(IFERROR(TRIM(INDEX($A487:$T487,MATCH(Lists!$F$3,$A$1:$T$1,0))&amp;""),""),6,2)),VALUE(MID(IFERROR(TRIM(INDEX($A487:$T487,MATCH(Lists!$F$3,$A$1:$T$1,0))&amp;""),""),9,2)))+TIME(VALUE(MID(IFERROR(TRIM(INDEX($A487:$T487,MATCH(Lists!$F$3,$A$1:$T$1,0))&amp;""),""),12,2)),VALUE(MID(IFERROR(TRIM(INDEX($A487:$T487,MATCH(Lists!$F$3,$A$1:$T$1,0))&amp;""),""),15,2)),VALUE(MID(IFERROR(TRIM(INDEX($A487:$T487,MATCH(Lists!$F$3,$A$1:$T$1,0))&amp;""),""),18,2)))),""))</f>
        <v/>
      </c>
      <c r="AA487" s="23">
        <f>IF(Y487="","",IF(ISNUMBER(IFERROR(IF(TRIM(INDEX($A487:$T487,MATCH(Lists!$F$4,$A$1:$T$1,0))&amp;"")="","",IF(ISNUMBER(INDEX($A487:$T487,MATCH(Lists!$F$4,$A$1:$T$1,0))),INT(INDEX($A487:$T487,MATCH(Lists!$F$4,$A$1:$T$1,0))),DATE(VALUE(LEFT(INDEX($A487:$T487,MATCH(Lists!$F$4,$A$1:$T$1,0)),4)),VALUE(MID(INDEX($A487:$T487,MATCH(Lists!$F$4,$A$1:$T$1,0)),6,2)),VALUE(MID(INDEX($A487:$T487,MATCH(Lists!$F$4,$A$1:$T$1,0)),9,2))))),"")),IFERROR(IF(TRIM(INDEX($A487:$T487,MATCH(Lists!$F$4,$A$1:$T$1,0))&amp;"")="","",IF(ISNUMBER(INDEX($A487:$T487,MATCH(Lists!$F$4,$A$1:$T$1,0))),INT(INDEX($A487:$T487,MATCH(Lists!$F$4,$A$1:$T$1,0))),DATE(VALUE(LEFT(INDEX($A487:$T487,MATCH(Lists!$F$4,$A$1:$T$1,0)),4)),VALUE(MID(INDEX($A487:$T487,MATCH(Lists!$F$4,$A$1:$T$1,0)),6,2)),VALUE(MID(INDEX($A487:$T487,MATCH(Lists!$F$4,$A$1:$T$1,0)),9,2))))),""),IFERROR(IF(TRIM(INDEX($A487:$T487,MATCH(Lists!$F$5,$A$1:$T$1,0))&amp;"")="","",IF(ISNUMBER(INDEX($A487:$T487,MATCH(Lists!$F$5,$A$1:$T$1,0))),INT(INDEX($A487:$T487,MATCH(Lists!$F$5,$A$1:$T$1,0))),DATE(VALUE(LEFT(INDEX($A487:$T487,MATCH(Lists!$F$5,$A$1:$T$1,0)),4)),VALUE(MID(INDEX($A487:$T487,MATCH(Lists!$F$5,$A$1:$T$1,0)),6,2)),VALUE(MID(INDEX($A487:$T487,MATCH(Lists!$F$5,$A$1:$T$1,0)),9,2))))),"")))</f>
        <v/>
      </c>
      <c r="AB487" s="21">
        <f>IF(Y487="","",IF(LEFT(IFERROR(TRIM(INDEX($A487:$T487,MATCH(Lists!$F$6,$A$1:$T$1,0))&amp;""),""),2)="No","General comment",IF(IFERROR(TRIM(INDEX($A487:$T487,MATCH(Lists!$F$7,$A$1:$T$1,0))&amp;""),"")&lt;&gt;"",IFERROR(TRIM(INDEX($A487:$T487,MATCH(Lists!$F$7,$A$1:$T$1,0))&amp;""),""),IF(IFERROR(TRIM(INDEX($A487:$T487,MATCH(Lists!$F$8,$A$1:$T$1,0))&amp;""),"")&lt;&gt;"",IFERROR(TRIM(INDEX($A487:$T487,MATCH(Lists!$F$8,$A$1:$T$1,0))&amp;""),""),"(no item given)"))))</f>
        <v/>
      </c>
      <c r="AC487" s="21">
        <f>IF(Y487="","",IF(ISNUMBER(SEARCH("support",IFERROR(TRIM(INDEX($A487:$T487,MATCH(Lists!$F$9,$A$1:$T$1,0))&amp;""),""))),"Support",IF(ISNUMBER(SEARCH("oppose",IFERROR(TRIM(INDEX($A487:$T487,MATCH(Lists!$F$9,$A$1:$T$1,0))&amp;""),""))),"Oppose",IF(IFERROR(TRIM(INDEX($A487:$T487,MATCH(Lists!$F$9,$A$1:$T$1,0))&amp;""),"")="","No position","Neither"))))</f>
        <v/>
      </c>
      <c r="AD487" s="21">
        <f>IF(Y487="","",IF(ISNUMBER(SEARCH("in person",IFERROR(TRIM(INDEX($A487:$T487,MATCH(Lists!$F$13,$A$1:$T$1,0))&amp;""),""))),"In person",IF(ISNUMBER(SEARCH("online",IFERROR(TRIM(INDEX($A487:$T487,MATCH(Lists!$F$13,$A$1:$T$1,0))&amp;""),""))),"Online","Written only")))</f>
        <v/>
      </c>
      <c r="AE487" s="21">
        <f>IF(Y487="","",IFERROR(TRIM(INDEX($A487:$T487,MATCH(Lists!$F$11,$A$1:$T$1,0))&amp;""),""))</f>
        <v/>
      </c>
      <c r="AF487" s="21">
        <f>IF(Y487="","",IFERROR(TRIM(INDEX($A487:$T487,MATCH(Lists!$F$12,$A$1:$T$1,0))&amp;""),""))</f>
        <v/>
      </c>
      <c r="AG487" s="21">
        <f>IF(Y487="","",IFERROR(TRIM(INDEX($A487:$T487,MATCH(Lists!$F$14,$A$1:$T$1,0))&amp;""),""))</f>
        <v/>
      </c>
      <c r="AH487" s="21">
        <f>IF(Y487="","",LEFT(IFERROR(TRIM(INDEX($A487:$T487,MATCH(Lists!$F$10,$A$1:$T$1,0))&amp;""),""),80))</f>
        <v/>
      </c>
      <c r="AI487" s="21">
        <f>IF(Y487="",0,IF(OR(Tally!$B$5="",AA487=Tally!$B$5),1,0))</f>
        <v/>
      </c>
      <c r="AJ487" s="21">
        <f>IF(AI487=1,IF(COUNTIFS($AB$2:AB487,AB487,$AI$2:AI487,1)=1,1,0),0)</f>
        <v/>
      </c>
      <c r="AK487" s="21">
        <f>IF(AJ487=1,SUM($AJ$2:AJ487),"")</f>
        <v/>
      </c>
      <c r="AL487" s="21">
        <f>IF(AND(AI487=1,OR(AD487="In person",AD487="Online"),OR(Speakers!$B$5="",AB487=Speakers!$B$5)),N(Z487)+ROW()/1000000000,"")</f>
        <v/>
      </c>
    </row>
    <row r="488">
      <c r="U488" s="19" t="n"/>
      <c r="V488" s="24" t="n"/>
      <c r="W488" s="24" t="n"/>
      <c r="X488" s="19" t="n"/>
      <c r="Y488" s="21">
        <f>IFERROR(TRIM(INDEX($A488:$T488,MATCH(Lists!$F$2,$A$1:$T$1,0))&amp;""),"")</f>
        <v/>
      </c>
      <c r="Z488" s="22">
        <f>IF(Y488="","",IFERROR(IF(ISNUMBER(INDEX($A488:$T488,MATCH(Lists!$F$3,$A$1:$T$1,0))),INDEX($A488:$T488,MATCH(Lists!$F$3,$A$1:$T$1,0)),DATE(VALUE(LEFT(IFERROR(TRIM(INDEX($A488:$T488,MATCH(Lists!$F$3,$A$1:$T$1,0))&amp;""),""),4)),VALUE(MID(IFERROR(TRIM(INDEX($A488:$T488,MATCH(Lists!$F$3,$A$1:$T$1,0))&amp;""),""),6,2)),VALUE(MID(IFERROR(TRIM(INDEX($A488:$T488,MATCH(Lists!$F$3,$A$1:$T$1,0))&amp;""),""),9,2)))+TIME(VALUE(MID(IFERROR(TRIM(INDEX($A488:$T488,MATCH(Lists!$F$3,$A$1:$T$1,0))&amp;""),""),12,2)),VALUE(MID(IFERROR(TRIM(INDEX($A488:$T488,MATCH(Lists!$F$3,$A$1:$T$1,0))&amp;""),""),15,2)),VALUE(MID(IFERROR(TRIM(INDEX($A488:$T488,MATCH(Lists!$F$3,$A$1:$T$1,0))&amp;""),""),18,2)))),""))</f>
        <v/>
      </c>
      <c r="AA488" s="23">
        <f>IF(Y488="","",IF(ISNUMBER(IFERROR(IF(TRIM(INDEX($A488:$T488,MATCH(Lists!$F$4,$A$1:$T$1,0))&amp;"")="","",IF(ISNUMBER(INDEX($A488:$T488,MATCH(Lists!$F$4,$A$1:$T$1,0))),INT(INDEX($A488:$T488,MATCH(Lists!$F$4,$A$1:$T$1,0))),DATE(VALUE(LEFT(INDEX($A488:$T488,MATCH(Lists!$F$4,$A$1:$T$1,0)),4)),VALUE(MID(INDEX($A488:$T488,MATCH(Lists!$F$4,$A$1:$T$1,0)),6,2)),VALUE(MID(INDEX($A488:$T488,MATCH(Lists!$F$4,$A$1:$T$1,0)),9,2))))),"")),IFERROR(IF(TRIM(INDEX($A488:$T488,MATCH(Lists!$F$4,$A$1:$T$1,0))&amp;"")="","",IF(ISNUMBER(INDEX($A488:$T488,MATCH(Lists!$F$4,$A$1:$T$1,0))),INT(INDEX($A488:$T488,MATCH(Lists!$F$4,$A$1:$T$1,0))),DATE(VALUE(LEFT(INDEX($A488:$T488,MATCH(Lists!$F$4,$A$1:$T$1,0)),4)),VALUE(MID(INDEX($A488:$T488,MATCH(Lists!$F$4,$A$1:$T$1,0)),6,2)),VALUE(MID(INDEX($A488:$T488,MATCH(Lists!$F$4,$A$1:$T$1,0)),9,2))))),""),IFERROR(IF(TRIM(INDEX($A488:$T488,MATCH(Lists!$F$5,$A$1:$T$1,0))&amp;"")="","",IF(ISNUMBER(INDEX($A488:$T488,MATCH(Lists!$F$5,$A$1:$T$1,0))),INT(INDEX($A488:$T488,MATCH(Lists!$F$5,$A$1:$T$1,0))),DATE(VALUE(LEFT(INDEX($A488:$T488,MATCH(Lists!$F$5,$A$1:$T$1,0)),4)),VALUE(MID(INDEX($A488:$T488,MATCH(Lists!$F$5,$A$1:$T$1,0)),6,2)),VALUE(MID(INDEX($A488:$T488,MATCH(Lists!$F$5,$A$1:$T$1,0)),9,2))))),"")))</f>
        <v/>
      </c>
      <c r="AB488" s="21">
        <f>IF(Y488="","",IF(LEFT(IFERROR(TRIM(INDEX($A488:$T488,MATCH(Lists!$F$6,$A$1:$T$1,0))&amp;""),""),2)="No","General comment",IF(IFERROR(TRIM(INDEX($A488:$T488,MATCH(Lists!$F$7,$A$1:$T$1,0))&amp;""),"")&lt;&gt;"",IFERROR(TRIM(INDEX($A488:$T488,MATCH(Lists!$F$7,$A$1:$T$1,0))&amp;""),""),IF(IFERROR(TRIM(INDEX($A488:$T488,MATCH(Lists!$F$8,$A$1:$T$1,0))&amp;""),"")&lt;&gt;"",IFERROR(TRIM(INDEX($A488:$T488,MATCH(Lists!$F$8,$A$1:$T$1,0))&amp;""),""),"(no item given)"))))</f>
        <v/>
      </c>
      <c r="AC488" s="21">
        <f>IF(Y488="","",IF(ISNUMBER(SEARCH("support",IFERROR(TRIM(INDEX($A488:$T488,MATCH(Lists!$F$9,$A$1:$T$1,0))&amp;""),""))),"Support",IF(ISNUMBER(SEARCH("oppose",IFERROR(TRIM(INDEX($A488:$T488,MATCH(Lists!$F$9,$A$1:$T$1,0))&amp;""),""))),"Oppose",IF(IFERROR(TRIM(INDEX($A488:$T488,MATCH(Lists!$F$9,$A$1:$T$1,0))&amp;""),"")="","No position","Neither"))))</f>
        <v/>
      </c>
      <c r="AD488" s="21">
        <f>IF(Y488="","",IF(ISNUMBER(SEARCH("in person",IFERROR(TRIM(INDEX($A488:$T488,MATCH(Lists!$F$13,$A$1:$T$1,0))&amp;""),""))),"In person",IF(ISNUMBER(SEARCH("online",IFERROR(TRIM(INDEX($A488:$T488,MATCH(Lists!$F$13,$A$1:$T$1,0))&amp;""),""))),"Online","Written only")))</f>
        <v/>
      </c>
      <c r="AE488" s="21">
        <f>IF(Y488="","",IFERROR(TRIM(INDEX($A488:$T488,MATCH(Lists!$F$11,$A$1:$T$1,0))&amp;""),""))</f>
        <v/>
      </c>
      <c r="AF488" s="21">
        <f>IF(Y488="","",IFERROR(TRIM(INDEX($A488:$T488,MATCH(Lists!$F$12,$A$1:$T$1,0))&amp;""),""))</f>
        <v/>
      </c>
      <c r="AG488" s="21">
        <f>IF(Y488="","",IFERROR(TRIM(INDEX($A488:$T488,MATCH(Lists!$F$14,$A$1:$T$1,0))&amp;""),""))</f>
        <v/>
      </c>
      <c r="AH488" s="21">
        <f>IF(Y488="","",LEFT(IFERROR(TRIM(INDEX($A488:$T488,MATCH(Lists!$F$10,$A$1:$T$1,0))&amp;""),""),80))</f>
        <v/>
      </c>
      <c r="AI488" s="21">
        <f>IF(Y488="",0,IF(OR(Tally!$B$5="",AA488=Tally!$B$5),1,0))</f>
        <v/>
      </c>
      <c r="AJ488" s="21">
        <f>IF(AI488=1,IF(COUNTIFS($AB$2:AB488,AB488,$AI$2:AI488,1)=1,1,0),0)</f>
        <v/>
      </c>
      <c r="AK488" s="21">
        <f>IF(AJ488=1,SUM($AJ$2:AJ488),"")</f>
        <v/>
      </c>
      <c r="AL488" s="21">
        <f>IF(AND(AI488=1,OR(AD488="In person",AD488="Online"),OR(Speakers!$B$5="",AB488=Speakers!$B$5)),N(Z488)+ROW()/1000000000,"")</f>
        <v/>
      </c>
    </row>
    <row r="489">
      <c r="U489" s="19" t="n"/>
      <c r="V489" s="24" t="n"/>
      <c r="W489" s="24" t="n"/>
      <c r="X489" s="19" t="n"/>
      <c r="Y489" s="21">
        <f>IFERROR(TRIM(INDEX($A489:$T489,MATCH(Lists!$F$2,$A$1:$T$1,0))&amp;""),"")</f>
        <v/>
      </c>
      <c r="Z489" s="22">
        <f>IF(Y489="","",IFERROR(IF(ISNUMBER(INDEX($A489:$T489,MATCH(Lists!$F$3,$A$1:$T$1,0))),INDEX($A489:$T489,MATCH(Lists!$F$3,$A$1:$T$1,0)),DATE(VALUE(LEFT(IFERROR(TRIM(INDEX($A489:$T489,MATCH(Lists!$F$3,$A$1:$T$1,0))&amp;""),""),4)),VALUE(MID(IFERROR(TRIM(INDEX($A489:$T489,MATCH(Lists!$F$3,$A$1:$T$1,0))&amp;""),""),6,2)),VALUE(MID(IFERROR(TRIM(INDEX($A489:$T489,MATCH(Lists!$F$3,$A$1:$T$1,0))&amp;""),""),9,2)))+TIME(VALUE(MID(IFERROR(TRIM(INDEX($A489:$T489,MATCH(Lists!$F$3,$A$1:$T$1,0))&amp;""),""),12,2)),VALUE(MID(IFERROR(TRIM(INDEX($A489:$T489,MATCH(Lists!$F$3,$A$1:$T$1,0))&amp;""),""),15,2)),VALUE(MID(IFERROR(TRIM(INDEX($A489:$T489,MATCH(Lists!$F$3,$A$1:$T$1,0))&amp;""),""),18,2)))),""))</f>
        <v/>
      </c>
      <c r="AA489" s="23">
        <f>IF(Y489="","",IF(ISNUMBER(IFERROR(IF(TRIM(INDEX($A489:$T489,MATCH(Lists!$F$4,$A$1:$T$1,0))&amp;"")="","",IF(ISNUMBER(INDEX($A489:$T489,MATCH(Lists!$F$4,$A$1:$T$1,0))),INT(INDEX($A489:$T489,MATCH(Lists!$F$4,$A$1:$T$1,0))),DATE(VALUE(LEFT(INDEX($A489:$T489,MATCH(Lists!$F$4,$A$1:$T$1,0)),4)),VALUE(MID(INDEX($A489:$T489,MATCH(Lists!$F$4,$A$1:$T$1,0)),6,2)),VALUE(MID(INDEX($A489:$T489,MATCH(Lists!$F$4,$A$1:$T$1,0)),9,2))))),"")),IFERROR(IF(TRIM(INDEX($A489:$T489,MATCH(Lists!$F$4,$A$1:$T$1,0))&amp;"")="","",IF(ISNUMBER(INDEX($A489:$T489,MATCH(Lists!$F$4,$A$1:$T$1,0))),INT(INDEX($A489:$T489,MATCH(Lists!$F$4,$A$1:$T$1,0))),DATE(VALUE(LEFT(INDEX($A489:$T489,MATCH(Lists!$F$4,$A$1:$T$1,0)),4)),VALUE(MID(INDEX($A489:$T489,MATCH(Lists!$F$4,$A$1:$T$1,0)),6,2)),VALUE(MID(INDEX($A489:$T489,MATCH(Lists!$F$4,$A$1:$T$1,0)),9,2))))),""),IFERROR(IF(TRIM(INDEX($A489:$T489,MATCH(Lists!$F$5,$A$1:$T$1,0))&amp;"")="","",IF(ISNUMBER(INDEX($A489:$T489,MATCH(Lists!$F$5,$A$1:$T$1,0))),INT(INDEX($A489:$T489,MATCH(Lists!$F$5,$A$1:$T$1,0))),DATE(VALUE(LEFT(INDEX($A489:$T489,MATCH(Lists!$F$5,$A$1:$T$1,0)),4)),VALUE(MID(INDEX($A489:$T489,MATCH(Lists!$F$5,$A$1:$T$1,0)),6,2)),VALUE(MID(INDEX($A489:$T489,MATCH(Lists!$F$5,$A$1:$T$1,0)),9,2))))),"")))</f>
        <v/>
      </c>
      <c r="AB489" s="21">
        <f>IF(Y489="","",IF(LEFT(IFERROR(TRIM(INDEX($A489:$T489,MATCH(Lists!$F$6,$A$1:$T$1,0))&amp;""),""),2)="No","General comment",IF(IFERROR(TRIM(INDEX($A489:$T489,MATCH(Lists!$F$7,$A$1:$T$1,0))&amp;""),"")&lt;&gt;"",IFERROR(TRIM(INDEX($A489:$T489,MATCH(Lists!$F$7,$A$1:$T$1,0))&amp;""),""),IF(IFERROR(TRIM(INDEX($A489:$T489,MATCH(Lists!$F$8,$A$1:$T$1,0))&amp;""),"")&lt;&gt;"",IFERROR(TRIM(INDEX($A489:$T489,MATCH(Lists!$F$8,$A$1:$T$1,0))&amp;""),""),"(no item given)"))))</f>
        <v/>
      </c>
      <c r="AC489" s="21">
        <f>IF(Y489="","",IF(ISNUMBER(SEARCH("support",IFERROR(TRIM(INDEX($A489:$T489,MATCH(Lists!$F$9,$A$1:$T$1,0))&amp;""),""))),"Support",IF(ISNUMBER(SEARCH("oppose",IFERROR(TRIM(INDEX($A489:$T489,MATCH(Lists!$F$9,$A$1:$T$1,0))&amp;""),""))),"Oppose",IF(IFERROR(TRIM(INDEX($A489:$T489,MATCH(Lists!$F$9,$A$1:$T$1,0))&amp;""),"")="","No position","Neither"))))</f>
        <v/>
      </c>
      <c r="AD489" s="21">
        <f>IF(Y489="","",IF(ISNUMBER(SEARCH("in person",IFERROR(TRIM(INDEX($A489:$T489,MATCH(Lists!$F$13,$A$1:$T$1,0))&amp;""),""))),"In person",IF(ISNUMBER(SEARCH("online",IFERROR(TRIM(INDEX($A489:$T489,MATCH(Lists!$F$13,$A$1:$T$1,0))&amp;""),""))),"Online","Written only")))</f>
        <v/>
      </c>
      <c r="AE489" s="21">
        <f>IF(Y489="","",IFERROR(TRIM(INDEX($A489:$T489,MATCH(Lists!$F$11,$A$1:$T$1,0))&amp;""),""))</f>
        <v/>
      </c>
      <c r="AF489" s="21">
        <f>IF(Y489="","",IFERROR(TRIM(INDEX($A489:$T489,MATCH(Lists!$F$12,$A$1:$T$1,0))&amp;""),""))</f>
        <v/>
      </c>
      <c r="AG489" s="21">
        <f>IF(Y489="","",IFERROR(TRIM(INDEX($A489:$T489,MATCH(Lists!$F$14,$A$1:$T$1,0))&amp;""),""))</f>
        <v/>
      </c>
      <c r="AH489" s="21">
        <f>IF(Y489="","",LEFT(IFERROR(TRIM(INDEX($A489:$T489,MATCH(Lists!$F$10,$A$1:$T$1,0))&amp;""),""),80))</f>
        <v/>
      </c>
      <c r="AI489" s="21">
        <f>IF(Y489="",0,IF(OR(Tally!$B$5="",AA489=Tally!$B$5),1,0))</f>
        <v/>
      </c>
      <c r="AJ489" s="21">
        <f>IF(AI489=1,IF(COUNTIFS($AB$2:AB489,AB489,$AI$2:AI489,1)=1,1,0),0)</f>
        <v/>
      </c>
      <c r="AK489" s="21">
        <f>IF(AJ489=1,SUM($AJ$2:AJ489),"")</f>
        <v/>
      </c>
      <c r="AL489" s="21">
        <f>IF(AND(AI489=1,OR(AD489="In person",AD489="Online"),OR(Speakers!$B$5="",AB489=Speakers!$B$5)),N(Z489)+ROW()/1000000000,"")</f>
        <v/>
      </c>
    </row>
    <row r="490">
      <c r="U490" s="19" t="n"/>
      <c r="V490" s="24" t="n"/>
      <c r="W490" s="24" t="n"/>
      <c r="X490" s="19" t="n"/>
      <c r="Y490" s="21">
        <f>IFERROR(TRIM(INDEX($A490:$T490,MATCH(Lists!$F$2,$A$1:$T$1,0))&amp;""),"")</f>
        <v/>
      </c>
      <c r="Z490" s="22">
        <f>IF(Y490="","",IFERROR(IF(ISNUMBER(INDEX($A490:$T490,MATCH(Lists!$F$3,$A$1:$T$1,0))),INDEX($A490:$T490,MATCH(Lists!$F$3,$A$1:$T$1,0)),DATE(VALUE(LEFT(IFERROR(TRIM(INDEX($A490:$T490,MATCH(Lists!$F$3,$A$1:$T$1,0))&amp;""),""),4)),VALUE(MID(IFERROR(TRIM(INDEX($A490:$T490,MATCH(Lists!$F$3,$A$1:$T$1,0))&amp;""),""),6,2)),VALUE(MID(IFERROR(TRIM(INDEX($A490:$T490,MATCH(Lists!$F$3,$A$1:$T$1,0))&amp;""),""),9,2)))+TIME(VALUE(MID(IFERROR(TRIM(INDEX($A490:$T490,MATCH(Lists!$F$3,$A$1:$T$1,0))&amp;""),""),12,2)),VALUE(MID(IFERROR(TRIM(INDEX($A490:$T490,MATCH(Lists!$F$3,$A$1:$T$1,0))&amp;""),""),15,2)),VALUE(MID(IFERROR(TRIM(INDEX($A490:$T490,MATCH(Lists!$F$3,$A$1:$T$1,0))&amp;""),""),18,2)))),""))</f>
        <v/>
      </c>
      <c r="AA490" s="23">
        <f>IF(Y490="","",IF(ISNUMBER(IFERROR(IF(TRIM(INDEX($A490:$T490,MATCH(Lists!$F$4,$A$1:$T$1,0))&amp;"")="","",IF(ISNUMBER(INDEX($A490:$T490,MATCH(Lists!$F$4,$A$1:$T$1,0))),INT(INDEX($A490:$T490,MATCH(Lists!$F$4,$A$1:$T$1,0))),DATE(VALUE(LEFT(INDEX($A490:$T490,MATCH(Lists!$F$4,$A$1:$T$1,0)),4)),VALUE(MID(INDEX($A490:$T490,MATCH(Lists!$F$4,$A$1:$T$1,0)),6,2)),VALUE(MID(INDEX($A490:$T490,MATCH(Lists!$F$4,$A$1:$T$1,0)),9,2))))),"")),IFERROR(IF(TRIM(INDEX($A490:$T490,MATCH(Lists!$F$4,$A$1:$T$1,0))&amp;"")="","",IF(ISNUMBER(INDEX($A490:$T490,MATCH(Lists!$F$4,$A$1:$T$1,0))),INT(INDEX($A490:$T490,MATCH(Lists!$F$4,$A$1:$T$1,0))),DATE(VALUE(LEFT(INDEX($A490:$T490,MATCH(Lists!$F$4,$A$1:$T$1,0)),4)),VALUE(MID(INDEX($A490:$T490,MATCH(Lists!$F$4,$A$1:$T$1,0)),6,2)),VALUE(MID(INDEX($A490:$T490,MATCH(Lists!$F$4,$A$1:$T$1,0)),9,2))))),""),IFERROR(IF(TRIM(INDEX($A490:$T490,MATCH(Lists!$F$5,$A$1:$T$1,0))&amp;"")="","",IF(ISNUMBER(INDEX($A490:$T490,MATCH(Lists!$F$5,$A$1:$T$1,0))),INT(INDEX($A490:$T490,MATCH(Lists!$F$5,$A$1:$T$1,0))),DATE(VALUE(LEFT(INDEX($A490:$T490,MATCH(Lists!$F$5,$A$1:$T$1,0)),4)),VALUE(MID(INDEX($A490:$T490,MATCH(Lists!$F$5,$A$1:$T$1,0)),6,2)),VALUE(MID(INDEX($A490:$T490,MATCH(Lists!$F$5,$A$1:$T$1,0)),9,2))))),"")))</f>
        <v/>
      </c>
      <c r="AB490" s="21">
        <f>IF(Y490="","",IF(LEFT(IFERROR(TRIM(INDEX($A490:$T490,MATCH(Lists!$F$6,$A$1:$T$1,0))&amp;""),""),2)="No","General comment",IF(IFERROR(TRIM(INDEX($A490:$T490,MATCH(Lists!$F$7,$A$1:$T$1,0))&amp;""),"")&lt;&gt;"",IFERROR(TRIM(INDEX($A490:$T490,MATCH(Lists!$F$7,$A$1:$T$1,0))&amp;""),""),IF(IFERROR(TRIM(INDEX($A490:$T490,MATCH(Lists!$F$8,$A$1:$T$1,0))&amp;""),"")&lt;&gt;"",IFERROR(TRIM(INDEX($A490:$T490,MATCH(Lists!$F$8,$A$1:$T$1,0))&amp;""),""),"(no item given)"))))</f>
        <v/>
      </c>
      <c r="AC490" s="21">
        <f>IF(Y490="","",IF(ISNUMBER(SEARCH("support",IFERROR(TRIM(INDEX($A490:$T490,MATCH(Lists!$F$9,$A$1:$T$1,0))&amp;""),""))),"Support",IF(ISNUMBER(SEARCH("oppose",IFERROR(TRIM(INDEX($A490:$T490,MATCH(Lists!$F$9,$A$1:$T$1,0))&amp;""),""))),"Oppose",IF(IFERROR(TRIM(INDEX($A490:$T490,MATCH(Lists!$F$9,$A$1:$T$1,0))&amp;""),"")="","No position","Neither"))))</f>
        <v/>
      </c>
      <c r="AD490" s="21">
        <f>IF(Y490="","",IF(ISNUMBER(SEARCH("in person",IFERROR(TRIM(INDEX($A490:$T490,MATCH(Lists!$F$13,$A$1:$T$1,0))&amp;""),""))),"In person",IF(ISNUMBER(SEARCH("online",IFERROR(TRIM(INDEX($A490:$T490,MATCH(Lists!$F$13,$A$1:$T$1,0))&amp;""),""))),"Online","Written only")))</f>
        <v/>
      </c>
      <c r="AE490" s="21">
        <f>IF(Y490="","",IFERROR(TRIM(INDEX($A490:$T490,MATCH(Lists!$F$11,$A$1:$T$1,0))&amp;""),""))</f>
        <v/>
      </c>
      <c r="AF490" s="21">
        <f>IF(Y490="","",IFERROR(TRIM(INDEX($A490:$T490,MATCH(Lists!$F$12,$A$1:$T$1,0))&amp;""),""))</f>
        <v/>
      </c>
      <c r="AG490" s="21">
        <f>IF(Y490="","",IFERROR(TRIM(INDEX($A490:$T490,MATCH(Lists!$F$14,$A$1:$T$1,0))&amp;""),""))</f>
        <v/>
      </c>
      <c r="AH490" s="21">
        <f>IF(Y490="","",LEFT(IFERROR(TRIM(INDEX($A490:$T490,MATCH(Lists!$F$10,$A$1:$T$1,0))&amp;""),""),80))</f>
        <v/>
      </c>
      <c r="AI490" s="21">
        <f>IF(Y490="",0,IF(OR(Tally!$B$5="",AA490=Tally!$B$5),1,0))</f>
        <v/>
      </c>
      <c r="AJ490" s="21">
        <f>IF(AI490=1,IF(COUNTIFS($AB$2:AB490,AB490,$AI$2:AI490,1)=1,1,0),0)</f>
        <v/>
      </c>
      <c r="AK490" s="21">
        <f>IF(AJ490=1,SUM($AJ$2:AJ490),"")</f>
        <v/>
      </c>
      <c r="AL490" s="21">
        <f>IF(AND(AI490=1,OR(AD490="In person",AD490="Online"),OR(Speakers!$B$5="",AB490=Speakers!$B$5)),N(Z490)+ROW()/1000000000,"")</f>
        <v/>
      </c>
    </row>
    <row r="491">
      <c r="U491" s="19" t="n"/>
      <c r="V491" s="24" t="n"/>
      <c r="W491" s="24" t="n"/>
      <c r="X491" s="19" t="n"/>
      <c r="Y491" s="21">
        <f>IFERROR(TRIM(INDEX($A491:$T491,MATCH(Lists!$F$2,$A$1:$T$1,0))&amp;""),"")</f>
        <v/>
      </c>
      <c r="Z491" s="22">
        <f>IF(Y491="","",IFERROR(IF(ISNUMBER(INDEX($A491:$T491,MATCH(Lists!$F$3,$A$1:$T$1,0))),INDEX($A491:$T491,MATCH(Lists!$F$3,$A$1:$T$1,0)),DATE(VALUE(LEFT(IFERROR(TRIM(INDEX($A491:$T491,MATCH(Lists!$F$3,$A$1:$T$1,0))&amp;""),""),4)),VALUE(MID(IFERROR(TRIM(INDEX($A491:$T491,MATCH(Lists!$F$3,$A$1:$T$1,0))&amp;""),""),6,2)),VALUE(MID(IFERROR(TRIM(INDEX($A491:$T491,MATCH(Lists!$F$3,$A$1:$T$1,0))&amp;""),""),9,2)))+TIME(VALUE(MID(IFERROR(TRIM(INDEX($A491:$T491,MATCH(Lists!$F$3,$A$1:$T$1,0))&amp;""),""),12,2)),VALUE(MID(IFERROR(TRIM(INDEX($A491:$T491,MATCH(Lists!$F$3,$A$1:$T$1,0))&amp;""),""),15,2)),VALUE(MID(IFERROR(TRIM(INDEX($A491:$T491,MATCH(Lists!$F$3,$A$1:$T$1,0))&amp;""),""),18,2)))),""))</f>
        <v/>
      </c>
      <c r="AA491" s="23">
        <f>IF(Y491="","",IF(ISNUMBER(IFERROR(IF(TRIM(INDEX($A491:$T491,MATCH(Lists!$F$4,$A$1:$T$1,0))&amp;"")="","",IF(ISNUMBER(INDEX($A491:$T491,MATCH(Lists!$F$4,$A$1:$T$1,0))),INT(INDEX($A491:$T491,MATCH(Lists!$F$4,$A$1:$T$1,0))),DATE(VALUE(LEFT(INDEX($A491:$T491,MATCH(Lists!$F$4,$A$1:$T$1,0)),4)),VALUE(MID(INDEX($A491:$T491,MATCH(Lists!$F$4,$A$1:$T$1,0)),6,2)),VALUE(MID(INDEX($A491:$T491,MATCH(Lists!$F$4,$A$1:$T$1,0)),9,2))))),"")),IFERROR(IF(TRIM(INDEX($A491:$T491,MATCH(Lists!$F$4,$A$1:$T$1,0))&amp;"")="","",IF(ISNUMBER(INDEX($A491:$T491,MATCH(Lists!$F$4,$A$1:$T$1,0))),INT(INDEX($A491:$T491,MATCH(Lists!$F$4,$A$1:$T$1,0))),DATE(VALUE(LEFT(INDEX($A491:$T491,MATCH(Lists!$F$4,$A$1:$T$1,0)),4)),VALUE(MID(INDEX($A491:$T491,MATCH(Lists!$F$4,$A$1:$T$1,0)),6,2)),VALUE(MID(INDEX($A491:$T491,MATCH(Lists!$F$4,$A$1:$T$1,0)),9,2))))),""),IFERROR(IF(TRIM(INDEX($A491:$T491,MATCH(Lists!$F$5,$A$1:$T$1,0))&amp;"")="","",IF(ISNUMBER(INDEX($A491:$T491,MATCH(Lists!$F$5,$A$1:$T$1,0))),INT(INDEX($A491:$T491,MATCH(Lists!$F$5,$A$1:$T$1,0))),DATE(VALUE(LEFT(INDEX($A491:$T491,MATCH(Lists!$F$5,$A$1:$T$1,0)),4)),VALUE(MID(INDEX($A491:$T491,MATCH(Lists!$F$5,$A$1:$T$1,0)),6,2)),VALUE(MID(INDEX($A491:$T491,MATCH(Lists!$F$5,$A$1:$T$1,0)),9,2))))),"")))</f>
        <v/>
      </c>
      <c r="AB491" s="21">
        <f>IF(Y491="","",IF(LEFT(IFERROR(TRIM(INDEX($A491:$T491,MATCH(Lists!$F$6,$A$1:$T$1,0))&amp;""),""),2)="No","General comment",IF(IFERROR(TRIM(INDEX($A491:$T491,MATCH(Lists!$F$7,$A$1:$T$1,0))&amp;""),"")&lt;&gt;"",IFERROR(TRIM(INDEX($A491:$T491,MATCH(Lists!$F$7,$A$1:$T$1,0))&amp;""),""),IF(IFERROR(TRIM(INDEX($A491:$T491,MATCH(Lists!$F$8,$A$1:$T$1,0))&amp;""),"")&lt;&gt;"",IFERROR(TRIM(INDEX($A491:$T491,MATCH(Lists!$F$8,$A$1:$T$1,0))&amp;""),""),"(no item given)"))))</f>
        <v/>
      </c>
      <c r="AC491" s="21">
        <f>IF(Y491="","",IF(ISNUMBER(SEARCH("support",IFERROR(TRIM(INDEX($A491:$T491,MATCH(Lists!$F$9,$A$1:$T$1,0))&amp;""),""))),"Support",IF(ISNUMBER(SEARCH("oppose",IFERROR(TRIM(INDEX($A491:$T491,MATCH(Lists!$F$9,$A$1:$T$1,0))&amp;""),""))),"Oppose",IF(IFERROR(TRIM(INDEX($A491:$T491,MATCH(Lists!$F$9,$A$1:$T$1,0))&amp;""),"")="","No position","Neither"))))</f>
        <v/>
      </c>
      <c r="AD491" s="21">
        <f>IF(Y491="","",IF(ISNUMBER(SEARCH("in person",IFERROR(TRIM(INDEX($A491:$T491,MATCH(Lists!$F$13,$A$1:$T$1,0))&amp;""),""))),"In person",IF(ISNUMBER(SEARCH("online",IFERROR(TRIM(INDEX($A491:$T491,MATCH(Lists!$F$13,$A$1:$T$1,0))&amp;""),""))),"Online","Written only")))</f>
        <v/>
      </c>
      <c r="AE491" s="21">
        <f>IF(Y491="","",IFERROR(TRIM(INDEX($A491:$T491,MATCH(Lists!$F$11,$A$1:$T$1,0))&amp;""),""))</f>
        <v/>
      </c>
      <c r="AF491" s="21">
        <f>IF(Y491="","",IFERROR(TRIM(INDEX($A491:$T491,MATCH(Lists!$F$12,$A$1:$T$1,0))&amp;""),""))</f>
        <v/>
      </c>
      <c r="AG491" s="21">
        <f>IF(Y491="","",IFERROR(TRIM(INDEX($A491:$T491,MATCH(Lists!$F$14,$A$1:$T$1,0))&amp;""),""))</f>
        <v/>
      </c>
      <c r="AH491" s="21">
        <f>IF(Y491="","",LEFT(IFERROR(TRIM(INDEX($A491:$T491,MATCH(Lists!$F$10,$A$1:$T$1,0))&amp;""),""),80))</f>
        <v/>
      </c>
      <c r="AI491" s="21">
        <f>IF(Y491="",0,IF(OR(Tally!$B$5="",AA491=Tally!$B$5),1,0))</f>
        <v/>
      </c>
      <c r="AJ491" s="21">
        <f>IF(AI491=1,IF(COUNTIFS($AB$2:AB491,AB491,$AI$2:AI491,1)=1,1,0),0)</f>
        <v/>
      </c>
      <c r="AK491" s="21">
        <f>IF(AJ491=1,SUM($AJ$2:AJ491),"")</f>
        <v/>
      </c>
      <c r="AL491" s="21">
        <f>IF(AND(AI491=1,OR(AD491="In person",AD491="Online"),OR(Speakers!$B$5="",AB491=Speakers!$B$5)),N(Z491)+ROW()/1000000000,"")</f>
        <v/>
      </c>
    </row>
    <row r="492">
      <c r="U492" s="19" t="n"/>
      <c r="V492" s="24" t="n"/>
      <c r="W492" s="24" t="n"/>
      <c r="X492" s="19" t="n"/>
      <c r="Y492" s="21">
        <f>IFERROR(TRIM(INDEX($A492:$T492,MATCH(Lists!$F$2,$A$1:$T$1,0))&amp;""),"")</f>
        <v/>
      </c>
      <c r="Z492" s="22">
        <f>IF(Y492="","",IFERROR(IF(ISNUMBER(INDEX($A492:$T492,MATCH(Lists!$F$3,$A$1:$T$1,0))),INDEX($A492:$T492,MATCH(Lists!$F$3,$A$1:$T$1,0)),DATE(VALUE(LEFT(IFERROR(TRIM(INDEX($A492:$T492,MATCH(Lists!$F$3,$A$1:$T$1,0))&amp;""),""),4)),VALUE(MID(IFERROR(TRIM(INDEX($A492:$T492,MATCH(Lists!$F$3,$A$1:$T$1,0))&amp;""),""),6,2)),VALUE(MID(IFERROR(TRIM(INDEX($A492:$T492,MATCH(Lists!$F$3,$A$1:$T$1,0))&amp;""),""),9,2)))+TIME(VALUE(MID(IFERROR(TRIM(INDEX($A492:$T492,MATCH(Lists!$F$3,$A$1:$T$1,0))&amp;""),""),12,2)),VALUE(MID(IFERROR(TRIM(INDEX($A492:$T492,MATCH(Lists!$F$3,$A$1:$T$1,0))&amp;""),""),15,2)),VALUE(MID(IFERROR(TRIM(INDEX($A492:$T492,MATCH(Lists!$F$3,$A$1:$T$1,0))&amp;""),""),18,2)))),""))</f>
        <v/>
      </c>
      <c r="AA492" s="23">
        <f>IF(Y492="","",IF(ISNUMBER(IFERROR(IF(TRIM(INDEX($A492:$T492,MATCH(Lists!$F$4,$A$1:$T$1,0))&amp;"")="","",IF(ISNUMBER(INDEX($A492:$T492,MATCH(Lists!$F$4,$A$1:$T$1,0))),INT(INDEX($A492:$T492,MATCH(Lists!$F$4,$A$1:$T$1,0))),DATE(VALUE(LEFT(INDEX($A492:$T492,MATCH(Lists!$F$4,$A$1:$T$1,0)),4)),VALUE(MID(INDEX($A492:$T492,MATCH(Lists!$F$4,$A$1:$T$1,0)),6,2)),VALUE(MID(INDEX($A492:$T492,MATCH(Lists!$F$4,$A$1:$T$1,0)),9,2))))),"")),IFERROR(IF(TRIM(INDEX($A492:$T492,MATCH(Lists!$F$4,$A$1:$T$1,0))&amp;"")="","",IF(ISNUMBER(INDEX($A492:$T492,MATCH(Lists!$F$4,$A$1:$T$1,0))),INT(INDEX($A492:$T492,MATCH(Lists!$F$4,$A$1:$T$1,0))),DATE(VALUE(LEFT(INDEX($A492:$T492,MATCH(Lists!$F$4,$A$1:$T$1,0)),4)),VALUE(MID(INDEX($A492:$T492,MATCH(Lists!$F$4,$A$1:$T$1,0)),6,2)),VALUE(MID(INDEX($A492:$T492,MATCH(Lists!$F$4,$A$1:$T$1,0)),9,2))))),""),IFERROR(IF(TRIM(INDEX($A492:$T492,MATCH(Lists!$F$5,$A$1:$T$1,0))&amp;"")="","",IF(ISNUMBER(INDEX($A492:$T492,MATCH(Lists!$F$5,$A$1:$T$1,0))),INT(INDEX($A492:$T492,MATCH(Lists!$F$5,$A$1:$T$1,0))),DATE(VALUE(LEFT(INDEX($A492:$T492,MATCH(Lists!$F$5,$A$1:$T$1,0)),4)),VALUE(MID(INDEX($A492:$T492,MATCH(Lists!$F$5,$A$1:$T$1,0)),6,2)),VALUE(MID(INDEX($A492:$T492,MATCH(Lists!$F$5,$A$1:$T$1,0)),9,2))))),"")))</f>
        <v/>
      </c>
      <c r="AB492" s="21">
        <f>IF(Y492="","",IF(LEFT(IFERROR(TRIM(INDEX($A492:$T492,MATCH(Lists!$F$6,$A$1:$T$1,0))&amp;""),""),2)="No","General comment",IF(IFERROR(TRIM(INDEX($A492:$T492,MATCH(Lists!$F$7,$A$1:$T$1,0))&amp;""),"")&lt;&gt;"",IFERROR(TRIM(INDEX($A492:$T492,MATCH(Lists!$F$7,$A$1:$T$1,0))&amp;""),""),IF(IFERROR(TRIM(INDEX($A492:$T492,MATCH(Lists!$F$8,$A$1:$T$1,0))&amp;""),"")&lt;&gt;"",IFERROR(TRIM(INDEX($A492:$T492,MATCH(Lists!$F$8,$A$1:$T$1,0))&amp;""),""),"(no item given)"))))</f>
        <v/>
      </c>
      <c r="AC492" s="21">
        <f>IF(Y492="","",IF(ISNUMBER(SEARCH("support",IFERROR(TRIM(INDEX($A492:$T492,MATCH(Lists!$F$9,$A$1:$T$1,0))&amp;""),""))),"Support",IF(ISNUMBER(SEARCH("oppose",IFERROR(TRIM(INDEX($A492:$T492,MATCH(Lists!$F$9,$A$1:$T$1,0))&amp;""),""))),"Oppose",IF(IFERROR(TRIM(INDEX($A492:$T492,MATCH(Lists!$F$9,$A$1:$T$1,0))&amp;""),"")="","No position","Neither"))))</f>
        <v/>
      </c>
      <c r="AD492" s="21">
        <f>IF(Y492="","",IF(ISNUMBER(SEARCH("in person",IFERROR(TRIM(INDEX($A492:$T492,MATCH(Lists!$F$13,$A$1:$T$1,0))&amp;""),""))),"In person",IF(ISNUMBER(SEARCH("online",IFERROR(TRIM(INDEX($A492:$T492,MATCH(Lists!$F$13,$A$1:$T$1,0))&amp;""),""))),"Online","Written only")))</f>
        <v/>
      </c>
      <c r="AE492" s="21">
        <f>IF(Y492="","",IFERROR(TRIM(INDEX($A492:$T492,MATCH(Lists!$F$11,$A$1:$T$1,0))&amp;""),""))</f>
        <v/>
      </c>
      <c r="AF492" s="21">
        <f>IF(Y492="","",IFERROR(TRIM(INDEX($A492:$T492,MATCH(Lists!$F$12,$A$1:$T$1,0))&amp;""),""))</f>
        <v/>
      </c>
      <c r="AG492" s="21">
        <f>IF(Y492="","",IFERROR(TRIM(INDEX($A492:$T492,MATCH(Lists!$F$14,$A$1:$T$1,0))&amp;""),""))</f>
        <v/>
      </c>
      <c r="AH492" s="21">
        <f>IF(Y492="","",LEFT(IFERROR(TRIM(INDEX($A492:$T492,MATCH(Lists!$F$10,$A$1:$T$1,0))&amp;""),""),80))</f>
        <v/>
      </c>
      <c r="AI492" s="21">
        <f>IF(Y492="",0,IF(OR(Tally!$B$5="",AA492=Tally!$B$5),1,0))</f>
        <v/>
      </c>
      <c r="AJ492" s="21">
        <f>IF(AI492=1,IF(COUNTIFS($AB$2:AB492,AB492,$AI$2:AI492,1)=1,1,0),0)</f>
        <v/>
      </c>
      <c r="AK492" s="21">
        <f>IF(AJ492=1,SUM($AJ$2:AJ492),"")</f>
        <v/>
      </c>
      <c r="AL492" s="21">
        <f>IF(AND(AI492=1,OR(AD492="In person",AD492="Online"),OR(Speakers!$B$5="",AB492=Speakers!$B$5)),N(Z492)+ROW()/1000000000,"")</f>
        <v/>
      </c>
    </row>
    <row r="493">
      <c r="U493" s="19" t="n"/>
      <c r="V493" s="24" t="n"/>
      <c r="W493" s="24" t="n"/>
      <c r="X493" s="19" t="n"/>
      <c r="Y493" s="21">
        <f>IFERROR(TRIM(INDEX($A493:$T493,MATCH(Lists!$F$2,$A$1:$T$1,0))&amp;""),"")</f>
        <v/>
      </c>
      <c r="Z493" s="22">
        <f>IF(Y493="","",IFERROR(IF(ISNUMBER(INDEX($A493:$T493,MATCH(Lists!$F$3,$A$1:$T$1,0))),INDEX($A493:$T493,MATCH(Lists!$F$3,$A$1:$T$1,0)),DATE(VALUE(LEFT(IFERROR(TRIM(INDEX($A493:$T493,MATCH(Lists!$F$3,$A$1:$T$1,0))&amp;""),""),4)),VALUE(MID(IFERROR(TRIM(INDEX($A493:$T493,MATCH(Lists!$F$3,$A$1:$T$1,0))&amp;""),""),6,2)),VALUE(MID(IFERROR(TRIM(INDEX($A493:$T493,MATCH(Lists!$F$3,$A$1:$T$1,0))&amp;""),""),9,2)))+TIME(VALUE(MID(IFERROR(TRIM(INDEX($A493:$T493,MATCH(Lists!$F$3,$A$1:$T$1,0))&amp;""),""),12,2)),VALUE(MID(IFERROR(TRIM(INDEX($A493:$T493,MATCH(Lists!$F$3,$A$1:$T$1,0))&amp;""),""),15,2)),VALUE(MID(IFERROR(TRIM(INDEX($A493:$T493,MATCH(Lists!$F$3,$A$1:$T$1,0))&amp;""),""),18,2)))),""))</f>
        <v/>
      </c>
      <c r="AA493" s="23">
        <f>IF(Y493="","",IF(ISNUMBER(IFERROR(IF(TRIM(INDEX($A493:$T493,MATCH(Lists!$F$4,$A$1:$T$1,0))&amp;"")="","",IF(ISNUMBER(INDEX($A493:$T493,MATCH(Lists!$F$4,$A$1:$T$1,0))),INT(INDEX($A493:$T493,MATCH(Lists!$F$4,$A$1:$T$1,0))),DATE(VALUE(LEFT(INDEX($A493:$T493,MATCH(Lists!$F$4,$A$1:$T$1,0)),4)),VALUE(MID(INDEX($A493:$T493,MATCH(Lists!$F$4,$A$1:$T$1,0)),6,2)),VALUE(MID(INDEX($A493:$T493,MATCH(Lists!$F$4,$A$1:$T$1,0)),9,2))))),"")),IFERROR(IF(TRIM(INDEX($A493:$T493,MATCH(Lists!$F$4,$A$1:$T$1,0))&amp;"")="","",IF(ISNUMBER(INDEX($A493:$T493,MATCH(Lists!$F$4,$A$1:$T$1,0))),INT(INDEX($A493:$T493,MATCH(Lists!$F$4,$A$1:$T$1,0))),DATE(VALUE(LEFT(INDEX($A493:$T493,MATCH(Lists!$F$4,$A$1:$T$1,0)),4)),VALUE(MID(INDEX($A493:$T493,MATCH(Lists!$F$4,$A$1:$T$1,0)),6,2)),VALUE(MID(INDEX($A493:$T493,MATCH(Lists!$F$4,$A$1:$T$1,0)),9,2))))),""),IFERROR(IF(TRIM(INDEX($A493:$T493,MATCH(Lists!$F$5,$A$1:$T$1,0))&amp;"")="","",IF(ISNUMBER(INDEX($A493:$T493,MATCH(Lists!$F$5,$A$1:$T$1,0))),INT(INDEX($A493:$T493,MATCH(Lists!$F$5,$A$1:$T$1,0))),DATE(VALUE(LEFT(INDEX($A493:$T493,MATCH(Lists!$F$5,$A$1:$T$1,0)),4)),VALUE(MID(INDEX($A493:$T493,MATCH(Lists!$F$5,$A$1:$T$1,0)),6,2)),VALUE(MID(INDEX($A493:$T493,MATCH(Lists!$F$5,$A$1:$T$1,0)),9,2))))),"")))</f>
        <v/>
      </c>
      <c r="AB493" s="21">
        <f>IF(Y493="","",IF(LEFT(IFERROR(TRIM(INDEX($A493:$T493,MATCH(Lists!$F$6,$A$1:$T$1,0))&amp;""),""),2)="No","General comment",IF(IFERROR(TRIM(INDEX($A493:$T493,MATCH(Lists!$F$7,$A$1:$T$1,0))&amp;""),"")&lt;&gt;"",IFERROR(TRIM(INDEX($A493:$T493,MATCH(Lists!$F$7,$A$1:$T$1,0))&amp;""),""),IF(IFERROR(TRIM(INDEX($A493:$T493,MATCH(Lists!$F$8,$A$1:$T$1,0))&amp;""),"")&lt;&gt;"",IFERROR(TRIM(INDEX($A493:$T493,MATCH(Lists!$F$8,$A$1:$T$1,0))&amp;""),""),"(no item given)"))))</f>
        <v/>
      </c>
      <c r="AC493" s="21">
        <f>IF(Y493="","",IF(ISNUMBER(SEARCH("support",IFERROR(TRIM(INDEX($A493:$T493,MATCH(Lists!$F$9,$A$1:$T$1,0))&amp;""),""))),"Support",IF(ISNUMBER(SEARCH("oppose",IFERROR(TRIM(INDEX($A493:$T493,MATCH(Lists!$F$9,$A$1:$T$1,0))&amp;""),""))),"Oppose",IF(IFERROR(TRIM(INDEX($A493:$T493,MATCH(Lists!$F$9,$A$1:$T$1,0))&amp;""),"")="","No position","Neither"))))</f>
        <v/>
      </c>
      <c r="AD493" s="21">
        <f>IF(Y493="","",IF(ISNUMBER(SEARCH("in person",IFERROR(TRIM(INDEX($A493:$T493,MATCH(Lists!$F$13,$A$1:$T$1,0))&amp;""),""))),"In person",IF(ISNUMBER(SEARCH("online",IFERROR(TRIM(INDEX($A493:$T493,MATCH(Lists!$F$13,$A$1:$T$1,0))&amp;""),""))),"Online","Written only")))</f>
        <v/>
      </c>
      <c r="AE493" s="21">
        <f>IF(Y493="","",IFERROR(TRIM(INDEX($A493:$T493,MATCH(Lists!$F$11,$A$1:$T$1,0))&amp;""),""))</f>
        <v/>
      </c>
      <c r="AF493" s="21">
        <f>IF(Y493="","",IFERROR(TRIM(INDEX($A493:$T493,MATCH(Lists!$F$12,$A$1:$T$1,0))&amp;""),""))</f>
        <v/>
      </c>
      <c r="AG493" s="21">
        <f>IF(Y493="","",IFERROR(TRIM(INDEX($A493:$T493,MATCH(Lists!$F$14,$A$1:$T$1,0))&amp;""),""))</f>
        <v/>
      </c>
      <c r="AH493" s="21">
        <f>IF(Y493="","",LEFT(IFERROR(TRIM(INDEX($A493:$T493,MATCH(Lists!$F$10,$A$1:$T$1,0))&amp;""),""),80))</f>
        <v/>
      </c>
      <c r="AI493" s="21">
        <f>IF(Y493="",0,IF(OR(Tally!$B$5="",AA493=Tally!$B$5),1,0))</f>
        <v/>
      </c>
      <c r="AJ493" s="21">
        <f>IF(AI493=1,IF(COUNTIFS($AB$2:AB493,AB493,$AI$2:AI493,1)=1,1,0),0)</f>
        <v/>
      </c>
      <c r="AK493" s="21">
        <f>IF(AJ493=1,SUM($AJ$2:AJ493),"")</f>
        <v/>
      </c>
      <c r="AL493" s="21">
        <f>IF(AND(AI493=1,OR(AD493="In person",AD493="Online"),OR(Speakers!$B$5="",AB493=Speakers!$B$5)),N(Z493)+ROW()/1000000000,"")</f>
        <v/>
      </c>
    </row>
    <row r="494">
      <c r="U494" s="19" t="n"/>
      <c r="V494" s="24" t="n"/>
      <c r="W494" s="24" t="n"/>
      <c r="X494" s="19" t="n"/>
      <c r="Y494" s="21">
        <f>IFERROR(TRIM(INDEX($A494:$T494,MATCH(Lists!$F$2,$A$1:$T$1,0))&amp;""),"")</f>
        <v/>
      </c>
      <c r="Z494" s="22">
        <f>IF(Y494="","",IFERROR(IF(ISNUMBER(INDEX($A494:$T494,MATCH(Lists!$F$3,$A$1:$T$1,0))),INDEX($A494:$T494,MATCH(Lists!$F$3,$A$1:$T$1,0)),DATE(VALUE(LEFT(IFERROR(TRIM(INDEX($A494:$T494,MATCH(Lists!$F$3,$A$1:$T$1,0))&amp;""),""),4)),VALUE(MID(IFERROR(TRIM(INDEX($A494:$T494,MATCH(Lists!$F$3,$A$1:$T$1,0))&amp;""),""),6,2)),VALUE(MID(IFERROR(TRIM(INDEX($A494:$T494,MATCH(Lists!$F$3,$A$1:$T$1,0))&amp;""),""),9,2)))+TIME(VALUE(MID(IFERROR(TRIM(INDEX($A494:$T494,MATCH(Lists!$F$3,$A$1:$T$1,0))&amp;""),""),12,2)),VALUE(MID(IFERROR(TRIM(INDEX($A494:$T494,MATCH(Lists!$F$3,$A$1:$T$1,0))&amp;""),""),15,2)),VALUE(MID(IFERROR(TRIM(INDEX($A494:$T494,MATCH(Lists!$F$3,$A$1:$T$1,0))&amp;""),""),18,2)))),""))</f>
        <v/>
      </c>
      <c r="AA494" s="23">
        <f>IF(Y494="","",IF(ISNUMBER(IFERROR(IF(TRIM(INDEX($A494:$T494,MATCH(Lists!$F$4,$A$1:$T$1,0))&amp;"")="","",IF(ISNUMBER(INDEX($A494:$T494,MATCH(Lists!$F$4,$A$1:$T$1,0))),INT(INDEX($A494:$T494,MATCH(Lists!$F$4,$A$1:$T$1,0))),DATE(VALUE(LEFT(INDEX($A494:$T494,MATCH(Lists!$F$4,$A$1:$T$1,0)),4)),VALUE(MID(INDEX($A494:$T494,MATCH(Lists!$F$4,$A$1:$T$1,0)),6,2)),VALUE(MID(INDEX($A494:$T494,MATCH(Lists!$F$4,$A$1:$T$1,0)),9,2))))),"")),IFERROR(IF(TRIM(INDEX($A494:$T494,MATCH(Lists!$F$4,$A$1:$T$1,0))&amp;"")="","",IF(ISNUMBER(INDEX($A494:$T494,MATCH(Lists!$F$4,$A$1:$T$1,0))),INT(INDEX($A494:$T494,MATCH(Lists!$F$4,$A$1:$T$1,0))),DATE(VALUE(LEFT(INDEX($A494:$T494,MATCH(Lists!$F$4,$A$1:$T$1,0)),4)),VALUE(MID(INDEX($A494:$T494,MATCH(Lists!$F$4,$A$1:$T$1,0)),6,2)),VALUE(MID(INDEX($A494:$T494,MATCH(Lists!$F$4,$A$1:$T$1,0)),9,2))))),""),IFERROR(IF(TRIM(INDEX($A494:$T494,MATCH(Lists!$F$5,$A$1:$T$1,0))&amp;"")="","",IF(ISNUMBER(INDEX($A494:$T494,MATCH(Lists!$F$5,$A$1:$T$1,0))),INT(INDEX($A494:$T494,MATCH(Lists!$F$5,$A$1:$T$1,0))),DATE(VALUE(LEFT(INDEX($A494:$T494,MATCH(Lists!$F$5,$A$1:$T$1,0)),4)),VALUE(MID(INDEX($A494:$T494,MATCH(Lists!$F$5,$A$1:$T$1,0)),6,2)),VALUE(MID(INDEX($A494:$T494,MATCH(Lists!$F$5,$A$1:$T$1,0)),9,2))))),"")))</f>
        <v/>
      </c>
      <c r="AB494" s="21">
        <f>IF(Y494="","",IF(LEFT(IFERROR(TRIM(INDEX($A494:$T494,MATCH(Lists!$F$6,$A$1:$T$1,0))&amp;""),""),2)="No","General comment",IF(IFERROR(TRIM(INDEX($A494:$T494,MATCH(Lists!$F$7,$A$1:$T$1,0))&amp;""),"")&lt;&gt;"",IFERROR(TRIM(INDEX($A494:$T494,MATCH(Lists!$F$7,$A$1:$T$1,0))&amp;""),""),IF(IFERROR(TRIM(INDEX($A494:$T494,MATCH(Lists!$F$8,$A$1:$T$1,0))&amp;""),"")&lt;&gt;"",IFERROR(TRIM(INDEX($A494:$T494,MATCH(Lists!$F$8,$A$1:$T$1,0))&amp;""),""),"(no item given)"))))</f>
        <v/>
      </c>
      <c r="AC494" s="21">
        <f>IF(Y494="","",IF(ISNUMBER(SEARCH("support",IFERROR(TRIM(INDEX($A494:$T494,MATCH(Lists!$F$9,$A$1:$T$1,0))&amp;""),""))),"Support",IF(ISNUMBER(SEARCH("oppose",IFERROR(TRIM(INDEX($A494:$T494,MATCH(Lists!$F$9,$A$1:$T$1,0))&amp;""),""))),"Oppose",IF(IFERROR(TRIM(INDEX($A494:$T494,MATCH(Lists!$F$9,$A$1:$T$1,0))&amp;""),"")="","No position","Neither"))))</f>
        <v/>
      </c>
      <c r="AD494" s="21">
        <f>IF(Y494="","",IF(ISNUMBER(SEARCH("in person",IFERROR(TRIM(INDEX($A494:$T494,MATCH(Lists!$F$13,$A$1:$T$1,0))&amp;""),""))),"In person",IF(ISNUMBER(SEARCH("online",IFERROR(TRIM(INDEX($A494:$T494,MATCH(Lists!$F$13,$A$1:$T$1,0))&amp;""),""))),"Online","Written only")))</f>
        <v/>
      </c>
      <c r="AE494" s="21">
        <f>IF(Y494="","",IFERROR(TRIM(INDEX($A494:$T494,MATCH(Lists!$F$11,$A$1:$T$1,0))&amp;""),""))</f>
        <v/>
      </c>
      <c r="AF494" s="21">
        <f>IF(Y494="","",IFERROR(TRIM(INDEX($A494:$T494,MATCH(Lists!$F$12,$A$1:$T$1,0))&amp;""),""))</f>
        <v/>
      </c>
      <c r="AG494" s="21">
        <f>IF(Y494="","",IFERROR(TRIM(INDEX($A494:$T494,MATCH(Lists!$F$14,$A$1:$T$1,0))&amp;""),""))</f>
        <v/>
      </c>
      <c r="AH494" s="21">
        <f>IF(Y494="","",LEFT(IFERROR(TRIM(INDEX($A494:$T494,MATCH(Lists!$F$10,$A$1:$T$1,0))&amp;""),""),80))</f>
        <v/>
      </c>
      <c r="AI494" s="21">
        <f>IF(Y494="",0,IF(OR(Tally!$B$5="",AA494=Tally!$B$5),1,0))</f>
        <v/>
      </c>
      <c r="AJ494" s="21">
        <f>IF(AI494=1,IF(COUNTIFS($AB$2:AB494,AB494,$AI$2:AI494,1)=1,1,0),0)</f>
        <v/>
      </c>
      <c r="AK494" s="21">
        <f>IF(AJ494=1,SUM($AJ$2:AJ494),"")</f>
        <v/>
      </c>
      <c r="AL494" s="21">
        <f>IF(AND(AI494=1,OR(AD494="In person",AD494="Online"),OR(Speakers!$B$5="",AB494=Speakers!$B$5)),N(Z494)+ROW()/1000000000,"")</f>
        <v/>
      </c>
    </row>
    <row r="495">
      <c r="U495" s="19" t="n"/>
      <c r="V495" s="24" t="n"/>
      <c r="W495" s="24" t="n"/>
      <c r="X495" s="19" t="n"/>
      <c r="Y495" s="21">
        <f>IFERROR(TRIM(INDEX($A495:$T495,MATCH(Lists!$F$2,$A$1:$T$1,0))&amp;""),"")</f>
        <v/>
      </c>
      <c r="Z495" s="22">
        <f>IF(Y495="","",IFERROR(IF(ISNUMBER(INDEX($A495:$T495,MATCH(Lists!$F$3,$A$1:$T$1,0))),INDEX($A495:$T495,MATCH(Lists!$F$3,$A$1:$T$1,0)),DATE(VALUE(LEFT(IFERROR(TRIM(INDEX($A495:$T495,MATCH(Lists!$F$3,$A$1:$T$1,0))&amp;""),""),4)),VALUE(MID(IFERROR(TRIM(INDEX($A495:$T495,MATCH(Lists!$F$3,$A$1:$T$1,0))&amp;""),""),6,2)),VALUE(MID(IFERROR(TRIM(INDEX($A495:$T495,MATCH(Lists!$F$3,$A$1:$T$1,0))&amp;""),""),9,2)))+TIME(VALUE(MID(IFERROR(TRIM(INDEX($A495:$T495,MATCH(Lists!$F$3,$A$1:$T$1,0))&amp;""),""),12,2)),VALUE(MID(IFERROR(TRIM(INDEX($A495:$T495,MATCH(Lists!$F$3,$A$1:$T$1,0))&amp;""),""),15,2)),VALUE(MID(IFERROR(TRIM(INDEX($A495:$T495,MATCH(Lists!$F$3,$A$1:$T$1,0))&amp;""),""),18,2)))),""))</f>
        <v/>
      </c>
      <c r="AA495" s="23">
        <f>IF(Y495="","",IF(ISNUMBER(IFERROR(IF(TRIM(INDEX($A495:$T495,MATCH(Lists!$F$4,$A$1:$T$1,0))&amp;"")="","",IF(ISNUMBER(INDEX($A495:$T495,MATCH(Lists!$F$4,$A$1:$T$1,0))),INT(INDEX($A495:$T495,MATCH(Lists!$F$4,$A$1:$T$1,0))),DATE(VALUE(LEFT(INDEX($A495:$T495,MATCH(Lists!$F$4,$A$1:$T$1,0)),4)),VALUE(MID(INDEX($A495:$T495,MATCH(Lists!$F$4,$A$1:$T$1,0)),6,2)),VALUE(MID(INDEX($A495:$T495,MATCH(Lists!$F$4,$A$1:$T$1,0)),9,2))))),"")),IFERROR(IF(TRIM(INDEX($A495:$T495,MATCH(Lists!$F$4,$A$1:$T$1,0))&amp;"")="","",IF(ISNUMBER(INDEX($A495:$T495,MATCH(Lists!$F$4,$A$1:$T$1,0))),INT(INDEX($A495:$T495,MATCH(Lists!$F$4,$A$1:$T$1,0))),DATE(VALUE(LEFT(INDEX($A495:$T495,MATCH(Lists!$F$4,$A$1:$T$1,0)),4)),VALUE(MID(INDEX($A495:$T495,MATCH(Lists!$F$4,$A$1:$T$1,0)),6,2)),VALUE(MID(INDEX($A495:$T495,MATCH(Lists!$F$4,$A$1:$T$1,0)),9,2))))),""),IFERROR(IF(TRIM(INDEX($A495:$T495,MATCH(Lists!$F$5,$A$1:$T$1,0))&amp;"")="","",IF(ISNUMBER(INDEX($A495:$T495,MATCH(Lists!$F$5,$A$1:$T$1,0))),INT(INDEX($A495:$T495,MATCH(Lists!$F$5,$A$1:$T$1,0))),DATE(VALUE(LEFT(INDEX($A495:$T495,MATCH(Lists!$F$5,$A$1:$T$1,0)),4)),VALUE(MID(INDEX($A495:$T495,MATCH(Lists!$F$5,$A$1:$T$1,0)),6,2)),VALUE(MID(INDEX($A495:$T495,MATCH(Lists!$F$5,$A$1:$T$1,0)),9,2))))),"")))</f>
        <v/>
      </c>
      <c r="AB495" s="21">
        <f>IF(Y495="","",IF(LEFT(IFERROR(TRIM(INDEX($A495:$T495,MATCH(Lists!$F$6,$A$1:$T$1,0))&amp;""),""),2)="No","General comment",IF(IFERROR(TRIM(INDEX($A495:$T495,MATCH(Lists!$F$7,$A$1:$T$1,0))&amp;""),"")&lt;&gt;"",IFERROR(TRIM(INDEX($A495:$T495,MATCH(Lists!$F$7,$A$1:$T$1,0))&amp;""),""),IF(IFERROR(TRIM(INDEX($A495:$T495,MATCH(Lists!$F$8,$A$1:$T$1,0))&amp;""),"")&lt;&gt;"",IFERROR(TRIM(INDEX($A495:$T495,MATCH(Lists!$F$8,$A$1:$T$1,0))&amp;""),""),"(no item given)"))))</f>
        <v/>
      </c>
      <c r="AC495" s="21">
        <f>IF(Y495="","",IF(ISNUMBER(SEARCH("support",IFERROR(TRIM(INDEX($A495:$T495,MATCH(Lists!$F$9,$A$1:$T$1,0))&amp;""),""))),"Support",IF(ISNUMBER(SEARCH("oppose",IFERROR(TRIM(INDEX($A495:$T495,MATCH(Lists!$F$9,$A$1:$T$1,0))&amp;""),""))),"Oppose",IF(IFERROR(TRIM(INDEX($A495:$T495,MATCH(Lists!$F$9,$A$1:$T$1,0))&amp;""),"")="","No position","Neither"))))</f>
        <v/>
      </c>
      <c r="AD495" s="21">
        <f>IF(Y495="","",IF(ISNUMBER(SEARCH("in person",IFERROR(TRIM(INDEX($A495:$T495,MATCH(Lists!$F$13,$A$1:$T$1,0))&amp;""),""))),"In person",IF(ISNUMBER(SEARCH("online",IFERROR(TRIM(INDEX($A495:$T495,MATCH(Lists!$F$13,$A$1:$T$1,0))&amp;""),""))),"Online","Written only")))</f>
        <v/>
      </c>
      <c r="AE495" s="21">
        <f>IF(Y495="","",IFERROR(TRIM(INDEX($A495:$T495,MATCH(Lists!$F$11,$A$1:$T$1,0))&amp;""),""))</f>
        <v/>
      </c>
      <c r="AF495" s="21">
        <f>IF(Y495="","",IFERROR(TRIM(INDEX($A495:$T495,MATCH(Lists!$F$12,$A$1:$T$1,0))&amp;""),""))</f>
        <v/>
      </c>
      <c r="AG495" s="21">
        <f>IF(Y495="","",IFERROR(TRIM(INDEX($A495:$T495,MATCH(Lists!$F$14,$A$1:$T$1,0))&amp;""),""))</f>
        <v/>
      </c>
      <c r="AH495" s="21">
        <f>IF(Y495="","",LEFT(IFERROR(TRIM(INDEX($A495:$T495,MATCH(Lists!$F$10,$A$1:$T$1,0))&amp;""),""),80))</f>
        <v/>
      </c>
      <c r="AI495" s="21">
        <f>IF(Y495="",0,IF(OR(Tally!$B$5="",AA495=Tally!$B$5),1,0))</f>
        <v/>
      </c>
      <c r="AJ495" s="21">
        <f>IF(AI495=1,IF(COUNTIFS($AB$2:AB495,AB495,$AI$2:AI495,1)=1,1,0),0)</f>
        <v/>
      </c>
      <c r="AK495" s="21">
        <f>IF(AJ495=1,SUM($AJ$2:AJ495),"")</f>
        <v/>
      </c>
      <c r="AL495" s="21">
        <f>IF(AND(AI495=1,OR(AD495="In person",AD495="Online"),OR(Speakers!$B$5="",AB495=Speakers!$B$5)),N(Z495)+ROW()/1000000000,"")</f>
        <v/>
      </c>
    </row>
    <row r="496">
      <c r="U496" s="19" t="n"/>
      <c r="V496" s="24" t="n"/>
      <c r="W496" s="24" t="n"/>
      <c r="X496" s="19" t="n"/>
      <c r="Y496" s="21">
        <f>IFERROR(TRIM(INDEX($A496:$T496,MATCH(Lists!$F$2,$A$1:$T$1,0))&amp;""),"")</f>
        <v/>
      </c>
      <c r="Z496" s="22">
        <f>IF(Y496="","",IFERROR(IF(ISNUMBER(INDEX($A496:$T496,MATCH(Lists!$F$3,$A$1:$T$1,0))),INDEX($A496:$T496,MATCH(Lists!$F$3,$A$1:$T$1,0)),DATE(VALUE(LEFT(IFERROR(TRIM(INDEX($A496:$T496,MATCH(Lists!$F$3,$A$1:$T$1,0))&amp;""),""),4)),VALUE(MID(IFERROR(TRIM(INDEX($A496:$T496,MATCH(Lists!$F$3,$A$1:$T$1,0))&amp;""),""),6,2)),VALUE(MID(IFERROR(TRIM(INDEX($A496:$T496,MATCH(Lists!$F$3,$A$1:$T$1,0))&amp;""),""),9,2)))+TIME(VALUE(MID(IFERROR(TRIM(INDEX($A496:$T496,MATCH(Lists!$F$3,$A$1:$T$1,0))&amp;""),""),12,2)),VALUE(MID(IFERROR(TRIM(INDEX($A496:$T496,MATCH(Lists!$F$3,$A$1:$T$1,0))&amp;""),""),15,2)),VALUE(MID(IFERROR(TRIM(INDEX($A496:$T496,MATCH(Lists!$F$3,$A$1:$T$1,0))&amp;""),""),18,2)))),""))</f>
        <v/>
      </c>
      <c r="AA496" s="23">
        <f>IF(Y496="","",IF(ISNUMBER(IFERROR(IF(TRIM(INDEX($A496:$T496,MATCH(Lists!$F$4,$A$1:$T$1,0))&amp;"")="","",IF(ISNUMBER(INDEX($A496:$T496,MATCH(Lists!$F$4,$A$1:$T$1,0))),INT(INDEX($A496:$T496,MATCH(Lists!$F$4,$A$1:$T$1,0))),DATE(VALUE(LEFT(INDEX($A496:$T496,MATCH(Lists!$F$4,$A$1:$T$1,0)),4)),VALUE(MID(INDEX($A496:$T496,MATCH(Lists!$F$4,$A$1:$T$1,0)),6,2)),VALUE(MID(INDEX($A496:$T496,MATCH(Lists!$F$4,$A$1:$T$1,0)),9,2))))),"")),IFERROR(IF(TRIM(INDEX($A496:$T496,MATCH(Lists!$F$4,$A$1:$T$1,0))&amp;"")="","",IF(ISNUMBER(INDEX($A496:$T496,MATCH(Lists!$F$4,$A$1:$T$1,0))),INT(INDEX($A496:$T496,MATCH(Lists!$F$4,$A$1:$T$1,0))),DATE(VALUE(LEFT(INDEX($A496:$T496,MATCH(Lists!$F$4,$A$1:$T$1,0)),4)),VALUE(MID(INDEX($A496:$T496,MATCH(Lists!$F$4,$A$1:$T$1,0)),6,2)),VALUE(MID(INDEX($A496:$T496,MATCH(Lists!$F$4,$A$1:$T$1,0)),9,2))))),""),IFERROR(IF(TRIM(INDEX($A496:$T496,MATCH(Lists!$F$5,$A$1:$T$1,0))&amp;"")="","",IF(ISNUMBER(INDEX($A496:$T496,MATCH(Lists!$F$5,$A$1:$T$1,0))),INT(INDEX($A496:$T496,MATCH(Lists!$F$5,$A$1:$T$1,0))),DATE(VALUE(LEFT(INDEX($A496:$T496,MATCH(Lists!$F$5,$A$1:$T$1,0)),4)),VALUE(MID(INDEX($A496:$T496,MATCH(Lists!$F$5,$A$1:$T$1,0)),6,2)),VALUE(MID(INDEX($A496:$T496,MATCH(Lists!$F$5,$A$1:$T$1,0)),9,2))))),"")))</f>
        <v/>
      </c>
      <c r="AB496" s="21">
        <f>IF(Y496="","",IF(LEFT(IFERROR(TRIM(INDEX($A496:$T496,MATCH(Lists!$F$6,$A$1:$T$1,0))&amp;""),""),2)="No","General comment",IF(IFERROR(TRIM(INDEX($A496:$T496,MATCH(Lists!$F$7,$A$1:$T$1,0))&amp;""),"")&lt;&gt;"",IFERROR(TRIM(INDEX($A496:$T496,MATCH(Lists!$F$7,$A$1:$T$1,0))&amp;""),""),IF(IFERROR(TRIM(INDEX($A496:$T496,MATCH(Lists!$F$8,$A$1:$T$1,0))&amp;""),"")&lt;&gt;"",IFERROR(TRIM(INDEX($A496:$T496,MATCH(Lists!$F$8,$A$1:$T$1,0))&amp;""),""),"(no item given)"))))</f>
        <v/>
      </c>
      <c r="AC496" s="21">
        <f>IF(Y496="","",IF(ISNUMBER(SEARCH("support",IFERROR(TRIM(INDEX($A496:$T496,MATCH(Lists!$F$9,$A$1:$T$1,0))&amp;""),""))),"Support",IF(ISNUMBER(SEARCH("oppose",IFERROR(TRIM(INDEX($A496:$T496,MATCH(Lists!$F$9,$A$1:$T$1,0))&amp;""),""))),"Oppose",IF(IFERROR(TRIM(INDEX($A496:$T496,MATCH(Lists!$F$9,$A$1:$T$1,0))&amp;""),"")="","No position","Neither"))))</f>
        <v/>
      </c>
      <c r="AD496" s="21">
        <f>IF(Y496="","",IF(ISNUMBER(SEARCH("in person",IFERROR(TRIM(INDEX($A496:$T496,MATCH(Lists!$F$13,$A$1:$T$1,0))&amp;""),""))),"In person",IF(ISNUMBER(SEARCH("online",IFERROR(TRIM(INDEX($A496:$T496,MATCH(Lists!$F$13,$A$1:$T$1,0))&amp;""),""))),"Online","Written only")))</f>
        <v/>
      </c>
      <c r="AE496" s="21">
        <f>IF(Y496="","",IFERROR(TRIM(INDEX($A496:$T496,MATCH(Lists!$F$11,$A$1:$T$1,0))&amp;""),""))</f>
        <v/>
      </c>
      <c r="AF496" s="21">
        <f>IF(Y496="","",IFERROR(TRIM(INDEX($A496:$T496,MATCH(Lists!$F$12,$A$1:$T$1,0))&amp;""),""))</f>
        <v/>
      </c>
      <c r="AG496" s="21">
        <f>IF(Y496="","",IFERROR(TRIM(INDEX($A496:$T496,MATCH(Lists!$F$14,$A$1:$T$1,0))&amp;""),""))</f>
        <v/>
      </c>
      <c r="AH496" s="21">
        <f>IF(Y496="","",LEFT(IFERROR(TRIM(INDEX($A496:$T496,MATCH(Lists!$F$10,$A$1:$T$1,0))&amp;""),""),80))</f>
        <v/>
      </c>
      <c r="AI496" s="21">
        <f>IF(Y496="",0,IF(OR(Tally!$B$5="",AA496=Tally!$B$5),1,0))</f>
        <v/>
      </c>
      <c r="AJ496" s="21">
        <f>IF(AI496=1,IF(COUNTIFS($AB$2:AB496,AB496,$AI$2:AI496,1)=1,1,0),0)</f>
        <v/>
      </c>
      <c r="AK496" s="21">
        <f>IF(AJ496=1,SUM($AJ$2:AJ496),"")</f>
        <v/>
      </c>
      <c r="AL496" s="21">
        <f>IF(AND(AI496=1,OR(AD496="In person",AD496="Online"),OR(Speakers!$B$5="",AB496=Speakers!$B$5)),N(Z496)+ROW()/1000000000,"")</f>
        <v/>
      </c>
    </row>
    <row r="497">
      <c r="U497" s="19" t="n"/>
      <c r="V497" s="24" t="n"/>
      <c r="W497" s="24" t="n"/>
      <c r="X497" s="19" t="n"/>
      <c r="Y497" s="21">
        <f>IFERROR(TRIM(INDEX($A497:$T497,MATCH(Lists!$F$2,$A$1:$T$1,0))&amp;""),"")</f>
        <v/>
      </c>
      <c r="Z497" s="22">
        <f>IF(Y497="","",IFERROR(IF(ISNUMBER(INDEX($A497:$T497,MATCH(Lists!$F$3,$A$1:$T$1,0))),INDEX($A497:$T497,MATCH(Lists!$F$3,$A$1:$T$1,0)),DATE(VALUE(LEFT(IFERROR(TRIM(INDEX($A497:$T497,MATCH(Lists!$F$3,$A$1:$T$1,0))&amp;""),""),4)),VALUE(MID(IFERROR(TRIM(INDEX($A497:$T497,MATCH(Lists!$F$3,$A$1:$T$1,0))&amp;""),""),6,2)),VALUE(MID(IFERROR(TRIM(INDEX($A497:$T497,MATCH(Lists!$F$3,$A$1:$T$1,0))&amp;""),""),9,2)))+TIME(VALUE(MID(IFERROR(TRIM(INDEX($A497:$T497,MATCH(Lists!$F$3,$A$1:$T$1,0))&amp;""),""),12,2)),VALUE(MID(IFERROR(TRIM(INDEX($A497:$T497,MATCH(Lists!$F$3,$A$1:$T$1,0))&amp;""),""),15,2)),VALUE(MID(IFERROR(TRIM(INDEX($A497:$T497,MATCH(Lists!$F$3,$A$1:$T$1,0))&amp;""),""),18,2)))),""))</f>
        <v/>
      </c>
      <c r="AA497" s="23">
        <f>IF(Y497="","",IF(ISNUMBER(IFERROR(IF(TRIM(INDEX($A497:$T497,MATCH(Lists!$F$4,$A$1:$T$1,0))&amp;"")="","",IF(ISNUMBER(INDEX($A497:$T497,MATCH(Lists!$F$4,$A$1:$T$1,0))),INT(INDEX($A497:$T497,MATCH(Lists!$F$4,$A$1:$T$1,0))),DATE(VALUE(LEFT(INDEX($A497:$T497,MATCH(Lists!$F$4,$A$1:$T$1,0)),4)),VALUE(MID(INDEX($A497:$T497,MATCH(Lists!$F$4,$A$1:$T$1,0)),6,2)),VALUE(MID(INDEX($A497:$T497,MATCH(Lists!$F$4,$A$1:$T$1,0)),9,2))))),"")),IFERROR(IF(TRIM(INDEX($A497:$T497,MATCH(Lists!$F$4,$A$1:$T$1,0))&amp;"")="","",IF(ISNUMBER(INDEX($A497:$T497,MATCH(Lists!$F$4,$A$1:$T$1,0))),INT(INDEX($A497:$T497,MATCH(Lists!$F$4,$A$1:$T$1,0))),DATE(VALUE(LEFT(INDEX($A497:$T497,MATCH(Lists!$F$4,$A$1:$T$1,0)),4)),VALUE(MID(INDEX($A497:$T497,MATCH(Lists!$F$4,$A$1:$T$1,0)),6,2)),VALUE(MID(INDEX($A497:$T497,MATCH(Lists!$F$4,$A$1:$T$1,0)),9,2))))),""),IFERROR(IF(TRIM(INDEX($A497:$T497,MATCH(Lists!$F$5,$A$1:$T$1,0))&amp;"")="","",IF(ISNUMBER(INDEX($A497:$T497,MATCH(Lists!$F$5,$A$1:$T$1,0))),INT(INDEX($A497:$T497,MATCH(Lists!$F$5,$A$1:$T$1,0))),DATE(VALUE(LEFT(INDEX($A497:$T497,MATCH(Lists!$F$5,$A$1:$T$1,0)),4)),VALUE(MID(INDEX($A497:$T497,MATCH(Lists!$F$5,$A$1:$T$1,0)),6,2)),VALUE(MID(INDEX($A497:$T497,MATCH(Lists!$F$5,$A$1:$T$1,0)),9,2))))),"")))</f>
        <v/>
      </c>
      <c r="AB497" s="21">
        <f>IF(Y497="","",IF(LEFT(IFERROR(TRIM(INDEX($A497:$T497,MATCH(Lists!$F$6,$A$1:$T$1,0))&amp;""),""),2)="No","General comment",IF(IFERROR(TRIM(INDEX($A497:$T497,MATCH(Lists!$F$7,$A$1:$T$1,0))&amp;""),"")&lt;&gt;"",IFERROR(TRIM(INDEX($A497:$T497,MATCH(Lists!$F$7,$A$1:$T$1,0))&amp;""),""),IF(IFERROR(TRIM(INDEX($A497:$T497,MATCH(Lists!$F$8,$A$1:$T$1,0))&amp;""),"")&lt;&gt;"",IFERROR(TRIM(INDEX($A497:$T497,MATCH(Lists!$F$8,$A$1:$T$1,0))&amp;""),""),"(no item given)"))))</f>
        <v/>
      </c>
      <c r="AC497" s="21">
        <f>IF(Y497="","",IF(ISNUMBER(SEARCH("support",IFERROR(TRIM(INDEX($A497:$T497,MATCH(Lists!$F$9,$A$1:$T$1,0))&amp;""),""))),"Support",IF(ISNUMBER(SEARCH("oppose",IFERROR(TRIM(INDEX($A497:$T497,MATCH(Lists!$F$9,$A$1:$T$1,0))&amp;""),""))),"Oppose",IF(IFERROR(TRIM(INDEX($A497:$T497,MATCH(Lists!$F$9,$A$1:$T$1,0))&amp;""),"")="","No position","Neither"))))</f>
        <v/>
      </c>
      <c r="AD497" s="21">
        <f>IF(Y497="","",IF(ISNUMBER(SEARCH("in person",IFERROR(TRIM(INDEX($A497:$T497,MATCH(Lists!$F$13,$A$1:$T$1,0))&amp;""),""))),"In person",IF(ISNUMBER(SEARCH("online",IFERROR(TRIM(INDEX($A497:$T497,MATCH(Lists!$F$13,$A$1:$T$1,0))&amp;""),""))),"Online","Written only")))</f>
        <v/>
      </c>
      <c r="AE497" s="21">
        <f>IF(Y497="","",IFERROR(TRIM(INDEX($A497:$T497,MATCH(Lists!$F$11,$A$1:$T$1,0))&amp;""),""))</f>
        <v/>
      </c>
      <c r="AF497" s="21">
        <f>IF(Y497="","",IFERROR(TRIM(INDEX($A497:$T497,MATCH(Lists!$F$12,$A$1:$T$1,0))&amp;""),""))</f>
        <v/>
      </c>
      <c r="AG497" s="21">
        <f>IF(Y497="","",IFERROR(TRIM(INDEX($A497:$T497,MATCH(Lists!$F$14,$A$1:$T$1,0))&amp;""),""))</f>
        <v/>
      </c>
      <c r="AH497" s="21">
        <f>IF(Y497="","",LEFT(IFERROR(TRIM(INDEX($A497:$T497,MATCH(Lists!$F$10,$A$1:$T$1,0))&amp;""),""),80))</f>
        <v/>
      </c>
      <c r="AI497" s="21">
        <f>IF(Y497="",0,IF(OR(Tally!$B$5="",AA497=Tally!$B$5),1,0))</f>
        <v/>
      </c>
      <c r="AJ497" s="21">
        <f>IF(AI497=1,IF(COUNTIFS($AB$2:AB497,AB497,$AI$2:AI497,1)=1,1,0),0)</f>
        <v/>
      </c>
      <c r="AK497" s="21">
        <f>IF(AJ497=1,SUM($AJ$2:AJ497),"")</f>
        <v/>
      </c>
      <c r="AL497" s="21">
        <f>IF(AND(AI497=1,OR(AD497="In person",AD497="Online"),OR(Speakers!$B$5="",AB497=Speakers!$B$5)),N(Z497)+ROW()/1000000000,"")</f>
        <v/>
      </c>
    </row>
    <row r="498">
      <c r="U498" s="19" t="n"/>
      <c r="V498" s="24" t="n"/>
      <c r="W498" s="24" t="n"/>
      <c r="X498" s="19" t="n"/>
      <c r="Y498" s="21">
        <f>IFERROR(TRIM(INDEX($A498:$T498,MATCH(Lists!$F$2,$A$1:$T$1,0))&amp;""),"")</f>
        <v/>
      </c>
      <c r="Z498" s="22">
        <f>IF(Y498="","",IFERROR(IF(ISNUMBER(INDEX($A498:$T498,MATCH(Lists!$F$3,$A$1:$T$1,0))),INDEX($A498:$T498,MATCH(Lists!$F$3,$A$1:$T$1,0)),DATE(VALUE(LEFT(IFERROR(TRIM(INDEX($A498:$T498,MATCH(Lists!$F$3,$A$1:$T$1,0))&amp;""),""),4)),VALUE(MID(IFERROR(TRIM(INDEX($A498:$T498,MATCH(Lists!$F$3,$A$1:$T$1,0))&amp;""),""),6,2)),VALUE(MID(IFERROR(TRIM(INDEX($A498:$T498,MATCH(Lists!$F$3,$A$1:$T$1,0))&amp;""),""),9,2)))+TIME(VALUE(MID(IFERROR(TRIM(INDEX($A498:$T498,MATCH(Lists!$F$3,$A$1:$T$1,0))&amp;""),""),12,2)),VALUE(MID(IFERROR(TRIM(INDEX($A498:$T498,MATCH(Lists!$F$3,$A$1:$T$1,0))&amp;""),""),15,2)),VALUE(MID(IFERROR(TRIM(INDEX($A498:$T498,MATCH(Lists!$F$3,$A$1:$T$1,0))&amp;""),""),18,2)))),""))</f>
        <v/>
      </c>
      <c r="AA498" s="23">
        <f>IF(Y498="","",IF(ISNUMBER(IFERROR(IF(TRIM(INDEX($A498:$T498,MATCH(Lists!$F$4,$A$1:$T$1,0))&amp;"")="","",IF(ISNUMBER(INDEX($A498:$T498,MATCH(Lists!$F$4,$A$1:$T$1,0))),INT(INDEX($A498:$T498,MATCH(Lists!$F$4,$A$1:$T$1,0))),DATE(VALUE(LEFT(INDEX($A498:$T498,MATCH(Lists!$F$4,$A$1:$T$1,0)),4)),VALUE(MID(INDEX($A498:$T498,MATCH(Lists!$F$4,$A$1:$T$1,0)),6,2)),VALUE(MID(INDEX($A498:$T498,MATCH(Lists!$F$4,$A$1:$T$1,0)),9,2))))),"")),IFERROR(IF(TRIM(INDEX($A498:$T498,MATCH(Lists!$F$4,$A$1:$T$1,0))&amp;"")="","",IF(ISNUMBER(INDEX($A498:$T498,MATCH(Lists!$F$4,$A$1:$T$1,0))),INT(INDEX($A498:$T498,MATCH(Lists!$F$4,$A$1:$T$1,0))),DATE(VALUE(LEFT(INDEX($A498:$T498,MATCH(Lists!$F$4,$A$1:$T$1,0)),4)),VALUE(MID(INDEX($A498:$T498,MATCH(Lists!$F$4,$A$1:$T$1,0)),6,2)),VALUE(MID(INDEX($A498:$T498,MATCH(Lists!$F$4,$A$1:$T$1,0)),9,2))))),""),IFERROR(IF(TRIM(INDEX($A498:$T498,MATCH(Lists!$F$5,$A$1:$T$1,0))&amp;"")="","",IF(ISNUMBER(INDEX($A498:$T498,MATCH(Lists!$F$5,$A$1:$T$1,0))),INT(INDEX($A498:$T498,MATCH(Lists!$F$5,$A$1:$T$1,0))),DATE(VALUE(LEFT(INDEX($A498:$T498,MATCH(Lists!$F$5,$A$1:$T$1,0)),4)),VALUE(MID(INDEX($A498:$T498,MATCH(Lists!$F$5,$A$1:$T$1,0)),6,2)),VALUE(MID(INDEX($A498:$T498,MATCH(Lists!$F$5,$A$1:$T$1,0)),9,2))))),"")))</f>
        <v/>
      </c>
      <c r="AB498" s="21">
        <f>IF(Y498="","",IF(LEFT(IFERROR(TRIM(INDEX($A498:$T498,MATCH(Lists!$F$6,$A$1:$T$1,0))&amp;""),""),2)="No","General comment",IF(IFERROR(TRIM(INDEX($A498:$T498,MATCH(Lists!$F$7,$A$1:$T$1,0))&amp;""),"")&lt;&gt;"",IFERROR(TRIM(INDEX($A498:$T498,MATCH(Lists!$F$7,$A$1:$T$1,0))&amp;""),""),IF(IFERROR(TRIM(INDEX($A498:$T498,MATCH(Lists!$F$8,$A$1:$T$1,0))&amp;""),"")&lt;&gt;"",IFERROR(TRIM(INDEX($A498:$T498,MATCH(Lists!$F$8,$A$1:$T$1,0))&amp;""),""),"(no item given)"))))</f>
        <v/>
      </c>
      <c r="AC498" s="21">
        <f>IF(Y498="","",IF(ISNUMBER(SEARCH("support",IFERROR(TRIM(INDEX($A498:$T498,MATCH(Lists!$F$9,$A$1:$T$1,0))&amp;""),""))),"Support",IF(ISNUMBER(SEARCH("oppose",IFERROR(TRIM(INDEX($A498:$T498,MATCH(Lists!$F$9,$A$1:$T$1,0))&amp;""),""))),"Oppose",IF(IFERROR(TRIM(INDEX($A498:$T498,MATCH(Lists!$F$9,$A$1:$T$1,0))&amp;""),"")="","No position","Neither"))))</f>
        <v/>
      </c>
      <c r="AD498" s="21">
        <f>IF(Y498="","",IF(ISNUMBER(SEARCH("in person",IFERROR(TRIM(INDEX($A498:$T498,MATCH(Lists!$F$13,$A$1:$T$1,0))&amp;""),""))),"In person",IF(ISNUMBER(SEARCH("online",IFERROR(TRIM(INDEX($A498:$T498,MATCH(Lists!$F$13,$A$1:$T$1,0))&amp;""),""))),"Online","Written only")))</f>
        <v/>
      </c>
      <c r="AE498" s="21">
        <f>IF(Y498="","",IFERROR(TRIM(INDEX($A498:$T498,MATCH(Lists!$F$11,$A$1:$T$1,0))&amp;""),""))</f>
        <v/>
      </c>
      <c r="AF498" s="21">
        <f>IF(Y498="","",IFERROR(TRIM(INDEX($A498:$T498,MATCH(Lists!$F$12,$A$1:$T$1,0))&amp;""),""))</f>
        <v/>
      </c>
      <c r="AG498" s="21">
        <f>IF(Y498="","",IFERROR(TRIM(INDEX($A498:$T498,MATCH(Lists!$F$14,$A$1:$T$1,0))&amp;""),""))</f>
        <v/>
      </c>
      <c r="AH498" s="21">
        <f>IF(Y498="","",LEFT(IFERROR(TRIM(INDEX($A498:$T498,MATCH(Lists!$F$10,$A$1:$T$1,0))&amp;""),""),80))</f>
        <v/>
      </c>
      <c r="AI498" s="21">
        <f>IF(Y498="",0,IF(OR(Tally!$B$5="",AA498=Tally!$B$5),1,0))</f>
        <v/>
      </c>
      <c r="AJ498" s="21">
        <f>IF(AI498=1,IF(COUNTIFS($AB$2:AB498,AB498,$AI$2:AI498,1)=1,1,0),0)</f>
        <v/>
      </c>
      <c r="AK498" s="21">
        <f>IF(AJ498=1,SUM($AJ$2:AJ498),"")</f>
        <v/>
      </c>
      <c r="AL498" s="21">
        <f>IF(AND(AI498=1,OR(AD498="In person",AD498="Online"),OR(Speakers!$B$5="",AB498=Speakers!$B$5)),N(Z498)+ROW()/1000000000,"")</f>
        <v/>
      </c>
    </row>
    <row r="499">
      <c r="U499" s="19" t="n"/>
      <c r="V499" s="24" t="n"/>
      <c r="W499" s="24" t="n"/>
      <c r="X499" s="19" t="n"/>
      <c r="Y499" s="21">
        <f>IFERROR(TRIM(INDEX($A499:$T499,MATCH(Lists!$F$2,$A$1:$T$1,0))&amp;""),"")</f>
        <v/>
      </c>
      <c r="Z499" s="22">
        <f>IF(Y499="","",IFERROR(IF(ISNUMBER(INDEX($A499:$T499,MATCH(Lists!$F$3,$A$1:$T$1,0))),INDEX($A499:$T499,MATCH(Lists!$F$3,$A$1:$T$1,0)),DATE(VALUE(LEFT(IFERROR(TRIM(INDEX($A499:$T499,MATCH(Lists!$F$3,$A$1:$T$1,0))&amp;""),""),4)),VALUE(MID(IFERROR(TRIM(INDEX($A499:$T499,MATCH(Lists!$F$3,$A$1:$T$1,0))&amp;""),""),6,2)),VALUE(MID(IFERROR(TRIM(INDEX($A499:$T499,MATCH(Lists!$F$3,$A$1:$T$1,0))&amp;""),""),9,2)))+TIME(VALUE(MID(IFERROR(TRIM(INDEX($A499:$T499,MATCH(Lists!$F$3,$A$1:$T$1,0))&amp;""),""),12,2)),VALUE(MID(IFERROR(TRIM(INDEX($A499:$T499,MATCH(Lists!$F$3,$A$1:$T$1,0))&amp;""),""),15,2)),VALUE(MID(IFERROR(TRIM(INDEX($A499:$T499,MATCH(Lists!$F$3,$A$1:$T$1,0))&amp;""),""),18,2)))),""))</f>
        <v/>
      </c>
      <c r="AA499" s="23">
        <f>IF(Y499="","",IF(ISNUMBER(IFERROR(IF(TRIM(INDEX($A499:$T499,MATCH(Lists!$F$4,$A$1:$T$1,0))&amp;"")="","",IF(ISNUMBER(INDEX($A499:$T499,MATCH(Lists!$F$4,$A$1:$T$1,0))),INT(INDEX($A499:$T499,MATCH(Lists!$F$4,$A$1:$T$1,0))),DATE(VALUE(LEFT(INDEX($A499:$T499,MATCH(Lists!$F$4,$A$1:$T$1,0)),4)),VALUE(MID(INDEX($A499:$T499,MATCH(Lists!$F$4,$A$1:$T$1,0)),6,2)),VALUE(MID(INDEX($A499:$T499,MATCH(Lists!$F$4,$A$1:$T$1,0)),9,2))))),"")),IFERROR(IF(TRIM(INDEX($A499:$T499,MATCH(Lists!$F$4,$A$1:$T$1,0))&amp;"")="","",IF(ISNUMBER(INDEX($A499:$T499,MATCH(Lists!$F$4,$A$1:$T$1,0))),INT(INDEX($A499:$T499,MATCH(Lists!$F$4,$A$1:$T$1,0))),DATE(VALUE(LEFT(INDEX($A499:$T499,MATCH(Lists!$F$4,$A$1:$T$1,0)),4)),VALUE(MID(INDEX($A499:$T499,MATCH(Lists!$F$4,$A$1:$T$1,0)),6,2)),VALUE(MID(INDEX($A499:$T499,MATCH(Lists!$F$4,$A$1:$T$1,0)),9,2))))),""),IFERROR(IF(TRIM(INDEX($A499:$T499,MATCH(Lists!$F$5,$A$1:$T$1,0))&amp;"")="","",IF(ISNUMBER(INDEX($A499:$T499,MATCH(Lists!$F$5,$A$1:$T$1,0))),INT(INDEX($A499:$T499,MATCH(Lists!$F$5,$A$1:$T$1,0))),DATE(VALUE(LEFT(INDEX($A499:$T499,MATCH(Lists!$F$5,$A$1:$T$1,0)),4)),VALUE(MID(INDEX($A499:$T499,MATCH(Lists!$F$5,$A$1:$T$1,0)),6,2)),VALUE(MID(INDEX($A499:$T499,MATCH(Lists!$F$5,$A$1:$T$1,0)),9,2))))),"")))</f>
        <v/>
      </c>
      <c r="AB499" s="21">
        <f>IF(Y499="","",IF(LEFT(IFERROR(TRIM(INDEX($A499:$T499,MATCH(Lists!$F$6,$A$1:$T$1,0))&amp;""),""),2)="No","General comment",IF(IFERROR(TRIM(INDEX($A499:$T499,MATCH(Lists!$F$7,$A$1:$T$1,0))&amp;""),"")&lt;&gt;"",IFERROR(TRIM(INDEX($A499:$T499,MATCH(Lists!$F$7,$A$1:$T$1,0))&amp;""),""),IF(IFERROR(TRIM(INDEX($A499:$T499,MATCH(Lists!$F$8,$A$1:$T$1,0))&amp;""),"")&lt;&gt;"",IFERROR(TRIM(INDEX($A499:$T499,MATCH(Lists!$F$8,$A$1:$T$1,0))&amp;""),""),"(no item given)"))))</f>
        <v/>
      </c>
      <c r="AC499" s="21">
        <f>IF(Y499="","",IF(ISNUMBER(SEARCH("support",IFERROR(TRIM(INDEX($A499:$T499,MATCH(Lists!$F$9,$A$1:$T$1,0))&amp;""),""))),"Support",IF(ISNUMBER(SEARCH("oppose",IFERROR(TRIM(INDEX($A499:$T499,MATCH(Lists!$F$9,$A$1:$T$1,0))&amp;""),""))),"Oppose",IF(IFERROR(TRIM(INDEX($A499:$T499,MATCH(Lists!$F$9,$A$1:$T$1,0))&amp;""),"")="","No position","Neither"))))</f>
        <v/>
      </c>
      <c r="AD499" s="21">
        <f>IF(Y499="","",IF(ISNUMBER(SEARCH("in person",IFERROR(TRIM(INDEX($A499:$T499,MATCH(Lists!$F$13,$A$1:$T$1,0))&amp;""),""))),"In person",IF(ISNUMBER(SEARCH("online",IFERROR(TRIM(INDEX($A499:$T499,MATCH(Lists!$F$13,$A$1:$T$1,0))&amp;""),""))),"Online","Written only")))</f>
        <v/>
      </c>
      <c r="AE499" s="21">
        <f>IF(Y499="","",IFERROR(TRIM(INDEX($A499:$T499,MATCH(Lists!$F$11,$A$1:$T$1,0))&amp;""),""))</f>
        <v/>
      </c>
      <c r="AF499" s="21">
        <f>IF(Y499="","",IFERROR(TRIM(INDEX($A499:$T499,MATCH(Lists!$F$12,$A$1:$T$1,0))&amp;""),""))</f>
        <v/>
      </c>
      <c r="AG499" s="21">
        <f>IF(Y499="","",IFERROR(TRIM(INDEX($A499:$T499,MATCH(Lists!$F$14,$A$1:$T$1,0))&amp;""),""))</f>
        <v/>
      </c>
      <c r="AH499" s="21">
        <f>IF(Y499="","",LEFT(IFERROR(TRIM(INDEX($A499:$T499,MATCH(Lists!$F$10,$A$1:$T$1,0))&amp;""),""),80))</f>
        <v/>
      </c>
      <c r="AI499" s="21">
        <f>IF(Y499="",0,IF(OR(Tally!$B$5="",AA499=Tally!$B$5),1,0))</f>
        <v/>
      </c>
      <c r="AJ499" s="21">
        <f>IF(AI499=1,IF(COUNTIFS($AB$2:AB499,AB499,$AI$2:AI499,1)=1,1,0),0)</f>
        <v/>
      </c>
      <c r="AK499" s="21">
        <f>IF(AJ499=1,SUM($AJ$2:AJ499),"")</f>
        <v/>
      </c>
      <c r="AL499" s="21">
        <f>IF(AND(AI499=1,OR(AD499="In person",AD499="Online"),OR(Speakers!$B$5="",AB499=Speakers!$B$5)),N(Z499)+ROW()/1000000000,"")</f>
        <v/>
      </c>
    </row>
    <row r="500">
      <c r="U500" s="19" t="n"/>
      <c r="V500" s="24" t="n"/>
      <c r="W500" s="24" t="n"/>
      <c r="X500" s="19" t="n"/>
      <c r="Y500" s="21">
        <f>IFERROR(TRIM(INDEX($A500:$T500,MATCH(Lists!$F$2,$A$1:$T$1,0))&amp;""),"")</f>
        <v/>
      </c>
      <c r="Z500" s="22">
        <f>IF(Y500="","",IFERROR(IF(ISNUMBER(INDEX($A500:$T500,MATCH(Lists!$F$3,$A$1:$T$1,0))),INDEX($A500:$T500,MATCH(Lists!$F$3,$A$1:$T$1,0)),DATE(VALUE(LEFT(IFERROR(TRIM(INDEX($A500:$T500,MATCH(Lists!$F$3,$A$1:$T$1,0))&amp;""),""),4)),VALUE(MID(IFERROR(TRIM(INDEX($A500:$T500,MATCH(Lists!$F$3,$A$1:$T$1,0))&amp;""),""),6,2)),VALUE(MID(IFERROR(TRIM(INDEX($A500:$T500,MATCH(Lists!$F$3,$A$1:$T$1,0))&amp;""),""),9,2)))+TIME(VALUE(MID(IFERROR(TRIM(INDEX($A500:$T500,MATCH(Lists!$F$3,$A$1:$T$1,0))&amp;""),""),12,2)),VALUE(MID(IFERROR(TRIM(INDEX($A500:$T500,MATCH(Lists!$F$3,$A$1:$T$1,0))&amp;""),""),15,2)),VALUE(MID(IFERROR(TRIM(INDEX($A500:$T500,MATCH(Lists!$F$3,$A$1:$T$1,0))&amp;""),""),18,2)))),""))</f>
        <v/>
      </c>
      <c r="AA500" s="23">
        <f>IF(Y500="","",IF(ISNUMBER(IFERROR(IF(TRIM(INDEX($A500:$T500,MATCH(Lists!$F$4,$A$1:$T$1,0))&amp;"")="","",IF(ISNUMBER(INDEX($A500:$T500,MATCH(Lists!$F$4,$A$1:$T$1,0))),INT(INDEX($A500:$T500,MATCH(Lists!$F$4,$A$1:$T$1,0))),DATE(VALUE(LEFT(INDEX($A500:$T500,MATCH(Lists!$F$4,$A$1:$T$1,0)),4)),VALUE(MID(INDEX($A500:$T500,MATCH(Lists!$F$4,$A$1:$T$1,0)),6,2)),VALUE(MID(INDEX($A500:$T500,MATCH(Lists!$F$4,$A$1:$T$1,0)),9,2))))),"")),IFERROR(IF(TRIM(INDEX($A500:$T500,MATCH(Lists!$F$4,$A$1:$T$1,0))&amp;"")="","",IF(ISNUMBER(INDEX($A500:$T500,MATCH(Lists!$F$4,$A$1:$T$1,0))),INT(INDEX($A500:$T500,MATCH(Lists!$F$4,$A$1:$T$1,0))),DATE(VALUE(LEFT(INDEX($A500:$T500,MATCH(Lists!$F$4,$A$1:$T$1,0)),4)),VALUE(MID(INDEX($A500:$T500,MATCH(Lists!$F$4,$A$1:$T$1,0)),6,2)),VALUE(MID(INDEX($A500:$T500,MATCH(Lists!$F$4,$A$1:$T$1,0)),9,2))))),""),IFERROR(IF(TRIM(INDEX($A500:$T500,MATCH(Lists!$F$5,$A$1:$T$1,0))&amp;"")="","",IF(ISNUMBER(INDEX($A500:$T500,MATCH(Lists!$F$5,$A$1:$T$1,0))),INT(INDEX($A500:$T500,MATCH(Lists!$F$5,$A$1:$T$1,0))),DATE(VALUE(LEFT(INDEX($A500:$T500,MATCH(Lists!$F$5,$A$1:$T$1,0)),4)),VALUE(MID(INDEX($A500:$T500,MATCH(Lists!$F$5,$A$1:$T$1,0)),6,2)),VALUE(MID(INDEX($A500:$T500,MATCH(Lists!$F$5,$A$1:$T$1,0)),9,2))))),"")))</f>
        <v/>
      </c>
      <c r="AB500" s="21">
        <f>IF(Y500="","",IF(LEFT(IFERROR(TRIM(INDEX($A500:$T500,MATCH(Lists!$F$6,$A$1:$T$1,0))&amp;""),""),2)="No","General comment",IF(IFERROR(TRIM(INDEX($A500:$T500,MATCH(Lists!$F$7,$A$1:$T$1,0))&amp;""),"")&lt;&gt;"",IFERROR(TRIM(INDEX($A500:$T500,MATCH(Lists!$F$7,$A$1:$T$1,0))&amp;""),""),IF(IFERROR(TRIM(INDEX($A500:$T500,MATCH(Lists!$F$8,$A$1:$T$1,0))&amp;""),"")&lt;&gt;"",IFERROR(TRIM(INDEX($A500:$T500,MATCH(Lists!$F$8,$A$1:$T$1,0))&amp;""),""),"(no item given)"))))</f>
        <v/>
      </c>
      <c r="AC500" s="21">
        <f>IF(Y500="","",IF(ISNUMBER(SEARCH("support",IFERROR(TRIM(INDEX($A500:$T500,MATCH(Lists!$F$9,$A$1:$T$1,0))&amp;""),""))),"Support",IF(ISNUMBER(SEARCH("oppose",IFERROR(TRIM(INDEX($A500:$T500,MATCH(Lists!$F$9,$A$1:$T$1,0))&amp;""),""))),"Oppose",IF(IFERROR(TRIM(INDEX($A500:$T500,MATCH(Lists!$F$9,$A$1:$T$1,0))&amp;""),"")="","No position","Neither"))))</f>
        <v/>
      </c>
      <c r="AD500" s="21">
        <f>IF(Y500="","",IF(ISNUMBER(SEARCH("in person",IFERROR(TRIM(INDEX($A500:$T500,MATCH(Lists!$F$13,$A$1:$T$1,0))&amp;""),""))),"In person",IF(ISNUMBER(SEARCH("online",IFERROR(TRIM(INDEX($A500:$T500,MATCH(Lists!$F$13,$A$1:$T$1,0))&amp;""),""))),"Online","Written only")))</f>
        <v/>
      </c>
      <c r="AE500" s="21">
        <f>IF(Y500="","",IFERROR(TRIM(INDEX($A500:$T500,MATCH(Lists!$F$11,$A$1:$T$1,0))&amp;""),""))</f>
        <v/>
      </c>
      <c r="AF500" s="21">
        <f>IF(Y500="","",IFERROR(TRIM(INDEX($A500:$T500,MATCH(Lists!$F$12,$A$1:$T$1,0))&amp;""),""))</f>
        <v/>
      </c>
      <c r="AG500" s="21">
        <f>IF(Y500="","",IFERROR(TRIM(INDEX($A500:$T500,MATCH(Lists!$F$14,$A$1:$T$1,0))&amp;""),""))</f>
        <v/>
      </c>
      <c r="AH500" s="21">
        <f>IF(Y500="","",LEFT(IFERROR(TRIM(INDEX($A500:$T500,MATCH(Lists!$F$10,$A$1:$T$1,0))&amp;""),""),80))</f>
        <v/>
      </c>
      <c r="AI500" s="21">
        <f>IF(Y500="",0,IF(OR(Tally!$B$5="",AA500=Tally!$B$5),1,0))</f>
        <v/>
      </c>
      <c r="AJ500" s="21">
        <f>IF(AI500=1,IF(COUNTIFS($AB$2:AB500,AB500,$AI$2:AI500,1)=1,1,0),0)</f>
        <v/>
      </c>
      <c r="AK500" s="21">
        <f>IF(AJ500=1,SUM($AJ$2:AJ500),"")</f>
        <v/>
      </c>
      <c r="AL500" s="21">
        <f>IF(AND(AI500=1,OR(AD500="In person",AD500="Online"),OR(Speakers!$B$5="",AB500=Speakers!$B$5)),N(Z500)+ROW()/1000000000,"")</f>
        <v/>
      </c>
    </row>
    <row r="501">
      <c r="U501" s="19" t="n"/>
      <c r="V501" s="24" t="n"/>
      <c r="W501" s="24" t="n"/>
      <c r="X501" s="19" t="n"/>
      <c r="Y501" s="21">
        <f>IFERROR(TRIM(INDEX($A501:$T501,MATCH(Lists!$F$2,$A$1:$T$1,0))&amp;""),"")</f>
        <v/>
      </c>
      <c r="Z501" s="22">
        <f>IF(Y501="","",IFERROR(IF(ISNUMBER(INDEX($A501:$T501,MATCH(Lists!$F$3,$A$1:$T$1,0))),INDEX($A501:$T501,MATCH(Lists!$F$3,$A$1:$T$1,0)),DATE(VALUE(LEFT(IFERROR(TRIM(INDEX($A501:$T501,MATCH(Lists!$F$3,$A$1:$T$1,0))&amp;""),""),4)),VALUE(MID(IFERROR(TRIM(INDEX($A501:$T501,MATCH(Lists!$F$3,$A$1:$T$1,0))&amp;""),""),6,2)),VALUE(MID(IFERROR(TRIM(INDEX($A501:$T501,MATCH(Lists!$F$3,$A$1:$T$1,0))&amp;""),""),9,2)))+TIME(VALUE(MID(IFERROR(TRIM(INDEX($A501:$T501,MATCH(Lists!$F$3,$A$1:$T$1,0))&amp;""),""),12,2)),VALUE(MID(IFERROR(TRIM(INDEX($A501:$T501,MATCH(Lists!$F$3,$A$1:$T$1,0))&amp;""),""),15,2)),VALUE(MID(IFERROR(TRIM(INDEX($A501:$T501,MATCH(Lists!$F$3,$A$1:$T$1,0))&amp;""),""),18,2)))),""))</f>
        <v/>
      </c>
      <c r="AA501" s="23">
        <f>IF(Y501="","",IF(ISNUMBER(IFERROR(IF(TRIM(INDEX($A501:$T501,MATCH(Lists!$F$4,$A$1:$T$1,0))&amp;"")="","",IF(ISNUMBER(INDEX($A501:$T501,MATCH(Lists!$F$4,$A$1:$T$1,0))),INT(INDEX($A501:$T501,MATCH(Lists!$F$4,$A$1:$T$1,0))),DATE(VALUE(LEFT(INDEX($A501:$T501,MATCH(Lists!$F$4,$A$1:$T$1,0)),4)),VALUE(MID(INDEX($A501:$T501,MATCH(Lists!$F$4,$A$1:$T$1,0)),6,2)),VALUE(MID(INDEX($A501:$T501,MATCH(Lists!$F$4,$A$1:$T$1,0)),9,2))))),"")),IFERROR(IF(TRIM(INDEX($A501:$T501,MATCH(Lists!$F$4,$A$1:$T$1,0))&amp;"")="","",IF(ISNUMBER(INDEX($A501:$T501,MATCH(Lists!$F$4,$A$1:$T$1,0))),INT(INDEX($A501:$T501,MATCH(Lists!$F$4,$A$1:$T$1,0))),DATE(VALUE(LEFT(INDEX($A501:$T501,MATCH(Lists!$F$4,$A$1:$T$1,0)),4)),VALUE(MID(INDEX($A501:$T501,MATCH(Lists!$F$4,$A$1:$T$1,0)),6,2)),VALUE(MID(INDEX($A501:$T501,MATCH(Lists!$F$4,$A$1:$T$1,0)),9,2))))),""),IFERROR(IF(TRIM(INDEX($A501:$T501,MATCH(Lists!$F$5,$A$1:$T$1,0))&amp;"")="","",IF(ISNUMBER(INDEX($A501:$T501,MATCH(Lists!$F$5,$A$1:$T$1,0))),INT(INDEX($A501:$T501,MATCH(Lists!$F$5,$A$1:$T$1,0))),DATE(VALUE(LEFT(INDEX($A501:$T501,MATCH(Lists!$F$5,$A$1:$T$1,0)),4)),VALUE(MID(INDEX($A501:$T501,MATCH(Lists!$F$5,$A$1:$T$1,0)),6,2)),VALUE(MID(INDEX($A501:$T501,MATCH(Lists!$F$5,$A$1:$T$1,0)),9,2))))),"")))</f>
        <v/>
      </c>
      <c r="AB501" s="21">
        <f>IF(Y501="","",IF(LEFT(IFERROR(TRIM(INDEX($A501:$T501,MATCH(Lists!$F$6,$A$1:$T$1,0))&amp;""),""),2)="No","General comment",IF(IFERROR(TRIM(INDEX($A501:$T501,MATCH(Lists!$F$7,$A$1:$T$1,0))&amp;""),"")&lt;&gt;"",IFERROR(TRIM(INDEX($A501:$T501,MATCH(Lists!$F$7,$A$1:$T$1,0))&amp;""),""),IF(IFERROR(TRIM(INDEX($A501:$T501,MATCH(Lists!$F$8,$A$1:$T$1,0))&amp;""),"")&lt;&gt;"",IFERROR(TRIM(INDEX($A501:$T501,MATCH(Lists!$F$8,$A$1:$T$1,0))&amp;""),""),"(no item given)"))))</f>
        <v/>
      </c>
      <c r="AC501" s="21">
        <f>IF(Y501="","",IF(ISNUMBER(SEARCH("support",IFERROR(TRIM(INDEX($A501:$T501,MATCH(Lists!$F$9,$A$1:$T$1,0))&amp;""),""))),"Support",IF(ISNUMBER(SEARCH("oppose",IFERROR(TRIM(INDEX($A501:$T501,MATCH(Lists!$F$9,$A$1:$T$1,0))&amp;""),""))),"Oppose",IF(IFERROR(TRIM(INDEX($A501:$T501,MATCH(Lists!$F$9,$A$1:$T$1,0))&amp;""),"")="","No position","Neither"))))</f>
        <v/>
      </c>
      <c r="AD501" s="21">
        <f>IF(Y501="","",IF(ISNUMBER(SEARCH("in person",IFERROR(TRIM(INDEX($A501:$T501,MATCH(Lists!$F$13,$A$1:$T$1,0))&amp;""),""))),"In person",IF(ISNUMBER(SEARCH("online",IFERROR(TRIM(INDEX($A501:$T501,MATCH(Lists!$F$13,$A$1:$T$1,0))&amp;""),""))),"Online","Written only")))</f>
        <v/>
      </c>
      <c r="AE501" s="21">
        <f>IF(Y501="","",IFERROR(TRIM(INDEX($A501:$T501,MATCH(Lists!$F$11,$A$1:$T$1,0))&amp;""),""))</f>
        <v/>
      </c>
      <c r="AF501" s="21">
        <f>IF(Y501="","",IFERROR(TRIM(INDEX($A501:$T501,MATCH(Lists!$F$12,$A$1:$T$1,0))&amp;""),""))</f>
        <v/>
      </c>
      <c r="AG501" s="21">
        <f>IF(Y501="","",IFERROR(TRIM(INDEX($A501:$T501,MATCH(Lists!$F$14,$A$1:$T$1,0))&amp;""),""))</f>
        <v/>
      </c>
      <c r="AH501" s="21">
        <f>IF(Y501="","",LEFT(IFERROR(TRIM(INDEX($A501:$T501,MATCH(Lists!$F$10,$A$1:$T$1,0))&amp;""),""),80))</f>
        <v/>
      </c>
      <c r="AI501" s="21">
        <f>IF(Y501="",0,IF(OR(Tally!$B$5="",AA501=Tally!$B$5),1,0))</f>
        <v/>
      </c>
      <c r="AJ501" s="21">
        <f>IF(AI501=1,IF(COUNTIFS($AB$2:AB501,AB501,$AI$2:AI501,1)=1,1,0),0)</f>
        <v/>
      </c>
      <c r="AK501" s="21">
        <f>IF(AJ501=1,SUM($AJ$2:AJ501),"")</f>
        <v/>
      </c>
      <c r="AL501" s="21">
        <f>IF(AND(AI501=1,OR(AD501="In person",AD501="Online"),OR(Speakers!$B$5="",AB501=Speakers!$B$5)),N(Z501)+ROW()/1000000000,"")</f>
        <v/>
      </c>
    </row>
  </sheetData>
  <dataValidations count="1">
    <dataValidation sqref="V2:V501" showDropDown="0" showInputMessage="1" showErrorMessage="1" allowBlank="1" errorTitle="Read or posted" error="Pick a value from the list. Yes once it is in the record." promptTitle="Read or posted" prompt="Yes once it is in the record." type="list" errorStyle="warning">
      <formula1>Lists!$A$2:$A$3</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I505"/>
  <sheetViews>
    <sheetView workbookViewId="0">
      <pane ySplit="5" topLeftCell="A6" activePane="bottomLeft" state="frozen"/>
      <selection pane="bottomLeft" activeCell="A1" sqref="A1"/>
    </sheetView>
  </sheetViews>
  <sheetFormatPr baseColWidth="8" defaultRowHeight="15"/>
  <cols>
    <col width="17" customWidth="1" min="1" max="1"/>
    <col width="12" customWidth="1" min="2" max="2"/>
    <col width="18" customWidth="1" min="3" max="3"/>
    <col width="13" customWidth="1" min="4" max="4"/>
    <col width="13" customWidth="1" min="5" max="5"/>
    <col width="22" customWidth="1" min="6" max="6"/>
    <col width="20" customWidth="1" min="7" max="7"/>
    <col width="56" customWidth="1" min="8" max="8"/>
    <col width="14" customWidth="1" min="9" max="9"/>
  </cols>
  <sheetData>
    <row r="1">
      <c r="A1" s="25" t="inlineStr">
        <is>
          <t>Comment log: one row per comment</t>
        </is>
      </c>
    </row>
    <row r="2">
      <c r="A2" s="26" t="inlineStr">
        <is>
          <t>In the order you pasted them. The Tally tab counts positions, the Speakers tab lists who asked to speak.</t>
        </is>
      </c>
    </row>
    <row r="3">
      <c r="A3" s="27">
        <f>IF(COUNTIF(Responses!$A$2:$A$501,"EXAMPLE*")&gt;0,"You are looking at EXAMPLE data. Clear A2 to W11 on Responses, then paste your own.","")</f>
        <v/>
      </c>
    </row>
    <row r="5" ht="26" customHeight="1">
      <c r="A5" s="3" t="inlineStr">
        <is>
          <t>Received</t>
        </is>
      </c>
      <c r="B5" s="3" t="inlineStr">
        <is>
          <t>Meeting</t>
        </is>
      </c>
      <c r="C5" s="3" t="inlineStr">
        <is>
          <t>Item</t>
        </is>
      </c>
      <c r="D5" s="3" t="inlineStr">
        <is>
          <t>Position</t>
        </is>
      </c>
      <c r="E5" s="3" t="inlineStr">
        <is>
          <t>Speaking</t>
        </is>
      </c>
      <c r="F5" s="3" t="inlineStr">
        <is>
          <t>Name</t>
        </is>
      </c>
      <c r="G5" s="3" t="inlineStr">
        <is>
          <t>City or neighborhood</t>
        </is>
      </c>
      <c r="H5" s="3" t="inlineStr">
        <is>
          <t>Comment starts with</t>
        </is>
      </c>
      <c r="I5" s="3" t="inlineStr">
        <is>
          <t>Read or posted?</t>
        </is>
      </c>
    </row>
    <row r="6">
      <c r="A6" s="28">
        <f>Responses!Z2</f>
        <v/>
      </c>
      <c r="B6" s="29">
        <f>Responses!AA2</f>
        <v/>
      </c>
      <c r="C6" s="30">
        <f>Responses!AB2</f>
        <v/>
      </c>
      <c r="D6" s="30">
        <f>Responses!AC2</f>
        <v/>
      </c>
      <c r="E6" s="30">
        <f>Responses!AD2</f>
        <v/>
      </c>
      <c r="F6" s="31">
        <f>Responses!AE2</f>
        <v/>
      </c>
      <c r="G6" s="31">
        <f>Responses!AF2</f>
        <v/>
      </c>
      <c r="H6" s="31">
        <f>Responses!AH2</f>
        <v/>
      </c>
      <c r="I6" s="31">
        <f>IF(Responses!Y2="","",Responses!V2&amp;"")</f>
        <v/>
      </c>
    </row>
    <row r="7">
      <c r="A7" s="28">
        <f>Responses!Z3</f>
        <v/>
      </c>
      <c r="B7" s="29">
        <f>Responses!AA3</f>
        <v/>
      </c>
      <c r="C7" s="30">
        <f>Responses!AB3</f>
        <v/>
      </c>
      <c r="D7" s="30">
        <f>Responses!AC3</f>
        <v/>
      </c>
      <c r="E7" s="30">
        <f>Responses!AD3</f>
        <v/>
      </c>
      <c r="F7" s="31">
        <f>Responses!AE3</f>
        <v/>
      </c>
      <c r="G7" s="31">
        <f>Responses!AF3</f>
        <v/>
      </c>
      <c r="H7" s="31">
        <f>Responses!AH3</f>
        <v/>
      </c>
      <c r="I7" s="31">
        <f>IF(Responses!Y3="","",Responses!V3&amp;"")</f>
        <v/>
      </c>
    </row>
    <row r="8">
      <c r="A8" s="28">
        <f>Responses!Z4</f>
        <v/>
      </c>
      <c r="B8" s="29">
        <f>Responses!AA4</f>
        <v/>
      </c>
      <c r="C8" s="30">
        <f>Responses!AB4</f>
        <v/>
      </c>
      <c r="D8" s="30">
        <f>Responses!AC4</f>
        <v/>
      </c>
      <c r="E8" s="30">
        <f>Responses!AD4</f>
        <v/>
      </c>
      <c r="F8" s="31">
        <f>Responses!AE4</f>
        <v/>
      </c>
      <c r="G8" s="31">
        <f>Responses!AF4</f>
        <v/>
      </c>
      <c r="H8" s="31">
        <f>Responses!AH4</f>
        <v/>
      </c>
      <c r="I8" s="31">
        <f>IF(Responses!Y4="","",Responses!V4&amp;"")</f>
        <v/>
      </c>
    </row>
    <row r="9">
      <c r="A9" s="28">
        <f>Responses!Z5</f>
        <v/>
      </c>
      <c r="B9" s="29">
        <f>Responses!AA5</f>
        <v/>
      </c>
      <c r="C9" s="30">
        <f>Responses!AB5</f>
        <v/>
      </c>
      <c r="D9" s="30">
        <f>Responses!AC5</f>
        <v/>
      </c>
      <c r="E9" s="30">
        <f>Responses!AD5</f>
        <v/>
      </c>
      <c r="F9" s="31">
        <f>Responses!AE5</f>
        <v/>
      </c>
      <c r="G9" s="31">
        <f>Responses!AF5</f>
        <v/>
      </c>
      <c r="H9" s="31">
        <f>Responses!AH5</f>
        <v/>
      </c>
      <c r="I9" s="31">
        <f>IF(Responses!Y5="","",Responses!V5&amp;"")</f>
        <v/>
      </c>
    </row>
    <row r="10">
      <c r="A10" s="28">
        <f>Responses!Z6</f>
        <v/>
      </c>
      <c r="B10" s="29">
        <f>Responses!AA6</f>
        <v/>
      </c>
      <c r="C10" s="30">
        <f>Responses!AB6</f>
        <v/>
      </c>
      <c r="D10" s="30">
        <f>Responses!AC6</f>
        <v/>
      </c>
      <c r="E10" s="30">
        <f>Responses!AD6</f>
        <v/>
      </c>
      <c r="F10" s="31">
        <f>Responses!AE6</f>
        <v/>
      </c>
      <c r="G10" s="31">
        <f>Responses!AF6</f>
        <v/>
      </c>
      <c r="H10" s="31">
        <f>Responses!AH6</f>
        <v/>
      </c>
      <c r="I10" s="31">
        <f>IF(Responses!Y6="","",Responses!V6&amp;"")</f>
        <v/>
      </c>
    </row>
    <row r="11">
      <c r="A11" s="28">
        <f>Responses!Z7</f>
        <v/>
      </c>
      <c r="B11" s="29">
        <f>Responses!AA7</f>
        <v/>
      </c>
      <c r="C11" s="30">
        <f>Responses!AB7</f>
        <v/>
      </c>
      <c r="D11" s="30">
        <f>Responses!AC7</f>
        <v/>
      </c>
      <c r="E11" s="30">
        <f>Responses!AD7</f>
        <v/>
      </c>
      <c r="F11" s="31">
        <f>Responses!AE7</f>
        <v/>
      </c>
      <c r="G11" s="31">
        <f>Responses!AF7</f>
        <v/>
      </c>
      <c r="H11" s="31">
        <f>Responses!AH7</f>
        <v/>
      </c>
      <c r="I11" s="31">
        <f>IF(Responses!Y7="","",Responses!V7&amp;"")</f>
        <v/>
      </c>
    </row>
    <row r="12">
      <c r="A12" s="28">
        <f>Responses!Z8</f>
        <v/>
      </c>
      <c r="B12" s="29">
        <f>Responses!AA8</f>
        <v/>
      </c>
      <c r="C12" s="30">
        <f>Responses!AB8</f>
        <v/>
      </c>
      <c r="D12" s="30">
        <f>Responses!AC8</f>
        <v/>
      </c>
      <c r="E12" s="30">
        <f>Responses!AD8</f>
        <v/>
      </c>
      <c r="F12" s="31">
        <f>Responses!AE8</f>
        <v/>
      </c>
      <c r="G12" s="31">
        <f>Responses!AF8</f>
        <v/>
      </c>
      <c r="H12" s="31">
        <f>Responses!AH8</f>
        <v/>
      </c>
      <c r="I12" s="31">
        <f>IF(Responses!Y8="","",Responses!V8&amp;"")</f>
        <v/>
      </c>
    </row>
    <row r="13">
      <c r="A13" s="28">
        <f>Responses!Z9</f>
        <v/>
      </c>
      <c r="B13" s="29">
        <f>Responses!AA9</f>
        <v/>
      </c>
      <c r="C13" s="30">
        <f>Responses!AB9</f>
        <v/>
      </c>
      <c r="D13" s="30">
        <f>Responses!AC9</f>
        <v/>
      </c>
      <c r="E13" s="30">
        <f>Responses!AD9</f>
        <v/>
      </c>
      <c r="F13" s="31">
        <f>Responses!AE9</f>
        <v/>
      </c>
      <c r="G13" s="31">
        <f>Responses!AF9</f>
        <v/>
      </c>
      <c r="H13" s="31">
        <f>Responses!AH9</f>
        <v/>
      </c>
      <c r="I13" s="31">
        <f>IF(Responses!Y9="","",Responses!V9&amp;"")</f>
        <v/>
      </c>
    </row>
    <row r="14">
      <c r="A14" s="28">
        <f>Responses!Z10</f>
        <v/>
      </c>
      <c r="B14" s="29">
        <f>Responses!AA10</f>
        <v/>
      </c>
      <c r="C14" s="30">
        <f>Responses!AB10</f>
        <v/>
      </c>
      <c r="D14" s="30">
        <f>Responses!AC10</f>
        <v/>
      </c>
      <c r="E14" s="30">
        <f>Responses!AD10</f>
        <v/>
      </c>
      <c r="F14" s="31">
        <f>Responses!AE10</f>
        <v/>
      </c>
      <c r="G14" s="31">
        <f>Responses!AF10</f>
        <v/>
      </c>
      <c r="H14" s="31">
        <f>Responses!AH10</f>
        <v/>
      </c>
      <c r="I14" s="31">
        <f>IF(Responses!Y10="","",Responses!V10&amp;"")</f>
        <v/>
      </c>
    </row>
    <row r="15">
      <c r="A15" s="28">
        <f>Responses!Z11</f>
        <v/>
      </c>
      <c r="B15" s="29">
        <f>Responses!AA11</f>
        <v/>
      </c>
      <c r="C15" s="30">
        <f>Responses!AB11</f>
        <v/>
      </c>
      <c r="D15" s="30">
        <f>Responses!AC11</f>
        <v/>
      </c>
      <c r="E15" s="30">
        <f>Responses!AD11</f>
        <v/>
      </c>
      <c r="F15" s="31">
        <f>Responses!AE11</f>
        <v/>
      </c>
      <c r="G15" s="31">
        <f>Responses!AF11</f>
        <v/>
      </c>
      <c r="H15" s="31">
        <f>Responses!AH11</f>
        <v/>
      </c>
      <c r="I15" s="31">
        <f>IF(Responses!Y11="","",Responses!V11&amp;"")</f>
        <v/>
      </c>
    </row>
    <row r="16">
      <c r="A16" s="28">
        <f>Responses!Z12</f>
        <v/>
      </c>
      <c r="B16" s="29">
        <f>Responses!AA12</f>
        <v/>
      </c>
      <c r="C16" s="30">
        <f>Responses!AB12</f>
        <v/>
      </c>
      <c r="D16" s="30">
        <f>Responses!AC12</f>
        <v/>
      </c>
      <c r="E16" s="30">
        <f>Responses!AD12</f>
        <v/>
      </c>
      <c r="F16" s="31">
        <f>Responses!AE12</f>
        <v/>
      </c>
      <c r="G16" s="31">
        <f>Responses!AF12</f>
        <v/>
      </c>
      <c r="H16" s="31">
        <f>Responses!AH12</f>
        <v/>
      </c>
      <c r="I16" s="31">
        <f>IF(Responses!Y12="","",Responses!V12&amp;"")</f>
        <v/>
      </c>
    </row>
    <row r="17">
      <c r="A17" s="28">
        <f>Responses!Z13</f>
        <v/>
      </c>
      <c r="B17" s="29">
        <f>Responses!AA13</f>
        <v/>
      </c>
      <c r="C17" s="30">
        <f>Responses!AB13</f>
        <v/>
      </c>
      <c r="D17" s="30">
        <f>Responses!AC13</f>
        <v/>
      </c>
      <c r="E17" s="30">
        <f>Responses!AD13</f>
        <v/>
      </c>
      <c r="F17" s="31">
        <f>Responses!AE13</f>
        <v/>
      </c>
      <c r="G17" s="31">
        <f>Responses!AF13</f>
        <v/>
      </c>
      <c r="H17" s="31">
        <f>Responses!AH13</f>
        <v/>
      </c>
      <c r="I17" s="31">
        <f>IF(Responses!Y13="","",Responses!V13&amp;"")</f>
        <v/>
      </c>
    </row>
    <row r="18">
      <c r="A18" s="28">
        <f>Responses!Z14</f>
        <v/>
      </c>
      <c r="B18" s="29">
        <f>Responses!AA14</f>
        <v/>
      </c>
      <c r="C18" s="30">
        <f>Responses!AB14</f>
        <v/>
      </c>
      <c r="D18" s="30">
        <f>Responses!AC14</f>
        <v/>
      </c>
      <c r="E18" s="30">
        <f>Responses!AD14</f>
        <v/>
      </c>
      <c r="F18" s="31">
        <f>Responses!AE14</f>
        <v/>
      </c>
      <c r="G18" s="31">
        <f>Responses!AF14</f>
        <v/>
      </c>
      <c r="H18" s="31">
        <f>Responses!AH14</f>
        <v/>
      </c>
      <c r="I18" s="31">
        <f>IF(Responses!Y14="","",Responses!V14&amp;"")</f>
        <v/>
      </c>
    </row>
    <row r="19">
      <c r="A19" s="28">
        <f>Responses!Z15</f>
        <v/>
      </c>
      <c r="B19" s="29">
        <f>Responses!AA15</f>
        <v/>
      </c>
      <c r="C19" s="30">
        <f>Responses!AB15</f>
        <v/>
      </c>
      <c r="D19" s="30">
        <f>Responses!AC15</f>
        <v/>
      </c>
      <c r="E19" s="30">
        <f>Responses!AD15</f>
        <v/>
      </c>
      <c r="F19" s="31">
        <f>Responses!AE15</f>
        <v/>
      </c>
      <c r="G19" s="31">
        <f>Responses!AF15</f>
        <v/>
      </c>
      <c r="H19" s="31">
        <f>Responses!AH15</f>
        <v/>
      </c>
      <c r="I19" s="31">
        <f>IF(Responses!Y15="","",Responses!V15&amp;"")</f>
        <v/>
      </c>
    </row>
    <row r="20">
      <c r="A20" s="28">
        <f>Responses!Z16</f>
        <v/>
      </c>
      <c r="B20" s="29">
        <f>Responses!AA16</f>
        <v/>
      </c>
      <c r="C20" s="30">
        <f>Responses!AB16</f>
        <v/>
      </c>
      <c r="D20" s="30">
        <f>Responses!AC16</f>
        <v/>
      </c>
      <c r="E20" s="30">
        <f>Responses!AD16</f>
        <v/>
      </c>
      <c r="F20" s="31">
        <f>Responses!AE16</f>
        <v/>
      </c>
      <c r="G20" s="31">
        <f>Responses!AF16</f>
        <v/>
      </c>
      <c r="H20" s="31">
        <f>Responses!AH16</f>
        <v/>
      </c>
      <c r="I20" s="31">
        <f>IF(Responses!Y16="","",Responses!V16&amp;"")</f>
        <v/>
      </c>
    </row>
    <row r="21">
      <c r="A21" s="28">
        <f>Responses!Z17</f>
        <v/>
      </c>
      <c r="B21" s="29">
        <f>Responses!AA17</f>
        <v/>
      </c>
      <c r="C21" s="30">
        <f>Responses!AB17</f>
        <v/>
      </c>
      <c r="D21" s="30">
        <f>Responses!AC17</f>
        <v/>
      </c>
      <c r="E21" s="30">
        <f>Responses!AD17</f>
        <v/>
      </c>
      <c r="F21" s="31">
        <f>Responses!AE17</f>
        <v/>
      </c>
      <c r="G21" s="31">
        <f>Responses!AF17</f>
        <v/>
      </c>
      <c r="H21" s="31">
        <f>Responses!AH17</f>
        <v/>
      </c>
      <c r="I21" s="31">
        <f>IF(Responses!Y17="","",Responses!V17&amp;"")</f>
        <v/>
      </c>
    </row>
    <row r="22">
      <c r="A22" s="28">
        <f>Responses!Z18</f>
        <v/>
      </c>
      <c r="B22" s="29">
        <f>Responses!AA18</f>
        <v/>
      </c>
      <c r="C22" s="30">
        <f>Responses!AB18</f>
        <v/>
      </c>
      <c r="D22" s="30">
        <f>Responses!AC18</f>
        <v/>
      </c>
      <c r="E22" s="30">
        <f>Responses!AD18</f>
        <v/>
      </c>
      <c r="F22" s="31">
        <f>Responses!AE18</f>
        <v/>
      </c>
      <c r="G22" s="31">
        <f>Responses!AF18</f>
        <v/>
      </c>
      <c r="H22" s="31">
        <f>Responses!AH18</f>
        <v/>
      </c>
      <c r="I22" s="31">
        <f>IF(Responses!Y18="","",Responses!V18&amp;"")</f>
        <v/>
      </c>
    </row>
    <row r="23">
      <c r="A23" s="28">
        <f>Responses!Z19</f>
        <v/>
      </c>
      <c r="B23" s="29">
        <f>Responses!AA19</f>
        <v/>
      </c>
      <c r="C23" s="30">
        <f>Responses!AB19</f>
        <v/>
      </c>
      <c r="D23" s="30">
        <f>Responses!AC19</f>
        <v/>
      </c>
      <c r="E23" s="30">
        <f>Responses!AD19</f>
        <v/>
      </c>
      <c r="F23" s="31">
        <f>Responses!AE19</f>
        <v/>
      </c>
      <c r="G23" s="31">
        <f>Responses!AF19</f>
        <v/>
      </c>
      <c r="H23" s="31">
        <f>Responses!AH19</f>
        <v/>
      </c>
      <c r="I23" s="31">
        <f>IF(Responses!Y19="","",Responses!V19&amp;"")</f>
        <v/>
      </c>
    </row>
    <row r="24">
      <c r="A24" s="28">
        <f>Responses!Z20</f>
        <v/>
      </c>
      <c r="B24" s="29">
        <f>Responses!AA20</f>
        <v/>
      </c>
      <c r="C24" s="30">
        <f>Responses!AB20</f>
        <v/>
      </c>
      <c r="D24" s="30">
        <f>Responses!AC20</f>
        <v/>
      </c>
      <c r="E24" s="30">
        <f>Responses!AD20</f>
        <v/>
      </c>
      <c r="F24" s="31">
        <f>Responses!AE20</f>
        <v/>
      </c>
      <c r="G24" s="31">
        <f>Responses!AF20</f>
        <v/>
      </c>
      <c r="H24" s="31">
        <f>Responses!AH20</f>
        <v/>
      </c>
      <c r="I24" s="31">
        <f>IF(Responses!Y20="","",Responses!V20&amp;"")</f>
        <v/>
      </c>
    </row>
    <row r="25">
      <c r="A25" s="28">
        <f>Responses!Z21</f>
        <v/>
      </c>
      <c r="B25" s="29">
        <f>Responses!AA21</f>
        <v/>
      </c>
      <c r="C25" s="30">
        <f>Responses!AB21</f>
        <v/>
      </c>
      <c r="D25" s="30">
        <f>Responses!AC21</f>
        <v/>
      </c>
      <c r="E25" s="30">
        <f>Responses!AD21</f>
        <v/>
      </c>
      <c r="F25" s="31">
        <f>Responses!AE21</f>
        <v/>
      </c>
      <c r="G25" s="31">
        <f>Responses!AF21</f>
        <v/>
      </c>
      <c r="H25" s="31">
        <f>Responses!AH21</f>
        <v/>
      </c>
      <c r="I25" s="31">
        <f>IF(Responses!Y21="","",Responses!V21&amp;"")</f>
        <v/>
      </c>
    </row>
    <row r="26">
      <c r="A26" s="28">
        <f>Responses!Z22</f>
        <v/>
      </c>
      <c r="B26" s="29">
        <f>Responses!AA22</f>
        <v/>
      </c>
      <c r="C26" s="30">
        <f>Responses!AB22</f>
        <v/>
      </c>
      <c r="D26" s="30">
        <f>Responses!AC22</f>
        <v/>
      </c>
      <c r="E26" s="30">
        <f>Responses!AD22</f>
        <v/>
      </c>
      <c r="F26" s="31">
        <f>Responses!AE22</f>
        <v/>
      </c>
      <c r="G26" s="31">
        <f>Responses!AF22</f>
        <v/>
      </c>
      <c r="H26" s="31">
        <f>Responses!AH22</f>
        <v/>
      </c>
      <c r="I26" s="31">
        <f>IF(Responses!Y22="","",Responses!V22&amp;"")</f>
        <v/>
      </c>
    </row>
    <row r="27">
      <c r="A27" s="28">
        <f>Responses!Z23</f>
        <v/>
      </c>
      <c r="B27" s="29">
        <f>Responses!AA23</f>
        <v/>
      </c>
      <c r="C27" s="30">
        <f>Responses!AB23</f>
        <v/>
      </c>
      <c r="D27" s="30">
        <f>Responses!AC23</f>
        <v/>
      </c>
      <c r="E27" s="30">
        <f>Responses!AD23</f>
        <v/>
      </c>
      <c r="F27" s="31">
        <f>Responses!AE23</f>
        <v/>
      </c>
      <c r="G27" s="31">
        <f>Responses!AF23</f>
        <v/>
      </c>
      <c r="H27" s="31">
        <f>Responses!AH23</f>
        <v/>
      </c>
      <c r="I27" s="31">
        <f>IF(Responses!Y23="","",Responses!V23&amp;"")</f>
        <v/>
      </c>
    </row>
    <row r="28">
      <c r="A28" s="28">
        <f>Responses!Z24</f>
        <v/>
      </c>
      <c r="B28" s="29">
        <f>Responses!AA24</f>
        <v/>
      </c>
      <c r="C28" s="30">
        <f>Responses!AB24</f>
        <v/>
      </c>
      <c r="D28" s="30">
        <f>Responses!AC24</f>
        <v/>
      </c>
      <c r="E28" s="30">
        <f>Responses!AD24</f>
        <v/>
      </c>
      <c r="F28" s="31">
        <f>Responses!AE24</f>
        <v/>
      </c>
      <c r="G28" s="31">
        <f>Responses!AF24</f>
        <v/>
      </c>
      <c r="H28" s="31">
        <f>Responses!AH24</f>
        <v/>
      </c>
      <c r="I28" s="31">
        <f>IF(Responses!Y24="","",Responses!V24&amp;"")</f>
        <v/>
      </c>
    </row>
    <row r="29">
      <c r="A29" s="28">
        <f>Responses!Z25</f>
        <v/>
      </c>
      <c r="B29" s="29">
        <f>Responses!AA25</f>
        <v/>
      </c>
      <c r="C29" s="30">
        <f>Responses!AB25</f>
        <v/>
      </c>
      <c r="D29" s="30">
        <f>Responses!AC25</f>
        <v/>
      </c>
      <c r="E29" s="30">
        <f>Responses!AD25</f>
        <v/>
      </c>
      <c r="F29" s="31">
        <f>Responses!AE25</f>
        <v/>
      </c>
      <c r="G29" s="31">
        <f>Responses!AF25</f>
        <v/>
      </c>
      <c r="H29" s="31">
        <f>Responses!AH25</f>
        <v/>
      </c>
      <c r="I29" s="31">
        <f>IF(Responses!Y25="","",Responses!V25&amp;"")</f>
        <v/>
      </c>
    </row>
    <row r="30">
      <c r="A30" s="28">
        <f>Responses!Z26</f>
        <v/>
      </c>
      <c r="B30" s="29">
        <f>Responses!AA26</f>
        <v/>
      </c>
      <c r="C30" s="30">
        <f>Responses!AB26</f>
        <v/>
      </c>
      <c r="D30" s="30">
        <f>Responses!AC26</f>
        <v/>
      </c>
      <c r="E30" s="30">
        <f>Responses!AD26</f>
        <v/>
      </c>
      <c r="F30" s="31">
        <f>Responses!AE26</f>
        <v/>
      </c>
      <c r="G30" s="31">
        <f>Responses!AF26</f>
        <v/>
      </c>
      <c r="H30" s="31">
        <f>Responses!AH26</f>
        <v/>
      </c>
      <c r="I30" s="31">
        <f>IF(Responses!Y26="","",Responses!V26&amp;"")</f>
        <v/>
      </c>
    </row>
    <row r="31">
      <c r="A31" s="28">
        <f>Responses!Z27</f>
        <v/>
      </c>
      <c r="B31" s="29">
        <f>Responses!AA27</f>
        <v/>
      </c>
      <c r="C31" s="30">
        <f>Responses!AB27</f>
        <v/>
      </c>
      <c r="D31" s="30">
        <f>Responses!AC27</f>
        <v/>
      </c>
      <c r="E31" s="30">
        <f>Responses!AD27</f>
        <v/>
      </c>
      <c r="F31" s="31">
        <f>Responses!AE27</f>
        <v/>
      </c>
      <c r="G31" s="31">
        <f>Responses!AF27</f>
        <v/>
      </c>
      <c r="H31" s="31">
        <f>Responses!AH27</f>
        <v/>
      </c>
      <c r="I31" s="31">
        <f>IF(Responses!Y27="","",Responses!V27&amp;"")</f>
        <v/>
      </c>
    </row>
    <row r="32">
      <c r="A32" s="28">
        <f>Responses!Z28</f>
        <v/>
      </c>
      <c r="B32" s="29">
        <f>Responses!AA28</f>
        <v/>
      </c>
      <c r="C32" s="30">
        <f>Responses!AB28</f>
        <v/>
      </c>
      <c r="D32" s="30">
        <f>Responses!AC28</f>
        <v/>
      </c>
      <c r="E32" s="30">
        <f>Responses!AD28</f>
        <v/>
      </c>
      <c r="F32" s="31">
        <f>Responses!AE28</f>
        <v/>
      </c>
      <c r="G32" s="31">
        <f>Responses!AF28</f>
        <v/>
      </c>
      <c r="H32" s="31">
        <f>Responses!AH28</f>
        <v/>
      </c>
      <c r="I32" s="31">
        <f>IF(Responses!Y28="","",Responses!V28&amp;"")</f>
        <v/>
      </c>
    </row>
    <row r="33">
      <c r="A33" s="28">
        <f>Responses!Z29</f>
        <v/>
      </c>
      <c r="B33" s="29">
        <f>Responses!AA29</f>
        <v/>
      </c>
      <c r="C33" s="30">
        <f>Responses!AB29</f>
        <v/>
      </c>
      <c r="D33" s="30">
        <f>Responses!AC29</f>
        <v/>
      </c>
      <c r="E33" s="30">
        <f>Responses!AD29</f>
        <v/>
      </c>
      <c r="F33" s="31">
        <f>Responses!AE29</f>
        <v/>
      </c>
      <c r="G33" s="31">
        <f>Responses!AF29</f>
        <v/>
      </c>
      <c r="H33" s="31">
        <f>Responses!AH29</f>
        <v/>
      </c>
      <c r="I33" s="31">
        <f>IF(Responses!Y29="","",Responses!V29&amp;"")</f>
        <v/>
      </c>
    </row>
    <row r="34">
      <c r="A34" s="28">
        <f>Responses!Z30</f>
        <v/>
      </c>
      <c r="B34" s="29">
        <f>Responses!AA30</f>
        <v/>
      </c>
      <c r="C34" s="30">
        <f>Responses!AB30</f>
        <v/>
      </c>
      <c r="D34" s="30">
        <f>Responses!AC30</f>
        <v/>
      </c>
      <c r="E34" s="30">
        <f>Responses!AD30</f>
        <v/>
      </c>
      <c r="F34" s="31">
        <f>Responses!AE30</f>
        <v/>
      </c>
      <c r="G34" s="31">
        <f>Responses!AF30</f>
        <v/>
      </c>
      <c r="H34" s="31">
        <f>Responses!AH30</f>
        <v/>
      </c>
      <c r="I34" s="31">
        <f>IF(Responses!Y30="","",Responses!V30&amp;"")</f>
        <v/>
      </c>
    </row>
    <row r="35">
      <c r="A35" s="28">
        <f>Responses!Z31</f>
        <v/>
      </c>
      <c r="B35" s="29">
        <f>Responses!AA31</f>
        <v/>
      </c>
      <c r="C35" s="30">
        <f>Responses!AB31</f>
        <v/>
      </c>
      <c r="D35" s="30">
        <f>Responses!AC31</f>
        <v/>
      </c>
      <c r="E35" s="30">
        <f>Responses!AD31</f>
        <v/>
      </c>
      <c r="F35" s="31">
        <f>Responses!AE31</f>
        <v/>
      </c>
      <c r="G35" s="31">
        <f>Responses!AF31</f>
        <v/>
      </c>
      <c r="H35" s="31">
        <f>Responses!AH31</f>
        <v/>
      </c>
      <c r="I35" s="31">
        <f>IF(Responses!Y31="","",Responses!V31&amp;"")</f>
        <v/>
      </c>
    </row>
    <row r="36">
      <c r="A36" s="28">
        <f>Responses!Z32</f>
        <v/>
      </c>
      <c r="B36" s="29">
        <f>Responses!AA32</f>
        <v/>
      </c>
      <c r="C36" s="30">
        <f>Responses!AB32</f>
        <v/>
      </c>
      <c r="D36" s="30">
        <f>Responses!AC32</f>
        <v/>
      </c>
      <c r="E36" s="30">
        <f>Responses!AD32</f>
        <v/>
      </c>
      <c r="F36" s="31">
        <f>Responses!AE32</f>
        <v/>
      </c>
      <c r="G36" s="31">
        <f>Responses!AF32</f>
        <v/>
      </c>
      <c r="H36" s="31">
        <f>Responses!AH32</f>
        <v/>
      </c>
      <c r="I36" s="31">
        <f>IF(Responses!Y32="","",Responses!V32&amp;"")</f>
        <v/>
      </c>
    </row>
    <row r="37">
      <c r="A37" s="28">
        <f>Responses!Z33</f>
        <v/>
      </c>
      <c r="B37" s="29">
        <f>Responses!AA33</f>
        <v/>
      </c>
      <c r="C37" s="30">
        <f>Responses!AB33</f>
        <v/>
      </c>
      <c r="D37" s="30">
        <f>Responses!AC33</f>
        <v/>
      </c>
      <c r="E37" s="30">
        <f>Responses!AD33</f>
        <v/>
      </c>
      <c r="F37" s="31">
        <f>Responses!AE33</f>
        <v/>
      </c>
      <c r="G37" s="31">
        <f>Responses!AF33</f>
        <v/>
      </c>
      <c r="H37" s="31">
        <f>Responses!AH33</f>
        <v/>
      </c>
      <c r="I37" s="31">
        <f>IF(Responses!Y33="","",Responses!V33&amp;"")</f>
        <v/>
      </c>
    </row>
    <row r="38">
      <c r="A38" s="28">
        <f>Responses!Z34</f>
        <v/>
      </c>
      <c r="B38" s="29">
        <f>Responses!AA34</f>
        <v/>
      </c>
      <c r="C38" s="30">
        <f>Responses!AB34</f>
        <v/>
      </c>
      <c r="D38" s="30">
        <f>Responses!AC34</f>
        <v/>
      </c>
      <c r="E38" s="30">
        <f>Responses!AD34</f>
        <v/>
      </c>
      <c r="F38" s="31">
        <f>Responses!AE34</f>
        <v/>
      </c>
      <c r="G38" s="31">
        <f>Responses!AF34</f>
        <v/>
      </c>
      <c r="H38" s="31">
        <f>Responses!AH34</f>
        <v/>
      </c>
      <c r="I38" s="31">
        <f>IF(Responses!Y34="","",Responses!V34&amp;"")</f>
        <v/>
      </c>
    </row>
    <row r="39">
      <c r="A39" s="28">
        <f>Responses!Z35</f>
        <v/>
      </c>
      <c r="B39" s="29">
        <f>Responses!AA35</f>
        <v/>
      </c>
      <c r="C39" s="30">
        <f>Responses!AB35</f>
        <v/>
      </c>
      <c r="D39" s="30">
        <f>Responses!AC35</f>
        <v/>
      </c>
      <c r="E39" s="30">
        <f>Responses!AD35</f>
        <v/>
      </c>
      <c r="F39" s="31">
        <f>Responses!AE35</f>
        <v/>
      </c>
      <c r="G39" s="31">
        <f>Responses!AF35</f>
        <v/>
      </c>
      <c r="H39" s="31">
        <f>Responses!AH35</f>
        <v/>
      </c>
      <c r="I39" s="31">
        <f>IF(Responses!Y35="","",Responses!V35&amp;"")</f>
        <v/>
      </c>
    </row>
    <row r="40">
      <c r="A40" s="28">
        <f>Responses!Z36</f>
        <v/>
      </c>
      <c r="B40" s="29">
        <f>Responses!AA36</f>
        <v/>
      </c>
      <c r="C40" s="30">
        <f>Responses!AB36</f>
        <v/>
      </c>
      <c r="D40" s="30">
        <f>Responses!AC36</f>
        <v/>
      </c>
      <c r="E40" s="30">
        <f>Responses!AD36</f>
        <v/>
      </c>
      <c r="F40" s="31">
        <f>Responses!AE36</f>
        <v/>
      </c>
      <c r="G40" s="31">
        <f>Responses!AF36</f>
        <v/>
      </c>
      <c r="H40" s="31">
        <f>Responses!AH36</f>
        <v/>
      </c>
      <c r="I40" s="31">
        <f>IF(Responses!Y36="","",Responses!V36&amp;"")</f>
        <v/>
      </c>
    </row>
    <row r="41">
      <c r="A41" s="28">
        <f>Responses!Z37</f>
        <v/>
      </c>
      <c r="B41" s="29">
        <f>Responses!AA37</f>
        <v/>
      </c>
      <c r="C41" s="30">
        <f>Responses!AB37</f>
        <v/>
      </c>
      <c r="D41" s="30">
        <f>Responses!AC37</f>
        <v/>
      </c>
      <c r="E41" s="30">
        <f>Responses!AD37</f>
        <v/>
      </c>
      <c r="F41" s="31">
        <f>Responses!AE37</f>
        <v/>
      </c>
      <c r="G41" s="31">
        <f>Responses!AF37</f>
        <v/>
      </c>
      <c r="H41" s="31">
        <f>Responses!AH37</f>
        <v/>
      </c>
      <c r="I41" s="31">
        <f>IF(Responses!Y37="","",Responses!V37&amp;"")</f>
        <v/>
      </c>
    </row>
    <row r="42">
      <c r="A42" s="28">
        <f>Responses!Z38</f>
        <v/>
      </c>
      <c r="B42" s="29">
        <f>Responses!AA38</f>
        <v/>
      </c>
      <c r="C42" s="30">
        <f>Responses!AB38</f>
        <v/>
      </c>
      <c r="D42" s="30">
        <f>Responses!AC38</f>
        <v/>
      </c>
      <c r="E42" s="30">
        <f>Responses!AD38</f>
        <v/>
      </c>
      <c r="F42" s="31">
        <f>Responses!AE38</f>
        <v/>
      </c>
      <c r="G42" s="31">
        <f>Responses!AF38</f>
        <v/>
      </c>
      <c r="H42" s="31">
        <f>Responses!AH38</f>
        <v/>
      </c>
      <c r="I42" s="31">
        <f>IF(Responses!Y38="","",Responses!V38&amp;"")</f>
        <v/>
      </c>
    </row>
    <row r="43">
      <c r="A43" s="28">
        <f>Responses!Z39</f>
        <v/>
      </c>
      <c r="B43" s="29">
        <f>Responses!AA39</f>
        <v/>
      </c>
      <c r="C43" s="30">
        <f>Responses!AB39</f>
        <v/>
      </c>
      <c r="D43" s="30">
        <f>Responses!AC39</f>
        <v/>
      </c>
      <c r="E43" s="30">
        <f>Responses!AD39</f>
        <v/>
      </c>
      <c r="F43" s="31">
        <f>Responses!AE39</f>
        <v/>
      </c>
      <c r="G43" s="31">
        <f>Responses!AF39</f>
        <v/>
      </c>
      <c r="H43" s="31">
        <f>Responses!AH39</f>
        <v/>
      </c>
      <c r="I43" s="31">
        <f>IF(Responses!Y39="","",Responses!V39&amp;"")</f>
        <v/>
      </c>
    </row>
    <row r="44">
      <c r="A44" s="28">
        <f>Responses!Z40</f>
        <v/>
      </c>
      <c r="B44" s="29">
        <f>Responses!AA40</f>
        <v/>
      </c>
      <c r="C44" s="30">
        <f>Responses!AB40</f>
        <v/>
      </c>
      <c r="D44" s="30">
        <f>Responses!AC40</f>
        <v/>
      </c>
      <c r="E44" s="30">
        <f>Responses!AD40</f>
        <v/>
      </c>
      <c r="F44" s="31">
        <f>Responses!AE40</f>
        <v/>
      </c>
      <c r="G44" s="31">
        <f>Responses!AF40</f>
        <v/>
      </c>
      <c r="H44" s="31">
        <f>Responses!AH40</f>
        <v/>
      </c>
      <c r="I44" s="31">
        <f>IF(Responses!Y40="","",Responses!V40&amp;"")</f>
        <v/>
      </c>
    </row>
    <row r="45">
      <c r="A45" s="28">
        <f>Responses!Z41</f>
        <v/>
      </c>
      <c r="B45" s="29">
        <f>Responses!AA41</f>
        <v/>
      </c>
      <c r="C45" s="30">
        <f>Responses!AB41</f>
        <v/>
      </c>
      <c r="D45" s="30">
        <f>Responses!AC41</f>
        <v/>
      </c>
      <c r="E45" s="30">
        <f>Responses!AD41</f>
        <v/>
      </c>
      <c r="F45" s="31">
        <f>Responses!AE41</f>
        <v/>
      </c>
      <c r="G45" s="31">
        <f>Responses!AF41</f>
        <v/>
      </c>
      <c r="H45" s="31">
        <f>Responses!AH41</f>
        <v/>
      </c>
      <c r="I45" s="31">
        <f>IF(Responses!Y41="","",Responses!V41&amp;"")</f>
        <v/>
      </c>
    </row>
    <row r="46">
      <c r="A46" s="28">
        <f>Responses!Z42</f>
        <v/>
      </c>
      <c r="B46" s="29">
        <f>Responses!AA42</f>
        <v/>
      </c>
      <c r="C46" s="30">
        <f>Responses!AB42</f>
        <v/>
      </c>
      <c r="D46" s="30">
        <f>Responses!AC42</f>
        <v/>
      </c>
      <c r="E46" s="30">
        <f>Responses!AD42</f>
        <v/>
      </c>
      <c r="F46" s="31">
        <f>Responses!AE42</f>
        <v/>
      </c>
      <c r="G46" s="31">
        <f>Responses!AF42</f>
        <v/>
      </c>
      <c r="H46" s="31">
        <f>Responses!AH42</f>
        <v/>
      </c>
      <c r="I46" s="31">
        <f>IF(Responses!Y42="","",Responses!V42&amp;"")</f>
        <v/>
      </c>
    </row>
    <row r="47">
      <c r="A47" s="28">
        <f>Responses!Z43</f>
        <v/>
      </c>
      <c r="B47" s="29">
        <f>Responses!AA43</f>
        <v/>
      </c>
      <c r="C47" s="30">
        <f>Responses!AB43</f>
        <v/>
      </c>
      <c r="D47" s="30">
        <f>Responses!AC43</f>
        <v/>
      </c>
      <c r="E47" s="30">
        <f>Responses!AD43</f>
        <v/>
      </c>
      <c r="F47" s="31">
        <f>Responses!AE43</f>
        <v/>
      </c>
      <c r="G47" s="31">
        <f>Responses!AF43</f>
        <v/>
      </c>
      <c r="H47" s="31">
        <f>Responses!AH43</f>
        <v/>
      </c>
      <c r="I47" s="31">
        <f>IF(Responses!Y43="","",Responses!V43&amp;"")</f>
        <v/>
      </c>
    </row>
    <row r="48">
      <c r="A48" s="28">
        <f>Responses!Z44</f>
        <v/>
      </c>
      <c r="B48" s="29">
        <f>Responses!AA44</f>
        <v/>
      </c>
      <c r="C48" s="30">
        <f>Responses!AB44</f>
        <v/>
      </c>
      <c r="D48" s="30">
        <f>Responses!AC44</f>
        <v/>
      </c>
      <c r="E48" s="30">
        <f>Responses!AD44</f>
        <v/>
      </c>
      <c r="F48" s="31">
        <f>Responses!AE44</f>
        <v/>
      </c>
      <c r="G48" s="31">
        <f>Responses!AF44</f>
        <v/>
      </c>
      <c r="H48" s="31">
        <f>Responses!AH44</f>
        <v/>
      </c>
      <c r="I48" s="31">
        <f>IF(Responses!Y44="","",Responses!V44&amp;"")</f>
        <v/>
      </c>
    </row>
    <row r="49">
      <c r="A49" s="28">
        <f>Responses!Z45</f>
        <v/>
      </c>
      <c r="B49" s="29">
        <f>Responses!AA45</f>
        <v/>
      </c>
      <c r="C49" s="30">
        <f>Responses!AB45</f>
        <v/>
      </c>
      <c r="D49" s="30">
        <f>Responses!AC45</f>
        <v/>
      </c>
      <c r="E49" s="30">
        <f>Responses!AD45</f>
        <v/>
      </c>
      <c r="F49" s="31">
        <f>Responses!AE45</f>
        <v/>
      </c>
      <c r="G49" s="31">
        <f>Responses!AF45</f>
        <v/>
      </c>
      <c r="H49" s="31">
        <f>Responses!AH45</f>
        <v/>
      </c>
      <c r="I49" s="31">
        <f>IF(Responses!Y45="","",Responses!V45&amp;"")</f>
        <v/>
      </c>
    </row>
    <row r="50">
      <c r="A50" s="28">
        <f>Responses!Z46</f>
        <v/>
      </c>
      <c r="B50" s="29">
        <f>Responses!AA46</f>
        <v/>
      </c>
      <c r="C50" s="30">
        <f>Responses!AB46</f>
        <v/>
      </c>
      <c r="D50" s="30">
        <f>Responses!AC46</f>
        <v/>
      </c>
      <c r="E50" s="30">
        <f>Responses!AD46</f>
        <v/>
      </c>
      <c r="F50" s="31">
        <f>Responses!AE46</f>
        <v/>
      </c>
      <c r="G50" s="31">
        <f>Responses!AF46</f>
        <v/>
      </c>
      <c r="H50" s="31">
        <f>Responses!AH46</f>
        <v/>
      </c>
      <c r="I50" s="31">
        <f>IF(Responses!Y46="","",Responses!V46&amp;"")</f>
        <v/>
      </c>
    </row>
    <row r="51">
      <c r="A51" s="28">
        <f>Responses!Z47</f>
        <v/>
      </c>
      <c r="B51" s="29">
        <f>Responses!AA47</f>
        <v/>
      </c>
      <c r="C51" s="30">
        <f>Responses!AB47</f>
        <v/>
      </c>
      <c r="D51" s="30">
        <f>Responses!AC47</f>
        <v/>
      </c>
      <c r="E51" s="30">
        <f>Responses!AD47</f>
        <v/>
      </c>
      <c r="F51" s="31">
        <f>Responses!AE47</f>
        <v/>
      </c>
      <c r="G51" s="31">
        <f>Responses!AF47</f>
        <v/>
      </c>
      <c r="H51" s="31">
        <f>Responses!AH47</f>
        <v/>
      </c>
      <c r="I51" s="31">
        <f>IF(Responses!Y47="","",Responses!V47&amp;"")</f>
        <v/>
      </c>
    </row>
    <row r="52">
      <c r="A52" s="28">
        <f>Responses!Z48</f>
        <v/>
      </c>
      <c r="B52" s="29">
        <f>Responses!AA48</f>
        <v/>
      </c>
      <c r="C52" s="30">
        <f>Responses!AB48</f>
        <v/>
      </c>
      <c r="D52" s="30">
        <f>Responses!AC48</f>
        <v/>
      </c>
      <c r="E52" s="30">
        <f>Responses!AD48</f>
        <v/>
      </c>
      <c r="F52" s="31">
        <f>Responses!AE48</f>
        <v/>
      </c>
      <c r="G52" s="31">
        <f>Responses!AF48</f>
        <v/>
      </c>
      <c r="H52" s="31">
        <f>Responses!AH48</f>
        <v/>
      </c>
      <c r="I52" s="31">
        <f>IF(Responses!Y48="","",Responses!V48&amp;"")</f>
        <v/>
      </c>
    </row>
    <row r="53">
      <c r="A53" s="28">
        <f>Responses!Z49</f>
        <v/>
      </c>
      <c r="B53" s="29">
        <f>Responses!AA49</f>
        <v/>
      </c>
      <c r="C53" s="30">
        <f>Responses!AB49</f>
        <v/>
      </c>
      <c r="D53" s="30">
        <f>Responses!AC49</f>
        <v/>
      </c>
      <c r="E53" s="30">
        <f>Responses!AD49</f>
        <v/>
      </c>
      <c r="F53" s="31">
        <f>Responses!AE49</f>
        <v/>
      </c>
      <c r="G53" s="31">
        <f>Responses!AF49</f>
        <v/>
      </c>
      <c r="H53" s="31">
        <f>Responses!AH49</f>
        <v/>
      </c>
      <c r="I53" s="31">
        <f>IF(Responses!Y49="","",Responses!V49&amp;"")</f>
        <v/>
      </c>
    </row>
    <row r="54">
      <c r="A54" s="28">
        <f>Responses!Z50</f>
        <v/>
      </c>
      <c r="B54" s="29">
        <f>Responses!AA50</f>
        <v/>
      </c>
      <c r="C54" s="30">
        <f>Responses!AB50</f>
        <v/>
      </c>
      <c r="D54" s="30">
        <f>Responses!AC50</f>
        <v/>
      </c>
      <c r="E54" s="30">
        <f>Responses!AD50</f>
        <v/>
      </c>
      <c r="F54" s="31">
        <f>Responses!AE50</f>
        <v/>
      </c>
      <c r="G54" s="31">
        <f>Responses!AF50</f>
        <v/>
      </c>
      <c r="H54" s="31">
        <f>Responses!AH50</f>
        <v/>
      </c>
      <c r="I54" s="31">
        <f>IF(Responses!Y50="","",Responses!V50&amp;"")</f>
        <v/>
      </c>
    </row>
    <row r="55">
      <c r="A55" s="28">
        <f>Responses!Z51</f>
        <v/>
      </c>
      <c r="B55" s="29">
        <f>Responses!AA51</f>
        <v/>
      </c>
      <c r="C55" s="30">
        <f>Responses!AB51</f>
        <v/>
      </c>
      <c r="D55" s="30">
        <f>Responses!AC51</f>
        <v/>
      </c>
      <c r="E55" s="30">
        <f>Responses!AD51</f>
        <v/>
      </c>
      <c r="F55" s="31">
        <f>Responses!AE51</f>
        <v/>
      </c>
      <c r="G55" s="31">
        <f>Responses!AF51</f>
        <v/>
      </c>
      <c r="H55" s="31">
        <f>Responses!AH51</f>
        <v/>
      </c>
      <c r="I55" s="31">
        <f>IF(Responses!Y51="","",Responses!V51&amp;"")</f>
        <v/>
      </c>
    </row>
    <row r="56">
      <c r="A56" s="28">
        <f>Responses!Z52</f>
        <v/>
      </c>
      <c r="B56" s="29">
        <f>Responses!AA52</f>
        <v/>
      </c>
      <c r="C56" s="30">
        <f>Responses!AB52</f>
        <v/>
      </c>
      <c r="D56" s="30">
        <f>Responses!AC52</f>
        <v/>
      </c>
      <c r="E56" s="30">
        <f>Responses!AD52</f>
        <v/>
      </c>
      <c r="F56" s="31">
        <f>Responses!AE52</f>
        <v/>
      </c>
      <c r="G56" s="31">
        <f>Responses!AF52</f>
        <v/>
      </c>
      <c r="H56" s="31">
        <f>Responses!AH52</f>
        <v/>
      </c>
      <c r="I56" s="31">
        <f>IF(Responses!Y52="","",Responses!V52&amp;"")</f>
        <v/>
      </c>
    </row>
    <row r="57">
      <c r="A57" s="28">
        <f>Responses!Z53</f>
        <v/>
      </c>
      <c r="B57" s="29">
        <f>Responses!AA53</f>
        <v/>
      </c>
      <c r="C57" s="30">
        <f>Responses!AB53</f>
        <v/>
      </c>
      <c r="D57" s="30">
        <f>Responses!AC53</f>
        <v/>
      </c>
      <c r="E57" s="30">
        <f>Responses!AD53</f>
        <v/>
      </c>
      <c r="F57" s="31">
        <f>Responses!AE53</f>
        <v/>
      </c>
      <c r="G57" s="31">
        <f>Responses!AF53</f>
        <v/>
      </c>
      <c r="H57" s="31">
        <f>Responses!AH53</f>
        <v/>
      </c>
      <c r="I57" s="31">
        <f>IF(Responses!Y53="","",Responses!V53&amp;"")</f>
        <v/>
      </c>
    </row>
    <row r="58">
      <c r="A58" s="28">
        <f>Responses!Z54</f>
        <v/>
      </c>
      <c r="B58" s="29">
        <f>Responses!AA54</f>
        <v/>
      </c>
      <c r="C58" s="30">
        <f>Responses!AB54</f>
        <v/>
      </c>
      <c r="D58" s="30">
        <f>Responses!AC54</f>
        <v/>
      </c>
      <c r="E58" s="30">
        <f>Responses!AD54</f>
        <v/>
      </c>
      <c r="F58" s="31">
        <f>Responses!AE54</f>
        <v/>
      </c>
      <c r="G58" s="31">
        <f>Responses!AF54</f>
        <v/>
      </c>
      <c r="H58" s="31">
        <f>Responses!AH54</f>
        <v/>
      </c>
      <c r="I58" s="31">
        <f>IF(Responses!Y54="","",Responses!V54&amp;"")</f>
        <v/>
      </c>
    </row>
    <row r="59">
      <c r="A59" s="28">
        <f>Responses!Z55</f>
        <v/>
      </c>
      <c r="B59" s="29">
        <f>Responses!AA55</f>
        <v/>
      </c>
      <c r="C59" s="30">
        <f>Responses!AB55</f>
        <v/>
      </c>
      <c r="D59" s="30">
        <f>Responses!AC55</f>
        <v/>
      </c>
      <c r="E59" s="30">
        <f>Responses!AD55</f>
        <v/>
      </c>
      <c r="F59" s="31">
        <f>Responses!AE55</f>
        <v/>
      </c>
      <c r="G59" s="31">
        <f>Responses!AF55</f>
        <v/>
      </c>
      <c r="H59" s="31">
        <f>Responses!AH55</f>
        <v/>
      </c>
      <c r="I59" s="31">
        <f>IF(Responses!Y55="","",Responses!V55&amp;"")</f>
        <v/>
      </c>
    </row>
    <row r="60">
      <c r="A60" s="28">
        <f>Responses!Z56</f>
        <v/>
      </c>
      <c r="B60" s="29">
        <f>Responses!AA56</f>
        <v/>
      </c>
      <c r="C60" s="30">
        <f>Responses!AB56</f>
        <v/>
      </c>
      <c r="D60" s="30">
        <f>Responses!AC56</f>
        <v/>
      </c>
      <c r="E60" s="30">
        <f>Responses!AD56</f>
        <v/>
      </c>
      <c r="F60" s="31">
        <f>Responses!AE56</f>
        <v/>
      </c>
      <c r="G60" s="31">
        <f>Responses!AF56</f>
        <v/>
      </c>
      <c r="H60" s="31">
        <f>Responses!AH56</f>
        <v/>
      </c>
      <c r="I60" s="31">
        <f>IF(Responses!Y56="","",Responses!V56&amp;"")</f>
        <v/>
      </c>
    </row>
    <row r="61">
      <c r="A61" s="28">
        <f>Responses!Z57</f>
        <v/>
      </c>
      <c r="B61" s="29">
        <f>Responses!AA57</f>
        <v/>
      </c>
      <c r="C61" s="30">
        <f>Responses!AB57</f>
        <v/>
      </c>
      <c r="D61" s="30">
        <f>Responses!AC57</f>
        <v/>
      </c>
      <c r="E61" s="30">
        <f>Responses!AD57</f>
        <v/>
      </c>
      <c r="F61" s="31">
        <f>Responses!AE57</f>
        <v/>
      </c>
      <c r="G61" s="31">
        <f>Responses!AF57</f>
        <v/>
      </c>
      <c r="H61" s="31">
        <f>Responses!AH57</f>
        <v/>
      </c>
      <c r="I61" s="31">
        <f>IF(Responses!Y57="","",Responses!V57&amp;"")</f>
        <v/>
      </c>
    </row>
    <row r="62">
      <c r="A62" s="28">
        <f>Responses!Z58</f>
        <v/>
      </c>
      <c r="B62" s="29">
        <f>Responses!AA58</f>
        <v/>
      </c>
      <c r="C62" s="30">
        <f>Responses!AB58</f>
        <v/>
      </c>
      <c r="D62" s="30">
        <f>Responses!AC58</f>
        <v/>
      </c>
      <c r="E62" s="30">
        <f>Responses!AD58</f>
        <v/>
      </c>
      <c r="F62" s="31">
        <f>Responses!AE58</f>
        <v/>
      </c>
      <c r="G62" s="31">
        <f>Responses!AF58</f>
        <v/>
      </c>
      <c r="H62" s="31">
        <f>Responses!AH58</f>
        <v/>
      </c>
      <c r="I62" s="31">
        <f>IF(Responses!Y58="","",Responses!V58&amp;"")</f>
        <v/>
      </c>
    </row>
    <row r="63">
      <c r="A63" s="28">
        <f>Responses!Z59</f>
        <v/>
      </c>
      <c r="B63" s="29">
        <f>Responses!AA59</f>
        <v/>
      </c>
      <c r="C63" s="30">
        <f>Responses!AB59</f>
        <v/>
      </c>
      <c r="D63" s="30">
        <f>Responses!AC59</f>
        <v/>
      </c>
      <c r="E63" s="30">
        <f>Responses!AD59</f>
        <v/>
      </c>
      <c r="F63" s="31">
        <f>Responses!AE59</f>
        <v/>
      </c>
      <c r="G63" s="31">
        <f>Responses!AF59</f>
        <v/>
      </c>
      <c r="H63" s="31">
        <f>Responses!AH59</f>
        <v/>
      </c>
      <c r="I63" s="31">
        <f>IF(Responses!Y59="","",Responses!V59&amp;"")</f>
        <v/>
      </c>
    </row>
    <row r="64">
      <c r="A64" s="28">
        <f>Responses!Z60</f>
        <v/>
      </c>
      <c r="B64" s="29">
        <f>Responses!AA60</f>
        <v/>
      </c>
      <c r="C64" s="30">
        <f>Responses!AB60</f>
        <v/>
      </c>
      <c r="D64" s="30">
        <f>Responses!AC60</f>
        <v/>
      </c>
      <c r="E64" s="30">
        <f>Responses!AD60</f>
        <v/>
      </c>
      <c r="F64" s="31">
        <f>Responses!AE60</f>
        <v/>
      </c>
      <c r="G64" s="31">
        <f>Responses!AF60</f>
        <v/>
      </c>
      <c r="H64" s="31">
        <f>Responses!AH60</f>
        <v/>
      </c>
      <c r="I64" s="31">
        <f>IF(Responses!Y60="","",Responses!V60&amp;"")</f>
        <v/>
      </c>
    </row>
    <row r="65">
      <c r="A65" s="28">
        <f>Responses!Z61</f>
        <v/>
      </c>
      <c r="B65" s="29">
        <f>Responses!AA61</f>
        <v/>
      </c>
      <c r="C65" s="30">
        <f>Responses!AB61</f>
        <v/>
      </c>
      <c r="D65" s="30">
        <f>Responses!AC61</f>
        <v/>
      </c>
      <c r="E65" s="30">
        <f>Responses!AD61</f>
        <v/>
      </c>
      <c r="F65" s="31">
        <f>Responses!AE61</f>
        <v/>
      </c>
      <c r="G65" s="31">
        <f>Responses!AF61</f>
        <v/>
      </c>
      <c r="H65" s="31">
        <f>Responses!AH61</f>
        <v/>
      </c>
      <c r="I65" s="31">
        <f>IF(Responses!Y61="","",Responses!V61&amp;"")</f>
        <v/>
      </c>
    </row>
    <row r="66">
      <c r="A66" s="28">
        <f>Responses!Z62</f>
        <v/>
      </c>
      <c r="B66" s="29">
        <f>Responses!AA62</f>
        <v/>
      </c>
      <c r="C66" s="30">
        <f>Responses!AB62</f>
        <v/>
      </c>
      <c r="D66" s="30">
        <f>Responses!AC62</f>
        <v/>
      </c>
      <c r="E66" s="30">
        <f>Responses!AD62</f>
        <v/>
      </c>
      <c r="F66" s="31">
        <f>Responses!AE62</f>
        <v/>
      </c>
      <c r="G66" s="31">
        <f>Responses!AF62</f>
        <v/>
      </c>
      <c r="H66" s="31">
        <f>Responses!AH62</f>
        <v/>
      </c>
      <c r="I66" s="31">
        <f>IF(Responses!Y62="","",Responses!V62&amp;"")</f>
        <v/>
      </c>
    </row>
    <row r="67">
      <c r="A67" s="28">
        <f>Responses!Z63</f>
        <v/>
      </c>
      <c r="B67" s="29">
        <f>Responses!AA63</f>
        <v/>
      </c>
      <c r="C67" s="30">
        <f>Responses!AB63</f>
        <v/>
      </c>
      <c r="D67" s="30">
        <f>Responses!AC63</f>
        <v/>
      </c>
      <c r="E67" s="30">
        <f>Responses!AD63</f>
        <v/>
      </c>
      <c r="F67" s="31">
        <f>Responses!AE63</f>
        <v/>
      </c>
      <c r="G67" s="31">
        <f>Responses!AF63</f>
        <v/>
      </c>
      <c r="H67" s="31">
        <f>Responses!AH63</f>
        <v/>
      </c>
      <c r="I67" s="31">
        <f>IF(Responses!Y63="","",Responses!V63&amp;"")</f>
        <v/>
      </c>
    </row>
    <row r="68">
      <c r="A68" s="28">
        <f>Responses!Z64</f>
        <v/>
      </c>
      <c r="B68" s="29">
        <f>Responses!AA64</f>
        <v/>
      </c>
      <c r="C68" s="30">
        <f>Responses!AB64</f>
        <v/>
      </c>
      <c r="D68" s="30">
        <f>Responses!AC64</f>
        <v/>
      </c>
      <c r="E68" s="30">
        <f>Responses!AD64</f>
        <v/>
      </c>
      <c r="F68" s="31">
        <f>Responses!AE64</f>
        <v/>
      </c>
      <c r="G68" s="31">
        <f>Responses!AF64</f>
        <v/>
      </c>
      <c r="H68" s="31">
        <f>Responses!AH64</f>
        <v/>
      </c>
      <c r="I68" s="31">
        <f>IF(Responses!Y64="","",Responses!V64&amp;"")</f>
        <v/>
      </c>
    </row>
    <row r="69">
      <c r="A69" s="28">
        <f>Responses!Z65</f>
        <v/>
      </c>
      <c r="B69" s="29">
        <f>Responses!AA65</f>
        <v/>
      </c>
      <c r="C69" s="30">
        <f>Responses!AB65</f>
        <v/>
      </c>
      <c r="D69" s="30">
        <f>Responses!AC65</f>
        <v/>
      </c>
      <c r="E69" s="30">
        <f>Responses!AD65</f>
        <v/>
      </c>
      <c r="F69" s="31">
        <f>Responses!AE65</f>
        <v/>
      </c>
      <c r="G69" s="31">
        <f>Responses!AF65</f>
        <v/>
      </c>
      <c r="H69" s="31">
        <f>Responses!AH65</f>
        <v/>
      </c>
      <c r="I69" s="31">
        <f>IF(Responses!Y65="","",Responses!V65&amp;"")</f>
        <v/>
      </c>
    </row>
    <row r="70">
      <c r="A70" s="28">
        <f>Responses!Z66</f>
        <v/>
      </c>
      <c r="B70" s="29">
        <f>Responses!AA66</f>
        <v/>
      </c>
      <c r="C70" s="30">
        <f>Responses!AB66</f>
        <v/>
      </c>
      <c r="D70" s="30">
        <f>Responses!AC66</f>
        <v/>
      </c>
      <c r="E70" s="30">
        <f>Responses!AD66</f>
        <v/>
      </c>
      <c r="F70" s="31">
        <f>Responses!AE66</f>
        <v/>
      </c>
      <c r="G70" s="31">
        <f>Responses!AF66</f>
        <v/>
      </c>
      <c r="H70" s="31">
        <f>Responses!AH66</f>
        <v/>
      </c>
      <c r="I70" s="31">
        <f>IF(Responses!Y66="","",Responses!V66&amp;"")</f>
        <v/>
      </c>
    </row>
    <row r="71">
      <c r="A71" s="28">
        <f>Responses!Z67</f>
        <v/>
      </c>
      <c r="B71" s="29">
        <f>Responses!AA67</f>
        <v/>
      </c>
      <c r="C71" s="30">
        <f>Responses!AB67</f>
        <v/>
      </c>
      <c r="D71" s="30">
        <f>Responses!AC67</f>
        <v/>
      </c>
      <c r="E71" s="30">
        <f>Responses!AD67</f>
        <v/>
      </c>
      <c r="F71" s="31">
        <f>Responses!AE67</f>
        <v/>
      </c>
      <c r="G71" s="31">
        <f>Responses!AF67</f>
        <v/>
      </c>
      <c r="H71" s="31">
        <f>Responses!AH67</f>
        <v/>
      </c>
      <c r="I71" s="31">
        <f>IF(Responses!Y67="","",Responses!V67&amp;"")</f>
        <v/>
      </c>
    </row>
    <row r="72">
      <c r="A72" s="28">
        <f>Responses!Z68</f>
        <v/>
      </c>
      <c r="B72" s="29">
        <f>Responses!AA68</f>
        <v/>
      </c>
      <c r="C72" s="30">
        <f>Responses!AB68</f>
        <v/>
      </c>
      <c r="D72" s="30">
        <f>Responses!AC68</f>
        <v/>
      </c>
      <c r="E72" s="30">
        <f>Responses!AD68</f>
        <v/>
      </c>
      <c r="F72" s="31">
        <f>Responses!AE68</f>
        <v/>
      </c>
      <c r="G72" s="31">
        <f>Responses!AF68</f>
        <v/>
      </c>
      <c r="H72" s="31">
        <f>Responses!AH68</f>
        <v/>
      </c>
      <c r="I72" s="31">
        <f>IF(Responses!Y68="","",Responses!V68&amp;"")</f>
        <v/>
      </c>
    </row>
    <row r="73">
      <c r="A73" s="28">
        <f>Responses!Z69</f>
        <v/>
      </c>
      <c r="B73" s="29">
        <f>Responses!AA69</f>
        <v/>
      </c>
      <c r="C73" s="30">
        <f>Responses!AB69</f>
        <v/>
      </c>
      <c r="D73" s="30">
        <f>Responses!AC69</f>
        <v/>
      </c>
      <c r="E73" s="30">
        <f>Responses!AD69</f>
        <v/>
      </c>
      <c r="F73" s="31">
        <f>Responses!AE69</f>
        <v/>
      </c>
      <c r="G73" s="31">
        <f>Responses!AF69</f>
        <v/>
      </c>
      <c r="H73" s="31">
        <f>Responses!AH69</f>
        <v/>
      </c>
      <c r="I73" s="31">
        <f>IF(Responses!Y69="","",Responses!V69&amp;"")</f>
        <v/>
      </c>
    </row>
    <row r="74">
      <c r="A74" s="28">
        <f>Responses!Z70</f>
        <v/>
      </c>
      <c r="B74" s="29">
        <f>Responses!AA70</f>
        <v/>
      </c>
      <c r="C74" s="30">
        <f>Responses!AB70</f>
        <v/>
      </c>
      <c r="D74" s="30">
        <f>Responses!AC70</f>
        <v/>
      </c>
      <c r="E74" s="30">
        <f>Responses!AD70</f>
        <v/>
      </c>
      <c r="F74" s="31">
        <f>Responses!AE70</f>
        <v/>
      </c>
      <c r="G74" s="31">
        <f>Responses!AF70</f>
        <v/>
      </c>
      <c r="H74" s="31">
        <f>Responses!AH70</f>
        <v/>
      </c>
      <c r="I74" s="31">
        <f>IF(Responses!Y70="","",Responses!V70&amp;"")</f>
        <v/>
      </c>
    </row>
    <row r="75">
      <c r="A75" s="28">
        <f>Responses!Z71</f>
        <v/>
      </c>
      <c r="B75" s="29">
        <f>Responses!AA71</f>
        <v/>
      </c>
      <c r="C75" s="30">
        <f>Responses!AB71</f>
        <v/>
      </c>
      <c r="D75" s="30">
        <f>Responses!AC71</f>
        <v/>
      </c>
      <c r="E75" s="30">
        <f>Responses!AD71</f>
        <v/>
      </c>
      <c r="F75" s="31">
        <f>Responses!AE71</f>
        <v/>
      </c>
      <c r="G75" s="31">
        <f>Responses!AF71</f>
        <v/>
      </c>
      <c r="H75" s="31">
        <f>Responses!AH71</f>
        <v/>
      </c>
      <c r="I75" s="31">
        <f>IF(Responses!Y71="","",Responses!V71&amp;"")</f>
        <v/>
      </c>
    </row>
    <row r="76">
      <c r="A76" s="28">
        <f>Responses!Z72</f>
        <v/>
      </c>
      <c r="B76" s="29">
        <f>Responses!AA72</f>
        <v/>
      </c>
      <c r="C76" s="30">
        <f>Responses!AB72</f>
        <v/>
      </c>
      <c r="D76" s="30">
        <f>Responses!AC72</f>
        <v/>
      </c>
      <c r="E76" s="30">
        <f>Responses!AD72</f>
        <v/>
      </c>
      <c r="F76" s="31">
        <f>Responses!AE72</f>
        <v/>
      </c>
      <c r="G76" s="31">
        <f>Responses!AF72</f>
        <v/>
      </c>
      <c r="H76" s="31">
        <f>Responses!AH72</f>
        <v/>
      </c>
      <c r="I76" s="31">
        <f>IF(Responses!Y72="","",Responses!V72&amp;"")</f>
        <v/>
      </c>
    </row>
    <row r="77">
      <c r="A77" s="28">
        <f>Responses!Z73</f>
        <v/>
      </c>
      <c r="B77" s="29">
        <f>Responses!AA73</f>
        <v/>
      </c>
      <c r="C77" s="30">
        <f>Responses!AB73</f>
        <v/>
      </c>
      <c r="D77" s="30">
        <f>Responses!AC73</f>
        <v/>
      </c>
      <c r="E77" s="30">
        <f>Responses!AD73</f>
        <v/>
      </c>
      <c r="F77" s="31">
        <f>Responses!AE73</f>
        <v/>
      </c>
      <c r="G77" s="31">
        <f>Responses!AF73</f>
        <v/>
      </c>
      <c r="H77" s="31">
        <f>Responses!AH73</f>
        <v/>
      </c>
      <c r="I77" s="31">
        <f>IF(Responses!Y73="","",Responses!V73&amp;"")</f>
        <v/>
      </c>
    </row>
    <row r="78">
      <c r="A78" s="28">
        <f>Responses!Z74</f>
        <v/>
      </c>
      <c r="B78" s="29">
        <f>Responses!AA74</f>
        <v/>
      </c>
      <c r="C78" s="30">
        <f>Responses!AB74</f>
        <v/>
      </c>
      <c r="D78" s="30">
        <f>Responses!AC74</f>
        <v/>
      </c>
      <c r="E78" s="30">
        <f>Responses!AD74</f>
        <v/>
      </c>
      <c r="F78" s="31">
        <f>Responses!AE74</f>
        <v/>
      </c>
      <c r="G78" s="31">
        <f>Responses!AF74</f>
        <v/>
      </c>
      <c r="H78" s="31">
        <f>Responses!AH74</f>
        <v/>
      </c>
      <c r="I78" s="31">
        <f>IF(Responses!Y74="","",Responses!V74&amp;"")</f>
        <v/>
      </c>
    </row>
    <row r="79">
      <c r="A79" s="28">
        <f>Responses!Z75</f>
        <v/>
      </c>
      <c r="B79" s="29">
        <f>Responses!AA75</f>
        <v/>
      </c>
      <c r="C79" s="30">
        <f>Responses!AB75</f>
        <v/>
      </c>
      <c r="D79" s="30">
        <f>Responses!AC75</f>
        <v/>
      </c>
      <c r="E79" s="30">
        <f>Responses!AD75</f>
        <v/>
      </c>
      <c r="F79" s="31">
        <f>Responses!AE75</f>
        <v/>
      </c>
      <c r="G79" s="31">
        <f>Responses!AF75</f>
        <v/>
      </c>
      <c r="H79" s="31">
        <f>Responses!AH75</f>
        <v/>
      </c>
      <c r="I79" s="31">
        <f>IF(Responses!Y75="","",Responses!V75&amp;"")</f>
        <v/>
      </c>
    </row>
    <row r="80">
      <c r="A80" s="28">
        <f>Responses!Z76</f>
        <v/>
      </c>
      <c r="B80" s="29">
        <f>Responses!AA76</f>
        <v/>
      </c>
      <c r="C80" s="30">
        <f>Responses!AB76</f>
        <v/>
      </c>
      <c r="D80" s="30">
        <f>Responses!AC76</f>
        <v/>
      </c>
      <c r="E80" s="30">
        <f>Responses!AD76</f>
        <v/>
      </c>
      <c r="F80" s="31">
        <f>Responses!AE76</f>
        <v/>
      </c>
      <c r="G80" s="31">
        <f>Responses!AF76</f>
        <v/>
      </c>
      <c r="H80" s="31">
        <f>Responses!AH76</f>
        <v/>
      </c>
      <c r="I80" s="31">
        <f>IF(Responses!Y76="","",Responses!V76&amp;"")</f>
        <v/>
      </c>
    </row>
    <row r="81">
      <c r="A81" s="28">
        <f>Responses!Z77</f>
        <v/>
      </c>
      <c r="B81" s="29">
        <f>Responses!AA77</f>
        <v/>
      </c>
      <c r="C81" s="30">
        <f>Responses!AB77</f>
        <v/>
      </c>
      <c r="D81" s="30">
        <f>Responses!AC77</f>
        <v/>
      </c>
      <c r="E81" s="30">
        <f>Responses!AD77</f>
        <v/>
      </c>
      <c r="F81" s="31">
        <f>Responses!AE77</f>
        <v/>
      </c>
      <c r="G81" s="31">
        <f>Responses!AF77</f>
        <v/>
      </c>
      <c r="H81" s="31">
        <f>Responses!AH77</f>
        <v/>
      </c>
      <c r="I81" s="31">
        <f>IF(Responses!Y77="","",Responses!V77&amp;"")</f>
        <v/>
      </c>
    </row>
    <row r="82">
      <c r="A82" s="28">
        <f>Responses!Z78</f>
        <v/>
      </c>
      <c r="B82" s="29">
        <f>Responses!AA78</f>
        <v/>
      </c>
      <c r="C82" s="30">
        <f>Responses!AB78</f>
        <v/>
      </c>
      <c r="D82" s="30">
        <f>Responses!AC78</f>
        <v/>
      </c>
      <c r="E82" s="30">
        <f>Responses!AD78</f>
        <v/>
      </c>
      <c r="F82" s="31">
        <f>Responses!AE78</f>
        <v/>
      </c>
      <c r="G82" s="31">
        <f>Responses!AF78</f>
        <v/>
      </c>
      <c r="H82" s="31">
        <f>Responses!AH78</f>
        <v/>
      </c>
      <c r="I82" s="31">
        <f>IF(Responses!Y78="","",Responses!V78&amp;"")</f>
        <v/>
      </c>
    </row>
    <row r="83">
      <c r="A83" s="28">
        <f>Responses!Z79</f>
        <v/>
      </c>
      <c r="B83" s="29">
        <f>Responses!AA79</f>
        <v/>
      </c>
      <c r="C83" s="30">
        <f>Responses!AB79</f>
        <v/>
      </c>
      <c r="D83" s="30">
        <f>Responses!AC79</f>
        <v/>
      </c>
      <c r="E83" s="30">
        <f>Responses!AD79</f>
        <v/>
      </c>
      <c r="F83" s="31">
        <f>Responses!AE79</f>
        <v/>
      </c>
      <c r="G83" s="31">
        <f>Responses!AF79</f>
        <v/>
      </c>
      <c r="H83" s="31">
        <f>Responses!AH79</f>
        <v/>
      </c>
      <c r="I83" s="31">
        <f>IF(Responses!Y79="","",Responses!V79&amp;"")</f>
        <v/>
      </c>
    </row>
    <row r="84">
      <c r="A84" s="28">
        <f>Responses!Z80</f>
        <v/>
      </c>
      <c r="B84" s="29">
        <f>Responses!AA80</f>
        <v/>
      </c>
      <c r="C84" s="30">
        <f>Responses!AB80</f>
        <v/>
      </c>
      <c r="D84" s="30">
        <f>Responses!AC80</f>
        <v/>
      </c>
      <c r="E84" s="30">
        <f>Responses!AD80</f>
        <v/>
      </c>
      <c r="F84" s="31">
        <f>Responses!AE80</f>
        <v/>
      </c>
      <c r="G84" s="31">
        <f>Responses!AF80</f>
        <v/>
      </c>
      <c r="H84" s="31">
        <f>Responses!AH80</f>
        <v/>
      </c>
      <c r="I84" s="31">
        <f>IF(Responses!Y80="","",Responses!V80&amp;"")</f>
        <v/>
      </c>
    </row>
    <row r="85">
      <c r="A85" s="28">
        <f>Responses!Z81</f>
        <v/>
      </c>
      <c r="B85" s="29">
        <f>Responses!AA81</f>
        <v/>
      </c>
      <c r="C85" s="30">
        <f>Responses!AB81</f>
        <v/>
      </c>
      <c r="D85" s="30">
        <f>Responses!AC81</f>
        <v/>
      </c>
      <c r="E85" s="30">
        <f>Responses!AD81</f>
        <v/>
      </c>
      <c r="F85" s="31">
        <f>Responses!AE81</f>
        <v/>
      </c>
      <c r="G85" s="31">
        <f>Responses!AF81</f>
        <v/>
      </c>
      <c r="H85" s="31">
        <f>Responses!AH81</f>
        <v/>
      </c>
      <c r="I85" s="31">
        <f>IF(Responses!Y81="","",Responses!V81&amp;"")</f>
        <v/>
      </c>
    </row>
    <row r="86">
      <c r="A86" s="28">
        <f>Responses!Z82</f>
        <v/>
      </c>
      <c r="B86" s="29">
        <f>Responses!AA82</f>
        <v/>
      </c>
      <c r="C86" s="30">
        <f>Responses!AB82</f>
        <v/>
      </c>
      <c r="D86" s="30">
        <f>Responses!AC82</f>
        <v/>
      </c>
      <c r="E86" s="30">
        <f>Responses!AD82</f>
        <v/>
      </c>
      <c r="F86" s="31">
        <f>Responses!AE82</f>
        <v/>
      </c>
      <c r="G86" s="31">
        <f>Responses!AF82</f>
        <v/>
      </c>
      <c r="H86" s="31">
        <f>Responses!AH82</f>
        <v/>
      </c>
      <c r="I86" s="31">
        <f>IF(Responses!Y82="","",Responses!V82&amp;"")</f>
        <v/>
      </c>
    </row>
    <row r="87">
      <c r="A87" s="28">
        <f>Responses!Z83</f>
        <v/>
      </c>
      <c r="B87" s="29">
        <f>Responses!AA83</f>
        <v/>
      </c>
      <c r="C87" s="30">
        <f>Responses!AB83</f>
        <v/>
      </c>
      <c r="D87" s="30">
        <f>Responses!AC83</f>
        <v/>
      </c>
      <c r="E87" s="30">
        <f>Responses!AD83</f>
        <v/>
      </c>
      <c r="F87" s="31">
        <f>Responses!AE83</f>
        <v/>
      </c>
      <c r="G87" s="31">
        <f>Responses!AF83</f>
        <v/>
      </c>
      <c r="H87" s="31">
        <f>Responses!AH83</f>
        <v/>
      </c>
      <c r="I87" s="31">
        <f>IF(Responses!Y83="","",Responses!V83&amp;"")</f>
        <v/>
      </c>
    </row>
    <row r="88">
      <c r="A88" s="28">
        <f>Responses!Z84</f>
        <v/>
      </c>
      <c r="B88" s="29">
        <f>Responses!AA84</f>
        <v/>
      </c>
      <c r="C88" s="30">
        <f>Responses!AB84</f>
        <v/>
      </c>
      <c r="D88" s="30">
        <f>Responses!AC84</f>
        <v/>
      </c>
      <c r="E88" s="30">
        <f>Responses!AD84</f>
        <v/>
      </c>
      <c r="F88" s="31">
        <f>Responses!AE84</f>
        <v/>
      </c>
      <c r="G88" s="31">
        <f>Responses!AF84</f>
        <v/>
      </c>
      <c r="H88" s="31">
        <f>Responses!AH84</f>
        <v/>
      </c>
      <c r="I88" s="31">
        <f>IF(Responses!Y84="","",Responses!V84&amp;"")</f>
        <v/>
      </c>
    </row>
    <row r="89">
      <c r="A89" s="28">
        <f>Responses!Z85</f>
        <v/>
      </c>
      <c r="B89" s="29">
        <f>Responses!AA85</f>
        <v/>
      </c>
      <c r="C89" s="30">
        <f>Responses!AB85</f>
        <v/>
      </c>
      <c r="D89" s="30">
        <f>Responses!AC85</f>
        <v/>
      </c>
      <c r="E89" s="30">
        <f>Responses!AD85</f>
        <v/>
      </c>
      <c r="F89" s="31">
        <f>Responses!AE85</f>
        <v/>
      </c>
      <c r="G89" s="31">
        <f>Responses!AF85</f>
        <v/>
      </c>
      <c r="H89" s="31">
        <f>Responses!AH85</f>
        <v/>
      </c>
      <c r="I89" s="31">
        <f>IF(Responses!Y85="","",Responses!V85&amp;"")</f>
        <v/>
      </c>
    </row>
    <row r="90">
      <c r="A90" s="28">
        <f>Responses!Z86</f>
        <v/>
      </c>
      <c r="B90" s="29">
        <f>Responses!AA86</f>
        <v/>
      </c>
      <c r="C90" s="30">
        <f>Responses!AB86</f>
        <v/>
      </c>
      <c r="D90" s="30">
        <f>Responses!AC86</f>
        <v/>
      </c>
      <c r="E90" s="30">
        <f>Responses!AD86</f>
        <v/>
      </c>
      <c r="F90" s="31">
        <f>Responses!AE86</f>
        <v/>
      </c>
      <c r="G90" s="31">
        <f>Responses!AF86</f>
        <v/>
      </c>
      <c r="H90" s="31">
        <f>Responses!AH86</f>
        <v/>
      </c>
      <c r="I90" s="31">
        <f>IF(Responses!Y86="","",Responses!V86&amp;"")</f>
        <v/>
      </c>
    </row>
    <row r="91">
      <c r="A91" s="28">
        <f>Responses!Z87</f>
        <v/>
      </c>
      <c r="B91" s="29">
        <f>Responses!AA87</f>
        <v/>
      </c>
      <c r="C91" s="30">
        <f>Responses!AB87</f>
        <v/>
      </c>
      <c r="D91" s="30">
        <f>Responses!AC87</f>
        <v/>
      </c>
      <c r="E91" s="30">
        <f>Responses!AD87</f>
        <v/>
      </c>
      <c r="F91" s="31">
        <f>Responses!AE87</f>
        <v/>
      </c>
      <c r="G91" s="31">
        <f>Responses!AF87</f>
        <v/>
      </c>
      <c r="H91" s="31">
        <f>Responses!AH87</f>
        <v/>
      </c>
      <c r="I91" s="31">
        <f>IF(Responses!Y87="","",Responses!V87&amp;"")</f>
        <v/>
      </c>
    </row>
    <row r="92">
      <c r="A92" s="28">
        <f>Responses!Z88</f>
        <v/>
      </c>
      <c r="B92" s="29">
        <f>Responses!AA88</f>
        <v/>
      </c>
      <c r="C92" s="30">
        <f>Responses!AB88</f>
        <v/>
      </c>
      <c r="D92" s="30">
        <f>Responses!AC88</f>
        <v/>
      </c>
      <c r="E92" s="30">
        <f>Responses!AD88</f>
        <v/>
      </c>
      <c r="F92" s="31">
        <f>Responses!AE88</f>
        <v/>
      </c>
      <c r="G92" s="31">
        <f>Responses!AF88</f>
        <v/>
      </c>
      <c r="H92" s="31">
        <f>Responses!AH88</f>
        <v/>
      </c>
      <c r="I92" s="31">
        <f>IF(Responses!Y88="","",Responses!V88&amp;"")</f>
        <v/>
      </c>
    </row>
    <row r="93">
      <c r="A93" s="28">
        <f>Responses!Z89</f>
        <v/>
      </c>
      <c r="B93" s="29">
        <f>Responses!AA89</f>
        <v/>
      </c>
      <c r="C93" s="30">
        <f>Responses!AB89</f>
        <v/>
      </c>
      <c r="D93" s="30">
        <f>Responses!AC89</f>
        <v/>
      </c>
      <c r="E93" s="30">
        <f>Responses!AD89</f>
        <v/>
      </c>
      <c r="F93" s="31">
        <f>Responses!AE89</f>
        <v/>
      </c>
      <c r="G93" s="31">
        <f>Responses!AF89</f>
        <v/>
      </c>
      <c r="H93" s="31">
        <f>Responses!AH89</f>
        <v/>
      </c>
      <c r="I93" s="31">
        <f>IF(Responses!Y89="","",Responses!V89&amp;"")</f>
        <v/>
      </c>
    </row>
    <row r="94">
      <c r="A94" s="28">
        <f>Responses!Z90</f>
        <v/>
      </c>
      <c r="B94" s="29">
        <f>Responses!AA90</f>
        <v/>
      </c>
      <c r="C94" s="30">
        <f>Responses!AB90</f>
        <v/>
      </c>
      <c r="D94" s="30">
        <f>Responses!AC90</f>
        <v/>
      </c>
      <c r="E94" s="30">
        <f>Responses!AD90</f>
        <v/>
      </c>
      <c r="F94" s="31">
        <f>Responses!AE90</f>
        <v/>
      </c>
      <c r="G94" s="31">
        <f>Responses!AF90</f>
        <v/>
      </c>
      <c r="H94" s="31">
        <f>Responses!AH90</f>
        <v/>
      </c>
      <c r="I94" s="31">
        <f>IF(Responses!Y90="","",Responses!V90&amp;"")</f>
        <v/>
      </c>
    </row>
    <row r="95">
      <c r="A95" s="28">
        <f>Responses!Z91</f>
        <v/>
      </c>
      <c r="B95" s="29">
        <f>Responses!AA91</f>
        <v/>
      </c>
      <c r="C95" s="30">
        <f>Responses!AB91</f>
        <v/>
      </c>
      <c r="D95" s="30">
        <f>Responses!AC91</f>
        <v/>
      </c>
      <c r="E95" s="30">
        <f>Responses!AD91</f>
        <v/>
      </c>
      <c r="F95" s="31">
        <f>Responses!AE91</f>
        <v/>
      </c>
      <c r="G95" s="31">
        <f>Responses!AF91</f>
        <v/>
      </c>
      <c r="H95" s="31">
        <f>Responses!AH91</f>
        <v/>
      </c>
      <c r="I95" s="31">
        <f>IF(Responses!Y91="","",Responses!V91&amp;"")</f>
        <v/>
      </c>
    </row>
    <row r="96">
      <c r="A96" s="28">
        <f>Responses!Z92</f>
        <v/>
      </c>
      <c r="B96" s="29">
        <f>Responses!AA92</f>
        <v/>
      </c>
      <c r="C96" s="30">
        <f>Responses!AB92</f>
        <v/>
      </c>
      <c r="D96" s="30">
        <f>Responses!AC92</f>
        <v/>
      </c>
      <c r="E96" s="30">
        <f>Responses!AD92</f>
        <v/>
      </c>
      <c r="F96" s="31">
        <f>Responses!AE92</f>
        <v/>
      </c>
      <c r="G96" s="31">
        <f>Responses!AF92</f>
        <v/>
      </c>
      <c r="H96" s="31">
        <f>Responses!AH92</f>
        <v/>
      </c>
      <c r="I96" s="31">
        <f>IF(Responses!Y92="","",Responses!V92&amp;"")</f>
        <v/>
      </c>
    </row>
    <row r="97">
      <c r="A97" s="28">
        <f>Responses!Z93</f>
        <v/>
      </c>
      <c r="B97" s="29">
        <f>Responses!AA93</f>
        <v/>
      </c>
      <c r="C97" s="30">
        <f>Responses!AB93</f>
        <v/>
      </c>
      <c r="D97" s="30">
        <f>Responses!AC93</f>
        <v/>
      </c>
      <c r="E97" s="30">
        <f>Responses!AD93</f>
        <v/>
      </c>
      <c r="F97" s="31">
        <f>Responses!AE93</f>
        <v/>
      </c>
      <c r="G97" s="31">
        <f>Responses!AF93</f>
        <v/>
      </c>
      <c r="H97" s="31">
        <f>Responses!AH93</f>
        <v/>
      </c>
      <c r="I97" s="31">
        <f>IF(Responses!Y93="","",Responses!V93&amp;"")</f>
        <v/>
      </c>
    </row>
    <row r="98">
      <c r="A98" s="28">
        <f>Responses!Z94</f>
        <v/>
      </c>
      <c r="B98" s="29">
        <f>Responses!AA94</f>
        <v/>
      </c>
      <c r="C98" s="30">
        <f>Responses!AB94</f>
        <v/>
      </c>
      <c r="D98" s="30">
        <f>Responses!AC94</f>
        <v/>
      </c>
      <c r="E98" s="30">
        <f>Responses!AD94</f>
        <v/>
      </c>
      <c r="F98" s="31">
        <f>Responses!AE94</f>
        <v/>
      </c>
      <c r="G98" s="31">
        <f>Responses!AF94</f>
        <v/>
      </c>
      <c r="H98" s="31">
        <f>Responses!AH94</f>
        <v/>
      </c>
      <c r="I98" s="31">
        <f>IF(Responses!Y94="","",Responses!V94&amp;"")</f>
        <v/>
      </c>
    </row>
    <row r="99">
      <c r="A99" s="28">
        <f>Responses!Z95</f>
        <v/>
      </c>
      <c r="B99" s="29">
        <f>Responses!AA95</f>
        <v/>
      </c>
      <c r="C99" s="30">
        <f>Responses!AB95</f>
        <v/>
      </c>
      <c r="D99" s="30">
        <f>Responses!AC95</f>
        <v/>
      </c>
      <c r="E99" s="30">
        <f>Responses!AD95</f>
        <v/>
      </c>
      <c r="F99" s="31">
        <f>Responses!AE95</f>
        <v/>
      </c>
      <c r="G99" s="31">
        <f>Responses!AF95</f>
        <v/>
      </c>
      <c r="H99" s="31">
        <f>Responses!AH95</f>
        <v/>
      </c>
      <c r="I99" s="31">
        <f>IF(Responses!Y95="","",Responses!V95&amp;"")</f>
        <v/>
      </c>
    </row>
    <row r="100">
      <c r="A100" s="28">
        <f>Responses!Z96</f>
        <v/>
      </c>
      <c r="B100" s="29">
        <f>Responses!AA96</f>
        <v/>
      </c>
      <c r="C100" s="30">
        <f>Responses!AB96</f>
        <v/>
      </c>
      <c r="D100" s="30">
        <f>Responses!AC96</f>
        <v/>
      </c>
      <c r="E100" s="30">
        <f>Responses!AD96</f>
        <v/>
      </c>
      <c r="F100" s="31">
        <f>Responses!AE96</f>
        <v/>
      </c>
      <c r="G100" s="31">
        <f>Responses!AF96</f>
        <v/>
      </c>
      <c r="H100" s="31">
        <f>Responses!AH96</f>
        <v/>
      </c>
      <c r="I100" s="31">
        <f>IF(Responses!Y96="","",Responses!V96&amp;"")</f>
        <v/>
      </c>
    </row>
    <row r="101">
      <c r="A101" s="28">
        <f>Responses!Z97</f>
        <v/>
      </c>
      <c r="B101" s="29">
        <f>Responses!AA97</f>
        <v/>
      </c>
      <c r="C101" s="30">
        <f>Responses!AB97</f>
        <v/>
      </c>
      <c r="D101" s="30">
        <f>Responses!AC97</f>
        <v/>
      </c>
      <c r="E101" s="30">
        <f>Responses!AD97</f>
        <v/>
      </c>
      <c r="F101" s="31">
        <f>Responses!AE97</f>
        <v/>
      </c>
      <c r="G101" s="31">
        <f>Responses!AF97</f>
        <v/>
      </c>
      <c r="H101" s="31">
        <f>Responses!AH97</f>
        <v/>
      </c>
      <c r="I101" s="31">
        <f>IF(Responses!Y97="","",Responses!V97&amp;"")</f>
        <v/>
      </c>
    </row>
    <row r="102">
      <c r="A102" s="28">
        <f>Responses!Z98</f>
        <v/>
      </c>
      <c r="B102" s="29">
        <f>Responses!AA98</f>
        <v/>
      </c>
      <c r="C102" s="30">
        <f>Responses!AB98</f>
        <v/>
      </c>
      <c r="D102" s="30">
        <f>Responses!AC98</f>
        <v/>
      </c>
      <c r="E102" s="30">
        <f>Responses!AD98</f>
        <v/>
      </c>
      <c r="F102" s="31">
        <f>Responses!AE98</f>
        <v/>
      </c>
      <c r="G102" s="31">
        <f>Responses!AF98</f>
        <v/>
      </c>
      <c r="H102" s="31">
        <f>Responses!AH98</f>
        <v/>
      </c>
      <c r="I102" s="31">
        <f>IF(Responses!Y98="","",Responses!V98&amp;"")</f>
        <v/>
      </c>
    </row>
    <row r="103">
      <c r="A103" s="28">
        <f>Responses!Z99</f>
        <v/>
      </c>
      <c r="B103" s="29">
        <f>Responses!AA99</f>
        <v/>
      </c>
      <c r="C103" s="30">
        <f>Responses!AB99</f>
        <v/>
      </c>
      <c r="D103" s="30">
        <f>Responses!AC99</f>
        <v/>
      </c>
      <c r="E103" s="30">
        <f>Responses!AD99</f>
        <v/>
      </c>
      <c r="F103" s="31">
        <f>Responses!AE99</f>
        <v/>
      </c>
      <c r="G103" s="31">
        <f>Responses!AF99</f>
        <v/>
      </c>
      <c r="H103" s="31">
        <f>Responses!AH99</f>
        <v/>
      </c>
      <c r="I103" s="31">
        <f>IF(Responses!Y99="","",Responses!V99&amp;"")</f>
        <v/>
      </c>
    </row>
    <row r="104">
      <c r="A104" s="28">
        <f>Responses!Z100</f>
        <v/>
      </c>
      <c r="B104" s="29">
        <f>Responses!AA100</f>
        <v/>
      </c>
      <c r="C104" s="30">
        <f>Responses!AB100</f>
        <v/>
      </c>
      <c r="D104" s="30">
        <f>Responses!AC100</f>
        <v/>
      </c>
      <c r="E104" s="30">
        <f>Responses!AD100</f>
        <v/>
      </c>
      <c r="F104" s="31">
        <f>Responses!AE100</f>
        <v/>
      </c>
      <c r="G104" s="31">
        <f>Responses!AF100</f>
        <v/>
      </c>
      <c r="H104" s="31">
        <f>Responses!AH100</f>
        <v/>
      </c>
      <c r="I104" s="31">
        <f>IF(Responses!Y100="","",Responses!V100&amp;"")</f>
        <v/>
      </c>
    </row>
    <row r="105">
      <c r="A105" s="28">
        <f>Responses!Z101</f>
        <v/>
      </c>
      <c r="B105" s="29">
        <f>Responses!AA101</f>
        <v/>
      </c>
      <c r="C105" s="30">
        <f>Responses!AB101</f>
        <v/>
      </c>
      <c r="D105" s="30">
        <f>Responses!AC101</f>
        <v/>
      </c>
      <c r="E105" s="30">
        <f>Responses!AD101</f>
        <v/>
      </c>
      <c r="F105" s="31">
        <f>Responses!AE101</f>
        <v/>
      </c>
      <c r="G105" s="31">
        <f>Responses!AF101</f>
        <v/>
      </c>
      <c r="H105" s="31">
        <f>Responses!AH101</f>
        <v/>
      </c>
      <c r="I105" s="31">
        <f>IF(Responses!Y101="","",Responses!V101&amp;"")</f>
        <v/>
      </c>
    </row>
    <row r="106">
      <c r="A106" s="28">
        <f>Responses!Z102</f>
        <v/>
      </c>
      <c r="B106" s="29">
        <f>Responses!AA102</f>
        <v/>
      </c>
      <c r="C106" s="30">
        <f>Responses!AB102</f>
        <v/>
      </c>
      <c r="D106" s="30">
        <f>Responses!AC102</f>
        <v/>
      </c>
      <c r="E106" s="30">
        <f>Responses!AD102</f>
        <v/>
      </c>
      <c r="F106" s="31">
        <f>Responses!AE102</f>
        <v/>
      </c>
      <c r="G106" s="31">
        <f>Responses!AF102</f>
        <v/>
      </c>
      <c r="H106" s="31">
        <f>Responses!AH102</f>
        <v/>
      </c>
      <c r="I106" s="31">
        <f>IF(Responses!Y102="","",Responses!V102&amp;"")</f>
        <v/>
      </c>
    </row>
    <row r="107">
      <c r="A107" s="28">
        <f>Responses!Z103</f>
        <v/>
      </c>
      <c r="B107" s="29">
        <f>Responses!AA103</f>
        <v/>
      </c>
      <c r="C107" s="30">
        <f>Responses!AB103</f>
        <v/>
      </c>
      <c r="D107" s="30">
        <f>Responses!AC103</f>
        <v/>
      </c>
      <c r="E107" s="30">
        <f>Responses!AD103</f>
        <v/>
      </c>
      <c r="F107" s="31">
        <f>Responses!AE103</f>
        <v/>
      </c>
      <c r="G107" s="31">
        <f>Responses!AF103</f>
        <v/>
      </c>
      <c r="H107" s="31">
        <f>Responses!AH103</f>
        <v/>
      </c>
      <c r="I107" s="31">
        <f>IF(Responses!Y103="","",Responses!V103&amp;"")</f>
        <v/>
      </c>
    </row>
    <row r="108">
      <c r="A108" s="28">
        <f>Responses!Z104</f>
        <v/>
      </c>
      <c r="B108" s="29">
        <f>Responses!AA104</f>
        <v/>
      </c>
      <c r="C108" s="30">
        <f>Responses!AB104</f>
        <v/>
      </c>
      <c r="D108" s="30">
        <f>Responses!AC104</f>
        <v/>
      </c>
      <c r="E108" s="30">
        <f>Responses!AD104</f>
        <v/>
      </c>
      <c r="F108" s="31">
        <f>Responses!AE104</f>
        <v/>
      </c>
      <c r="G108" s="31">
        <f>Responses!AF104</f>
        <v/>
      </c>
      <c r="H108" s="31">
        <f>Responses!AH104</f>
        <v/>
      </c>
      <c r="I108" s="31">
        <f>IF(Responses!Y104="","",Responses!V104&amp;"")</f>
        <v/>
      </c>
    </row>
    <row r="109">
      <c r="A109" s="28">
        <f>Responses!Z105</f>
        <v/>
      </c>
      <c r="B109" s="29">
        <f>Responses!AA105</f>
        <v/>
      </c>
      <c r="C109" s="30">
        <f>Responses!AB105</f>
        <v/>
      </c>
      <c r="D109" s="30">
        <f>Responses!AC105</f>
        <v/>
      </c>
      <c r="E109" s="30">
        <f>Responses!AD105</f>
        <v/>
      </c>
      <c r="F109" s="31">
        <f>Responses!AE105</f>
        <v/>
      </c>
      <c r="G109" s="31">
        <f>Responses!AF105</f>
        <v/>
      </c>
      <c r="H109" s="31">
        <f>Responses!AH105</f>
        <v/>
      </c>
      <c r="I109" s="31">
        <f>IF(Responses!Y105="","",Responses!V105&amp;"")</f>
        <v/>
      </c>
    </row>
    <row r="110">
      <c r="A110" s="28">
        <f>Responses!Z106</f>
        <v/>
      </c>
      <c r="B110" s="29">
        <f>Responses!AA106</f>
        <v/>
      </c>
      <c r="C110" s="30">
        <f>Responses!AB106</f>
        <v/>
      </c>
      <c r="D110" s="30">
        <f>Responses!AC106</f>
        <v/>
      </c>
      <c r="E110" s="30">
        <f>Responses!AD106</f>
        <v/>
      </c>
      <c r="F110" s="31">
        <f>Responses!AE106</f>
        <v/>
      </c>
      <c r="G110" s="31">
        <f>Responses!AF106</f>
        <v/>
      </c>
      <c r="H110" s="31">
        <f>Responses!AH106</f>
        <v/>
      </c>
      <c r="I110" s="31">
        <f>IF(Responses!Y106="","",Responses!V106&amp;"")</f>
        <v/>
      </c>
    </row>
    <row r="111">
      <c r="A111" s="28">
        <f>Responses!Z107</f>
        <v/>
      </c>
      <c r="B111" s="29">
        <f>Responses!AA107</f>
        <v/>
      </c>
      <c r="C111" s="30">
        <f>Responses!AB107</f>
        <v/>
      </c>
      <c r="D111" s="30">
        <f>Responses!AC107</f>
        <v/>
      </c>
      <c r="E111" s="30">
        <f>Responses!AD107</f>
        <v/>
      </c>
      <c r="F111" s="31">
        <f>Responses!AE107</f>
        <v/>
      </c>
      <c r="G111" s="31">
        <f>Responses!AF107</f>
        <v/>
      </c>
      <c r="H111" s="31">
        <f>Responses!AH107</f>
        <v/>
      </c>
      <c r="I111" s="31">
        <f>IF(Responses!Y107="","",Responses!V107&amp;"")</f>
        <v/>
      </c>
    </row>
    <row r="112">
      <c r="A112" s="28">
        <f>Responses!Z108</f>
        <v/>
      </c>
      <c r="B112" s="29">
        <f>Responses!AA108</f>
        <v/>
      </c>
      <c r="C112" s="30">
        <f>Responses!AB108</f>
        <v/>
      </c>
      <c r="D112" s="30">
        <f>Responses!AC108</f>
        <v/>
      </c>
      <c r="E112" s="30">
        <f>Responses!AD108</f>
        <v/>
      </c>
      <c r="F112" s="31">
        <f>Responses!AE108</f>
        <v/>
      </c>
      <c r="G112" s="31">
        <f>Responses!AF108</f>
        <v/>
      </c>
      <c r="H112" s="31">
        <f>Responses!AH108</f>
        <v/>
      </c>
      <c r="I112" s="31">
        <f>IF(Responses!Y108="","",Responses!V108&amp;"")</f>
        <v/>
      </c>
    </row>
    <row r="113">
      <c r="A113" s="28">
        <f>Responses!Z109</f>
        <v/>
      </c>
      <c r="B113" s="29">
        <f>Responses!AA109</f>
        <v/>
      </c>
      <c r="C113" s="30">
        <f>Responses!AB109</f>
        <v/>
      </c>
      <c r="D113" s="30">
        <f>Responses!AC109</f>
        <v/>
      </c>
      <c r="E113" s="30">
        <f>Responses!AD109</f>
        <v/>
      </c>
      <c r="F113" s="31">
        <f>Responses!AE109</f>
        <v/>
      </c>
      <c r="G113" s="31">
        <f>Responses!AF109</f>
        <v/>
      </c>
      <c r="H113" s="31">
        <f>Responses!AH109</f>
        <v/>
      </c>
      <c r="I113" s="31">
        <f>IF(Responses!Y109="","",Responses!V109&amp;"")</f>
        <v/>
      </c>
    </row>
    <row r="114">
      <c r="A114" s="28">
        <f>Responses!Z110</f>
        <v/>
      </c>
      <c r="B114" s="29">
        <f>Responses!AA110</f>
        <v/>
      </c>
      <c r="C114" s="30">
        <f>Responses!AB110</f>
        <v/>
      </c>
      <c r="D114" s="30">
        <f>Responses!AC110</f>
        <v/>
      </c>
      <c r="E114" s="30">
        <f>Responses!AD110</f>
        <v/>
      </c>
      <c r="F114" s="31">
        <f>Responses!AE110</f>
        <v/>
      </c>
      <c r="G114" s="31">
        <f>Responses!AF110</f>
        <v/>
      </c>
      <c r="H114" s="31">
        <f>Responses!AH110</f>
        <v/>
      </c>
      <c r="I114" s="31">
        <f>IF(Responses!Y110="","",Responses!V110&amp;"")</f>
        <v/>
      </c>
    </row>
    <row r="115">
      <c r="A115" s="28">
        <f>Responses!Z111</f>
        <v/>
      </c>
      <c r="B115" s="29">
        <f>Responses!AA111</f>
        <v/>
      </c>
      <c r="C115" s="30">
        <f>Responses!AB111</f>
        <v/>
      </c>
      <c r="D115" s="30">
        <f>Responses!AC111</f>
        <v/>
      </c>
      <c r="E115" s="30">
        <f>Responses!AD111</f>
        <v/>
      </c>
      <c r="F115" s="31">
        <f>Responses!AE111</f>
        <v/>
      </c>
      <c r="G115" s="31">
        <f>Responses!AF111</f>
        <v/>
      </c>
      <c r="H115" s="31">
        <f>Responses!AH111</f>
        <v/>
      </c>
      <c r="I115" s="31">
        <f>IF(Responses!Y111="","",Responses!V111&amp;"")</f>
        <v/>
      </c>
    </row>
    <row r="116">
      <c r="A116" s="28">
        <f>Responses!Z112</f>
        <v/>
      </c>
      <c r="B116" s="29">
        <f>Responses!AA112</f>
        <v/>
      </c>
      <c r="C116" s="30">
        <f>Responses!AB112</f>
        <v/>
      </c>
      <c r="D116" s="30">
        <f>Responses!AC112</f>
        <v/>
      </c>
      <c r="E116" s="30">
        <f>Responses!AD112</f>
        <v/>
      </c>
      <c r="F116" s="31">
        <f>Responses!AE112</f>
        <v/>
      </c>
      <c r="G116" s="31">
        <f>Responses!AF112</f>
        <v/>
      </c>
      <c r="H116" s="31">
        <f>Responses!AH112</f>
        <v/>
      </c>
      <c r="I116" s="31">
        <f>IF(Responses!Y112="","",Responses!V112&amp;"")</f>
        <v/>
      </c>
    </row>
    <row r="117">
      <c r="A117" s="28">
        <f>Responses!Z113</f>
        <v/>
      </c>
      <c r="B117" s="29">
        <f>Responses!AA113</f>
        <v/>
      </c>
      <c r="C117" s="30">
        <f>Responses!AB113</f>
        <v/>
      </c>
      <c r="D117" s="30">
        <f>Responses!AC113</f>
        <v/>
      </c>
      <c r="E117" s="30">
        <f>Responses!AD113</f>
        <v/>
      </c>
      <c r="F117" s="31">
        <f>Responses!AE113</f>
        <v/>
      </c>
      <c r="G117" s="31">
        <f>Responses!AF113</f>
        <v/>
      </c>
      <c r="H117" s="31">
        <f>Responses!AH113</f>
        <v/>
      </c>
      <c r="I117" s="31">
        <f>IF(Responses!Y113="","",Responses!V113&amp;"")</f>
        <v/>
      </c>
    </row>
    <row r="118">
      <c r="A118" s="28">
        <f>Responses!Z114</f>
        <v/>
      </c>
      <c r="B118" s="29">
        <f>Responses!AA114</f>
        <v/>
      </c>
      <c r="C118" s="30">
        <f>Responses!AB114</f>
        <v/>
      </c>
      <c r="D118" s="30">
        <f>Responses!AC114</f>
        <v/>
      </c>
      <c r="E118" s="30">
        <f>Responses!AD114</f>
        <v/>
      </c>
      <c r="F118" s="31">
        <f>Responses!AE114</f>
        <v/>
      </c>
      <c r="G118" s="31">
        <f>Responses!AF114</f>
        <v/>
      </c>
      <c r="H118" s="31">
        <f>Responses!AH114</f>
        <v/>
      </c>
      <c r="I118" s="31">
        <f>IF(Responses!Y114="","",Responses!V114&amp;"")</f>
        <v/>
      </c>
    </row>
    <row r="119">
      <c r="A119" s="28">
        <f>Responses!Z115</f>
        <v/>
      </c>
      <c r="B119" s="29">
        <f>Responses!AA115</f>
        <v/>
      </c>
      <c r="C119" s="30">
        <f>Responses!AB115</f>
        <v/>
      </c>
      <c r="D119" s="30">
        <f>Responses!AC115</f>
        <v/>
      </c>
      <c r="E119" s="30">
        <f>Responses!AD115</f>
        <v/>
      </c>
      <c r="F119" s="31">
        <f>Responses!AE115</f>
        <v/>
      </c>
      <c r="G119" s="31">
        <f>Responses!AF115</f>
        <v/>
      </c>
      <c r="H119" s="31">
        <f>Responses!AH115</f>
        <v/>
      </c>
      <c r="I119" s="31">
        <f>IF(Responses!Y115="","",Responses!V115&amp;"")</f>
        <v/>
      </c>
    </row>
    <row r="120">
      <c r="A120" s="28">
        <f>Responses!Z116</f>
        <v/>
      </c>
      <c r="B120" s="29">
        <f>Responses!AA116</f>
        <v/>
      </c>
      <c r="C120" s="30">
        <f>Responses!AB116</f>
        <v/>
      </c>
      <c r="D120" s="30">
        <f>Responses!AC116</f>
        <v/>
      </c>
      <c r="E120" s="30">
        <f>Responses!AD116</f>
        <v/>
      </c>
      <c r="F120" s="31">
        <f>Responses!AE116</f>
        <v/>
      </c>
      <c r="G120" s="31">
        <f>Responses!AF116</f>
        <v/>
      </c>
      <c r="H120" s="31">
        <f>Responses!AH116</f>
        <v/>
      </c>
      <c r="I120" s="31">
        <f>IF(Responses!Y116="","",Responses!V116&amp;"")</f>
        <v/>
      </c>
    </row>
    <row r="121">
      <c r="A121" s="28">
        <f>Responses!Z117</f>
        <v/>
      </c>
      <c r="B121" s="29">
        <f>Responses!AA117</f>
        <v/>
      </c>
      <c r="C121" s="30">
        <f>Responses!AB117</f>
        <v/>
      </c>
      <c r="D121" s="30">
        <f>Responses!AC117</f>
        <v/>
      </c>
      <c r="E121" s="30">
        <f>Responses!AD117</f>
        <v/>
      </c>
      <c r="F121" s="31">
        <f>Responses!AE117</f>
        <v/>
      </c>
      <c r="G121" s="31">
        <f>Responses!AF117</f>
        <v/>
      </c>
      <c r="H121" s="31">
        <f>Responses!AH117</f>
        <v/>
      </c>
      <c r="I121" s="31">
        <f>IF(Responses!Y117="","",Responses!V117&amp;"")</f>
        <v/>
      </c>
    </row>
    <row r="122">
      <c r="A122" s="28">
        <f>Responses!Z118</f>
        <v/>
      </c>
      <c r="B122" s="29">
        <f>Responses!AA118</f>
        <v/>
      </c>
      <c r="C122" s="30">
        <f>Responses!AB118</f>
        <v/>
      </c>
      <c r="D122" s="30">
        <f>Responses!AC118</f>
        <v/>
      </c>
      <c r="E122" s="30">
        <f>Responses!AD118</f>
        <v/>
      </c>
      <c r="F122" s="31">
        <f>Responses!AE118</f>
        <v/>
      </c>
      <c r="G122" s="31">
        <f>Responses!AF118</f>
        <v/>
      </c>
      <c r="H122" s="31">
        <f>Responses!AH118</f>
        <v/>
      </c>
      <c r="I122" s="31">
        <f>IF(Responses!Y118="","",Responses!V118&amp;"")</f>
        <v/>
      </c>
    </row>
    <row r="123">
      <c r="A123" s="28">
        <f>Responses!Z119</f>
        <v/>
      </c>
      <c r="B123" s="29">
        <f>Responses!AA119</f>
        <v/>
      </c>
      <c r="C123" s="30">
        <f>Responses!AB119</f>
        <v/>
      </c>
      <c r="D123" s="30">
        <f>Responses!AC119</f>
        <v/>
      </c>
      <c r="E123" s="30">
        <f>Responses!AD119</f>
        <v/>
      </c>
      <c r="F123" s="31">
        <f>Responses!AE119</f>
        <v/>
      </c>
      <c r="G123" s="31">
        <f>Responses!AF119</f>
        <v/>
      </c>
      <c r="H123" s="31">
        <f>Responses!AH119</f>
        <v/>
      </c>
      <c r="I123" s="31">
        <f>IF(Responses!Y119="","",Responses!V119&amp;"")</f>
        <v/>
      </c>
    </row>
    <row r="124">
      <c r="A124" s="28">
        <f>Responses!Z120</f>
        <v/>
      </c>
      <c r="B124" s="29">
        <f>Responses!AA120</f>
        <v/>
      </c>
      <c r="C124" s="30">
        <f>Responses!AB120</f>
        <v/>
      </c>
      <c r="D124" s="30">
        <f>Responses!AC120</f>
        <v/>
      </c>
      <c r="E124" s="30">
        <f>Responses!AD120</f>
        <v/>
      </c>
      <c r="F124" s="31">
        <f>Responses!AE120</f>
        <v/>
      </c>
      <c r="G124" s="31">
        <f>Responses!AF120</f>
        <v/>
      </c>
      <c r="H124" s="31">
        <f>Responses!AH120</f>
        <v/>
      </c>
      <c r="I124" s="31">
        <f>IF(Responses!Y120="","",Responses!V120&amp;"")</f>
        <v/>
      </c>
    </row>
    <row r="125">
      <c r="A125" s="28">
        <f>Responses!Z121</f>
        <v/>
      </c>
      <c r="B125" s="29">
        <f>Responses!AA121</f>
        <v/>
      </c>
      <c r="C125" s="30">
        <f>Responses!AB121</f>
        <v/>
      </c>
      <c r="D125" s="30">
        <f>Responses!AC121</f>
        <v/>
      </c>
      <c r="E125" s="30">
        <f>Responses!AD121</f>
        <v/>
      </c>
      <c r="F125" s="31">
        <f>Responses!AE121</f>
        <v/>
      </c>
      <c r="G125" s="31">
        <f>Responses!AF121</f>
        <v/>
      </c>
      <c r="H125" s="31">
        <f>Responses!AH121</f>
        <v/>
      </c>
      <c r="I125" s="31">
        <f>IF(Responses!Y121="","",Responses!V121&amp;"")</f>
        <v/>
      </c>
    </row>
    <row r="126">
      <c r="A126" s="28">
        <f>Responses!Z122</f>
        <v/>
      </c>
      <c r="B126" s="29">
        <f>Responses!AA122</f>
        <v/>
      </c>
      <c r="C126" s="30">
        <f>Responses!AB122</f>
        <v/>
      </c>
      <c r="D126" s="30">
        <f>Responses!AC122</f>
        <v/>
      </c>
      <c r="E126" s="30">
        <f>Responses!AD122</f>
        <v/>
      </c>
      <c r="F126" s="31">
        <f>Responses!AE122</f>
        <v/>
      </c>
      <c r="G126" s="31">
        <f>Responses!AF122</f>
        <v/>
      </c>
      <c r="H126" s="31">
        <f>Responses!AH122</f>
        <v/>
      </c>
      <c r="I126" s="31">
        <f>IF(Responses!Y122="","",Responses!V122&amp;"")</f>
        <v/>
      </c>
    </row>
    <row r="127">
      <c r="A127" s="28">
        <f>Responses!Z123</f>
        <v/>
      </c>
      <c r="B127" s="29">
        <f>Responses!AA123</f>
        <v/>
      </c>
      <c r="C127" s="30">
        <f>Responses!AB123</f>
        <v/>
      </c>
      <c r="D127" s="30">
        <f>Responses!AC123</f>
        <v/>
      </c>
      <c r="E127" s="30">
        <f>Responses!AD123</f>
        <v/>
      </c>
      <c r="F127" s="31">
        <f>Responses!AE123</f>
        <v/>
      </c>
      <c r="G127" s="31">
        <f>Responses!AF123</f>
        <v/>
      </c>
      <c r="H127" s="31">
        <f>Responses!AH123</f>
        <v/>
      </c>
      <c r="I127" s="31">
        <f>IF(Responses!Y123="","",Responses!V123&amp;"")</f>
        <v/>
      </c>
    </row>
    <row r="128">
      <c r="A128" s="28">
        <f>Responses!Z124</f>
        <v/>
      </c>
      <c r="B128" s="29">
        <f>Responses!AA124</f>
        <v/>
      </c>
      <c r="C128" s="30">
        <f>Responses!AB124</f>
        <v/>
      </c>
      <c r="D128" s="30">
        <f>Responses!AC124</f>
        <v/>
      </c>
      <c r="E128" s="30">
        <f>Responses!AD124</f>
        <v/>
      </c>
      <c r="F128" s="31">
        <f>Responses!AE124</f>
        <v/>
      </c>
      <c r="G128" s="31">
        <f>Responses!AF124</f>
        <v/>
      </c>
      <c r="H128" s="31">
        <f>Responses!AH124</f>
        <v/>
      </c>
      <c r="I128" s="31">
        <f>IF(Responses!Y124="","",Responses!V124&amp;"")</f>
        <v/>
      </c>
    </row>
    <row r="129">
      <c r="A129" s="28">
        <f>Responses!Z125</f>
        <v/>
      </c>
      <c r="B129" s="29">
        <f>Responses!AA125</f>
        <v/>
      </c>
      <c r="C129" s="30">
        <f>Responses!AB125</f>
        <v/>
      </c>
      <c r="D129" s="30">
        <f>Responses!AC125</f>
        <v/>
      </c>
      <c r="E129" s="30">
        <f>Responses!AD125</f>
        <v/>
      </c>
      <c r="F129" s="31">
        <f>Responses!AE125</f>
        <v/>
      </c>
      <c r="G129" s="31">
        <f>Responses!AF125</f>
        <v/>
      </c>
      <c r="H129" s="31">
        <f>Responses!AH125</f>
        <v/>
      </c>
      <c r="I129" s="31">
        <f>IF(Responses!Y125="","",Responses!V125&amp;"")</f>
        <v/>
      </c>
    </row>
    <row r="130">
      <c r="A130" s="28">
        <f>Responses!Z126</f>
        <v/>
      </c>
      <c r="B130" s="29">
        <f>Responses!AA126</f>
        <v/>
      </c>
      <c r="C130" s="30">
        <f>Responses!AB126</f>
        <v/>
      </c>
      <c r="D130" s="30">
        <f>Responses!AC126</f>
        <v/>
      </c>
      <c r="E130" s="30">
        <f>Responses!AD126</f>
        <v/>
      </c>
      <c r="F130" s="31">
        <f>Responses!AE126</f>
        <v/>
      </c>
      <c r="G130" s="31">
        <f>Responses!AF126</f>
        <v/>
      </c>
      <c r="H130" s="31">
        <f>Responses!AH126</f>
        <v/>
      </c>
      <c r="I130" s="31">
        <f>IF(Responses!Y126="","",Responses!V126&amp;"")</f>
        <v/>
      </c>
    </row>
    <row r="131">
      <c r="A131" s="28">
        <f>Responses!Z127</f>
        <v/>
      </c>
      <c r="B131" s="29">
        <f>Responses!AA127</f>
        <v/>
      </c>
      <c r="C131" s="30">
        <f>Responses!AB127</f>
        <v/>
      </c>
      <c r="D131" s="30">
        <f>Responses!AC127</f>
        <v/>
      </c>
      <c r="E131" s="30">
        <f>Responses!AD127</f>
        <v/>
      </c>
      <c r="F131" s="31">
        <f>Responses!AE127</f>
        <v/>
      </c>
      <c r="G131" s="31">
        <f>Responses!AF127</f>
        <v/>
      </c>
      <c r="H131" s="31">
        <f>Responses!AH127</f>
        <v/>
      </c>
      <c r="I131" s="31">
        <f>IF(Responses!Y127="","",Responses!V127&amp;"")</f>
        <v/>
      </c>
    </row>
    <row r="132">
      <c r="A132" s="28">
        <f>Responses!Z128</f>
        <v/>
      </c>
      <c r="B132" s="29">
        <f>Responses!AA128</f>
        <v/>
      </c>
      <c r="C132" s="30">
        <f>Responses!AB128</f>
        <v/>
      </c>
      <c r="D132" s="30">
        <f>Responses!AC128</f>
        <v/>
      </c>
      <c r="E132" s="30">
        <f>Responses!AD128</f>
        <v/>
      </c>
      <c r="F132" s="31">
        <f>Responses!AE128</f>
        <v/>
      </c>
      <c r="G132" s="31">
        <f>Responses!AF128</f>
        <v/>
      </c>
      <c r="H132" s="31">
        <f>Responses!AH128</f>
        <v/>
      </c>
      <c r="I132" s="31">
        <f>IF(Responses!Y128="","",Responses!V128&amp;"")</f>
        <v/>
      </c>
    </row>
    <row r="133">
      <c r="A133" s="28">
        <f>Responses!Z129</f>
        <v/>
      </c>
      <c r="B133" s="29">
        <f>Responses!AA129</f>
        <v/>
      </c>
      <c r="C133" s="30">
        <f>Responses!AB129</f>
        <v/>
      </c>
      <c r="D133" s="30">
        <f>Responses!AC129</f>
        <v/>
      </c>
      <c r="E133" s="30">
        <f>Responses!AD129</f>
        <v/>
      </c>
      <c r="F133" s="31">
        <f>Responses!AE129</f>
        <v/>
      </c>
      <c r="G133" s="31">
        <f>Responses!AF129</f>
        <v/>
      </c>
      <c r="H133" s="31">
        <f>Responses!AH129</f>
        <v/>
      </c>
      <c r="I133" s="31">
        <f>IF(Responses!Y129="","",Responses!V129&amp;"")</f>
        <v/>
      </c>
    </row>
    <row r="134">
      <c r="A134" s="28">
        <f>Responses!Z130</f>
        <v/>
      </c>
      <c r="B134" s="29">
        <f>Responses!AA130</f>
        <v/>
      </c>
      <c r="C134" s="30">
        <f>Responses!AB130</f>
        <v/>
      </c>
      <c r="D134" s="30">
        <f>Responses!AC130</f>
        <v/>
      </c>
      <c r="E134" s="30">
        <f>Responses!AD130</f>
        <v/>
      </c>
      <c r="F134" s="31">
        <f>Responses!AE130</f>
        <v/>
      </c>
      <c r="G134" s="31">
        <f>Responses!AF130</f>
        <v/>
      </c>
      <c r="H134" s="31">
        <f>Responses!AH130</f>
        <v/>
      </c>
      <c r="I134" s="31">
        <f>IF(Responses!Y130="","",Responses!V130&amp;"")</f>
        <v/>
      </c>
    </row>
    <row r="135">
      <c r="A135" s="28">
        <f>Responses!Z131</f>
        <v/>
      </c>
      <c r="B135" s="29">
        <f>Responses!AA131</f>
        <v/>
      </c>
      <c r="C135" s="30">
        <f>Responses!AB131</f>
        <v/>
      </c>
      <c r="D135" s="30">
        <f>Responses!AC131</f>
        <v/>
      </c>
      <c r="E135" s="30">
        <f>Responses!AD131</f>
        <v/>
      </c>
      <c r="F135" s="31">
        <f>Responses!AE131</f>
        <v/>
      </c>
      <c r="G135" s="31">
        <f>Responses!AF131</f>
        <v/>
      </c>
      <c r="H135" s="31">
        <f>Responses!AH131</f>
        <v/>
      </c>
      <c r="I135" s="31">
        <f>IF(Responses!Y131="","",Responses!V131&amp;"")</f>
        <v/>
      </c>
    </row>
    <row r="136">
      <c r="A136" s="28">
        <f>Responses!Z132</f>
        <v/>
      </c>
      <c r="B136" s="29">
        <f>Responses!AA132</f>
        <v/>
      </c>
      <c r="C136" s="30">
        <f>Responses!AB132</f>
        <v/>
      </c>
      <c r="D136" s="30">
        <f>Responses!AC132</f>
        <v/>
      </c>
      <c r="E136" s="30">
        <f>Responses!AD132</f>
        <v/>
      </c>
      <c r="F136" s="31">
        <f>Responses!AE132</f>
        <v/>
      </c>
      <c r="G136" s="31">
        <f>Responses!AF132</f>
        <v/>
      </c>
      <c r="H136" s="31">
        <f>Responses!AH132</f>
        <v/>
      </c>
      <c r="I136" s="31">
        <f>IF(Responses!Y132="","",Responses!V132&amp;"")</f>
        <v/>
      </c>
    </row>
    <row r="137">
      <c r="A137" s="28">
        <f>Responses!Z133</f>
        <v/>
      </c>
      <c r="B137" s="29">
        <f>Responses!AA133</f>
        <v/>
      </c>
      <c r="C137" s="30">
        <f>Responses!AB133</f>
        <v/>
      </c>
      <c r="D137" s="30">
        <f>Responses!AC133</f>
        <v/>
      </c>
      <c r="E137" s="30">
        <f>Responses!AD133</f>
        <v/>
      </c>
      <c r="F137" s="31">
        <f>Responses!AE133</f>
        <v/>
      </c>
      <c r="G137" s="31">
        <f>Responses!AF133</f>
        <v/>
      </c>
      <c r="H137" s="31">
        <f>Responses!AH133</f>
        <v/>
      </c>
      <c r="I137" s="31">
        <f>IF(Responses!Y133="","",Responses!V133&amp;"")</f>
        <v/>
      </c>
    </row>
    <row r="138">
      <c r="A138" s="28">
        <f>Responses!Z134</f>
        <v/>
      </c>
      <c r="B138" s="29">
        <f>Responses!AA134</f>
        <v/>
      </c>
      <c r="C138" s="30">
        <f>Responses!AB134</f>
        <v/>
      </c>
      <c r="D138" s="30">
        <f>Responses!AC134</f>
        <v/>
      </c>
      <c r="E138" s="30">
        <f>Responses!AD134</f>
        <v/>
      </c>
      <c r="F138" s="31">
        <f>Responses!AE134</f>
        <v/>
      </c>
      <c r="G138" s="31">
        <f>Responses!AF134</f>
        <v/>
      </c>
      <c r="H138" s="31">
        <f>Responses!AH134</f>
        <v/>
      </c>
      <c r="I138" s="31">
        <f>IF(Responses!Y134="","",Responses!V134&amp;"")</f>
        <v/>
      </c>
    </row>
    <row r="139">
      <c r="A139" s="28">
        <f>Responses!Z135</f>
        <v/>
      </c>
      <c r="B139" s="29">
        <f>Responses!AA135</f>
        <v/>
      </c>
      <c r="C139" s="30">
        <f>Responses!AB135</f>
        <v/>
      </c>
      <c r="D139" s="30">
        <f>Responses!AC135</f>
        <v/>
      </c>
      <c r="E139" s="30">
        <f>Responses!AD135</f>
        <v/>
      </c>
      <c r="F139" s="31">
        <f>Responses!AE135</f>
        <v/>
      </c>
      <c r="G139" s="31">
        <f>Responses!AF135</f>
        <v/>
      </c>
      <c r="H139" s="31">
        <f>Responses!AH135</f>
        <v/>
      </c>
      <c r="I139" s="31">
        <f>IF(Responses!Y135="","",Responses!V135&amp;"")</f>
        <v/>
      </c>
    </row>
    <row r="140">
      <c r="A140" s="28">
        <f>Responses!Z136</f>
        <v/>
      </c>
      <c r="B140" s="29">
        <f>Responses!AA136</f>
        <v/>
      </c>
      <c r="C140" s="30">
        <f>Responses!AB136</f>
        <v/>
      </c>
      <c r="D140" s="30">
        <f>Responses!AC136</f>
        <v/>
      </c>
      <c r="E140" s="30">
        <f>Responses!AD136</f>
        <v/>
      </c>
      <c r="F140" s="31">
        <f>Responses!AE136</f>
        <v/>
      </c>
      <c r="G140" s="31">
        <f>Responses!AF136</f>
        <v/>
      </c>
      <c r="H140" s="31">
        <f>Responses!AH136</f>
        <v/>
      </c>
      <c r="I140" s="31">
        <f>IF(Responses!Y136="","",Responses!V136&amp;"")</f>
        <v/>
      </c>
    </row>
    <row r="141">
      <c r="A141" s="28">
        <f>Responses!Z137</f>
        <v/>
      </c>
      <c r="B141" s="29">
        <f>Responses!AA137</f>
        <v/>
      </c>
      <c r="C141" s="30">
        <f>Responses!AB137</f>
        <v/>
      </c>
      <c r="D141" s="30">
        <f>Responses!AC137</f>
        <v/>
      </c>
      <c r="E141" s="30">
        <f>Responses!AD137</f>
        <v/>
      </c>
      <c r="F141" s="31">
        <f>Responses!AE137</f>
        <v/>
      </c>
      <c r="G141" s="31">
        <f>Responses!AF137</f>
        <v/>
      </c>
      <c r="H141" s="31">
        <f>Responses!AH137</f>
        <v/>
      </c>
      <c r="I141" s="31">
        <f>IF(Responses!Y137="","",Responses!V137&amp;"")</f>
        <v/>
      </c>
    </row>
    <row r="142">
      <c r="A142" s="28">
        <f>Responses!Z138</f>
        <v/>
      </c>
      <c r="B142" s="29">
        <f>Responses!AA138</f>
        <v/>
      </c>
      <c r="C142" s="30">
        <f>Responses!AB138</f>
        <v/>
      </c>
      <c r="D142" s="30">
        <f>Responses!AC138</f>
        <v/>
      </c>
      <c r="E142" s="30">
        <f>Responses!AD138</f>
        <v/>
      </c>
      <c r="F142" s="31">
        <f>Responses!AE138</f>
        <v/>
      </c>
      <c r="G142" s="31">
        <f>Responses!AF138</f>
        <v/>
      </c>
      <c r="H142" s="31">
        <f>Responses!AH138</f>
        <v/>
      </c>
      <c r="I142" s="31">
        <f>IF(Responses!Y138="","",Responses!V138&amp;"")</f>
        <v/>
      </c>
    </row>
    <row r="143">
      <c r="A143" s="28">
        <f>Responses!Z139</f>
        <v/>
      </c>
      <c r="B143" s="29">
        <f>Responses!AA139</f>
        <v/>
      </c>
      <c r="C143" s="30">
        <f>Responses!AB139</f>
        <v/>
      </c>
      <c r="D143" s="30">
        <f>Responses!AC139</f>
        <v/>
      </c>
      <c r="E143" s="30">
        <f>Responses!AD139</f>
        <v/>
      </c>
      <c r="F143" s="31">
        <f>Responses!AE139</f>
        <v/>
      </c>
      <c r="G143" s="31">
        <f>Responses!AF139</f>
        <v/>
      </c>
      <c r="H143" s="31">
        <f>Responses!AH139</f>
        <v/>
      </c>
      <c r="I143" s="31">
        <f>IF(Responses!Y139="","",Responses!V139&amp;"")</f>
        <v/>
      </c>
    </row>
    <row r="144">
      <c r="A144" s="28">
        <f>Responses!Z140</f>
        <v/>
      </c>
      <c r="B144" s="29">
        <f>Responses!AA140</f>
        <v/>
      </c>
      <c r="C144" s="30">
        <f>Responses!AB140</f>
        <v/>
      </c>
      <c r="D144" s="30">
        <f>Responses!AC140</f>
        <v/>
      </c>
      <c r="E144" s="30">
        <f>Responses!AD140</f>
        <v/>
      </c>
      <c r="F144" s="31">
        <f>Responses!AE140</f>
        <v/>
      </c>
      <c r="G144" s="31">
        <f>Responses!AF140</f>
        <v/>
      </c>
      <c r="H144" s="31">
        <f>Responses!AH140</f>
        <v/>
      </c>
      <c r="I144" s="31">
        <f>IF(Responses!Y140="","",Responses!V140&amp;"")</f>
        <v/>
      </c>
    </row>
    <row r="145">
      <c r="A145" s="28">
        <f>Responses!Z141</f>
        <v/>
      </c>
      <c r="B145" s="29">
        <f>Responses!AA141</f>
        <v/>
      </c>
      <c r="C145" s="30">
        <f>Responses!AB141</f>
        <v/>
      </c>
      <c r="D145" s="30">
        <f>Responses!AC141</f>
        <v/>
      </c>
      <c r="E145" s="30">
        <f>Responses!AD141</f>
        <v/>
      </c>
      <c r="F145" s="31">
        <f>Responses!AE141</f>
        <v/>
      </c>
      <c r="G145" s="31">
        <f>Responses!AF141</f>
        <v/>
      </c>
      <c r="H145" s="31">
        <f>Responses!AH141</f>
        <v/>
      </c>
      <c r="I145" s="31">
        <f>IF(Responses!Y141="","",Responses!V141&amp;"")</f>
        <v/>
      </c>
    </row>
    <row r="146">
      <c r="A146" s="28">
        <f>Responses!Z142</f>
        <v/>
      </c>
      <c r="B146" s="29">
        <f>Responses!AA142</f>
        <v/>
      </c>
      <c r="C146" s="30">
        <f>Responses!AB142</f>
        <v/>
      </c>
      <c r="D146" s="30">
        <f>Responses!AC142</f>
        <v/>
      </c>
      <c r="E146" s="30">
        <f>Responses!AD142</f>
        <v/>
      </c>
      <c r="F146" s="31">
        <f>Responses!AE142</f>
        <v/>
      </c>
      <c r="G146" s="31">
        <f>Responses!AF142</f>
        <v/>
      </c>
      <c r="H146" s="31">
        <f>Responses!AH142</f>
        <v/>
      </c>
      <c r="I146" s="31">
        <f>IF(Responses!Y142="","",Responses!V142&amp;"")</f>
        <v/>
      </c>
    </row>
    <row r="147">
      <c r="A147" s="28">
        <f>Responses!Z143</f>
        <v/>
      </c>
      <c r="B147" s="29">
        <f>Responses!AA143</f>
        <v/>
      </c>
      <c r="C147" s="30">
        <f>Responses!AB143</f>
        <v/>
      </c>
      <c r="D147" s="30">
        <f>Responses!AC143</f>
        <v/>
      </c>
      <c r="E147" s="30">
        <f>Responses!AD143</f>
        <v/>
      </c>
      <c r="F147" s="31">
        <f>Responses!AE143</f>
        <v/>
      </c>
      <c r="G147" s="31">
        <f>Responses!AF143</f>
        <v/>
      </c>
      <c r="H147" s="31">
        <f>Responses!AH143</f>
        <v/>
      </c>
      <c r="I147" s="31">
        <f>IF(Responses!Y143="","",Responses!V143&amp;"")</f>
        <v/>
      </c>
    </row>
    <row r="148">
      <c r="A148" s="28">
        <f>Responses!Z144</f>
        <v/>
      </c>
      <c r="B148" s="29">
        <f>Responses!AA144</f>
        <v/>
      </c>
      <c r="C148" s="30">
        <f>Responses!AB144</f>
        <v/>
      </c>
      <c r="D148" s="30">
        <f>Responses!AC144</f>
        <v/>
      </c>
      <c r="E148" s="30">
        <f>Responses!AD144</f>
        <v/>
      </c>
      <c r="F148" s="31">
        <f>Responses!AE144</f>
        <v/>
      </c>
      <c r="G148" s="31">
        <f>Responses!AF144</f>
        <v/>
      </c>
      <c r="H148" s="31">
        <f>Responses!AH144</f>
        <v/>
      </c>
      <c r="I148" s="31">
        <f>IF(Responses!Y144="","",Responses!V144&amp;"")</f>
        <v/>
      </c>
    </row>
    <row r="149">
      <c r="A149" s="28">
        <f>Responses!Z145</f>
        <v/>
      </c>
      <c r="B149" s="29">
        <f>Responses!AA145</f>
        <v/>
      </c>
      <c r="C149" s="30">
        <f>Responses!AB145</f>
        <v/>
      </c>
      <c r="D149" s="30">
        <f>Responses!AC145</f>
        <v/>
      </c>
      <c r="E149" s="30">
        <f>Responses!AD145</f>
        <v/>
      </c>
      <c r="F149" s="31">
        <f>Responses!AE145</f>
        <v/>
      </c>
      <c r="G149" s="31">
        <f>Responses!AF145</f>
        <v/>
      </c>
      <c r="H149" s="31">
        <f>Responses!AH145</f>
        <v/>
      </c>
      <c r="I149" s="31">
        <f>IF(Responses!Y145="","",Responses!V145&amp;"")</f>
        <v/>
      </c>
    </row>
    <row r="150">
      <c r="A150" s="28">
        <f>Responses!Z146</f>
        <v/>
      </c>
      <c r="B150" s="29">
        <f>Responses!AA146</f>
        <v/>
      </c>
      <c r="C150" s="30">
        <f>Responses!AB146</f>
        <v/>
      </c>
      <c r="D150" s="30">
        <f>Responses!AC146</f>
        <v/>
      </c>
      <c r="E150" s="30">
        <f>Responses!AD146</f>
        <v/>
      </c>
      <c r="F150" s="31">
        <f>Responses!AE146</f>
        <v/>
      </c>
      <c r="G150" s="31">
        <f>Responses!AF146</f>
        <v/>
      </c>
      <c r="H150" s="31">
        <f>Responses!AH146</f>
        <v/>
      </c>
      <c r="I150" s="31">
        <f>IF(Responses!Y146="","",Responses!V146&amp;"")</f>
        <v/>
      </c>
    </row>
    <row r="151">
      <c r="A151" s="28">
        <f>Responses!Z147</f>
        <v/>
      </c>
      <c r="B151" s="29">
        <f>Responses!AA147</f>
        <v/>
      </c>
      <c r="C151" s="30">
        <f>Responses!AB147</f>
        <v/>
      </c>
      <c r="D151" s="30">
        <f>Responses!AC147</f>
        <v/>
      </c>
      <c r="E151" s="30">
        <f>Responses!AD147</f>
        <v/>
      </c>
      <c r="F151" s="31">
        <f>Responses!AE147</f>
        <v/>
      </c>
      <c r="G151" s="31">
        <f>Responses!AF147</f>
        <v/>
      </c>
      <c r="H151" s="31">
        <f>Responses!AH147</f>
        <v/>
      </c>
      <c r="I151" s="31">
        <f>IF(Responses!Y147="","",Responses!V147&amp;"")</f>
        <v/>
      </c>
    </row>
    <row r="152">
      <c r="A152" s="28">
        <f>Responses!Z148</f>
        <v/>
      </c>
      <c r="B152" s="29">
        <f>Responses!AA148</f>
        <v/>
      </c>
      <c r="C152" s="30">
        <f>Responses!AB148</f>
        <v/>
      </c>
      <c r="D152" s="30">
        <f>Responses!AC148</f>
        <v/>
      </c>
      <c r="E152" s="30">
        <f>Responses!AD148</f>
        <v/>
      </c>
      <c r="F152" s="31">
        <f>Responses!AE148</f>
        <v/>
      </c>
      <c r="G152" s="31">
        <f>Responses!AF148</f>
        <v/>
      </c>
      <c r="H152" s="31">
        <f>Responses!AH148</f>
        <v/>
      </c>
      <c r="I152" s="31">
        <f>IF(Responses!Y148="","",Responses!V148&amp;"")</f>
        <v/>
      </c>
    </row>
    <row r="153">
      <c r="A153" s="28">
        <f>Responses!Z149</f>
        <v/>
      </c>
      <c r="B153" s="29">
        <f>Responses!AA149</f>
        <v/>
      </c>
      <c r="C153" s="30">
        <f>Responses!AB149</f>
        <v/>
      </c>
      <c r="D153" s="30">
        <f>Responses!AC149</f>
        <v/>
      </c>
      <c r="E153" s="30">
        <f>Responses!AD149</f>
        <v/>
      </c>
      <c r="F153" s="31">
        <f>Responses!AE149</f>
        <v/>
      </c>
      <c r="G153" s="31">
        <f>Responses!AF149</f>
        <v/>
      </c>
      <c r="H153" s="31">
        <f>Responses!AH149</f>
        <v/>
      </c>
      <c r="I153" s="31">
        <f>IF(Responses!Y149="","",Responses!V149&amp;"")</f>
        <v/>
      </c>
    </row>
    <row r="154">
      <c r="A154" s="28">
        <f>Responses!Z150</f>
        <v/>
      </c>
      <c r="B154" s="29">
        <f>Responses!AA150</f>
        <v/>
      </c>
      <c r="C154" s="30">
        <f>Responses!AB150</f>
        <v/>
      </c>
      <c r="D154" s="30">
        <f>Responses!AC150</f>
        <v/>
      </c>
      <c r="E154" s="30">
        <f>Responses!AD150</f>
        <v/>
      </c>
      <c r="F154" s="31">
        <f>Responses!AE150</f>
        <v/>
      </c>
      <c r="G154" s="31">
        <f>Responses!AF150</f>
        <v/>
      </c>
      <c r="H154" s="31">
        <f>Responses!AH150</f>
        <v/>
      </c>
      <c r="I154" s="31">
        <f>IF(Responses!Y150="","",Responses!V150&amp;"")</f>
        <v/>
      </c>
    </row>
    <row r="155">
      <c r="A155" s="28">
        <f>Responses!Z151</f>
        <v/>
      </c>
      <c r="B155" s="29">
        <f>Responses!AA151</f>
        <v/>
      </c>
      <c r="C155" s="30">
        <f>Responses!AB151</f>
        <v/>
      </c>
      <c r="D155" s="30">
        <f>Responses!AC151</f>
        <v/>
      </c>
      <c r="E155" s="30">
        <f>Responses!AD151</f>
        <v/>
      </c>
      <c r="F155" s="31">
        <f>Responses!AE151</f>
        <v/>
      </c>
      <c r="G155" s="31">
        <f>Responses!AF151</f>
        <v/>
      </c>
      <c r="H155" s="31">
        <f>Responses!AH151</f>
        <v/>
      </c>
      <c r="I155" s="31">
        <f>IF(Responses!Y151="","",Responses!V151&amp;"")</f>
        <v/>
      </c>
    </row>
    <row r="156">
      <c r="A156" s="28">
        <f>Responses!Z152</f>
        <v/>
      </c>
      <c r="B156" s="29">
        <f>Responses!AA152</f>
        <v/>
      </c>
      <c r="C156" s="30">
        <f>Responses!AB152</f>
        <v/>
      </c>
      <c r="D156" s="30">
        <f>Responses!AC152</f>
        <v/>
      </c>
      <c r="E156" s="30">
        <f>Responses!AD152</f>
        <v/>
      </c>
      <c r="F156" s="31">
        <f>Responses!AE152</f>
        <v/>
      </c>
      <c r="G156" s="31">
        <f>Responses!AF152</f>
        <v/>
      </c>
      <c r="H156" s="31">
        <f>Responses!AH152</f>
        <v/>
      </c>
      <c r="I156" s="31">
        <f>IF(Responses!Y152="","",Responses!V152&amp;"")</f>
        <v/>
      </c>
    </row>
    <row r="157">
      <c r="A157" s="28">
        <f>Responses!Z153</f>
        <v/>
      </c>
      <c r="B157" s="29">
        <f>Responses!AA153</f>
        <v/>
      </c>
      <c r="C157" s="30">
        <f>Responses!AB153</f>
        <v/>
      </c>
      <c r="D157" s="30">
        <f>Responses!AC153</f>
        <v/>
      </c>
      <c r="E157" s="30">
        <f>Responses!AD153</f>
        <v/>
      </c>
      <c r="F157" s="31">
        <f>Responses!AE153</f>
        <v/>
      </c>
      <c r="G157" s="31">
        <f>Responses!AF153</f>
        <v/>
      </c>
      <c r="H157" s="31">
        <f>Responses!AH153</f>
        <v/>
      </c>
      <c r="I157" s="31">
        <f>IF(Responses!Y153="","",Responses!V153&amp;"")</f>
        <v/>
      </c>
    </row>
    <row r="158">
      <c r="A158" s="28">
        <f>Responses!Z154</f>
        <v/>
      </c>
      <c r="B158" s="29">
        <f>Responses!AA154</f>
        <v/>
      </c>
      <c r="C158" s="30">
        <f>Responses!AB154</f>
        <v/>
      </c>
      <c r="D158" s="30">
        <f>Responses!AC154</f>
        <v/>
      </c>
      <c r="E158" s="30">
        <f>Responses!AD154</f>
        <v/>
      </c>
      <c r="F158" s="31">
        <f>Responses!AE154</f>
        <v/>
      </c>
      <c r="G158" s="31">
        <f>Responses!AF154</f>
        <v/>
      </c>
      <c r="H158" s="31">
        <f>Responses!AH154</f>
        <v/>
      </c>
      <c r="I158" s="31">
        <f>IF(Responses!Y154="","",Responses!V154&amp;"")</f>
        <v/>
      </c>
    </row>
    <row r="159">
      <c r="A159" s="28">
        <f>Responses!Z155</f>
        <v/>
      </c>
      <c r="B159" s="29">
        <f>Responses!AA155</f>
        <v/>
      </c>
      <c r="C159" s="30">
        <f>Responses!AB155</f>
        <v/>
      </c>
      <c r="D159" s="30">
        <f>Responses!AC155</f>
        <v/>
      </c>
      <c r="E159" s="30">
        <f>Responses!AD155</f>
        <v/>
      </c>
      <c r="F159" s="31">
        <f>Responses!AE155</f>
        <v/>
      </c>
      <c r="G159" s="31">
        <f>Responses!AF155</f>
        <v/>
      </c>
      <c r="H159" s="31">
        <f>Responses!AH155</f>
        <v/>
      </c>
      <c r="I159" s="31">
        <f>IF(Responses!Y155="","",Responses!V155&amp;"")</f>
        <v/>
      </c>
    </row>
    <row r="160">
      <c r="A160" s="28">
        <f>Responses!Z156</f>
        <v/>
      </c>
      <c r="B160" s="29">
        <f>Responses!AA156</f>
        <v/>
      </c>
      <c r="C160" s="30">
        <f>Responses!AB156</f>
        <v/>
      </c>
      <c r="D160" s="30">
        <f>Responses!AC156</f>
        <v/>
      </c>
      <c r="E160" s="30">
        <f>Responses!AD156</f>
        <v/>
      </c>
      <c r="F160" s="31">
        <f>Responses!AE156</f>
        <v/>
      </c>
      <c r="G160" s="31">
        <f>Responses!AF156</f>
        <v/>
      </c>
      <c r="H160" s="31">
        <f>Responses!AH156</f>
        <v/>
      </c>
      <c r="I160" s="31">
        <f>IF(Responses!Y156="","",Responses!V156&amp;"")</f>
        <v/>
      </c>
    </row>
    <row r="161">
      <c r="A161" s="28">
        <f>Responses!Z157</f>
        <v/>
      </c>
      <c r="B161" s="29">
        <f>Responses!AA157</f>
        <v/>
      </c>
      <c r="C161" s="30">
        <f>Responses!AB157</f>
        <v/>
      </c>
      <c r="D161" s="30">
        <f>Responses!AC157</f>
        <v/>
      </c>
      <c r="E161" s="30">
        <f>Responses!AD157</f>
        <v/>
      </c>
      <c r="F161" s="31">
        <f>Responses!AE157</f>
        <v/>
      </c>
      <c r="G161" s="31">
        <f>Responses!AF157</f>
        <v/>
      </c>
      <c r="H161" s="31">
        <f>Responses!AH157</f>
        <v/>
      </c>
      <c r="I161" s="31">
        <f>IF(Responses!Y157="","",Responses!V157&amp;"")</f>
        <v/>
      </c>
    </row>
    <row r="162">
      <c r="A162" s="28">
        <f>Responses!Z158</f>
        <v/>
      </c>
      <c r="B162" s="29">
        <f>Responses!AA158</f>
        <v/>
      </c>
      <c r="C162" s="30">
        <f>Responses!AB158</f>
        <v/>
      </c>
      <c r="D162" s="30">
        <f>Responses!AC158</f>
        <v/>
      </c>
      <c r="E162" s="30">
        <f>Responses!AD158</f>
        <v/>
      </c>
      <c r="F162" s="31">
        <f>Responses!AE158</f>
        <v/>
      </c>
      <c r="G162" s="31">
        <f>Responses!AF158</f>
        <v/>
      </c>
      <c r="H162" s="31">
        <f>Responses!AH158</f>
        <v/>
      </c>
      <c r="I162" s="31">
        <f>IF(Responses!Y158="","",Responses!V158&amp;"")</f>
        <v/>
      </c>
    </row>
    <row r="163">
      <c r="A163" s="28">
        <f>Responses!Z159</f>
        <v/>
      </c>
      <c r="B163" s="29">
        <f>Responses!AA159</f>
        <v/>
      </c>
      <c r="C163" s="30">
        <f>Responses!AB159</f>
        <v/>
      </c>
      <c r="D163" s="30">
        <f>Responses!AC159</f>
        <v/>
      </c>
      <c r="E163" s="30">
        <f>Responses!AD159</f>
        <v/>
      </c>
      <c r="F163" s="31">
        <f>Responses!AE159</f>
        <v/>
      </c>
      <c r="G163" s="31">
        <f>Responses!AF159</f>
        <v/>
      </c>
      <c r="H163" s="31">
        <f>Responses!AH159</f>
        <v/>
      </c>
      <c r="I163" s="31">
        <f>IF(Responses!Y159="","",Responses!V159&amp;"")</f>
        <v/>
      </c>
    </row>
    <row r="164">
      <c r="A164" s="28">
        <f>Responses!Z160</f>
        <v/>
      </c>
      <c r="B164" s="29">
        <f>Responses!AA160</f>
        <v/>
      </c>
      <c r="C164" s="30">
        <f>Responses!AB160</f>
        <v/>
      </c>
      <c r="D164" s="30">
        <f>Responses!AC160</f>
        <v/>
      </c>
      <c r="E164" s="30">
        <f>Responses!AD160</f>
        <v/>
      </c>
      <c r="F164" s="31">
        <f>Responses!AE160</f>
        <v/>
      </c>
      <c r="G164" s="31">
        <f>Responses!AF160</f>
        <v/>
      </c>
      <c r="H164" s="31">
        <f>Responses!AH160</f>
        <v/>
      </c>
      <c r="I164" s="31">
        <f>IF(Responses!Y160="","",Responses!V160&amp;"")</f>
        <v/>
      </c>
    </row>
    <row r="165">
      <c r="A165" s="28">
        <f>Responses!Z161</f>
        <v/>
      </c>
      <c r="B165" s="29">
        <f>Responses!AA161</f>
        <v/>
      </c>
      <c r="C165" s="30">
        <f>Responses!AB161</f>
        <v/>
      </c>
      <c r="D165" s="30">
        <f>Responses!AC161</f>
        <v/>
      </c>
      <c r="E165" s="30">
        <f>Responses!AD161</f>
        <v/>
      </c>
      <c r="F165" s="31">
        <f>Responses!AE161</f>
        <v/>
      </c>
      <c r="G165" s="31">
        <f>Responses!AF161</f>
        <v/>
      </c>
      <c r="H165" s="31">
        <f>Responses!AH161</f>
        <v/>
      </c>
      <c r="I165" s="31">
        <f>IF(Responses!Y161="","",Responses!V161&amp;"")</f>
        <v/>
      </c>
    </row>
    <row r="166">
      <c r="A166" s="28">
        <f>Responses!Z162</f>
        <v/>
      </c>
      <c r="B166" s="29">
        <f>Responses!AA162</f>
        <v/>
      </c>
      <c r="C166" s="30">
        <f>Responses!AB162</f>
        <v/>
      </c>
      <c r="D166" s="30">
        <f>Responses!AC162</f>
        <v/>
      </c>
      <c r="E166" s="30">
        <f>Responses!AD162</f>
        <v/>
      </c>
      <c r="F166" s="31">
        <f>Responses!AE162</f>
        <v/>
      </c>
      <c r="G166" s="31">
        <f>Responses!AF162</f>
        <v/>
      </c>
      <c r="H166" s="31">
        <f>Responses!AH162</f>
        <v/>
      </c>
      <c r="I166" s="31">
        <f>IF(Responses!Y162="","",Responses!V162&amp;"")</f>
        <v/>
      </c>
    </row>
    <row r="167">
      <c r="A167" s="28">
        <f>Responses!Z163</f>
        <v/>
      </c>
      <c r="B167" s="29">
        <f>Responses!AA163</f>
        <v/>
      </c>
      <c r="C167" s="30">
        <f>Responses!AB163</f>
        <v/>
      </c>
      <c r="D167" s="30">
        <f>Responses!AC163</f>
        <v/>
      </c>
      <c r="E167" s="30">
        <f>Responses!AD163</f>
        <v/>
      </c>
      <c r="F167" s="31">
        <f>Responses!AE163</f>
        <v/>
      </c>
      <c r="G167" s="31">
        <f>Responses!AF163</f>
        <v/>
      </c>
      <c r="H167" s="31">
        <f>Responses!AH163</f>
        <v/>
      </c>
      <c r="I167" s="31">
        <f>IF(Responses!Y163="","",Responses!V163&amp;"")</f>
        <v/>
      </c>
    </row>
    <row r="168">
      <c r="A168" s="28">
        <f>Responses!Z164</f>
        <v/>
      </c>
      <c r="B168" s="29">
        <f>Responses!AA164</f>
        <v/>
      </c>
      <c r="C168" s="30">
        <f>Responses!AB164</f>
        <v/>
      </c>
      <c r="D168" s="30">
        <f>Responses!AC164</f>
        <v/>
      </c>
      <c r="E168" s="30">
        <f>Responses!AD164</f>
        <v/>
      </c>
      <c r="F168" s="31">
        <f>Responses!AE164</f>
        <v/>
      </c>
      <c r="G168" s="31">
        <f>Responses!AF164</f>
        <v/>
      </c>
      <c r="H168" s="31">
        <f>Responses!AH164</f>
        <v/>
      </c>
      <c r="I168" s="31">
        <f>IF(Responses!Y164="","",Responses!V164&amp;"")</f>
        <v/>
      </c>
    </row>
    <row r="169">
      <c r="A169" s="28">
        <f>Responses!Z165</f>
        <v/>
      </c>
      <c r="B169" s="29">
        <f>Responses!AA165</f>
        <v/>
      </c>
      <c r="C169" s="30">
        <f>Responses!AB165</f>
        <v/>
      </c>
      <c r="D169" s="30">
        <f>Responses!AC165</f>
        <v/>
      </c>
      <c r="E169" s="30">
        <f>Responses!AD165</f>
        <v/>
      </c>
      <c r="F169" s="31">
        <f>Responses!AE165</f>
        <v/>
      </c>
      <c r="G169" s="31">
        <f>Responses!AF165</f>
        <v/>
      </c>
      <c r="H169" s="31">
        <f>Responses!AH165</f>
        <v/>
      </c>
      <c r="I169" s="31">
        <f>IF(Responses!Y165="","",Responses!V165&amp;"")</f>
        <v/>
      </c>
    </row>
    <row r="170">
      <c r="A170" s="28">
        <f>Responses!Z166</f>
        <v/>
      </c>
      <c r="B170" s="29">
        <f>Responses!AA166</f>
        <v/>
      </c>
      <c r="C170" s="30">
        <f>Responses!AB166</f>
        <v/>
      </c>
      <c r="D170" s="30">
        <f>Responses!AC166</f>
        <v/>
      </c>
      <c r="E170" s="30">
        <f>Responses!AD166</f>
        <v/>
      </c>
      <c r="F170" s="31">
        <f>Responses!AE166</f>
        <v/>
      </c>
      <c r="G170" s="31">
        <f>Responses!AF166</f>
        <v/>
      </c>
      <c r="H170" s="31">
        <f>Responses!AH166</f>
        <v/>
      </c>
      <c r="I170" s="31">
        <f>IF(Responses!Y166="","",Responses!V166&amp;"")</f>
        <v/>
      </c>
    </row>
    <row r="171">
      <c r="A171" s="28">
        <f>Responses!Z167</f>
        <v/>
      </c>
      <c r="B171" s="29">
        <f>Responses!AA167</f>
        <v/>
      </c>
      <c r="C171" s="30">
        <f>Responses!AB167</f>
        <v/>
      </c>
      <c r="D171" s="30">
        <f>Responses!AC167</f>
        <v/>
      </c>
      <c r="E171" s="30">
        <f>Responses!AD167</f>
        <v/>
      </c>
      <c r="F171" s="31">
        <f>Responses!AE167</f>
        <v/>
      </c>
      <c r="G171" s="31">
        <f>Responses!AF167</f>
        <v/>
      </c>
      <c r="H171" s="31">
        <f>Responses!AH167</f>
        <v/>
      </c>
      <c r="I171" s="31">
        <f>IF(Responses!Y167="","",Responses!V167&amp;"")</f>
        <v/>
      </c>
    </row>
    <row r="172">
      <c r="A172" s="28">
        <f>Responses!Z168</f>
        <v/>
      </c>
      <c r="B172" s="29">
        <f>Responses!AA168</f>
        <v/>
      </c>
      <c r="C172" s="30">
        <f>Responses!AB168</f>
        <v/>
      </c>
      <c r="D172" s="30">
        <f>Responses!AC168</f>
        <v/>
      </c>
      <c r="E172" s="30">
        <f>Responses!AD168</f>
        <v/>
      </c>
      <c r="F172" s="31">
        <f>Responses!AE168</f>
        <v/>
      </c>
      <c r="G172" s="31">
        <f>Responses!AF168</f>
        <v/>
      </c>
      <c r="H172" s="31">
        <f>Responses!AH168</f>
        <v/>
      </c>
      <c r="I172" s="31">
        <f>IF(Responses!Y168="","",Responses!V168&amp;"")</f>
        <v/>
      </c>
    </row>
    <row r="173">
      <c r="A173" s="28">
        <f>Responses!Z169</f>
        <v/>
      </c>
      <c r="B173" s="29">
        <f>Responses!AA169</f>
        <v/>
      </c>
      <c r="C173" s="30">
        <f>Responses!AB169</f>
        <v/>
      </c>
      <c r="D173" s="30">
        <f>Responses!AC169</f>
        <v/>
      </c>
      <c r="E173" s="30">
        <f>Responses!AD169</f>
        <v/>
      </c>
      <c r="F173" s="31">
        <f>Responses!AE169</f>
        <v/>
      </c>
      <c r="G173" s="31">
        <f>Responses!AF169</f>
        <v/>
      </c>
      <c r="H173" s="31">
        <f>Responses!AH169</f>
        <v/>
      </c>
      <c r="I173" s="31">
        <f>IF(Responses!Y169="","",Responses!V169&amp;"")</f>
        <v/>
      </c>
    </row>
    <row r="174">
      <c r="A174" s="28">
        <f>Responses!Z170</f>
        <v/>
      </c>
      <c r="B174" s="29">
        <f>Responses!AA170</f>
        <v/>
      </c>
      <c r="C174" s="30">
        <f>Responses!AB170</f>
        <v/>
      </c>
      <c r="D174" s="30">
        <f>Responses!AC170</f>
        <v/>
      </c>
      <c r="E174" s="30">
        <f>Responses!AD170</f>
        <v/>
      </c>
      <c r="F174" s="31">
        <f>Responses!AE170</f>
        <v/>
      </c>
      <c r="G174" s="31">
        <f>Responses!AF170</f>
        <v/>
      </c>
      <c r="H174" s="31">
        <f>Responses!AH170</f>
        <v/>
      </c>
      <c r="I174" s="31">
        <f>IF(Responses!Y170="","",Responses!V170&amp;"")</f>
        <v/>
      </c>
    </row>
    <row r="175">
      <c r="A175" s="28">
        <f>Responses!Z171</f>
        <v/>
      </c>
      <c r="B175" s="29">
        <f>Responses!AA171</f>
        <v/>
      </c>
      <c r="C175" s="30">
        <f>Responses!AB171</f>
        <v/>
      </c>
      <c r="D175" s="30">
        <f>Responses!AC171</f>
        <v/>
      </c>
      <c r="E175" s="30">
        <f>Responses!AD171</f>
        <v/>
      </c>
      <c r="F175" s="31">
        <f>Responses!AE171</f>
        <v/>
      </c>
      <c r="G175" s="31">
        <f>Responses!AF171</f>
        <v/>
      </c>
      <c r="H175" s="31">
        <f>Responses!AH171</f>
        <v/>
      </c>
      <c r="I175" s="31">
        <f>IF(Responses!Y171="","",Responses!V171&amp;"")</f>
        <v/>
      </c>
    </row>
    <row r="176">
      <c r="A176" s="28">
        <f>Responses!Z172</f>
        <v/>
      </c>
      <c r="B176" s="29">
        <f>Responses!AA172</f>
        <v/>
      </c>
      <c r="C176" s="30">
        <f>Responses!AB172</f>
        <v/>
      </c>
      <c r="D176" s="30">
        <f>Responses!AC172</f>
        <v/>
      </c>
      <c r="E176" s="30">
        <f>Responses!AD172</f>
        <v/>
      </c>
      <c r="F176" s="31">
        <f>Responses!AE172</f>
        <v/>
      </c>
      <c r="G176" s="31">
        <f>Responses!AF172</f>
        <v/>
      </c>
      <c r="H176" s="31">
        <f>Responses!AH172</f>
        <v/>
      </c>
      <c r="I176" s="31">
        <f>IF(Responses!Y172="","",Responses!V172&amp;"")</f>
        <v/>
      </c>
    </row>
    <row r="177">
      <c r="A177" s="28">
        <f>Responses!Z173</f>
        <v/>
      </c>
      <c r="B177" s="29">
        <f>Responses!AA173</f>
        <v/>
      </c>
      <c r="C177" s="30">
        <f>Responses!AB173</f>
        <v/>
      </c>
      <c r="D177" s="30">
        <f>Responses!AC173</f>
        <v/>
      </c>
      <c r="E177" s="30">
        <f>Responses!AD173</f>
        <v/>
      </c>
      <c r="F177" s="31">
        <f>Responses!AE173</f>
        <v/>
      </c>
      <c r="G177" s="31">
        <f>Responses!AF173</f>
        <v/>
      </c>
      <c r="H177" s="31">
        <f>Responses!AH173</f>
        <v/>
      </c>
      <c r="I177" s="31">
        <f>IF(Responses!Y173="","",Responses!V173&amp;"")</f>
        <v/>
      </c>
    </row>
    <row r="178">
      <c r="A178" s="28">
        <f>Responses!Z174</f>
        <v/>
      </c>
      <c r="B178" s="29">
        <f>Responses!AA174</f>
        <v/>
      </c>
      <c r="C178" s="30">
        <f>Responses!AB174</f>
        <v/>
      </c>
      <c r="D178" s="30">
        <f>Responses!AC174</f>
        <v/>
      </c>
      <c r="E178" s="30">
        <f>Responses!AD174</f>
        <v/>
      </c>
      <c r="F178" s="31">
        <f>Responses!AE174</f>
        <v/>
      </c>
      <c r="G178" s="31">
        <f>Responses!AF174</f>
        <v/>
      </c>
      <c r="H178" s="31">
        <f>Responses!AH174</f>
        <v/>
      </c>
      <c r="I178" s="31">
        <f>IF(Responses!Y174="","",Responses!V174&amp;"")</f>
        <v/>
      </c>
    </row>
    <row r="179">
      <c r="A179" s="28">
        <f>Responses!Z175</f>
        <v/>
      </c>
      <c r="B179" s="29">
        <f>Responses!AA175</f>
        <v/>
      </c>
      <c r="C179" s="30">
        <f>Responses!AB175</f>
        <v/>
      </c>
      <c r="D179" s="30">
        <f>Responses!AC175</f>
        <v/>
      </c>
      <c r="E179" s="30">
        <f>Responses!AD175</f>
        <v/>
      </c>
      <c r="F179" s="31">
        <f>Responses!AE175</f>
        <v/>
      </c>
      <c r="G179" s="31">
        <f>Responses!AF175</f>
        <v/>
      </c>
      <c r="H179" s="31">
        <f>Responses!AH175</f>
        <v/>
      </c>
      <c r="I179" s="31">
        <f>IF(Responses!Y175="","",Responses!V175&amp;"")</f>
        <v/>
      </c>
    </row>
    <row r="180">
      <c r="A180" s="28">
        <f>Responses!Z176</f>
        <v/>
      </c>
      <c r="B180" s="29">
        <f>Responses!AA176</f>
        <v/>
      </c>
      <c r="C180" s="30">
        <f>Responses!AB176</f>
        <v/>
      </c>
      <c r="D180" s="30">
        <f>Responses!AC176</f>
        <v/>
      </c>
      <c r="E180" s="30">
        <f>Responses!AD176</f>
        <v/>
      </c>
      <c r="F180" s="31">
        <f>Responses!AE176</f>
        <v/>
      </c>
      <c r="G180" s="31">
        <f>Responses!AF176</f>
        <v/>
      </c>
      <c r="H180" s="31">
        <f>Responses!AH176</f>
        <v/>
      </c>
      <c r="I180" s="31">
        <f>IF(Responses!Y176="","",Responses!V176&amp;"")</f>
        <v/>
      </c>
    </row>
    <row r="181">
      <c r="A181" s="28">
        <f>Responses!Z177</f>
        <v/>
      </c>
      <c r="B181" s="29">
        <f>Responses!AA177</f>
        <v/>
      </c>
      <c r="C181" s="30">
        <f>Responses!AB177</f>
        <v/>
      </c>
      <c r="D181" s="30">
        <f>Responses!AC177</f>
        <v/>
      </c>
      <c r="E181" s="30">
        <f>Responses!AD177</f>
        <v/>
      </c>
      <c r="F181" s="31">
        <f>Responses!AE177</f>
        <v/>
      </c>
      <c r="G181" s="31">
        <f>Responses!AF177</f>
        <v/>
      </c>
      <c r="H181" s="31">
        <f>Responses!AH177</f>
        <v/>
      </c>
      <c r="I181" s="31">
        <f>IF(Responses!Y177="","",Responses!V177&amp;"")</f>
        <v/>
      </c>
    </row>
    <row r="182">
      <c r="A182" s="28">
        <f>Responses!Z178</f>
        <v/>
      </c>
      <c r="B182" s="29">
        <f>Responses!AA178</f>
        <v/>
      </c>
      <c r="C182" s="30">
        <f>Responses!AB178</f>
        <v/>
      </c>
      <c r="D182" s="30">
        <f>Responses!AC178</f>
        <v/>
      </c>
      <c r="E182" s="30">
        <f>Responses!AD178</f>
        <v/>
      </c>
      <c r="F182" s="31">
        <f>Responses!AE178</f>
        <v/>
      </c>
      <c r="G182" s="31">
        <f>Responses!AF178</f>
        <v/>
      </c>
      <c r="H182" s="31">
        <f>Responses!AH178</f>
        <v/>
      </c>
      <c r="I182" s="31">
        <f>IF(Responses!Y178="","",Responses!V178&amp;"")</f>
        <v/>
      </c>
    </row>
    <row r="183">
      <c r="A183" s="28">
        <f>Responses!Z179</f>
        <v/>
      </c>
      <c r="B183" s="29">
        <f>Responses!AA179</f>
        <v/>
      </c>
      <c r="C183" s="30">
        <f>Responses!AB179</f>
        <v/>
      </c>
      <c r="D183" s="30">
        <f>Responses!AC179</f>
        <v/>
      </c>
      <c r="E183" s="30">
        <f>Responses!AD179</f>
        <v/>
      </c>
      <c r="F183" s="31">
        <f>Responses!AE179</f>
        <v/>
      </c>
      <c r="G183" s="31">
        <f>Responses!AF179</f>
        <v/>
      </c>
      <c r="H183" s="31">
        <f>Responses!AH179</f>
        <v/>
      </c>
      <c r="I183" s="31">
        <f>IF(Responses!Y179="","",Responses!V179&amp;"")</f>
        <v/>
      </c>
    </row>
    <row r="184">
      <c r="A184" s="28">
        <f>Responses!Z180</f>
        <v/>
      </c>
      <c r="B184" s="29">
        <f>Responses!AA180</f>
        <v/>
      </c>
      <c r="C184" s="30">
        <f>Responses!AB180</f>
        <v/>
      </c>
      <c r="D184" s="30">
        <f>Responses!AC180</f>
        <v/>
      </c>
      <c r="E184" s="30">
        <f>Responses!AD180</f>
        <v/>
      </c>
      <c r="F184" s="31">
        <f>Responses!AE180</f>
        <v/>
      </c>
      <c r="G184" s="31">
        <f>Responses!AF180</f>
        <v/>
      </c>
      <c r="H184" s="31">
        <f>Responses!AH180</f>
        <v/>
      </c>
      <c r="I184" s="31">
        <f>IF(Responses!Y180="","",Responses!V180&amp;"")</f>
        <v/>
      </c>
    </row>
    <row r="185">
      <c r="A185" s="28">
        <f>Responses!Z181</f>
        <v/>
      </c>
      <c r="B185" s="29">
        <f>Responses!AA181</f>
        <v/>
      </c>
      <c r="C185" s="30">
        <f>Responses!AB181</f>
        <v/>
      </c>
      <c r="D185" s="30">
        <f>Responses!AC181</f>
        <v/>
      </c>
      <c r="E185" s="30">
        <f>Responses!AD181</f>
        <v/>
      </c>
      <c r="F185" s="31">
        <f>Responses!AE181</f>
        <v/>
      </c>
      <c r="G185" s="31">
        <f>Responses!AF181</f>
        <v/>
      </c>
      <c r="H185" s="31">
        <f>Responses!AH181</f>
        <v/>
      </c>
      <c r="I185" s="31">
        <f>IF(Responses!Y181="","",Responses!V181&amp;"")</f>
        <v/>
      </c>
    </row>
    <row r="186">
      <c r="A186" s="28">
        <f>Responses!Z182</f>
        <v/>
      </c>
      <c r="B186" s="29">
        <f>Responses!AA182</f>
        <v/>
      </c>
      <c r="C186" s="30">
        <f>Responses!AB182</f>
        <v/>
      </c>
      <c r="D186" s="30">
        <f>Responses!AC182</f>
        <v/>
      </c>
      <c r="E186" s="30">
        <f>Responses!AD182</f>
        <v/>
      </c>
      <c r="F186" s="31">
        <f>Responses!AE182</f>
        <v/>
      </c>
      <c r="G186" s="31">
        <f>Responses!AF182</f>
        <v/>
      </c>
      <c r="H186" s="31">
        <f>Responses!AH182</f>
        <v/>
      </c>
      <c r="I186" s="31">
        <f>IF(Responses!Y182="","",Responses!V182&amp;"")</f>
        <v/>
      </c>
    </row>
    <row r="187">
      <c r="A187" s="28">
        <f>Responses!Z183</f>
        <v/>
      </c>
      <c r="B187" s="29">
        <f>Responses!AA183</f>
        <v/>
      </c>
      <c r="C187" s="30">
        <f>Responses!AB183</f>
        <v/>
      </c>
      <c r="D187" s="30">
        <f>Responses!AC183</f>
        <v/>
      </c>
      <c r="E187" s="30">
        <f>Responses!AD183</f>
        <v/>
      </c>
      <c r="F187" s="31">
        <f>Responses!AE183</f>
        <v/>
      </c>
      <c r="G187" s="31">
        <f>Responses!AF183</f>
        <v/>
      </c>
      <c r="H187" s="31">
        <f>Responses!AH183</f>
        <v/>
      </c>
      <c r="I187" s="31">
        <f>IF(Responses!Y183="","",Responses!V183&amp;"")</f>
        <v/>
      </c>
    </row>
    <row r="188">
      <c r="A188" s="28">
        <f>Responses!Z184</f>
        <v/>
      </c>
      <c r="B188" s="29">
        <f>Responses!AA184</f>
        <v/>
      </c>
      <c r="C188" s="30">
        <f>Responses!AB184</f>
        <v/>
      </c>
      <c r="D188" s="30">
        <f>Responses!AC184</f>
        <v/>
      </c>
      <c r="E188" s="30">
        <f>Responses!AD184</f>
        <v/>
      </c>
      <c r="F188" s="31">
        <f>Responses!AE184</f>
        <v/>
      </c>
      <c r="G188" s="31">
        <f>Responses!AF184</f>
        <v/>
      </c>
      <c r="H188" s="31">
        <f>Responses!AH184</f>
        <v/>
      </c>
      <c r="I188" s="31">
        <f>IF(Responses!Y184="","",Responses!V184&amp;"")</f>
        <v/>
      </c>
    </row>
    <row r="189">
      <c r="A189" s="28">
        <f>Responses!Z185</f>
        <v/>
      </c>
      <c r="B189" s="29">
        <f>Responses!AA185</f>
        <v/>
      </c>
      <c r="C189" s="30">
        <f>Responses!AB185</f>
        <v/>
      </c>
      <c r="D189" s="30">
        <f>Responses!AC185</f>
        <v/>
      </c>
      <c r="E189" s="30">
        <f>Responses!AD185</f>
        <v/>
      </c>
      <c r="F189" s="31">
        <f>Responses!AE185</f>
        <v/>
      </c>
      <c r="G189" s="31">
        <f>Responses!AF185</f>
        <v/>
      </c>
      <c r="H189" s="31">
        <f>Responses!AH185</f>
        <v/>
      </c>
      <c r="I189" s="31">
        <f>IF(Responses!Y185="","",Responses!V185&amp;"")</f>
        <v/>
      </c>
    </row>
    <row r="190">
      <c r="A190" s="28">
        <f>Responses!Z186</f>
        <v/>
      </c>
      <c r="B190" s="29">
        <f>Responses!AA186</f>
        <v/>
      </c>
      <c r="C190" s="30">
        <f>Responses!AB186</f>
        <v/>
      </c>
      <c r="D190" s="30">
        <f>Responses!AC186</f>
        <v/>
      </c>
      <c r="E190" s="30">
        <f>Responses!AD186</f>
        <v/>
      </c>
      <c r="F190" s="31">
        <f>Responses!AE186</f>
        <v/>
      </c>
      <c r="G190" s="31">
        <f>Responses!AF186</f>
        <v/>
      </c>
      <c r="H190" s="31">
        <f>Responses!AH186</f>
        <v/>
      </c>
      <c r="I190" s="31">
        <f>IF(Responses!Y186="","",Responses!V186&amp;"")</f>
        <v/>
      </c>
    </row>
    <row r="191">
      <c r="A191" s="28">
        <f>Responses!Z187</f>
        <v/>
      </c>
      <c r="B191" s="29">
        <f>Responses!AA187</f>
        <v/>
      </c>
      <c r="C191" s="30">
        <f>Responses!AB187</f>
        <v/>
      </c>
      <c r="D191" s="30">
        <f>Responses!AC187</f>
        <v/>
      </c>
      <c r="E191" s="30">
        <f>Responses!AD187</f>
        <v/>
      </c>
      <c r="F191" s="31">
        <f>Responses!AE187</f>
        <v/>
      </c>
      <c r="G191" s="31">
        <f>Responses!AF187</f>
        <v/>
      </c>
      <c r="H191" s="31">
        <f>Responses!AH187</f>
        <v/>
      </c>
      <c r="I191" s="31">
        <f>IF(Responses!Y187="","",Responses!V187&amp;"")</f>
        <v/>
      </c>
    </row>
    <row r="192">
      <c r="A192" s="28">
        <f>Responses!Z188</f>
        <v/>
      </c>
      <c r="B192" s="29">
        <f>Responses!AA188</f>
        <v/>
      </c>
      <c r="C192" s="30">
        <f>Responses!AB188</f>
        <v/>
      </c>
      <c r="D192" s="30">
        <f>Responses!AC188</f>
        <v/>
      </c>
      <c r="E192" s="30">
        <f>Responses!AD188</f>
        <v/>
      </c>
      <c r="F192" s="31">
        <f>Responses!AE188</f>
        <v/>
      </c>
      <c r="G192" s="31">
        <f>Responses!AF188</f>
        <v/>
      </c>
      <c r="H192" s="31">
        <f>Responses!AH188</f>
        <v/>
      </c>
      <c r="I192" s="31">
        <f>IF(Responses!Y188="","",Responses!V188&amp;"")</f>
        <v/>
      </c>
    </row>
    <row r="193">
      <c r="A193" s="28">
        <f>Responses!Z189</f>
        <v/>
      </c>
      <c r="B193" s="29">
        <f>Responses!AA189</f>
        <v/>
      </c>
      <c r="C193" s="30">
        <f>Responses!AB189</f>
        <v/>
      </c>
      <c r="D193" s="30">
        <f>Responses!AC189</f>
        <v/>
      </c>
      <c r="E193" s="30">
        <f>Responses!AD189</f>
        <v/>
      </c>
      <c r="F193" s="31">
        <f>Responses!AE189</f>
        <v/>
      </c>
      <c r="G193" s="31">
        <f>Responses!AF189</f>
        <v/>
      </c>
      <c r="H193" s="31">
        <f>Responses!AH189</f>
        <v/>
      </c>
      <c r="I193" s="31">
        <f>IF(Responses!Y189="","",Responses!V189&amp;"")</f>
        <v/>
      </c>
    </row>
    <row r="194">
      <c r="A194" s="28">
        <f>Responses!Z190</f>
        <v/>
      </c>
      <c r="B194" s="29">
        <f>Responses!AA190</f>
        <v/>
      </c>
      <c r="C194" s="30">
        <f>Responses!AB190</f>
        <v/>
      </c>
      <c r="D194" s="30">
        <f>Responses!AC190</f>
        <v/>
      </c>
      <c r="E194" s="30">
        <f>Responses!AD190</f>
        <v/>
      </c>
      <c r="F194" s="31">
        <f>Responses!AE190</f>
        <v/>
      </c>
      <c r="G194" s="31">
        <f>Responses!AF190</f>
        <v/>
      </c>
      <c r="H194" s="31">
        <f>Responses!AH190</f>
        <v/>
      </c>
      <c r="I194" s="31">
        <f>IF(Responses!Y190="","",Responses!V190&amp;"")</f>
        <v/>
      </c>
    </row>
    <row r="195">
      <c r="A195" s="28">
        <f>Responses!Z191</f>
        <v/>
      </c>
      <c r="B195" s="29">
        <f>Responses!AA191</f>
        <v/>
      </c>
      <c r="C195" s="30">
        <f>Responses!AB191</f>
        <v/>
      </c>
      <c r="D195" s="30">
        <f>Responses!AC191</f>
        <v/>
      </c>
      <c r="E195" s="30">
        <f>Responses!AD191</f>
        <v/>
      </c>
      <c r="F195" s="31">
        <f>Responses!AE191</f>
        <v/>
      </c>
      <c r="G195" s="31">
        <f>Responses!AF191</f>
        <v/>
      </c>
      <c r="H195" s="31">
        <f>Responses!AH191</f>
        <v/>
      </c>
      <c r="I195" s="31">
        <f>IF(Responses!Y191="","",Responses!V191&amp;"")</f>
        <v/>
      </c>
    </row>
    <row r="196">
      <c r="A196" s="28">
        <f>Responses!Z192</f>
        <v/>
      </c>
      <c r="B196" s="29">
        <f>Responses!AA192</f>
        <v/>
      </c>
      <c r="C196" s="30">
        <f>Responses!AB192</f>
        <v/>
      </c>
      <c r="D196" s="30">
        <f>Responses!AC192</f>
        <v/>
      </c>
      <c r="E196" s="30">
        <f>Responses!AD192</f>
        <v/>
      </c>
      <c r="F196" s="31">
        <f>Responses!AE192</f>
        <v/>
      </c>
      <c r="G196" s="31">
        <f>Responses!AF192</f>
        <v/>
      </c>
      <c r="H196" s="31">
        <f>Responses!AH192</f>
        <v/>
      </c>
      <c r="I196" s="31">
        <f>IF(Responses!Y192="","",Responses!V192&amp;"")</f>
        <v/>
      </c>
    </row>
    <row r="197">
      <c r="A197" s="28">
        <f>Responses!Z193</f>
        <v/>
      </c>
      <c r="B197" s="29">
        <f>Responses!AA193</f>
        <v/>
      </c>
      <c r="C197" s="30">
        <f>Responses!AB193</f>
        <v/>
      </c>
      <c r="D197" s="30">
        <f>Responses!AC193</f>
        <v/>
      </c>
      <c r="E197" s="30">
        <f>Responses!AD193</f>
        <v/>
      </c>
      <c r="F197" s="31">
        <f>Responses!AE193</f>
        <v/>
      </c>
      <c r="G197" s="31">
        <f>Responses!AF193</f>
        <v/>
      </c>
      <c r="H197" s="31">
        <f>Responses!AH193</f>
        <v/>
      </c>
      <c r="I197" s="31">
        <f>IF(Responses!Y193="","",Responses!V193&amp;"")</f>
        <v/>
      </c>
    </row>
    <row r="198">
      <c r="A198" s="28">
        <f>Responses!Z194</f>
        <v/>
      </c>
      <c r="B198" s="29">
        <f>Responses!AA194</f>
        <v/>
      </c>
      <c r="C198" s="30">
        <f>Responses!AB194</f>
        <v/>
      </c>
      <c r="D198" s="30">
        <f>Responses!AC194</f>
        <v/>
      </c>
      <c r="E198" s="30">
        <f>Responses!AD194</f>
        <v/>
      </c>
      <c r="F198" s="31">
        <f>Responses!AE194</f>
        <v/>
      </c>
      <c r="G198" s="31">
        <f>Responses!AF194</f>
        <v/>
      </c>
      <c r="H198" s="31">
        <f>Responses!AH194</f>
        <v/>
      </c>
      <c r="I198" s="31">
        <f>IF(Responses!Y194="","",Responses!V194&amp;"")</f>
        <v/>
      </c>
    </row>
    <row r="199">
      <c r="A199" s="28">
        <f>Responses!Z195</f>
        <v/>
      </c>
      <c r="B199" s="29">
        <f>Responses!AA195</f>
        <v/>
      </c>
      <c r="C199" s="30">
        <f>Responses!AB195</f>
        <v/>
      </c>
      <c r="D199" s="30">
        <f>Responses!AC195</f>
        <v/>
      </c>
      <c r="E199" s="30">
        <f>Responses!AD195</f>
        <v/>
      </c>
      <c r="F199" s="31">
        <f>Responses!AE195</f>
        <v/>
      </c>
      <c r="G199" s="31">
        <f>Responses!AF195</f>
        <v/>
      </c>
      <c r="H199" s="31">
        <f>Responses!AH195</f>
        <v/>
      </c>
      <c r="I199" s="31">
        <f>IF(Responses!Y195="","",Responses!V195&amp;"")</f>
        <v/>
      </c>
    </row>
    <row r="200">
      <c r="A200" s="28">
        <f>Responses!Z196</f>
        <v/>
      </c>
      <c r="B200" s="29">
        <f>Responses!AA196</f>
        <v/>
      </c>
      <c r="C200" s="30">
        <f>Responses!AB196</f>
        <v/>
      </c>
      <c r="D200" s="30">
        <f>Responses!AC196</f>
        <v/>
      </c>
      <c r="E200" s="30">
        <f>Responses!AD196</f>
        <v/>
      </c>
      <c r="F200" s="31">
        <f>Responses!AE196</f>
        <v/>
      </c>
      <c r="G200" s="31">
        <f>Responses!AF196</f>
        <v/>
      </c>
      <c r="H200" s="31">
        <f>Responses!AH196</f>
        <v/>
      </c>
      <c r="I200" s="31">
        <f>IF(Responses!Y196="","",Responses!V196&amp;"")</f>
        <v/>
      </c>
    </row>
    <row r="201">
      <c r="A201" s="28">
        <f>Responses!Z197</f>
        <v/>
      </c>
      <c r="B201" s="29">
        <f>Responses!AA197</f>
        <v/>
      </c>
      <c r="C201" s="30">
        <f>Responses!AB197</f>
        <v/>
      </c>
      <c r="D201" s="30">
        <f>Responses!AC197</f>
        <v/>
      </c>
      <c r="E201" s="30">
        <f>Responses!AD197</f>
        <v/>
      </c>
      <c r="F201" s="31">
        <f>Responses!AE197</f>
        <v/>
      </c>
      <c r="G201" s="31">
        <f>Responses!AF197</f>
        <v/>
      </c>
      <c r="H201" s="31">
        <f>Responses!AH197</f>
        <v/>
      </c>
      <c r="I201" s="31">
        <f>IF(Responses!Y197="","",Responses!V197&amp;"")</f>
        <v/>
      </c>
    </row>
    <row r="202">
      <c r="A202" s="28">
        <f>Responses!Z198</f>
        <v/>
      </c>
      <c r="B202" s="29">
        <f>Responses!AA198</f>
        <v/>
      </c>
      <c r="C202" s="30">
        <f>Responses!AB198</f>
        <v/>
      </c>
      <c r="D202" s="30">
        <f>Responses!AC198</f>
        <v/>
      </c>
      <c r="E202" s="30">
        <f>Responses!AD198</f>
        <v/>
      </c>
      <c r="F202" s="31">
        <f>Responses!AE198</f>
        <v/>
      </c>
      <c r="G202" s="31">
        <f>Responses!AF198</f>
        <v/>
      </c>
      <c r="H202" s="31">
        <f>Responses!AH198</f>
        <v/>
      </c>
      <c r="I202" s="31">
        <f>IF(Responses!Y198="","",Responses!V198&amp;"")</f>
        <v/>
      </c>
    </row>
    <row r="203">
      <c r="A203" s="28">
        <f>Responses!Z199</f>
        <v/>
      </c>
      <c r="B203" s="29">
        <f>Responses!AA199</f>
        <v/>
      </c>
      <c r="C203" s="30">
        <f>Responses!AB199</f>
        <v/>
      </c>
      <c r="D203" s="30">
        <f>Responses!AC199</f>
        <v/>
      </c>
      <c r="E203" s="30">
        <f>Responses!AD199</f>
        <v/>
      </c>
      <c r="F203" s="31">
        <f>Responses!AE199</f>
        <v/>
      </c>
      <c r="G203" s="31">
        <f>Responses!AF199</f>
        <v/>
      </c>
      <c r="H203" s="31">
        <f>Responses!AH199</f>
        <v/>
      </c>
      <c r="I203" s="31">
        <f>IF(Responses!Y199="","",Responses!V199&amp;"")</f>
        <v/>
      </c>
    </row>
    <row r="204">
      <c r="A204" s="28">
        <f>Responses!Z200</f>
        <v/>
      </c>
      <c r="B204" s="29">
        <f>Responses!AA200</f>
        <v/>
      </c>
      <c r="C204" s="30">
        <f>Responses!AB200</f>
        <v/>
      </c>
      <c r="D204" s="30">
        <f>Responses!AC200</f>
        <v/>
      </c>
      <c r="E204" s="30">
        <f>Responses!AD200</f>
        <v/>
      </c>
      <c r="F204" s="31">
        <f>Responses!AE200</f>
        <v/>
      </c>
      <c r="G204" s="31">
        <f>Responses!AF200</f>
        <v/>
      </c>
      <c r="H204" s="31">
        <f>Responses!AH200</f>
        <v/>
      </c>
      <c r="I204" s="31">
        <f>IF(Responses!Y200="","",Responses!V200&amp;"")</f>
        <v/>
      </c>
    </row>
    <row r="205">
      <c r="A205" s="28">
        <f>Responses!Z201</f>
        <v/>
      </c>
      <c r="B205" s="29">
        <f>Responses!AA201</f>
        <v/>
      </c>
      <c r="C205" s="30">
        <f>Responses!AB201</f>
        <v/>
      </c>
      <c r="D205" s="30">
        <f>Responses!AC201</f>
        <v/>
      </c>
      <c r="E205" s="30">
        <f>Responses!AD201</f>
        <v/>
      </c>
      <c r="F205" s="31">
        <f>Responses!AE201</f>
        <v/>
      </c>
      <c r="G205" s="31">
        <f>Responses!AF201</f>
        <v/>
      </c>
      <c r="H205" s="31">
        <f>Responses!AH201</f>
        <v/>
      </c>
      <c r="I205" s="31">
        <f>IF(Responses!Y201="","",Responses!V201&amp;"")</f>
        <v/>
      </c>
    </row>
    <row r="206">
      <c r="A206" s="28">
        <f>Responses!Z202</f>
        <v/>
      </c>
      <c r="B206" s="29">
        <f>Responses!AA202</f>
        <v/>
      </c>
      <c r="C206" s="30">
        <f>Responses!AB202</f>
        <v/>
      </c>
      <c r="D206" s="30">
        <f>Responses!AC202</f>
        <v/>
      </c>
      <c r="E206" s="30">
        <f>Responses!AD202</f>
        <v/>
      </c>
      <c r="F206" s="31">
        <f>Responses!AE202</f>
        <v/>
      </c>
      <c r="G206" s="31">
        <f>Responses!AF202</f>
        <v/>
      </c>
      <c r="H206" s="31">
        <f>Responses!AH202</f>
        <v/>
      </c>
      <c r="I206" s="31">
        <f>IF(Responses!Y202="","",Responses!V202&amp;"")</f>
        <v/>
      </c>
    </row>
    <row r="207">
      <c r="A207" s="28">
        <f>Responses!Z203</f>
        <v/>
      </c>
      <c r="B207" s="29">
        <f>Responses!AA203</f>
        <v/>
      </c>
      <c r="C207" s="30">
        <f>Responses!AB203</f>
        <v/>
      </c>
      <c r="D207" s="30">
        <f>Responses!AC203</f>
        <v/>
      </c>
      <c r="E207" s="30">
        <f>Responses!AD203</f>
        <v/>
      </c>
      <c r="F207" s="31">
        <f>Responses!AE203</f>
        <v/>
      </c>
      <c r="G207" s="31">
        <f>Responses!AF203</f>
        <v/>
      </c>
      <c r="H207" s="31">
        <f>Responses!AH203</f>
        <v/>
      </c>
      <c r="I207" s="31">
        <f>IF(Responses!Y203="","",Responses!V203&amp;"")</f>
        <v/>
      </c>
    </row>
    <row r="208">
      <c r="A208" s="28">
        <f>Responses!Z204</f>
        <v/>
      </c>
      <c r="B208" s="29">
        <f>Responses!AA204</f>
        <v/>
      </c>
      <c r="C208" s="30">
        <f>Responses!AB204</f>
        <v/>
      </c>
      <c r="D208" s="30">
        <f>Responses!AC204</f>
        <v/>
      </c>
      <c r="E208" s="30">
        <f>Responses!AD204</f>
        <v/>
      </c>
      <c r="F208" s="31">
        <f>Responses!AE204</f>
        <v/>
      </c>
      <c r="G208" s="31">
        <f>Responses!AF204</f>
        <v/>
      </c>
      <c r="H208" s="31">
        <f>Responses!AH204</f>
        <v/>
      </c>
      <c r="I208" s="31">
        <f>IF(Responses!Y204="","",Responses!V204&amp;"")</f>
        <v/>
      </c>
    </row>
    <row r="209">
      <c r="A209" s="28">
        <f>Responses!Z205</f>
        <v/>
      </c>
      <c r="B209" s="29">
        <f>Responses!AA205</f>
        <v/>
      </c>
      <c r="C209" s="30">
        <f>Responses!AB205</f>
        <v/>
      </c>
      <c r="D209" s="30">
        <f>Responses!AC205</f>
        <v/>
      </c>
      <c r="E209" s="30">
        <f>Responses!AD205</f>
        <v/>
      </c>
      <c r="F209" s="31">
        <f>Responses!AE205</f>
        <v/>
      </c>
      <c r="G209" s="31">
        <f>Responses!AF205</f>
        <v/>
      </c>
      <c r="H209" s="31">
        <f>Responses!AH205</f>
        <v/>
      </c>
      <c r="I209" s="31">
        <f>IF(Responses!Y205="","",Responses!V205&amp;"")</f>
        <v/>
      </c>
    </row>
    <row r="210">
      <c r="A210" s="28">
        <f>Responses!Z206</f>
        <v/>
      </c>
      <c r="B210" s="29">
        <f>Responses!AA206</f>
        <v/>
      </c>
      <c r="C210" s="30">
        <f>Responses!AB206</f>
        <v/>
      </c>
      <c r="D210" s="30">
        <f>Responses!AC206</f>
        <v/>
      </c>
      <c r="E210" s="30">
        <f>Responses!AD206</f>
        <v/>
      </c>
      <c r="F210" s="31">
        <f>Responses!AE206</f>
        <v/>
      </c>
      <c r="G210" s="31">
        <f>Responses!AF206</f>
        <v/>
      </c>
      <c r="H210" s="31">
        <f>Responses!AH206</f>
        <v/>
      </c>
      <c r="I210" s="31">
        <f>IF(Responses!Y206="","",Responses!V206&amp;"")</f>
        <v/>
      </c>
    </row>
    <row r="211">
      <c r="A211" s="28">
        <f>Responses!Z207</f>
        <v/>
      </c>
      <c r="B211" s="29">
        <f>Responses!AA207</f>
        <v/>
      </c>
      <c r="C211" s="30">
        <f>Responses!AB207</f>
        <v/>
      </c>
      <c r="D211" s="30">
        <f>Responses!AC207</f>
        <v/>
      </c>
      <c r="E211" s="30">
        <f>Responses!AD207</f>
        <v/>
      </c>
      <c r="F211" s="31">
        <f>Responses!AE207</f>
        <v/>
      </c>
      <c r="G211" s="31">
        <f>Responses!AF207</f>
        <v/>
      </c>
      <c r="H211" s="31">
        <f>Responses!AH207</f>
        <v/>
      </c>
      <c r="I211" s="31">
        <f>IF(Responses!Y207="","",Responses!V207&amp;"")</f>
        <v/>
      </c>
    </row>
    <row r="212">
      <c r="A212" s="28">
        <f>Responses!Z208</f>
        <v/>
      </c>
      <c r="B212" s="29">
        <f>Responses!AA208</f>
        <v/>
      </c>
      <c r="C212" s="30">
        <f>Responses!AB208</f>
        <v/>
      </c>
      <c r="D212" s="30">
        <f>Responses!AC208</f>
        <v/>
      </c>
      <c r="E212" s="30">
        <f>Responses!AD208</f>
        <v/>
      </c>
      <c r="F212" s="31">
        <f>Responses!AE208</f>
        <v/>
      </c>
      <c r="G212" s="31">
        <f>Responses!AF208</f>
        <v/>
      </c>
      <c r="H212" s="31">
        <f>Responses!AH208</f>
        <v/>
      </c>
      <c r="I212" s="31">
        <f>IF(Responses!Y208="","",Responses!V208&amp;"")</f>
        <v/>
      </c>
    </row>
    <row r="213">
      <c r="A213" s="28">
        <f>Responses!Z209</f>
        <v/>
      </c>
      <c r="B213" s="29">
        <f>Responses!AA209</f>
        <v/>
      </c>
      <c r="C213" s="30">
        <f>Responses!AB209</f>
        <v/>
      </c>
      <c r="D213" s="30">
        <f>Responses!AC209</f>
        <v/>
      </c>
      <c r="E213" s="30">
        <f>Responses!AD209</f>
        <v/>
      </c>
      <c r="F213" s="31">
        <f>Responses!AE209</f>
        <v/>
      </c>
      <c r="G213" s="31">
        <f>Responses!AF209</f>
        <v/>
      </c>
      <c r="H213" s="31">
        <f>Responses!AH209</f>
        <v/>
      </c>
      <c r="I213" s="31">
        <f>IF(Responses!Y209="","",Responses!V209&amp;"")</f>
        <v/>
      </c>
    </row>
    <row r="214">
      <c r="A214" s="28">
        <f>Responses!Z210</f>
        <v/>
      </c>
      <c r="B214" s="29">
        <f>Responses!AA210</f>
        <v/>
      </c>
      <c r="C214" s="30">
        <f>Responses!AB210</f>
        <v/>
      </c>
      <c r="D214" s="30">
        <f>Responses!AC210</f>
        <v/>
      </c>
      <c r="E214" s="30">
        <f>Responses!AD210</f>
        <v/>
      </c>
      <c r="F214" s="31">
        <f>Responses!AE210</f>
        <v/>
      </c>
      <c r="G214" s="31">
        <f>Responses!AF210</f>
        <v/>
      </c>
      <c r="H214" s="31">
        <f>Responses!AH210</f>
        <v/>
      </c>
      <c r="I214" s="31">
        <f>IF(Responses!Y210="","",Responses!V210&amp;"")</f>
        <v/>
      </c>
    </row>
    <row r="215">
      <c r="A215" s="28">
        <f>Responses!Z211</f>
        <v/>
      </c>
      <c r="B215" s="29">
        <f>Responses!AA211</f>
        <v/>
      </c>
      <c r="C215" s="30">
        <f>Responses!AB211</f>
        <v/>
      </c>
      <c r="D215" s="30">
        <f>Responses!AC211</f>
        <v/>
      </c>
      <c r="E215" s="30">
        <f>Responses!AD211</f>
        <v/>
      </c>
      <c r="F215" s="31">
        <f>Responses!AE211</f>
        <v/>
      </c>
      <c r="G215" s="31">
        <f>Responses!AF211</f>
        <v/>
      </c>
      <c r="H215" s="31">
        <f>Responses!AH211</f>
        <v/>
      </c>
      <c r="I215" s="31">
        <f>IF(Responses!Y211="","",Responses!V211&amp;"")</f>
        <v/>
      </c>
    </row>
    <row r="216">
      <c r="A216" s="28">
        <f>Responses!Z212</f>
        <v/>
      </c>
      <c r="B216" s="29">
        <f>Responses!AA212</f>
        <v/>
      </c>
      <c r="C216" s="30">
        <f>Responses!AB212</f>
        <v/>
      </c>
      <c r="D216" s="30">
        <f>Responses!AC212</f>
        <v/>
      </c>
      <c r="E216" s="30">
        <f>Responses!AD212</f>
        <v/>
      </c>
      <c r="F216" s="31">
        <f>Responses!AE212</f>
        <v/>
      </c>
      <c r="G216" s="31">
        <f>Responses!AF212</f>
        <v/>
      </c>
      <c r="H216" s="31">
        <f>Responses!AH212</f>
        <v/>
      </c>
      <c r="I216" s="31">
        <f>IF(Responses!Y212="","",Responses!V212&amp;"")</f>
        <v/>
      </c>
    </row>
    <row r="217">
      <c r="A217" s="28">
        <f>Responses!Z213</f>
        <v/>
      </c>
      <c r="B217" s="29">
        <f>Responses!AA213</f>
        <v/>
      </c>
      <c r="C217" s="30">
        <f>Responses!AB213</f>
        <v/>
      </c>
      <c r="D217" s="30">
        <f>Responses!AC213</f>
        <v/>
      </c>
      <c r="E217" s="30">
        <f>Responses!AD213</f>
        <v/>
      </c>
      <c r="F217" s="31">
        <f>Responses!AE213</f>
        <v/>
      </c>
      <c r="G217" s="31">
        <f>Responses!AF213</f>
        <v/>
      </c>
      <c r="H217" s="31">
        <f>Responses!AH213</f>
        <v/>
      </c>
      <c r="I217" s="31">
        <f>IF(Responses!Y213="","",Responses!V213&amp;"")</f>
        <v/>
      </c>
    </row>
    <row r="218">
      <c r="A218" s="28">
        <f>Responses!Z214</f>
        <v/>
      </c>
      <c r="B218" s="29">
        <f>Responses!AA214</f>
        <v/>
      </c>
      <c r="C218" s="30">
        <f>Responses!AB214</f>
        <v/>
      </c>
      <c r="D218" s="30">
        <f>Responses!AC214</f>
        <v/>
      </c>
      <c r="E218" s="30">
        <f>Responses!AD214</f>
        <v/>
      </c>
      <c r="F218" s="31">
        <f>Responses!AE214</f>
        <v/>
      </c>
      <c r="G218" s="31">
        <f>Responses!AF214</f>
        <v/>
      </c>
      <c r="H218" s="31">
        <f>Responses!AH214</f>
        <v/>
      </c>
      <c r="I218" s="31">
        <f>IF(Responses!Y214="","",Responses!V214&amp;"")</f>
        <v/>
      </c>
    </row>
    <row r="219">
      <c r="A219" s="28">
        <f>Responses!Z215</f>
        <v/>
      </c>
      <c r="B219" s="29">
        <f>Responses!AA215</f>
        <v/>
      </c>
      <c r="C219" s="30">
        <f>Responses!AB215</f>
        <v/>
      </c>
      <c r="D219" s="30">
        <f>Responses!AC215</f>
        <v/>
      </c>
      <c r="E219" s="30">
        <f>Responses!AD215</f>
        <v/>
      </c>
      <c r="F219" s="31">
        <f>Responses!AE215</f>
        <v/>
      </c>
      <c r="G219" s="31">
        <f>Responses!AF215</f>
        <v/>
      </c>
      <c r="H219" s="31">
        <f>Responses!AH215</f>
        <v/>
      </c>
      <c r="I219" s="31">
        <f>IF(Responses!Y215="","",Responses!V215&amp;"")</f>
        <v/>
      </c>
    </row>
    <row r="220">
      <c r="A220" s="28">
        <f>Responses!Z216</f>
        <v/>
      </c>
      <c r="B220" s="29">
        <f>Responses!AA216</f>
        <v/>
      </c>
      <c r="C220" s="30">
        <f>Responses!AB216</f>
        <v/>
      </c>
      <c r="D220" s="30">
        <f>Responses!AC216</f>
        <v/>
      </c>
      <c r="E220" s="30">
        <f>Responses!AD216</f>
        <v/>
      </c>
      <c r="F220" s="31">
        <f>Responses!AE216</f>
        <v/>
      </c>
      <c r="G220" s="31">
        <f>Responses!AF216</f>
        <v/>
      </c>
      <c r="H220" s="31">
        <f>Responses!AH216</f>
        <v/>
      </c>
      <c r="I220" s="31">
        <f>IF(Responses!Y216="","",Responses!V216&amp;"")</f>
        <v/>
      </c>
    </row>
    <row r="221">
      <c r="A221" s="28">
        <f>Responses!Z217</f>
        <v/>
      </c>
      <c r="B221" s="29">
        <f>Responses!AA217</f>
        <v/>
      </c>
      <c r="C221" s="30">
        <f>Responses!AB217</f>
        <v/>
      </c>
      <c r="D221" s="30">
        <f>Responses!AC217</f>
        <v/>
      </c>
      <c r="E221" s="30">
        <f>Responses!AD217</f>
        <v/>
      </c>
      <c r="F221" s="31">
        <f>Responses!AE217</f>
        <v/>
      </c>
      <c r="G221" s="31">
        <f>Responses!AF217</f>
        <v/>
      </c>
      <c r="H221" s="31">
        <f>Responses!AH217</f>
        <v/>
      </c>
      <c r="I221" s="31">
        <f>IF(Responses!Y217="","",Responses!V217&amp;"")</f>
        <v/>
      </c>
    </row>
    <row r="222">
      <c r="A222" s="28">
        <f>Responses!Z218</f>
        <v/>
      </c>
      <c r="B222" s="29">
        <f>Responses!AA218</f>
        <v/>
      </c>
      <c r="C222" s="30">
        <f>Responses!AB218</f>
        <v/>
      </c>
      <c r="D222" s="30">
        <f>Responses!AC218</f>
        <v/>
      </c>
      <c r="E222" s="30">
        <f>Responses!AD218</f>
        <v/>
      </c>
      <c r="F222" s="31">
        <f>Responses!AE218</f>
        <v/>
      </c>
      <c r="G222" s="31">
        <f>Responses!AF218</f>
        <v/>
      </c>
      <c r="H222" s="31">
        <f>Responses!AH218</f>
        <v/>
      </c>
      <c r="I222" s="31">
        <f>IF(Responses!Y218="","",Responses!V218&amp;"")</f>
        <v/>
      </c>
    </row>
    <row r="223">
      <c r="A223" s="28">
        <f>Responses!Z219</f>
        <v/>
      </c>
      <c r="B223" s="29">
        <f>Responses!AA219</f>
        <v/>
      </c>
      <c r="C223" s="30">
        <f>Responses!AB219</f>
        <v/>
      </c>
      <c r="D223" s="30">
        <f>Responses!AC219</f>
        <v/>
      </c>
      <c r="E223" s="30">
        <f>Responses!AD219</f>
        <v/>
      </c>
      <c r="F223" s="31">
        <f>Responses!AE219</f>
        <v/>
      </c>
      <c r="G223" s="31">
        <f>Responses!AF219</f>
        <v/>
      </c>
      <c r="H223" s="31">
        <f>Responses!AH219</f>
        <v/>
      </c>
      <c r="I223" s="31">
        <f>IF(Responses!Y219="","",Responses!V219&amp;"")</f>
        <v/>
      </c>
    </row>
    <row r="224">
      <c r="A224" s="28">
        <f>Responses!Z220</f>
        <v/>
      </c>
      <c r="B224" s="29">
        <f>Responses!AA220</f>
        <v/>
      </c>
      <c r="C224" s="30">
        <f>Responses!AB220</f>
        <v/>
      </c>
      <c r="D224" s="30">
        <f>Responses!AC220</f>
        <v/>
      </c>
      <c r="E224" s="30">
        <f>Responses!AD220</f>
        <v/>
      </c>
      <c r="F224" s="31">
        <f>Responses!AE220</f>
        <v/>
      </c>
      <c r="G224" s="31">
        <f>Responses!AF220</f>
        <v/>
      </c>
      <c r="H224" s="31">
        <f>Responses!AH220</f>
        <v/>
      </c>
      <c r="I224" s="31">
        <f>IF(Responses!Y220="","",Responses!V220&amp;"")</f>
        <v/>
      </c>
    </row>
    <row r="225">
      <c r="A225" s="28">
        <f>Responses!Z221</f>
        <v/>
      </c>
      <c r="B225" s="29">
        <f>Responses!AA221</f>
        <v/>
      </c>
      <c r="C225" s="30">
        <f>Responses!AB221</f>
        <v/>
      </c>
      <c r="D225" s="30">
        <f>Responses!AC221</f>
        <v/>
      </c>
      <c r="E225" s="30">
        <f>Responses!AD221</f>
        <v/>
      </c>
      <c r="F225" s="31">
        <f>Responses!AE221</f>
        <v/>
      </c>
      <c r="G225" s="31">
        <f>Responses!AF221</f>
        <v/>
      </c>
      <c r="H225" s="31">
        <f>Responses!AH221</f>
        <v/>
      </c>
      <c r="I225" s="31">
        <f>IF(Responses!Y221="","",Responses!V221&amp;"")</f>
        <v/>
      </c>
    </row>
    <row r="226">
      <c r="A226" s="28">
        <f>Responses!Z222</f>
        <v/>
      </c>
      <c r="B226" s="29">
        <f>Responses!AA222</f>
        <v/>
      </c>
      <c r="C226" s="30">
        <f>Responses!AB222</f>
        <v/>
      </c>
      <c r="D226" s="30">
        <f>Responses!AC222</f>
        <v/>
      </c>
      <c r="E226" s="30">
        <f>Responses!AD222</f>
        <v/>
      </c>
      <c r="F226" s="31">
        <f>Responses!AE222</f>
        <v/>
      </c>
      <c r="G226" s="31">
        <f>Responses!AF222</f>
        <v/>
      </c>
      <c r="H226" s="31">
        <f>Responses!AH222</f>
        <v/>
      </c>
      <c r="I226" s="31">
        <f>IF(Responses!Y222="","",Responses!V222&amp;"")</f>
        <v/>
      </c>
    </row>
    <row r="227">
      <c r="A227" s="28">
        <f>Responses!Z223</f>
        <v/>
      </c>
      <c r="B227" s="29">
        <f>Responses!AA223</f>
        <v/>
      </c>
      <c r="C227" s="30">
        <f>Responses!AB223</f>
        <v/>
      </c>
      <c r="D227" s="30">
        <f>Responses!AC223</f>
        <v/>
      </c>
      <c r="E227" s="30">
        <f>Responses!AD223</f>
        <v/>
      </c>
      <c r="F227" s="31">
        <f>Responses!AE223</f>
        <v/>
      </c>
      <c r="G227" s="31">
        <f>Responses!AF223</f>
        <v/>
      </c>
      <c r="H227" s="31">
        <f>Responses!AH223</f>
        <v/>
      </c>
      <c r="I227" s="31">
        <f>IF(Responses!Y223="","",Responses!V223&amp;"")</f>
        <v/>
      </c>
    </row>
    <row r="228">
      <c r="A228" s="28">
        <f>Responses!Z224</f>
        <v/>
      </c>
      <c r="B228" s="29">
        <f>Responses!AA224</f>
        <v/>
      </c>
      <c r="C228" s="30">
        <f>Responses!AB224</f>
        <v/>
      </c>
      <c r="D228" s="30">
        <f>Responses!AC224</f>
        <v/>
      </c>
      <c r="E228" s="30">
        <f>Responses!AD224</f>
        <v/>
      </c>
      <c r="F228" s="31">
        <f>Responses!AE224</f>
        <v/>
      </c>
      <c r="G228" s="31">
        <f>Responses!AF224</f>
        <v/>
      </c>
      <c r="H228" s="31">
        <f>Responses!AH224</f>
        <v/>
      </c>
      <c r="I228" s="31">
        <f>IF(Responses!Y224="","",Responses!V224&amp;"")</f>
        <v/>
      </c>
    </row>
    <row r="229">
      <c r="A229" s="28">
        <f>Responses!Z225</f>
        <v/>
      </c>
      <c r="B229" s="29">
        <f>Responses!AA225</f>
        <v/>
      </c>
      <c r="C229" s="30">
        <f>Responses!AB225</f>
        <v/>
      </c>
      <c r="D229" s="30">
        <f>Responses!AC225</f>
        <v/>
      </c>
      <c r="E229" s="30">
        <f>Responses!AD225</f>
        <v/>
      </c>
      <c r="F229" s="31">
        <f>Responses!AE225</f>
        <v/>
      </c>
      <c r="G229" s="31">
        <f>Responses!AF225</f>
        <v/>
      </c>
      <c r="H229" s="31">
        <f>Responses!AH225</f>
        <v/>
      </c>
      <c r="I229" s="31">
        <f>IF(Responses!Y225="","",Responses!V225&amp;"")</f>
        <v/>
      </c>
    </row>
    <row r="230">
      <c r="A230" s="28">
        <f>Responses!Z226</f>
        <v/>
      </c>
      <c r="B230" s="29">
        <f>Responses!AA226</f>
        <v/>
      </c>
      <c r="C230" s="30">
        <f>Responses!AB226</f>
        <v/>
      </c>
      <c r="D230" s="30">
        <f>Responses!AC226</f>
        <v/>
      </c>
      <c r="E230" s="30">
        <f>Responses!AD226</f>
        <v/>
      </c>
      <c r="F230" s="31">
        <f>Responses!AE226</f>
        <v/>
      </c>
      <c r="G230" s="31">
        <f>Responses!AF226</f>
        <v/>
      </c>
      <c r="H230" s="31">
        <f>Responses!AH226</f>
        <v/>
      </c>
      <c r="I230" s="31">
        <f>IF(Responses!Y226="","",Responses!V226&amp;"")</f>
        <v/>
      </c>
    </row>
    <row r="231">
      <c r="A231" s="28">
        <f>Responses!Z227</f>
        <v/>
      </c>
      <c r="B231" s="29">
        <f>Responses!AA227</f>
        <v/>
      </c>
      <c r="C231" s="30">
        <f>Responses!AB227</f>
        <v/>
      </c>
      <c r="D231" s="30">
        <f>Responses!AC227</f>
        <v/>
      </c>
      <c r="E231" s="30">
        <f>Responses!AD227</f>
        <v/>
      </c>
      <c r="F231" s="31">
        <f>Responses!AE227</f>
        <v/>
      </c>
      <c r="G231" s="31">
        <f>Responses!AF227</f>
        <v/>
      </c>
      <c r="H231" s="31">
        <f>Responses!AH227</f>
        <v/>
      </c>
      <c r="I231" s="31">
        <f>IF(Responses!Y227="","",Responses!V227&amp;"")</f>
        <v/>
      </c>
    </row>
    <row r="232">
      <c r="A232" s="28">
        <f>Responses!Z228</f>
        <v/>
      </c>
      <c r="B232" s="29">
        <f>Responses!AA228</f>
        <v/>
      </c>
      <c r="C232" s="30">
        <f>Responses!AB228</f>
        <v/>
      </c>
      <c r="D232" s="30">
        <f>Responses!AC228</f>
        <v/>
      </c>
      <c r="E232" s="30">
        <f>Responses!AD228</f>
        <v/>
      </c>
      <c r="F232" s="31">
        <f>Responses!AE228</f>
        <v/>
      </c>
      <c r="G232" s="31">
        <f>Responses!AF228</f>
        <v/>
      </c>
      <c r="H232" s="31">
        <f>Responses!AH228</f>
        <v/>
      </c>
      <c r="I232" s="31">
        <f>IF(Responses!Y228="","",Responses!V228&amp;"")</f>
        <v/>
      </c>
    </row>
    <row r="233">
      <c r="A233" s="28">
        <f>Responses!Z229</f>
        <v/>
      </c>
      <c r="B233" s="29">
        <f>Responses!AA229</f>
        <v/>
      </c>
      <c r="C233" s="30">
        <f>Responses!AB229</f>
        <v/>
      </c>
      <c r="D233" s="30">
        <f>Responses!AC229</f>
        <v/>
      </c>
      <c r="E233" s="30">
        <f>Responses!AD229</f>
        <v/>
      </c>
      <c r="F233" s="31">
        <f>Responses!AE229</f>
        <v/>
      </c>
      <c r="G233" s="31">
        <f>Responses!AF229</f>
        <v/>
      </c>
      <c r="H233" s="31">
        <f>Responses!AH229</f>
        <v/>
      </c>
      <c r="I233" s="31">
        <f>IF(Responses!Y229="","",Responses!V229&amp;"")</f>
        <v/>
      </c>
    </row>
    <row r="234">
      <c r="A234" s="28">
        <f>Responses!Z230</f>
        <v/>
      </c>
      <c r="B234" s="29">
        <f>Responses!AA230</f>
        <v/>
      </c>
      <c r="C234" s="30">
        <f>Responses!AB230</f>
        <v/>
      </c>
      <c r="D234" s="30">
        <f>Responses!AC230</f>
        <v/>
      </c>
      <c r="E234" s="30">
        <f>Responses!AD230</f>
        <v/>
      </c>
      <c r="F234" s="31">
        <f>Responses!AE230</f>
        <v/>
      </c>
      <c r="G234" s="31">
        <f>Responses!AF230</f>
        <v/>
      </c>
      <c r="H234" s="31">
        <f>Responses!AH230</f>
        <v/>
      </c>
      <c r="I234" s="31">
        <f>IF(Responses!Y230="","",Responses!V230&amp;"")</f>
        <v/>
      </c>
    </row>
    <row r="235">
      <c r="A235" s="28">
        <f>Responses!Z231</f>
        <v/>
      </c>
      <c r="B235" s="29">
        <f>Responses!AA231</f>
        <v/>
      </c>
      <c r="C235" s="30">
        <f>Responses!AB231</f>
        <v/>
      </c>
      <c r="D235" s="30">
        <f>Responses!AC231</f>
        <v/>
      </c>
      <c r="E235" s="30">
        <f>Responses!AD231</f>
        <v/>
      </c>
      <c r="F235" s="31">
        <f>Responses!AE231</f>
        <v/>
      </c>
      <c r="G235" s="31">
        <f>Responses!AF231</f>
        <v/>
      </c>
      <c r="H235" s="31">
        <f>Responses!AH231</f>
        <v/>
      </c>
      <c r="I235" s="31">
        <f>IF(Responses!Y231="","",Responses!V231&amp;"")</f>
        <v/>
      </c>
    </row>
    <row r="236">
      <c r="A236" s="28">
        <f>Responses!Z232</f>
        <v/>
      </c>
      <c r="B236" s="29">
        <f>Responses!AA232</f>
        <v/>
      </c>
      <c r="C236" s="30">
        <f>Responses!AB232</f>
        <v/>
      </c>
      <c r="D236" s="30">
        <f>Responses!AC232</f>
        <v/>
      </c>
      <c r="E236" s="30">
        <f>Responses!AD232</f>
        <v/>
      </c>
      <c r="F236" s="31">
        <f>Responses!AE232</f>
        <v/>
      </c>
      <c r="G236" s="31">
        <f>Responses!AF232</f>
        <v/>
      </c>
      <c r="H236" s="31">
        <f>Responses!AH232</f>
        <v/>
      </c>
      <c r="I236" s="31">
        <f>IF(Responses!Y232="","",Responses!V232&amp;"")</f>
        <v/>
      </c>
    </row>
    <row r="237">
      <c r="A237" s="28">
        <f>Responses!Z233</f>
        <v/>
      </c>
      <c r="B237" s="29">
        <f>Responses!AA233</f>
        <v/>
      </c>
      <c r="C237" s="30">
        <f>Responses!AB233</f>
        <v/>
      </c>
      <c r="D237" s="30">
        <f>Responses!AC233</f>
        <v/>
      </c>
      <c r="E237" s="30">
        <f>Responses!AD233</f>
        <v/>
      </c>
      <c r="F237" s="31">
        <f>Responses!AE233</f>
        <v/>
      </c>
      <c r="G237" s="31">
        <f>Responses!AF233</f>
        <v/>
      </c>
      <c r="H237" s="31">
        <f>Responses!AH233</f>
        <v/>
      </c>
      <c r="I237" s="31">
        <f>IF(Responses!Y233="","",Responses!V233&amp;"")</f>
        <v/>
      </c>
    </row>
    <row r="238">
      <c r="A238" s="28">
        <f>Responses!Z234</f>
        <v/>
      </c>
      <c r="B238" s="29">
        <f>Responses!AA234</f>
        <v/>
      </c>
      <c r="C238" s="30">
        <f>Responses!AB234</f>
        <v/>
      </c>
      <c r="D238" s="30">
        <f>Responses!AC234</f>
        <v/>
      </c>
      <c r="E238" s="30">
        <f>Responses!AD234</f>
        <v/>
      </c>
      <c r="F238" s="31">
        <f>Responses!AE234</f>
        <v/>
      </c>
      <c r="G238" s="31">
        <f>Responses!AF234</f>
        <v/>
      </c>
      <c r="H238" s="31">
        <f>Responses!AH234</f>
        <v/>
      </c>
      <c r="I238" s="31">
        <f>IF(Responses!Y234="","",Responses!V234&amp;"")</f>
        <v/>
      </c>
    </row>
    <row r="239">
      <c r="A239" s="28">
        <f>Responses!Z235</f>
        <v/>
      </c>
      <c r="B239" s="29">
        <f>Responses!AA235</f>
        <v/>
      </c>
      <c r="C239" s="30">
        <f>Responses!AB235</f>
        <v/>
      </c>
      <c r="D239" s="30">
        <f>Responses!AC235</f>
        <v/>
      </c>
      <c r="E239" s="30">
        <f>Responses!AD235</f>
        <v/>
      </c>
      <c r="F239" s="31">
        <f>Responses!AE235</f>
        <v/>
      </c>
      <c r="G239" s="31">
        <f>Responses!AF235</f>
        <v/>
      </c>
      <c r="H239" s="31">
        <f>Responses!AH235</f>
        <v/>
      </c>
      <c r="I239" s="31">
        <f>IF(Responses!Y235="","",Responses!V235&amp;"")</f>
        <v/>
      </c>
    </row>
    <row r="240">
      <c r="A240" s="28">
        <f>Responses!Z236</f>
        <v/>
      </c>
      <c r="B240" s="29">
        <f>Responses!AA236</f>
        <v/>
      </c>
      <c r="C240" s="30">
        <f>Responses!AB236</f>
        <v/>
      </c>
      <c r="D240" s="30">
        <f>Responses!AC236</f>
        <v/>
      </c>
      <c r="E240" s="30">
        <f>Responses!AD236</f>
        <v/>
      </c>
      <c r="F240" s="31">
        <f>Responses!AE236</f>
        <v/>
      </c>
      <c r="G240" s="31">
        <f>Responses!AF236</f>
        <v/>
      </c>
      <c r="H240" s="31">
        <f>Responses!AH236</f>
        <v/>
      </c>
      <c r="I240" s="31">
        <f>IF(Responses!Y236="","",Responses!V236&amp;"")</f>
        <v/>
      </c>
    </row>
    <row r="241">
      <c r="A241" s="28">
        <f>Responses!Z237</f>
        <v/>
      </c>
      <c r="B241" s="29">
        <f>Responses!AA237</f>
        <v/>
      </c>
      <c r="C241" s="30">
        <f>Responses!AB237</f>
        <v/>
      </c>
      <c r="D241" s="30">
        <f>Responses!AC237</f>
        <v/>
      </c>
      <c r="E241" s="30">
        <f>Responses!AD237</f>
        <v/>
      </c>
      <c r="F241" s="31">
        <f>Responses!AE237</f>
        <v/>
      </c>
      <c r="G241" s="31">
        <f>Responses!AF237</f>
        <v/>
      </c>
      <c r="H241" s="31">
        <f>Responses!AH237</f>
        <v/>
      </c>
      <c r="I241" s="31">
        <f>IF(Responses!Y237="","",Responses!V237&amp;"")</f>
        <v/>
      </c>
    </row>
    <row r="242">
      <c r="A242" s="28">
        <f>Responses!Z238</f>
        <v/>
      </c>
      <c r="B242" s="29">
        <f>Responses!AA238</f>
        <v/>
      </c>
      <c r="C242" s="30">
        <f>Responses!AB238</f>
        <v/>
      </c>
      <c r="D242" s="30">
        <f>Responses!AC238</f>
        <v/>
      </c>
      <c r="E242" s="30">
        <f>Responses!AD238</f>
        <v/>
      </c>
      <c r="F242" s="31">
        <f>Responses!AE238</f>
        <v/>
      </c>
      <c r="G242" s="31">
        <f>Responses!AF238</f>
        <v/>
      </c>
      <c r="H242" s="31">
        <f>Responses!AH238</f>
        <v/>
      </c>
      <c r="I242" s="31">
        <f>IF(Responses!Y238="","",Responses!V238&amp;"")</f>
        <v/>
      </c>
    </row>
    <row r="243">
      <c r="A243" s="28">
        <f>Responses!Z239</f>
        <v/>
      </c>
      <c r="B243" s="29">
        <f>Responses!AA239</f>
        <v/>
      </c>
      <c r="C243" s="30">
        <f>Responses!AB239</f>
        <v/>
      </c>
      <c r="D243" s="30">
        <f>Responses!AC239</f>
        <v/>
      </c>
      <c r="E243" s="30">
        <f>Responses!AD239</f>
        <v/>
      </c>
      <c r="F243" s="31">
        <f>Responses!AE239</f>
        <v/>
      </c>
      <c r="G243" s="31">
        <f>Responses!AF239</f>
        <v/>
      </c>
      <c r="H243" s="31">
        <f>Responses!AH239</f>
        <v/>
      </c>
      <c r="I243" s="31">
        <f>IF(Responses!Y239="","",Responses!V239&amp;"")</f>
        <v/>
      </c>
    </row>
    <row r="244">
      <c r="A244" s="28">
        <f>Responses!Z240</f>
        <v/>
      </c>
      <c r="B244" s="29">
        <f>Responses!AA240</f>
        <v/>
      </c>
      <c r="C244" s="30">
        <f>Responses!AB240</f>
        <v/>
      </c>
      <c r="D244" s="30">
        <f>Responses!AC240</f>
        <v/>
      </c>
      <c r="E244" s="30">
        <f>Responses!AD240</f>
        <v/>
      </c>
      <c r="F244" s="31">
        <f>Responses!AE240</f>
        <v/>
      </c>
      <c r="G244" s="31">
        <f>Responses!AF240</f>
        <v/>
      </c>
      <c r="H244" s="31">
        <f>Responses!AH240</f>
        <v/>
      </c>
      <c r="I244" s="31">
        <f>IF(Responses!Y240="","",Responses!V240&amp;"")</f>
        <v/>
      </c>
    </row>
    <row r="245">
      <c r="A245" s="28">
        <f>Responses!Z241</f>
        <v/>
      </c>
      <c r="B245" s="29">
        <f>Responses!AA241</f>
        <v/>
      </c>
      <c r="C245" s="30">
        <f>Responses!AB241</f>
        <v/>
      </c>
      <c r="D245" s="30">
        <f>Responses!AC241</f>
        <v/>
      </c>
      <c r="E245" s="30">
        <f>Responses!AD241</f>
        <v/>
      </c>
      <c r="F245" s="31">
        <f>Responses!AE241</f>
        <v/>
      </c>
      <c r="G245" s="31">
        <f>Responses!AF241</f>
        <v/>
      </c>
      <c r="H245" s="31">
        <f>Responses!AH241</f>
        <v/>
      </c>
      <c r="I245" s="31">
        <f>IF(Responses!Y241="","",Responses!V241&amp;"")</f>
        <v/>
      </c>
    </row>
    <row r="246">
      <c r="A246" s="28">
        <f>Responses!Z242</f>
        <v/>
      </c>
      <c r="B246" s="29">
        <f>Responses!AA242</f>
        <v/>
      </c>
      <c r="C246" s="30">
        <f>Responses!AB242</f>
        <v/>
      </c>
      <c r="D246" s="30">
        <f>Responses!AC242</f>
        <v/>
      </c>
      <c r="E246" s="30">
        <f>Responses!AD242</f>
        <v/>
      </c>
      <c r="F246" s="31">
        <f>Responses!AE242</f>
        <v/>
      </c>
      <c r="G246" s="31">
        <f>Responses!AF242</f>
        <v/>
      </c>
      <c r="H246" s="31">
        <f>Responses!AH242</f>
        <v/>
      </c>
      <c r="I246" s="31">
        <f>IF(Responses!Y242="","",Responses!V242&amp;"")</f>
        <v/>
      </c>
    </row>
    <row r="247">
      <c r="A247" s="28">
        <f>Responses!Z243</f>
        <v/>
      </c>
      <c r="B247" s="29">
        <f>Responses!AA243</f>
        <v/>
      </c>
      <c r="C247" s="30">
        <f>Responses!AB243</f>
        <v/>
      </c>
      <c r="D247" s="30">
        <f>Responses!AC243</f>
        <v/>
      </c>
      <c r="E247" s="30">
        <f>Responses!AD243</f>
        <v/>
      </c>
      <c r="F247" s="31">
        <f>Responses!AE243</f>
        <v/>
      </c>
      <c r="G247" s="31">
        <f>Responses!AF243</f>
        <v/>
      </c>
      <c r="H247" s="31">
        <f>Responses!AH243</f>
        <v/>
      </c>
      <c r="I247" s="31">
        <f>IF(Responses!Y243="","",Responses!V243&amp;"")</f>
        <v/>
      </c>
    </row>
    <row r="248">
      <c r="A248" s="28">
        <f>Responses!Z244</f>
        <v/>
      </c>
      <c r="B248" s="29">
        <f>Responses!AA244</f>
        <v/>
      </c>
      <c r="C248" s="30">
        <f>Responses!AB244</f>
        <v/>
      </c>
      <c r="D248" s="30">
        <f>Responses!AC244</f>
        <v/>
      </c>
      <c r="E248" s="30">
        <f>Responses!AD244</f>
        <v/>
      </c>
      <c r="F248" s="31">
        <f>Responses!AE244</f>
        <v/>
      </c>
      <c r="G248" s="31">
        <f>Responses!AF244</f>
        <v/>
      </c>
      <c r="H248" s="31">
        <f>Responses!AH244</f>
        <v/>
      </c>
      <c r="I248" s="31">
        <f>IF(Responses!Y244="","",Responses!V244&amp;"")</f>
        <v/>
      </c>
    </row>
    <row r="249">
      <c r="A249" s="28">
        <f>Responses!Z245</f>
        <v/>
      </c>
      <c r="B249" s="29">
        <f>Responses!AA245</f>
        <v/>
      </c>
      <c r="C249" s="30">
        <f>Responses!AB245</f>
        <v/>
      </c>
      <c r="D249" s="30">
        <f>Responses!AC245</f>
        <v/>
      </c>
      <c r="E249" s="30">
        <f>Responses!AD245</f>
        <v/>
      </c>
      <c r="F249" s="31">
        <f>Responses!AE245</f>
        <v/>
      </c>
      <c r="G249" s="31">
        <f>Responses!AF245</f>
        <v/>
      </c>
      <c r="H249" s="31">
        <f>Responses!AH245</f>
        <v/>
      </c>
      <c r="I249" s="31">
        <f>IF(Responses!Y245="","",Responses!V245&amp;"")</f>
        <v/>
      </c>
    </row>
    <row r="250">
      <c r="A250" s="28">
        <f>Responses!Z246</f>
        <v/>
      </c>
      <c r="B250" s="29">
        <f>Responses!AA246</f>
        <v/>
      </c>
      <c r="C250" s="30">
        <f>Responses!AB246</f>
        <v/>
      </c>
      <c r="D250" s="30">
        <f>Responses!AC246</f>
        <v/>
      </c>
      <c r="E250" s="30">
        <f>Responses!AD246</f>
        <v/>
      </c>
      <c r="F250" s="31">
        <f>Responses!AE246</f>
        <v/>
      </c>
      <c r="G250" s="31">
        <f>Responses!AF246</f>
        <v/>
      </c>
      <c r="H250" s="31">
        <f>Responses!AH246</f>
        <v/>
      </c>
      <c r="I250" s="31">
        <f>IF(Responses!Y246="","",Responses!V246&amp;"")</f>
        <v/>
      </c>
    </row>
    <row r="251">
      <c r="A251" s="28">
        <f>Responses!Z247</f>
        <v/>
      </c>
      <c r="B251" s="29">
        <f>Responses!AA247</f>
        <v/>
      </c>
      <c r="C251" s="30">
        <f>Responses!AB247</f>
        <v/>
      </c>
      <c r="D251" s="30">
        <f>Responses!AC247</f>
        <v/>
      </c>
      <c r="E251" s="30">
        <f>Responses!AD247</f>
        <v/>
      </c>
      <c r="F251" s="31">
        <f>Responses!AE247</f>
        <v/>
      </c>
      <c r="G251" s="31">
        <f>Responses!AF247</f>
        <v/>
      </c>
      <c r="H251" s="31">
        <f>Responses!AH247</f>
        <v/>
      </c>
      <c r="I251" s="31">
        <f>IF(Responses!Y247="","",Responses!V247&amp;"")</f>
        <v/>
      </c>
    </row>
    <row r="252">
      <c r="A252" s="28">
        <f>Responses!Z248</f>
        <v/>
      </c>
      <c r="B252" s="29">
        <f>Responses!AA248</f>
        <v/>
      </c>
      <c r="C252" s="30">
        <f>Responses!AB248</f>
        <v/>
      </c>
      <c r="D252" s="30">
        <f>Responses!AC248</f>
        <v/>
      </c>
      <c r="E252" s="30">
        <f>Responses!AD248</f>
        <v/>
      </c>
      <c r="F252" s="31">
        <f>Responses!AE248</f>
        <v/>
      </c>
      <c r="G252" s="31">
        <f>Responses!AF248</f>
        <v/>
      </c>
      <c r="H252" s="31">
        <f>Responses!AH248</f>
        <v/>
      </c>
      <c r="I252" s="31">
        <f>IF(Responses!Y248="","",Responses!V248&amp;"")</f>
        <v/>
      </c>
    </row>
    <row r="253">
      <c r="A253" s="28">
        <f>Responses!Z249</f>
        <v/>
      </c>
      <c r="B253" s="29">
        <f>Responses!AA249</f>
        <v/>
      </c>
      <c r="C253" s="30">
        <f>Responses!AB249</f>
        <v/>
      </c>
      <c r="D253" s="30">
        <f>Responses!AC249</f>
        <v/>
      </c>
      <c r="E253" s="30">
        <f>Responses!AD249</f>
        <v/>
      </c>
      <c r="F253" s="31">
        <f>Responses!AE249</f>
        <v/>
      </c>
      <c r="G253" s="31">
        <f>Responses!AF249</f>
        <v/>
      </c>
      <c r="H253" s="31">
        <f>Responses!AH249</f>
        <v/>
      </c>
      <c r="I253" s="31">
        <f>IF(Responses!Y249="","",Responses!V249&amp;"")</f>
        <v/>
      </c>
    </row>
    <row r="254">
      <c r="A254" s="28">
        <f>Responses!Z250</f>
        <v/>
      </c>
      <c r="B254" s="29">
        <f>Responses!AA250</f>
        <v/>
      </c>
      <c r="C254" s="30">
        <f>Responses!AB250</f>
        <v/>
      </c>
      <c r="D254" s="30">
        <f>Responses!AC250</f>
        <v/>
      </c>
      <c r="E254" s="30">
        <f>Responses!AD250</f>
        <v/>
      </c>
      <c r="F254" s="31">
        <f>Responses!AE250</f>
        <v/>
      </c>
      <c r="G254" s="31">
        <f>Responses!AF250</f>
        <v/>
      </c>
      <c r="H254" s="31">
        <f>Responses!AH250</f>
        <v/>
      </c>
      <c r="I254" s="31">
        <f>IF(Responses!Y250="","",Responses!V250&amp;"")</f>
        <v/>
      </c>
    </row>
    <row r="255">
      <c r="A255" s="28">
        <f>Responses!Z251</f>
        <v/>
      </c>
      <c r="B255" s="29">
        <f>Responses!AA251</f>
        <v/>
      </c>
      <c r="C255" s="30">
        <f>Responses!AB251</f>
        <v/>
      </c>
      <c r="D255" s="30">
        <f>Responses!AC251</f>
        <v/>
      </c>
      <c r="E255" s="30">
        <f>Responses!AD251</f>
        <v/>
      </c>
      <c r="F255" s="31">
        <f>Responses!AE251</f>
        <v/>
      </c>
      <c r="G255" s="31">
        <f>Responses!AF251</f>
        <v/>
      </c>
      <c r="H255" s="31">
        <f>Responses!AH251</f>
        <v/>
      </c>
      <c r="I255" s="31">
        <f>IF(Responses!Y251="","",Responses!V251&amp;"")</f>
        <v/>
      </c>
    </row>
    <row r="256">
      <c r="A256" s="28">
        <f>Responses!Z252</f>
        <v/>
      </c>
      <c r="B256" s="29">
        <f>Responses!AA252</f>
        <v/>
      </c>
      <c r="C256" s="30">
        <f>Responses!AB252</f>
        <v/>
      </c>
      <c r="D256" s="30">
        <f>Responses!AC252</f>
        <v/>
      </c>
      <c r="E256" s="30">
        <f>Responses!AD252</f>
        <v/>
      </c>
      <c r="F256" s="31">
        <f>Responses!AE252</f>
        <v/>
      </c>
      <c r="G256" s="31">
        <f>Responses!AF252</f>
        <v/>
      </c>
      <c r="H256" s="31">
        <f>Responses!AH252</f>
        <v/>
      </c>
      <c r="I256" s="31">
        <f>IF(Responses!Y252="","",Responses!V252&amp;"")</f>
        <v/>
      </c>
    </row>
    <row r="257">
      <c r="A257" s="28">
        <f>Responses!Z253</f>
        <v/>
      </c>
      <c r="B257" s="29">
        <f>Responses!AA253</f>
        <v/>
      </c>
      <c r="C257" s="30">
        <f>Responses!AB253</f>
        <v/>
      </c>
      <c r="D257" s="30">
        <f>Responses!AC253</f>
        <v/>
      </c>
      <c r="E257" s="30">
        <f>Responses!AD253</f>
        <v/>
      </c>
      <c r="F257" s="31">
        <f>Responses!AE253</f>
        <v/>
      </c>
      <c r="G257" s="31">
        <f>Responses!AF253</f>
        <v/>
      </c>
      <c r="H257" s="31">
        <f>Responses!AH253</f>
        <v/>
      </c>
      <c r="I257" s="31">
        <f>IF(Responses!Y253="","",Responses!V253&amp;"")</f>
        <v/>
      </c>
    </row>
    <row r="258">
      <c r="A258" s="28">
        <f>Responses!Z254</f>
        <v/>
      </c>
      <c r="B258" s="29">
        <f>Responses!AA254</f>
        <v/>
      </c>
      <c r="C258" s="30">
        <f>Responses!AB254</f>
        <v/>
      </c>
      <c r="D258" s="30">
        <f>Responses!AC254</f>
        <v/>
      </c>
      <c r="E258" s="30">
        <f>Responses!AD254</f>
        <v/>
      </c>
      <c r="F258" s="31">
        <f>Responses!AE254</f>
        <v/>
      </c>
      <c r="G258" s="31">
        <f>Responses!AF254</f>
        <v/>
      </c>
      <c r="H258" s="31">
        <f>Responses!AH254</f>
        <v/>
      </c>
      <c r="I258" s="31">
        <f>IF(Responses!Y254="","",Responses!V254&amp;"")</f>
        <v/>
      </c>
    </row>
    <row r="259">
      <c r="A259" s="28">
        <f>Responses!Z255</f>
        <v/>
      </c>
      <c r="B259" s="29">
        <f>Responses!AA255</f>
        <v/>
      </c>
      <c r="C259" s="30">
        <f>Responses!AB255</f>
        <v/>
      </c>
      <c r="D259" s="30">
        <f>Responses!AC255</f>
        <v/>
      </c>
      <c r="E259" s="30">
        <f>Responses!AD255</f>
        <v/>
      </c>
      <c r="F259" s="31">
        <f>Responses!AE255</f>
        <v/>
      </c>
      <c r="G259" s="31">
        <f>Responses!AF255</f>
        <v/>
      </c>
      <c r="H259" s="31">
        <f>Responses!AH255</f>
        <v/>
      </c>
      <c r="I259" s="31">
        <f>IF(Responses!Y255="","",Responses!V255&amp;"")</f>
        <v/>
      </c>
    </row>
    <row r="260">
      <c r="A260" s="28">
        <f>Responses!Z256</f>
        <v/>
      </c>
      <c r="B260" s="29">
        <f>Responses!AA256</f>
        <v/>
      </c>
      <c r="C260" s="30">
        <f>Responses!AB256</f>
        <v/>
      </c>
      <c r="D260" s="30">
        <f>Responses!AC256</f>
        <v/>
      </c>
      <c r="E260" s="30">
        <f>Responses!AD256</f>
        <v/>
      </c>
      <c r="F260" s="31">
        <f>Responses!AE256</f>
        <v/>
      </c>
      <c r="G260" s="31">
        <f>Responses!AF256</f>
        <v/>
      </c>
      <c r="H260" s="31">
        <f>Responses!AH256</f>
        <v/>
      </c>
      <c r="I260" s="31">
        <f>IF(Responses!Y256="","",Responses!V256&amp;"")</f>
        <v/>
      </c>
    </row>
    <row r="261">
      <c r="A261" s="28">
        <f>Responses!Z257</f>
        <v/>
      </c>
      <c r="B261" s="29">
        <f>Responses!AA257</f>
        <v/>
      </c>
      <c r="C261" s="30">
        <f>Responses!AB257</f>
        <v/>
      </c>
      <c r="D261" s="30">
        <f>Responses!AC257</f>
        <v/>
      </c>
      <c r="E261" s="30">
        <f>Responses!AD257</f>
        <v/>
      </c>
      <c r="F261" s="31">
        <f>Responses!AE257</f>
        <v/>
      </c>
      <c r="G261" s="31">
        <f>Responses!AF257</f>
        <v/>
      </c>
      <c r="H261" s="31">
        <f>Responses!AH257</f>
        <v/>
      </c>
      <c r="I261" s="31">
        <f>IF(Responses!Y257="","",Responses!V257&amp;"")</f>
        <v/>
      </c>
    </row>
    <row r="262">
      <c r="A262" s="28">
        <f>Responses!Z258</f>
        <v/>
      </c>
      <c r="B262" s="29">
        <f>Responses!AA258</f>
        <v/>
      </c>
      <c r="C262" s="30">
        <f>Responses!AB258</f>
        <v/>
      </c>
      <c r="D262" s="30">
        <f>Responses!AC258</f>
        <v/>
      </c>
      <c r="E262" s="30">
        <f>Responses!AD258</f>
        <v/>
      </c>
      <c r="F262" s="31">
        <f>Responses!AE258</f>
        <v/>
      </c>
      <c r="G262" s="31">
        <f>Responses!AF258</f>
        <v/>
      </c>
      <c r="H262" s="31">
        <f>Responses!AH258</f>
        <v/>
      </c>
      <c r="I262" s="31">
        <f>IF(Responses!Y258="","",Responses!V258&amp;"")</f>
        <v/>
      </c>
    </row>
    <row r="263">
      <c r="A263" s="28">
        <f>Responses!Z259</f>
        <v/>
      </c>
      <c r="B263" s="29">
        <f>Responses!AA259</f>
        <v/>
      </c>
      <c r="C263" s="30">
        <f>Responses!AB259</f>
        <v/>
      </c>
      <c r="D263" s="30">
        <f>Responses!AC259</f>
        <v/>
      </c>
      <c r="E263" s="30">
        <f>Responses!AD259</f>
        <v/>
      </c>
      <c r="F263" s="31">
        <f>Responses!AE259</f>
        <v/>
      </c>
      <c r="G263" s="31">
        <f>Responses!AF259</f>
        <v/>
      </c>
      <c r="H263" s="31">
        <f>Responses!AH259</f>
        <v/>
      </c>
      <c r="I263" s="31">
        <f>IF(Responses!Y259="","",Responses!V259&amp;"")</f>
        <v/>
      </c>
    </row>
    <row r="264">
      <c r="A264" s="28">
        <f>Responses!Z260</f>
        <v/>
      </c>
      <c r="B264" s="29">
        <f>Responses!AA260</f>
        <v/>
      </c>
      <c r="C264" s="30">
        <f>Responses!AB260</f>
        <v/>
      </c>
      <c r="D264" s="30">
        <f>Responses!AC260</f>
        <v/>
      </c>
      <c r="E264" s="30">
        <f>Responses!AD260</f>
        <v/>
      </c>
      <c r="F264" s="31">
        <f>Responses!AE260</f>
        <v/>
      </c>
      <c r="G264" s="31">
        <f>Responses!AF260</f>
        <v/>
      </c>
      <c r="H264" s="31">
        <f>Responses!AH260</f>
        <v/>
      </c>
      <c r="I264" s="31">
        <f>IF(Responses!Y260="","",Responses!V260&amp;"")</f>
        <v/>
      </c>
    </row>
    <row r="265">
      <c r="A265" s="28">
        <f>Responses!Z261</f>
        <v/>
      </c>
      <c r="B265" s="29">
        <f>Responses!AA261</f>
        <v/>
      </c>
      <c r="C265" s="30">
        <f>Responses!AB261</f>
        <v/>
      </c>
      <c r="D265" s="30">
        <f>Responses!AC261</f>
        <v/>
      </c>
      <c r="E265" s="30">
        <f>Responses!AD261</f>
        <v/>
      </c>
      <c r="F265" s="31">
        <f>Responses!AE261</f>
        <v/>
      </c>
      <c r="G265" s="31">
        <f>Responses!AF261</f>
        <v/>
      </c>
      <c r="H265" s="31">
        <f>Responses!AH261</f>
        <v/>
      </c>
      <c r="I265" s="31">
        <f>IF(Responses!Y261="","",Responses!V261&amp;"")</f>
        <v/>
      </c>
    </row>
    <row r="266">
      <c r="A266" s="28">
        <f>Responses!Z262</f>
        <v/>
      </c>
      <c r="B266" s="29">
        <f>Responses!AA262</f>
        <v/>
      </c>
      <c r="C266" s="30">
        <f>Responses!AB262</f>
        <v/>
      </c>
      <c r="D266" s="30">
        <f>Responses!AC262</f>
        <v/>
      </c>
      <c r="E266" s="30">
        <f>Responses!AD262</f>
        <v/>
      </c>
      <c r="F266" s="31">
        <f>Responses!AE262</f>
        <v/>
      </c>
      <c r="G266" s="31">
        <f>Responses!AF262</f>
        <v/>
      </c>
      <c r="H266" s="31">
        <f>Responses!AH262</f>
        <v/>
      </c>
      <c r="I266" s="31">
        <f>IF(Responses!Y262="","",Responses!V262&amp;"")</f>
        <v/>
      </c>
    </row>
    <row r="267">
      <c r="A267" s="28">
        <f>Responses!Z263</f>
        <v/>
      </c>
      <c r="B267" s="29">
        <f>Responses!AA263</f>
        <v/>
      </c>
      <c r="C267" s="30">
        <f>Responses!AB263</f>
        <v/>
      </c>
      <c r="D267" s="30">
        <f>Responses!AC263</f>
        <v/>
      </c>
      <c r="E267" s="30">
        <f>Responses!AD263</f>
        <v/>
      </c>
      <c r="F267" s="31">
        <f>Responses!AE263</f>
        <v/>
      </c>
      <c r="G267" s="31">
        <f>Responses!AF263</f>
        <v/>
      </c>
      <c r="H267" s="31">
        <f>Responses!AH263</f>
        <v/>
      </c>
      <c r="I267" s="31">
        <f>IF(Responses!Y263="","",Responses!V263&amp;"")</f>
        <v/>
      </c>
    </row>
    <row r="268">
      <c r="A268" s="28">
        <f>Responses!Z264</f>
        <v/>
      </c>
      <c r="B268" s="29">
        <f>Responses!AA264</f>
        <v/>
      </c>
      <c r="C268" s="30">
        <f>Responses!AB264</f>
        <v/>
      </c>
      <c r="D268" s="30">
        <f>Responses!AC264</f>
        <v/>
      </c>
      <c r="E268" s="30">
        <f>Responses!AD264</f>
        <v/>
      </c>
      <c r="F268" s="31">
        <f>Responses!AE264</f>
        <v/>
      </c>
      <c r="G268" s="31">
        <f>Responses!AF264</f>
        <v/>
      </c>
      <c r="H268" s="31">
        <f>Responses!AH264</f>
        <v/>
      </c>
      <c r="I268" s="31">
        <f>IF(Responses!Y264="","",Responses!V264&amp;"")</f>
        <v/>
      </c>
    </row>
    <row r="269">
      <c r="A269" s="28">
        <f>Responses!Z265</f>
        <v/>
      </c>
      <c r="B269" s="29">
        <f>Responses!AA265</f>
        <v/>
      </c>
      <c r="C269" s="30">
        <f>Responses!AB265</f>
        <v/>
      </c>
      <c r="D269" s="30">
        <f>Responses!AC265</f>
        <v/>
      </c>
      <c r="E269" s="30">
        <f>Responses!AD265</f>
        <v/>
      </c>
      <c r="F269" s="31">
        <f>Responses!AE265</f>
        <v/>
      </c>
      <c r="G269" s="31">
        <f>Responses!AF265</f>
        <v/>
      </c>
      <c r="H269" s="31">
        <f>Responses!AH265</f>
        <v/>
      </c>
      <c r="I269" s="31">
        <f>IF(Responses!Y265="","",Responses!V265&amp;"")</f>
        <v/>
      </c>
    </row>
    <row r="270">
      <c r="A270" s="28">
        <f>Responses!Z266</f>
        <v/>
      </c>
      <c r="B270" s="29">
        <f>Responses!AA266</f>
        <v/>
      </c>
      <c r="C270" s="30">
        <f>Responses!AB266</f>
        <v/>
      </c>
      <c r="D270" s="30">
        <f>Responses!AC266</f>
        <v/>
      </c>
      <c r="E270" s="30">
        <f>Responses!AD266</f>
        <v/>
      </c>
      <c r="F270" s="31">
        <f>Responses!AE266</f>
        <v/>
      </c>
      <c r="G270" s="31">
        <f>Responses!AF266</f>
        <v/>
      </c>
      <c r="H270" s="31">
        <f>Responses!AH266</f>
        <v/>
      </c>
      <c r="I270" s="31">
        <f>IF(Responses!Y266="","",Responses!V266&amp;"")</f>
        <v/>
      </c>
    </row>
    <row r="271">
      <c r="A271" s="28">
        <f>Responses!Z267</f>
        <v/>
      </c>
      <c r="B271" s="29">
        <f>Responses!AA267</f>
        <v/>
      </c>
      <c r="C271" s="30">
        <f>Responses!AB267</f>
        <v/>
      </c>
      <c r="D271" s="30">
        <f>Responses!AC267</f>
        <v/>
      </c>
      <c r="E271" s="30">
        <f>Responses!AD267</f>
        <v/>
      </c>
      <c r="F271" s="31">
        <f>Responses!AE267</f>
        <v/>
      </c>
      <c r="G271" s="31">
        <f>Responses!AF267</f>
        <v/>
      </c>
      <c r="H271" s="31">
        <f>Responses!AH267</f>
        <v/>
      </c>
      <c r="I271" s="31">
        <f>IF(Responses!Y267="","",Responses!V267&amp;"")</f>
        <v/>
      </c>
    </row>
    <row r="272">
      <c r="A272" s="28">
        <f>Responses!Z268</f>
        <v/>
      </c>
      <c r="B272" s="29">
        <f>Responses!AA268</f>
        <v/>
      </c>
      <c r="C272" s="30">
        <f>Responses!AB268</f>
        <v/>
      </c>
      <c r="D272" s="30">
        <f>Responses!AC268</f>
        <v/>
      </c>
      <c r="E272" s="30">
        <f>Responses!AD268</f>
        <v/>
      </c>
      <c r="F272" s="31">
        <f>Responses!AE268</f>
        <v/>
      </c>
      <c r="G272" s="31">
        <f>Responses!AF268</f>
        <v/>
      </c>
      <c r="H272" s="31">
        <f>Responses!AH268</f>
        <v/>
      </c>
      <c r="I272" s="31">
        <f>IF(Responses!Y268="","",Responses!V268&amp;"")</f>
        <v/>
      </c>
    </row>
    <row r="273">
      <c r="A273" s="28">
        <f>Responses!Z269</f>
        <v/>
      </c>
      <c r="B273" s="29">
        <f>Responses!AA269</f>
        <v/>
      </c>
      <c r="C273" s="30">
        <f>Responses!AB269</f>
        <v/>
      </c>
      <c r="D273" s="30">
        <f>Responses!AC269</f>
        <v/>
      </c>
      <c r="E273" s="30">
        <f>Responses!AD269</f>
        <v/>
      </c>
      <c r="F273" s="31">
        <f>Responses!AE269</f>
        <v/>
      </c>
      <c r="G273" s="31">
        <f>Responses!AF269</f>
        <v/>
      </c>
      <c r="H273" s="31">
        <f>Responses!AH269</f>
        <v/>
      </c>
      <c r="I273" s="31">
        <f>IF(Responses!Y269="","",Responses!V269&amp;"")</f>
        <v/>
      </c>
    </row>
    <row r="274">
      <c r="A274" s="28">
        <f>Responses!Z270</f>
        <v/>
      </c>
      <c r="B274" s="29">
        <f>Responses!AA270</f>
        <v/>
      </c>
      <c r="C274" s="30">
        <f>Responses!AB270</f>
        <v/>
      </c>
      <c r="D274" s="30">
        <f>Responses!AC270</f>
        <v/>
      </c>
      <c r="E274" s="30">
        <f>Responses!AD270</f>
        <v/>
      </c>
      <c r="F274" s="31">
        <f>Responses!AE270</f>
        <v/>
      </c>
      <c r="G274" s="31">
        <f>Responses!AF270</f>
        <v/>
      </c>
      <c r="H274" s="31">
        <f>Responses!AH270</f>
        <v/>
      </c>
      <c r="I274" s="31">
        <f>IF(Responses!Y270="","",Responses!V270&amp;"")</f>
        <v/>
      </c>
    </row>
    <row r="275">
      <c r="A275" s="28">
        <f>Responses!Z271</f>
        <v/>
      </c>
      <c r="B275" s="29">
        <f>Responses!AA271</f>
        <v/>
      </c>
      <c r="C275" s="30">
        <f>Responses!AB271</f>
        <v/>
      </c>
      <c r="D275" s="30">
        <f>Responses!AC271</f>
        <v/>
      </c>
      <c r="E275" s="30">
        <f>Responses!AD271</f>
        <v/>
      </c>
      <c r="F275" s="31">
        <f>Responses!AE271</f>
        <v/>
      </c>
      <c r="G275" s="31">
        <f>Responses!AF271</f>
        <v/>
      </c>
      <c r="H275" s="31">
        <f>Responses!AH271</f>
        <v/>
      </c>
      <c r="I275" s="31">
        <f>IF(Responses!Y271="","",Responses!V271&amp;"")</f>
        <v/>
      </c>
    </row>
    <row r="276">
      <c r="A276" s="28">
        <f>Responses!Z272</f>
        <v/>
      </c>
      <c r="B276" s="29">
        <f>Responses!AA272</f>
        <v/>
      </c>
      <c r="C276" s="30">
        <f>Responses!AB272</f>
        <v/>
      </c>
      <c r="D276" s="30">
        <f>Responses!AC272</f>
        <v/>
      </c>
      <c r="E276" s="30">
        <f>Responses!AD272</f>
        <v/>
      </c>
      <c r="F276" s="31">
        <f>Responses!AE272</f>
        <v/>
      </c>
      <c r="G276" s="31">
        <f>Responses!AF272</f>
        <v/>
      </c>
      <c r="H276" s="31">
        <f>Responses!AH272</f>
        <v/>
      </c>
      <c r="I276" s="31">
        <f>IF(Responses!Y272="","",Responses!V272&amp;"")</f>
        <v/>
      </c>
    </row>
    <row r="277">
      <c r="A277" s="28">
        <f>Responses!Z273</f>
        <v/>
      </c>
      <c r="B277" s="29">
        <f>Responses!AA273</f>
        <v/>
      </c>
      <c r="C277" s="30">
        <f>Responses!AB273</f>
        <v/>
      </c>
      <c r="D277" s="30">
        <f>Responses!AC273</f>
        <v/>
      </c>
      <c r="E277" s="30">
        <f>Responses!AD273</f>
        <v/>
      </c>
      <c r="F277" s="31">
        <f>Responses!AE273</f>
        <v/>
      </c>
      <c r="G277" s="31">
        <f>Responses!AF273</f>
        <v/>
      </c>
      <c r="H277" s="31">
        <f>Responses!AH273</f>
        <v/>
      </c>
      <c r="I277" s="31">
        <f>IF(Responses!Y273="","",Responses!V273&amp;"")</f>
        <v/>
      </c>
    </row>
    <row r="278">
      <c r="A278" s="28">
        <f>Responses!Z274</f>
        <v/>
      </c>
      <c r="B278" s="29">
        <f>Responses!AA274</f>
        <v/>
      </c>
      <c r="C278" s="30">
        <f>Responses!AB274</f>
        <v/>
      </c>
      <c r="D278" s="30">
        <f>Responses!AC274</f>
        <v/>
      </c>
      <c r="E278" s="30">
        <f>Responses!AD274</f>
        <v/>
      </c>
      <c r="F278" s="31">
        <f>Responses!AE274</f>
        <v/>
      </c>
      <c r="G278" s="31">
        <f>Responses!AF274</f>
        <v/>
      </c>
      <c r="H278" s="31">
        <f>Responses!AH274</f>
        <v/>
      </c>
      <c r="I278" s="31">
        <f>IF(Responses!Y274="","",Responses!V274&amp;"")</f>
        <v/>
      </c>
    </row>
    <row r="279">
      <c r="A279" s="28">
        <f>Responses!Z275</f>
        <v/>
      </c>
      <c r="B279" s="29">
        <f>Responses!AA275</f>
        <v/>
      </c>
      <c r="C279" s="30">
        <f>Responses!AB275</f>
        <v/>
      </c>
      <c r="D279" s="30">
        <f>Responses!AC275</f>
        <v/>
      </c>
      <c r="E279" s="30">
        <f>Responses!AD275</f>
        <v/>
      </c>
      <c r="F279" s="31">
        <f>Responses!AE275</f>
        <v/>
      </c>
      <c r="G279" s="31">
        <f>Responses!AF275</f>
        <v/>
      </c>
      <c r="H279" s="31">
        <f>Responses!AH275</f>
        <v/>
      </c>
      <c r="I279" s="31">
        <f>IF(Responses!Y275="","",Responses!V275&amp;"")</f>
        <v/>
      </c>
    </row>
    <row r="280">
      <c r="A280" s="28">
        <f>Responses!Z276</f>
        <v/>
      </c>
      <c r="B280" s="29">
        <f>Responses!AA276</f>
        <v/>
      </c>
      <c r="C280" s="30">
        <f>Responses!AB276</f>
        <v/>
      </c>
      <c r="D280" s="30">
        <f>Responses!AC276</f>
        <v/>
      </c>
      <c r="E280" s="30">
        <f>Responses!AD276</f>
        <v/>
      </c>
      <c r="F280" s="31">
        <f>Responses!AE276</f>
        <v/>
      </c>
      <c r="G280" s="31">
        <f>Responses!AF276</f>
        <v/>
      </c>
      <c r="H280" s="31">
        <f>Responses!AH276</f>
        <v/>
      </c>
      <c r="I280" s="31">
        <f>IF(Responses!Y276="","",Responses!V276&amp;"")</f>
        <v/>
      </c>
    </row>
    <row r="281">
      <c r="A281" s="28">
        <f>Responses!Z277</f>
        <v/>
      </c>
      <c r="B281" s="29">
        <f>Responses!AA277</f>
        <v/>
      </c>
      <c r="C281" s="30">
        <f>Responses!AB277</f>
        <v/>
      </c>
      <c r="D281" s="30">
        <f>Responses!AC277</f>
        <v/>
      </c>
      <c r="E281" s="30">
        <f>Responses!AD277</f>
        <v/>
      </c>
      <c r="F281" s="31">
        <f>Responses!AE277</f>
        <v/>
      </c>
      <c r="G281" s="31">
        <f>Responses!AF277</f>
        <v/>
      </c>
      <c r="H281" s="31">
        <f>Responses!AH277</f>
        <v/>
      </c>
      <c r="I281" s="31">
        <f>IF(Responses!Y277="","",Responses!V277&amp;"")</f>
        <v/>
      </c>
    </row>
    <row r="282">
      <c r="A282" s="28">
        <f>Responses!Z278</f>
        <v/>
      </c>
      <c r="B282" s="29">
        <f>Responses!AA278</f>
        <v/>
      </c>
      <c r="C282" s="30">
        <f>Responses!AB278</f>
        <v/>
      </c>
      <c r="D282" s="30">
        <f>Responses!AC278</f>
        <v/>
      </c>
      <c r="E282" s="30">
        <f>Responses!AD278</f>
        <v/>
      </c>
      <c r="F282" s="31">
        <f>Responses!AE278</f>
        <v/>
      </c>
      <c r="G282" s="31">
        <f>Responses!AF278</f>
        <v/>
      </c>
      <c r="H282" s="31">
        <f>Responses!AH278</f>
        <v/>
      </c>
      <c r="I282" s="31">
        <f>IF(Responses!Y278="","",Responses!V278&amp;"")</f>
        <v/>
      </c>
    </row>
    <row r="283">
      <c r="A283" s="28">
        <f>Responses!Z279</f>
        <v/>
      </c>
      <c r="B283" s="29">
        <f>Responses!AA279</f>
        <v/>
      </c>
      <c r="C283" s="30">
        <f>Responses!AB279</f>
        <v/>
      </c>
      <c r="D283" s="30">
        <f>Responses!AC279</f>
        <v/>
      </c>
      <c r="E283" s="30">
        <f>Responses!AD279</f>
        <v/>
      </c>
      <c r="F283" s="31">
        <f>Responses!AE279</f>
        <v/>
      </c>
      <c r="G283" s="31">
        <f>Responses!AF279</f>
        <v/>
      </c>
      <c r="H283" s="31">
        <f>Responses!AH279</f>
        <v/>
      </c>
      <c r="I283" s="31">
        <f>IF(Responses!Y279="","",Responses!V279&amp;"")</f>
        <v/>
      </c>
    </row>
    <row r="284">
      <c r="A284" s="28">
        <f>Responses!Z280</f>
        <v/>
      </c>
      <c r="B284" s="29">
        <f>Responses!AA280</f>
        <v/>
      </c>
      <c r="C284" s="30">
        <f>Responses!AB280</f>
        <v/>
      </c>
      <c r="D284" s="30">
        <f>Responses!AC280</f>
        <v/>
      </c>
      <c r="E284" s="30">
        <f>Responses!AD280</f>
        <v/>
      </c>
      <c r="F284" s="31">
        <f>Responses!AE280</f>
        <v/>
      </c>
      <c r="G284" s="31">
        <f>Responses!AF280</f>
        <v/>
      </c>
      <c r="H284" s="31">
        <f>Responses!AH280</f>
        <v/>
      </c>
      <c r="I284" s="31">
        <f>IF(Responses!Y280="","",Responses!V280&amp;"")</f>
        <v/>
      </c>
    </row>
    <row r="285">
      <c r="A285" s="28">
        <f>Responses!Z281</f>
        <v/>
      </c>
      <c r="B285" s="29">
        <f>Responses!AA281</f>
        <v/>
      </c>
      <c r="C285" s="30">
        <f>Responses!AB281</f>
        <v/>
      </c>
      <c r="D285" s="30">
        <f>Responses!AC281</f>
        <v/>
      </c>
      <c r="E285" s="30">
        <f>Responses!AD281</f>
        <v/>
      </c>
      <c r="F285" s="31">
        <f>Responses!AE281</f>
        <v/>
      </c>
      <c r="G285" s="31">
        <f>Responses!AF281</f>
        <v/>
      </c>
      <c r="H285" s="31">
        <f>Responses!AH281</f>
        <v/>
      </c>
      <c r="I285" s="31">
        <f>IF(Responses!Y281="","",Responses!V281&amp;"")</f>
        <v/>
      </c>
    </row>
    <row r="286">
      <c r="A286" s="28">
        <f>Responses!Z282</f>
        <v/>
      </c>
      <c r="B286" s="29">
        <f>Responses!AA282</f>
        <v/>
      </c>
      <c r="C286" s="30">
        <f>Responses!AB282</f>
        <v/>
      </c>
      <c r="D286" s="30">
        <f>Responses!AC282</f>
        <v/>
      </c>
      <c r="E286" s="30">
        <f>Responses!AD282</f>
        <v/>
      </c>
      <c r="F286" s="31">
        <f>Responses!AE282</f>
        <v/>
      </c>
      <c r="G286" s="31">
        <f>Responses!AF282</f>
        <v/>
      </c>
      <c r="H286" s="31">
        <f>Responses!AH282</f>
        <v/>
      </c>
      <c r="I286" s="31">
        <f>IF(Responses!Y282="","",Responses!V282&amp;"")</f>
        <v/>
      </c>
    </row>
    <row r="287">
      <c r="A287" s="28">
        <f>Responses!Z283</f>
        <v/>
      </c>
      <c r="B287" s="29">
        <f>Responses!AA283</f>
        <v/>
      </c>
      <c r="C287" s="30">
        <f>Responses!AB283</f>
        <v/>
      </c>
      <c r="D287" s="30">
        <f>Responses!AC283</f>
        <v/>
      </c>
      <c r="E287" s="30">
        <f>Responses!AD283</f>
        <v/>
      </c>
      <c r="F287" s="31">
        <f>Responses!AE283</f>
        <v/>
      </c>
      <c r="G287" s="31">
        <f>Responses!AF283</f>
        <v/>
      </c>
      <c r="H287" s="31">
        <f>Responses!AH283</f>
        <v/>
      </c>
      <c r="I287" s="31">
        <f>IF(Responses!Y283="","",Responses!V283&amp;"")</f>
        <v/>
      </c>
    </row>
    <row r="288">
      <c r="A288" s="28">
        <f>Responses!Z284</f>
        <v/>
      </c>
      <c r="B288" s="29">
        <f>Responses!AA284</f>
        <v/>
      </c>
      <c r="C288" s="30">
        <f>Responses!AB284</f>
        <v/>
      </c>
      <c r="D288" s="30">
        <f>Responses!AC284</f>
        <v/>
      </c>
      <c r="E288" s="30">
        <f>Responses!AD284</f>
        <v/>
      </c>
      <c r="F288" s="31">
        <f>Responses!AE284</f>
        <v/>
      </c>
      <c r="G288" s="31">
        <f>Responses!AF284</f>
        <v/>
      </c>
      <c r="H288" s="31">
        <f>Responses!AH284</f>
        <v/>
      </c>
      <c r="I288" s="31">
        <f>IF(Responses!Y284="","",Responses!V284&amp;"")</f>
        <v/>
      </c>
    </row>
    <row r="289">
      <c r="A289" s="28">
        <f>Responses!Z285</f>
        <v/>
      </c>
      <c r="B289" s="29">
        <f>Responses!AA285</f>
        <v/>
      </c>
      <c r="C289" s="30">
        <f>Responses!AB285</f>
        <v/>
      </c>
      <c r="D289" s="30">
        <f>Responses!AC285</f>
        <v/>
      </c>
      <c r="E289" s="30">
        <f>Responses!AD285</f>
        <v/>
      </c>
      <c r="F289" s="31">
        <f>Responses!AE285</f>
        <v/>
      </c>
      <c r="G289" s="31">
        <f>Responses!AF285</f>
        <v/>
      </c>
      <c r="H289" s="31">
        <f>Responses!AH285</f>
        <v/>
      </c>
      <c r="I289" s="31">
        <f>IF(Responses!Y285="","",Responses!V285&amp;"")</f>
        <v/>
      </c>
    </row>
    <row r="290">
      <c r="A290" s="28">
        <f>Responses!Z286</f>
        <v/>
      </c>
      <c r="B290" s="29">
        <f>Responses!AA286</f>
        <v/>
      </c>
      <c r="C290" s="30">
        <f>Responses!AB286</f>
        <v/>
      </c>
      <c r="D290" s="30">
        <f>Responses!AC286</f>
        <v/>
      </c>
      <c r="E290" s="30">
        <f>Responses!AD286</f>
        <v/>
      </c>
      <c r="F290" s="31">
        <f>Responses!AE286</f>
        <v/>
      </c>
      <c r="G290" s="31">
        <f>Responses!AF286</f>
        <v/>
      </c>
      <c r="H290" s="31">
        <f>Responses!AH286</f>
        <v/>
      </c>
      <c r="I290" s="31">
        <f>IF(Responses!Y286="","",Responses!V286&amp;"")</f>
        <v/>
      </c>
    </row>
    <row r="291">
      <c r="A291" s="28">
        <f>Responses!Z287</f>
        <v/>
      </c>
      <c r="B291" s="29">
        <f>Responses!AA287</f>
        <v/>
      </c>
      <c r="C291" s="30">
        <f>Responses!AB287</f>
        <v/>
      </c>
      <c r="D291" s="30">
        <f>Responses!AC287</f>
        <v/>
      </c>
      <c r="E291" s="30">
        <f>Responses!AD287</f>
        <v/>
      </c>
      <c r="F291" s="31">
        <f>Responses!AE287</f>
        <v/>
      </c>
      <c r="G291" s="31">
        <f>Responses!AF287</f>
        <v/>
      </c>
      <c r="H291" s="31">
        <f>Responses!AH287</f>
        <v/>
      </c>
      <c r="I291" s="31">
        <f>IF(Responses!Y287="","",Responses!V287&amp;"")</f>
        <v/>
      </c>
    </row>
    <row r="292">
      <c r="A292" s="28">
        <f>Responses!Z288</f>
        <v/>
      </c>
      <c r="B292" s="29">
        <f>Responses!AA288</f>
        <v/>
      </c>
      <c r="C292" s="30">
        <f>Responses!AB288</f>
        <v/>
      </c>
      <c r="D292" s="30">
        <f>Responses!AC288</f>
        <v/>
      </c>
      <c r="E292" s="30">
        <f>Responses!AD288</f>
        <v/>
      </c>
      <c r="F292" s="31">
        <f>Responses!AE288</f>
        <v/>
      </c>
      <c r="G292" s="31">
        <f>Responses!AF288</f>
        <v/>
      </c>
      <c r="H292" s="31">
        <f>Responses!AH288</f>
        <v/>
      </c>
      <c r="I292" s="31">
        <f>IF(Responses!Y288="","",Responses!V288&amp;"")</f>
        <v/>
      </c>
    </row>
    <row r="293">
      <c r="A293" s="28">
        <f>Responses!Z289</f>
        <v/>
      </c>
      <c r="B293" s="29">
        <f>Responses!AA289</f>
        <v/>
      </c>
      <c r="C293" s="30">
        <f>Responses!AB289</f>
        <v/>
      </c>
      <c r="D293" s="30">
        <f>Responses!AC289</f>
        <v/>
      </c>
      <c r="E293" s="30">
        <f>Responses!AD289</f>
        <v/>
      </c>
      <c r="F293" s="31">
        <f>Responses!AE289</f>
        <v/>
      </c>
      <c r="G293" s="31">
        <f>Responses!AF289</f>
        <v/>
      </c>
      <c r="H293" s="31">
        <f>Responses!AH289</f>
        <v/>
      </c>
      <c r="I293" s="31">
        <f>IF(Responses!Y289="","",Responses!V289&amp;"")</f>
        <v/>
      </c>
    </row>
    <row r="294">
      <c r="A294" s="28">
        <f>Responses!Z290</f>
        <v/>
      </c>
      <c r="B294" s="29">
        <f>Responses!AA290</f>
        <v/>
      </c>
      <c r="C294" s="30">
        <f>Responses!AB290</f>
        <v/>
      </c>
      <c r="D294" s="30">
        <f>Responses!AC290</f>
        <v/>
      </c>
      <c r="E294" s="30">
        <f>Responses!AD290</f>
        <v/>
      </c>
      <c r="F294" s="31">
        <f>Responses!AE290</f>
        <v/>
      </c>
      <c r="G294" s="31">
        <f>Responses!AF290</f>
        <v/>
      </c>
      <c r="H294" s="31">
        <f>Responses!AH290</f>
        <v/>
      </c>
      <c r="I294" s="31">
        <f>IF(Responses!Y290="","",Responses!V290&amp;"")</f>
        <v/>
      </c>
    </row>
    <row r="295">
      <c r="A295" s="28">
        <f>Responses!Z291</f>
        <v/>
      </c>
      <c r="B295" s="29">
        <f>Responses!AA291</f>
        <v/>
      </c>
      <c r="C295" s="30">
        <f>Responses!AB291</f>
        <v/>
      </c>
      <c r="D295" s="30">
        <f>Responses!AC291</f>
        <v/>
      </c>
      <c r="E295" s="30">
        <f>Responses!AD291</f>
        <v/>
      </c>
      <c r="F295" s="31">
        <f>Responses!AE291</f>
        <v/>
      </c>
      <c r="G295" s="31">
        <f>Responses!AF291</f>
        <v/>
      </c>
      <c r="H295" s="31">
        <f>Responses!AH291</f>
        <v/>
      </c>
      <c r="I295" s="31">
        <f>IF(Responses!Y291="","",Responses!V291&amp;"")</f>
        <v/>
      </c>
    </row>
    <row r="296">
      <c r="A296" s="28">
        <f>Responses!Z292</f>
        <v/>
      </c>
      <c r="B296" s="29">
        <f>Responses!AA292</f>
        <v/>
      </c>
      <c r="C296" s="30">
        <f>Responses!AB292</f>
        <v/>
      </c>
      <c r="D296" s="30">
        <f>Responses!AC292</f>
        <v/>
      </c>
      <c r="E296" s="30">
        <f>Responses!AD292</f>
        <v/>
      </c>
      <c r="F296" s="31">
        <f>Responses!AE292</f>
        <v/>
      </c>
      <c r="G296" s="31">
        <f>Responses!AF292</f>
        <v/>
      </c>
      <c r="H296" s="31">
        <f>Responses!AH292</f>
        <v/>
      </c>
      <c r="I296" s="31">
        <f>IF(Responses!Y292="","",Responses!V292&amp;"")</f>
        <v/>
      </c>
    </row>
    <row r="297">
      <c r="A297" s="28">
        <f>Responses!Z293</f>
        <v/>
      </c>
      <c r="B297" s="29">
        <f>Responses!AA293</f>
        <v/>
      </c>
      <c r="C297" s="30">
        <f>Responses!AB293</f>
        <v/>
      </c>
      <c r="D297" s="30">
        <f>Responses!AC293</f>
        <v/>
      </c>
      <c r="E297" s="30">
        <f>Responses!AD293</f>
        <v/>
      </c>
      <c r="F297" s="31">
        <f>Responses!AE293</f>
        <v/>
      </c>
      <c r="G297" s="31">
        <f>Responses!AF293</f>
        <v/>
      </c>
      <c r="H297" s="31">
        <f>Responses!AH293</f>
        <v/>
      </c>
      <c r="I297" s="31">
        <f>IF(Responses!Y293="","",Responses!V293&amp;"")</f>
        <v/>
      </c>
    </row>
    <row r="298">
      <c r="A298" s="28">
        <f>Responses!Z294</f>
        <v/>
      </c>
      <c r="B298" s="29">
        <f>Responses!AA294</f>
        <v/>
      </c>
      <c r="C298" s="30">
        <f>Responses!AB294</f>
        <v/>
      </c>
      <c r="D298" s="30">
        <f>Responses!AC294</f>
        <v/>
      </c>
      <c r="E298" s="30">
        <f>Responses!AD294</f>
        <v/>
      </c>
      <c r="F298" s="31">
        <f>Responses!AE294</f>
        <v/>
      </c>
      <c r="G298" s="31">
        <f>Responses!AF294</f>
        <v/>
      </c>
      <c r="H298" s="31">
        <f>Responses!AH294</f>
        <v/>
      </c>
      <c r="I298" s="31">
        <f>IF(Responses!Y294="","",Responses!V294&amp;"")</f>
        <v/>
      </c>
    </row>
    <row r="299">
      <c r="A299" s="28">
        <f>Responses!Z295</f>
        <v/>
      </c>
      <c r="B299" s="29">
        <f>Responses!AA295</f>
        <v/>
      </c>
      <c r="C299" s="30">
        <f>Responses!AB295</f>
        <v/>
      </c>
      <c r="D299" s="30">
        <f>Responses!AC295</f>
        <v/>
      </c>
      <c r="E299" s="30">
        <f>Responses!AD295</f>
        <v/>
      </c>
      <c r="F299" s="31">
        <f>Responses!AE295</f>
        <v/>
      </c>
      <c r="G299" s="31">
        <f>Responses!AF295</f>
        <v/>
      </c>
      <c r="H299" s="31">
        <f>Responses!AH295</f>
        <v/>
      </c>
      <c r="I299" s="31">
        <f>IF(Responses!Y295="","",Responses!V295&amp;"")</f>
        <v/>
      </c>
    </row>
    <row r="300">
      <c r="A300" s="28">
        <f>Responses!Z296</f>
        <v/>
      </c>
      <c r="B300" s="29">
        <f>Responses!AA296</f>
        <v/>
      </c>
      <c r="C300" s="30">
        <f>Responses!AB296</f>
        <v/>
      </c>
      <c r="D300" s="30">
        <f>Responses!AC296</f>
        <v/>
      </c>
      <c r="E300" s="30">
        <f>Responses!AD296</f>
        <v/>
      </c>
      <c r="F300" s="31">
        <f>Responses!AE296</f>
        <v/>
      </c>
      <c r="G300" s="31">
        <f>Responses!AF296</f>
        <v/>
      </c>
      <c r="H300" s="31">
        <f>Responses!AH296</f>
        <v/>
      </c>
      <c r="I300" s="31">
        <f>IF(Responses!Y296="","",Responses!V296&amp;"")</f>
        <v/>
      </c>
    </row>
    <row r="301">
      <c r="A301" s="28">
        <f>Responses!Z297</f>
        <v/>
      </c>
      <c r="B301" s="29">
        <f>Responses!AA297</f>
        <v/>
      </c>
      <c r="C301" s="30">
        <f>Responses!AB297</f>
        <v/>
      </c>
      <c r="D301" s="30">
        <f>Responses!AC297</f>
        <v/>
      </c>
      <c r="E301" s="30">
        <f>Responses!AD297</f>
        <v/>
      </c>
      <c r="F301" s="31">
        <f>Responses!AE297</f>
        <v/>
      </c>
      <c r="G301" s="31">
        <f>Responses!AF297</f>
        <v/>
      </c>
      <c r="H301" s="31">
        <f>Responses!AH297</f>
        <v/>
      </c>
      <c r="I301" s="31">
        <f>IF(Responses!Y297="","",Responses!V297&amp;"")</f>
        <v/>
      </c>
    </row>
    <row r="302">
      <c r="A302" s="28">
        <f>Responses!Z298</f>
        <v/>
      </c>
      <c r="B302" s="29">
        <f>Responses!AA298</f>
        <v/>
      </c>
      <c r="C302" s="30">
        <f>Responses!AB298</f>
        <v/>
      </c>
      <c r="D302" s="30">
        <f>Responses!AC298</f>
        <v/>
      </c>
      <c r="E302" s="30">
        <f>Responses!AD298</f>
        <v/>
      </c>
      <c r="F302" s="31">
        <f>Responses!AE298</f>
        <v/>
      </c>
      <c r="G302" s="31">
        <f>Responses!AF298</f>
        <v/>
      </c>
      <c r="H302" s="31">
        <f>Responses!AH298</f>
        <v/>
      </c>
      <c r="I302" s="31">
        <f>IF(Responses!Y298="","",Responses!V298&amp;"")</f>
        <v/>
      </c>
    </row>
    <row r="303">
      <c r="A303" s="28">
        <f>Responses!Z299</f>
        <v/>
      </c>
      <c r="B303" s="29">
        <f>Responses!AA299</f>
        <v/>
      </c>
      <c r="C303" s="30">
        <f>Responses!AB299</f>
        <v/>
      </c>
      <c r="D303" s="30">
        <f>Responses!AC299</f>
        <v/>
      </c>
      <c r="E303" s="30">
        <f>Responses!AD299</f>
        <v/>
      </c>
      <c r="F303" s="31">
        <f>Responses!AE299</f>
        <v/>
      </c>
      <c r="G303" s="31">
        <f>Responses!AF299</f>
        <v/>
      </c>
      <c r="H303" s="31">
        <f>Responses!AH299</f>
        <v/>
      </c>
      <c r="I303" s="31">
        <f>IF(Responses!Y299="","",Responses!V299&amp;"")</f>
        <v/>
      </c>
    </row>
    <row r="304">
      <c r="A304" s="28">
        <f>Responses!Z300</f>
        <v/>
      </c>
      <c r="B304" s="29">
        <f>Responses!AA300</f>
        <v/>
      </c>
      <c r="C304" s="30">
        <f>Responses!AB300</f>
        <v/>
      </c>
      <c r="D304" s="30">
        <f>Responses!AC300</f>
        <v/>
      </c>
      <c r="E304" s="30">
        <f>Responses!AD300</f>
        <v/>
      </c>
      <c r="F304" s="31">
        <f>Responses!AE300</f>
        <v/>
      </c>
      <c r="G304" s="31">
        <f>Responses!AF300</f>
        <v/>
      </c>
      <c r="H304" s="31">
        <f>Responses!AH300</f>
        <v/>
      </c>
      <c r="I304" s="31">
        <f>IF(Responses!Y300="","",Responses!V300&amp;"")</f>
        <v/>
      </c>
    </row>
    <row r="305">
      <c r="A305" s="28">
        <f>Responses!Z301</f>
        <v/>
      </c>
      <c r="B305" s="29">
        <f>Responses!AA301</f>
        <v/>
      </c>
      <c r="C305" s="30">
        <f>Responses!AB301</f>
        <v/>
      </c>
      <c r="D305" s="30">
        <f>Responses!AC301</f>
        <v/>
      </c>
      <c r="E305" s="30">
        <f>Responses!AD301</f>
        <v/>
      </c>
      <c r="F305" s="31">
        <f>Responses!AE301</f>
        <v/>
      </c>
      <c r="G305" s="31">
        <f>Responses!AF301</f>
        <v/>
      </c>
      <c r="H305" s="31">
        <f>Responses!AH301</f>
        <v/>
      </c>
      <c r="I305" s="31">
        <f>IF(Responses!Y301="","",Responses!V301&amp;"")</f>
        <v/>
      </c>
    </row>
    <row r="306">
      <c r="A306" s="28">
        <f>Responses!Z302</f>
        <v/>
      </c>
      <c r="B306" s="29">
        <f>Responses!AA302</f>
        <v/>
      </c>
      <c r="C306" s="30">
        <f>Responses!AB302</f>
        <v/>
      </c>
      <c r="D306" s="30">
        <f>Responses!AC302</f>
        <v/>
      </c>
      <c r="E306" s="30">
        <f>Responses!AD302</f>
        <v/>
      </c>
      <c r="F306" s="31">
        <f>Responses!AE302</f>
        <v/>
      </c>
      <c r="G306" s="31">
        <f>Responses!AF302</f>
        <v/>
      </c>
      <c r="H306" s="31">
        <f>Responses!AH302</f>
        <v/>
      </c>
      <c r="I306" s="31">
        <f>IF(Responses!Y302="","",Responses!V302&amp;"")</f>
        <v/>
      </c>
    </row>
    <row r="307">
      <c r="A307" s="28">
        <f>Responses!Z303</f>
        <v/>
      </c>
      <c r="B307" s="29">
        <f>Responses!AA303</f>
        <v/>
      </c>
      <c r="C307" s="30">
        <f>Responses!AB303</f>
        <v/>
      </c>
      <c r="D307" s="30">
        <f>Responses!AC303</f>
        <v/>
      </c>
      <c r="E307" s="30">
        <f>Responses!AD303</f>
        <v/>
      </c>
      <c r="F307" s="31">
        <f>Responses!AE303</f>
        <v/>
      </c>
      <c r="G307" s="31">
        <f>Responses!AF303</f>
        <v/>
      </c>
      <c r="H307" s="31">
        <f>Responses!AH303</f>
        <v/>
      </c>
      <c r="I307" s="31">
        <f>IF(Responses!Y303="","",Responses!V303&amp;"")</f>
        <v/>
      </c>
    </row>
    <row r="308">
      <c r="A308" s="28">
        <f>Responses!Z304</f>
        <v/>
      </c>
      <c r="B308" s="29">
        <f>Responses!AA304</f>
        <v/>
      </c>
      <c r="C308" s="30">
        <f>Responses!AB304</f>
        <v/>
      </c>
      <c r="D308" s="30">
        <f>Responses!AC304</f>
        <v/>
      </c>
      <c r="E308" s="30">
        <f>Responses!AD304</f>
        <v/>
      </c>
      <c r="F308" s="31">
        <f>Responses!AE304</f>
        <v/>
      </c>
      <c r="G308" s="31">
        <f>Responses!AF304</f>
        <v/>
      </c>
      <c r="H308" s="31">
        <f>Responses!AH304</f>
        <v/>
      </c>
      <c r="I308" s="31">
        <f>IF(Responses!Y304="","",Responses!V304&amp;"")</f>
        <v/>
      </c>
    </row>
    <row r="309">
      <c r="A309" s="28">
        <f>Responses!Z305</f>
        <v/>
      </c>
      <c r="B309" s="29">
        <f>Responses!AA305</f>
        <v/>
      </c>
      <c r="C309" s="30">
        <f>Responses!AB305</f>
        <v/>
      </c>
      <c r="D309" s="30">
        <f>Responses!AC305</f>
        <v/>
      </c>
      <c r="E309" s="30">
        <f>Responses!AD305</f>
        <v/>
      </c>
      <c r="F309" s="31">
        <f>Responses!AE305</f>
        <v/>
      </c>
      <c r="G309" s="31">
        <f>Responses!AF305</f>
        <v/>
      </c>
      <c r="H309" s="31">
        <f>Responses!AH305</f>
        <v/>
      </c>
      <c r="I309" s="31">
        <f>IF(Responses!Y305="","",Responses!V305&amp;"")</f>
        <v/>
      </c>
    </row>
    <row r="310">
      <c r="A310" s="28">
        <f>Responses!Z306</f>
        <v/>
      </c>
      <c r="B310" s="29">
        <f>Responses!AA306</f>
        <v/>
      </c>
      <c r="C310" s="30">
        <f>Responses!AB306</f>
        <v/>
      </c>
      <c r="D310" s="30">
        <f>Responses!AC306</f>
        <v/>
      </c>
      <c r="E310" s="30">
        <f>Responses!AD306</f>
        <v/>
      </c>
      <c r="F310" s="31">
        <f>Responses!AE306</f>
        <v/>
      </c>
      <c r="G310" s="31">
        <f>Responses!AF306</f>
        <v/>
      </c>
      <c r="H310" s="31">
        <f>Responses!AH306</f>
        <v/>
      </c>
      <c r="I310" s="31">
        <f>IF(Responses!Y306="","",Responses!V306&amp;"")</f>
        <v/>
      </c>
    </row>
    <row r="311">
      <c r="A311" s="28">
        <f>Responses!Z307</f>
        <v/>
      </c>
      <c r="B311" s="29">
        <f>Responses!AA307</f>
        <v/>
      </c>
      <c r="C311" s="30">
        <f>Responses!AB307</f>
        <v/>
      </c>
      <c r="D311" s="30">
        <f>Responses!AC307</f>
        <v/>
      </c>
      <c r="E311" s="30">
        <f>Responses!AD307</f>
        <v/>
      </c>
      <c r="F311" s="31">
        <f>Responses!AE307</f>
        <v/>
      </c>
      <c r="G311" s="31">
        <f>Responses!AF307</f>
        <v/>
      </c>
      <c r="H311" s="31">
        <f>Responses!AH307</f>
        <v/>
      </c>
      <c r="I311" s="31">
        <f>IF(Responses!Y307="","",Responses!V307&amp;"")</f>
        <v/>
      </c>
    </row>
    <row r="312">
      <c r="A312" s="28">
        <f>Responses!Z308</f>
        <v/>
      </c>
      <c r="B312" s="29">
        <f>Responses!AA308</f>
        <v/>
      </c>
      <c r="C312" s="30">
        <f>Responses!AB308</f>
        <v/>
      </c>
      <c r="D312" s="30">
        <f>Responses!AC308</f>
        <v/>
      </c>
      <c r="E312" s="30">
        <f>Responses!AD308</f>
        <v/>
      </c>
      <c r="F312" s="31">
        <f>Responses!AE308</f>
        <v/>
      </c>
      <c r="G312" s="31">
        <f>Responses!AF308</f>
        <v/>
      </c>
      <c r="H312" s="31">
        <f>Responses!AH308</f>
        <v/>
      </c>
      <c r="I312" s="31">
        <f>IF(Responses!Y308="","",Responses!V308&amp;"")</f>
        <v/>
      </c>
    </row>
    <row r="313">
      <c r="A313" s="28">
        <f>Responses!Z309</f>
        <v/>
      </c>
      <c r="B313" s="29">
        <f>Responses!AA309</f>
        <v/>
      </c>
      <c r="C313" s="30">
        <f>Responses!AB309</f>
        <v/>
      </c>
      <c r="D313" s="30">
        <f>Responses!AC309</f>
        <v/>
      </c>
      <c r="E313" s="30">
        <f>Responses!AD309</f>
        <v/>
      </c>
      <c r="F313" s="31">
        <f>Responses!AE309</f>
        <v/>
      </c>
      <c r="G313" s="31">
        <f>Responses!AF309</f>
        <v/>
      </c>
      <c r="H313" s="31">
        <f>Responses!AH309</f>
        <v/>
      </c>
      <c r="I313" s="31">
        <f>IF(Responses!Y309="","",Responses!V309&amp;"")</f>
        <v/>
      </c>
    </row>
    <row r="314">
      <c r="A314" s="28">
        <f>Responses!Z310</f>
        <v/>
      </c>
      <c r="B314" s="29">
        <f>Responses!AA310</f>
        <v/>
      </c>
      <c r="C314" s="30">
        <f>Responses!AB310</f>
        <v/>
      </c>
      <c r="D314" s="30">
        <f>Responses!AC310</f>
        <v/>
      </c>
      <c r="E314" s="30">
        <f>Responses!AD310</f>
        <v/>
      </c>
      <c r="F314" s="31">
        <f>Responses!AE310</f>
        <v/>
      </c>
      <c r="G314" s="31">
        <f>Responses!AF310</f>
        <v/>
      </c>
      <c r="H314" s="31">
        <f>Responses!AH310</f>
        <v/>
      </c>
      <c r="I314" s="31">
        <f>IF(Responses!Y310="","",Responses!V310&amp;"")</f>
        <v/>
      </c>
    </row>
    <row r="315">
      <c r="A315" s="28">
        <f>Responses!Z311</f>
        <v/>
      </c>
      <c r="B315" s="29">
        <f>Responses!AA311</f>
        <v/>
      </c>
      <c r="C315" s="30">
        <f>Responses!AB311</f>
        <v/>
      </c>
      <c r="D315" s="30">
        <f>Responses!AC311</f>
        <v/>
      </c>
      <c r="E315" s="30">
        <f>Responses!AD311</f>
        <v/>
      </c>
      <c r="F315" s="31">
        <f>Responses!AE311</f>
        <v/>
      </c>
      <c r="G315" s="31">
        <f>Responses!AF311</f>
        <v/>
      </c>
      <c r="H315" s="31">
        <f>Responses!AH311</f>
        <v/>
      </c>
      <c r="I315" s="31">
        <f>IF(Responses!Y311="","",Responses!V311&amp;"")</f>
        <v/>
      </c>
    </row>
    <row r="316">
      <c r="A316" s="28">
        <f>Responses!Z312</f>
        <v/>
      </c>
      <c r="B316" s="29">
        <f>Responses!AA312</f>
        <v/>
      </c>
      <c r="C316" s="30">
        <f>Responses!AB312</f>
        <v/>
      </c>
      <c r="D316" s="30">
        <f>Responses!AC312</f>
        <v/>
      </c>
      <c r="E316" s="30">
        <f>Responses!AD312</f>
        <v/>
      </c>
      <c r="F316" s="31">
        <f>Responses!AE312</f>
        <v/>
      </c>
      <c r="G316" s="31">
        <f>Responses!AF312</f>
        <v/>
      </c>
      <c r="H316" s="31">
        <f>Responses!AH312</f>
        <v/>
      </c>
      <c r="I316" s="31">
        <f>IF(Responses!Y312="","",Responses!V312&amp;"")</f>
        <v/>
      </c>
    </row>
    <row r="317">
      <c r="A317" s="28">
        <f>Responses!Z313</f>
        <v/>
      </c>
      <c r="B317" s="29">
        <f>Responses!AA313</f>
        <v/>
      </c>
      <c r="C317" s="30">
        <f>Responses!AB313</f>
        <v/>
      </c>
      <c r="D317" s="30">
        <f>Responses!AC313</f>
        <v/>
      </c>
      <c r="E317" s="30">
        <f>Responses!AD313</f>
        <v/>
      </c>
      <c r="F317" s="31">
        <f>Responses!AE313</f>
        <v/>
      </c>
      <c r="G317" s="31">
        <f>Responses!AF313</f>
        <v/>
      </c>
      <c r="H317" s="31">
        <f>Responses!AH313</f>
        <v/>
      </c>
      <c r="I317" s="31">
        <f>IF(Responses!Y313="","",Responses!V313&amp;"")</f>
        <v/>
      </c>
    </row>
    <row r="318">
      <c r="A318" s="28">
        <f>Responses!Z314</f>
        <v/>
      </c>
      <c r="B318" s="29">
        <f>Responses!AA314</f>
        <v/>
      </c>
      <c r="C318" s="30">
        <f>Responses!AB314</f>
        <v/>
      </c>
      <c r="D318" s="30">
        <f>Responses!AC314</f>
        <v/>
      </c>
      <c r="E318" s="30">
        <f>Responses!AD314</f>
        <v/>
      </c>
      <c r="F318" s="31">
        <f>Responses!AE314</f>
        <v/>
      </c>
      <c r="G318" s="31">
        <f>Responses!AF314</f>
        <v/>
      </c>
      <c r="H318" s="31">
        <f>Responses!AH314</f>
        <v/>
      </c>
      <c r="I318" s="31">
        <f>IF(Responses!Y314="","",Responses!V314&amp;"")</f>
        <v/>
      </c>
    </row>
    <row r="319">
      <c r="A319" s="28">
        <f>Responses!Z315</f>
        <v/>
      </c>
      <c r="B319" s="29">
        <f>Responses!AA315</f>
        <v/>
      </c>
      <c r="C319" s="30">
        <f>Responses!AB315</f>
        <v/>
      </c>
      <c r="D319" s="30">
        <f>Responses!AC315</f>
        <v/>
      </c>
      <c r="E319" s="30">
        <f>Responses!AD315</f>
        <v/>
      </c>
      <c r="F319" s="31">
        <f>Responses!AE315</f>
        <v/>
      </c>
      <c r="G319" s="31">
        <f>Responses!AF315</f>
        <v/>
      </c>
      <c r="H319" s="31">
        <f>Responses!AH315</f>
        <v/>
      </c>
      <c r="I319" s="31">
        <f>IF(Responses!Y315="","",Responses!V315&amp;"")</f>
        <v/>
      </c>
    </row>
    <row r="320">
      <c r="A320" s="28">
        <f>Responses!Z316</f>
        <v/>
      </c>
      <c r="B320" s="29">
        <f>Responses!AA316</f>
        <v/>
      </c>
      <c r="C320" s="30">
        <f>Responses!AB316</f>
        <v/>
      </c>
      <c r="D320" s="30">
        <f>Responses!AC316</f>
        <v/>
      </c>
      <c r="E320" s="30">
        <f>Responses!AD316</f>
        <v/>
      </c>
      <c r="F320" s="31">
        <f>Responses!AE316</f>
        <v/>
      </c>
      <c r="G320" s="31">
        <f>Responses!AF316</f>
        <v/>
      </c>
      <c r="H320" s="31">
        <f>Responses!AH316</f>
        <v/>
      </c>
      <c r="I320" s="31">
        <f>IF(Responses!Y316="","",Responses!V316&amp;"")</f>
        <v/>
      </c>
    </row>
    <row r="321">
      <c r="A321" s="28">
        <f>Responses!Z317</f>
        <v/>
      </c>
      <c r="B321" s="29">
        <f>Responses!AA317</f>
        <v/>
      </c>
      <c r="C321" s="30">
        <f>Responses!AB317</f>
        <v/>
      </c>
      <c r="D321" s="30">
        <f>Responses!AC317</f>
        <v/>
      </c>
      <c r="E321" s="30">
        <f>Responses!AD317</f>
        <v/>
      </c>
      <c r="F321" s="31">
        <f>Responses!AE317</f>
        <v/>
      </c>
      <c r="G321" s="31">
        <f>Responses!AF317</f>
        <v/>
      </c>
      <c r="H321" s="31">
        <f>Responses!AH317</f>
        <v/>
      </c>
      <c r="I321" s="31">
        <f>IF(Responses!Y317="","",Responses!V317&amp;"")</f>
        <v/>
      </c>
    </row>
    <row r="322">
      <c r="A322" s="28">
        <f>Responses!Z318</f>
        <v/>
      </c>
      <c r="B322" s="29">
        <f>Responses!AA318</f>
        <v/>
      </c>
      <c r="C322" s="30">
        <f>Responses!AB318</f>
        <v/>
      </c>
      <c r="D322" s="30">
        <f>Responses!AC318</f>
        <v/>
      </c>
      <c r="E322" s="30">
        <f>Responses!AD318</f>
        <v/>
      </c>
      <c r="F322" s="31">
        <f>Responses!AE318</f>
        <v/>
      </c>
      <c r="G322" s="31">
        <f>Responses!AF318</f>
        <v/>
      </c>
      <c r="H322" s="31">
        <f>Responses!AH318</f>
        <v/>
      </c>
      <c r="I322" s="31">
        <f>IF(Responses!Y318="","",Responses!V318&amp;"")</f>
        <v/>
      </c>
    </row>
    <row r="323">
      <c r="A323" s="28">
        <f>Responses!Z319</f>
        <v/>
      </c>
      <c r="B323" s="29">
        <f>Responses!AA319</f>
        <v/>
      </c>
      <c r="C323" s="30">
        <f>Responses!AB319</f>
        <v/>
      </c>
      <c r="D323" s="30">
        <f>Responses!AC319</f>
        <v/>
      </c>
      <c r="E323" s="30">
        <f>Responses!AD319</f>
        <v/>
      </c>
      <c r="F323" s="31">
        <f>Responses!AE319</f>
        <v/>
      </c>
      <c r="G323" s="31">
        <f>Responses!AF319</f>
        <v/>
      </c>
      <c r="H323" s="31">
        <f>Responses!AH319</f>
        <v/>
      </c>
      <c r="I323" s="31">
        <f>IF(Responses!Y319="","",Responses!V319&amp;"")</f>
        <v/>
      </c>
    </row>
    <row r="324">
      <c r="A324" s="28">
        <f>Responses!Z320</f>
        <v/>
      </c>
      <c r="B324" s="29">
        <f>Responses!AA320</f>
        <v/>
      </c>
      <c r="C324" s="30">
        <f>Responses!AB320</f>
        <v/>
      </c>
      <c r="D324" s="30">
        <f>Responses!AC320</f>
        <v/>
      </c>
      <c r="E324" s="30">
        <f>Responses!AD320</f>
        <v/>
      </c>
      <c r="F324" s="31">
        <f>Responses!AE320</f>
        <v/>
      </c>
      <c r="G324" s="31">
        <f>Responses!AF320</f>
        <v/>
      </c>
      <c r="H324" s="31">
        <f>Responses!AH320</f>
        <v/>
      </c>
      <c r="I324" s="31">
        <f>IF(Responses!Y320="","",Responses!V320&amp;"")</f>
        <v/>
      </c>
    </row>
    <row r="325">
      <c r="A325" s="28">
        <f>Responses!Z321</f>
        <v/>
      </c>
      <c r="B325" s="29">
        <f>Responses!AA321</f>
        <v/>
      </c>
      <c r="C325" s="30">
        <f>Responses!AB321</f>
        <v/>
      </c>
      <c r="D325" s="30">
        <f>Responses!AC321</f>
        <v/>
      </c>
      <c r="E325" s="30">
        <f>Responses!AD321</f>
        <v/>
      </c>
      <c r="F325" s="31">
        <f>Responses!AE321</f>
        <v/>
      </c>
      <c r="G325" s="31">
        <f>Responses!AF321</f>
        <v/>
      </c>
      <c r="H325" s="31">
        <f>Responses!AH321</f>
        <v/>
      </c>
      <c r="I325" s="31">
        <f>IF(Responses!Y321="","",Responses!V321&amp;"")</f>
        <v/>
      </c>
    </row>
    <row r="326">
      <c r="A326" s="28">
        <f>Responses!Z322</f>
        <v/>
      </c>
      <c r="B326" s="29">
        <f>Responses!AA322</f>
        <v/>
      </c>
      <c r="C326" s="30">
        <f>Responses!AB322</f>
        <v/>
      </c>
      <c r="D326" s="30">
        <f>Responses!AC322</f>
        <v/>
      </c>
      <c r="E326" s="30">
        <f>Responses!AD322</f>
        <v/>
      </c>
      <c r="F326" s="31">
        <f>Responses!AE322</f>
        <v/>
      </c>
      <c r="G326" s="31">
        <f>Responses!AF322</f>
        <v/>
      </c>
      <c r="H326" s="31">
        <f>Responses!AH322</f>
        <v/>
      </c>
      <c r="I326" s="31">
        <f>IF(Responses!Y322="","",Responses!V322&amp;"")</f>
        <v/>
      </c>
    </row>
    <row r="327">
      <c r="A327" s="28">
        <f>Responses!Z323</f>
        <v/>
      </c>
      <c r="B327" s="29">
        <f>Responses!AA323</f>
        <v/>
      </c>
      <c r="C327" s="30">
        <f>Responses!AB323</f>
        <v/>
      </c>
      <c r="D327" s="30">
        <f>Responses!AC323</f>
        <v/>
      </c>
      <c r="E327" s="30">
        <f>Responses!AD323</f>
        <v/>
      </c>
      <c r="F327" s="31">
        <f>Responses!AE323</f>
        <v/>
      </c>
      <c r="G327" s="31">
        <f>Responses!AF323</f>
        <v/>
      </c>
      <c r="H327" s="31">
        <f>Responses!AH323</f>
        <v/>
      </c>
      <c r="I327" s="31">
        <f>IF(Responses!Y323="","",Responses!V323&amp;"")</f>
        <v/>
      </c>
    </row>
    <row r="328">
      <c r="A328" s="28">
        <f>Responses!Z324</f>
        <v/>
      </c>
      <c r="B328" s="29">
        <f>Responses!AA324</f>
        <v/>
      </c>
      <c r="C328" s="30">
        <f>Responses!AB324</f>
        <v/>
      </c>
      <c r="D328" s="30">
        <f>Responses!AC324</f>
        <v/>
      </c>
      <c r="E328" s="30">
        <f>Responses!AD324</f>
        <v/>
      </c>
      <c r="F328" s="31">
        <f>Responses!AE324</f>
        <v/>
      </c>
      <c r="G328" s="31">
        <f>Responses!AF324</f>
        <v/>
      </c>
      <c r="H328" s="31">
        <f>Responses!AH324</f>
        <v/>
      </c>
      <c r="I328" s="31">
        <f>IF(Responses!Y324="","",Responses!V324&amp;"")</f>
        <v/>
      </c>
    </row>
    <row r="329">
      <c r="A329" s="28">
        <f>Responses!Z325</f>
        <v/>
      </c>
      <c r="B329" s="29">
        <f>Responses!AA325</f>
        <v/>
      </c>
      <c r="C329" s="30">
        <f>Responses!AB325</f>
        <v/>
      </c>
      <c r="D329" s="30">
        <f>Responses!AC325</f>
        <v/>
      </c>
      <c r="E329" s="30">
        <f>Responses!AD325</f>
        <v/>
      </c>
      <c r="F329" s="31">
        <f>Responses!AE325</f>
        <v/>
      </c>
      <c r="G329" s="31">
        <f>Responses!AF325</f>
        <v/>
      </c>
      <c r="H329" s="31">
        <f>Responses!AH325</f>
        <v/>
      </c>
      <c r="I329" s="31">
        <f>IF(Responses!Y325="","",Responses!V325&amp;"")</f>
        <v/>
      </c>
    </row>
    <row r="330">
      <c r="A330" s="28">
        <f>Responses!Z326</f>
        <v/>
      </c>
      <c r="B330" s="29">
        <f>Responses!AA326</f>
        <v/>
      </c>
      <c r="C330" s="30">
        <f>Responses!AB326</f>
        <v/>
      </c>
      <c r="D330" s="30">
        <f>Responses!AC326</f>
        <v/>
      </c>
      <c r="E330" s="30">
        <f>Responses!AD326</f>
        <v/>
      </c>
      <c r="F330" s="31">
        <f>Responses!AE326</f>
        <v/>
      </c>
      <c r="G330" s="31">
        <f>Responses!AF326</f>
        <v/>
      </c>
      <c r="H330" s="31">
        <f>Responses!AH326</f>
        <v/>
      </c>
      <c r="I330" s="31">
        <f>IF(Responses!Y326="","",Responses!V326&amp;"")</f>
        <v/>
      </c>
    </row>
    <row r="331">
      <c r="A331" s="28">
        <f>Responses!Z327</f>
        <v/>
      </c>
      <c r="B331" s="29">
        <f>Responses!AA327</f>
        <v/>
      </c>
      <c r="C331" s="30">
        <f>Responses!AB327</f>
        <v/>
      </c>
      <c r="D331" s="30">
        <f>Responses!AC327</f>
        <v/>
      </c>
      <c r="E331" s="30">
        <f>Responses!AD327</f>
        <v/>
      </c>
      <c r="F331" s="31">
        <f>Responses!AE327</f>
        <v/>
      </c>
      <c r="G331" s="31">
        <f>Responses!AF327</f>
        <v/>
      </c>
      <c r="H331" s="31">
        <f>Responses!AH327</f>
        <v/>
      </c>
      <c r="I331" s="31">
        <f>IF(Responses!Y327="","",Responses!V327&amp;"")</f>
        <v/>
      </c>
    </row>
    <row r="332">
      <c r="A332" s="28">
        <f>Responses!Z328</f>
        <v/>
      </c>
      <c r="B332" s="29">
        <f>Responses!AA328</f>
        <v/>
      </c>
      <c r="C332" s="30">
        <f>Responses!AB328</f>
        <v/>
      </c>
      <c r="D332" s="30">
        <f>Responses!AC328</f>
        <v/>
      </c>
      <c r="E332" s="30">
        <f>Responses!AD328</f>
        <v/>
      </c>
      <c r="F332" s="31">
        <f>Responses!AE328</f>
        <v/>
      </c>
      <c r="G332" s="31">
        <f>Responses!AF328</f>
        <v/>
      </c>
      <c r="H332" s="31">
        <f>Responses!AH328</f>
        <v/>
      </c>
      <c r="I332" s="31">
        <f>IF(Responses!Y328="","",Responses!V328&amp;"")</f>
        <v/>
      </c>
    </row>
    <row r="333">
      <c r="A333" s="28">
        <f>Responses!Z329</f>
        <v/>
      </c>
      <c r="B333" s="29">
        <f>Responses!AA329</f>
        <v/>
      </c>
      <c r="C333" s="30">
        <f>Responses!AB329</f>
        <v/>
      </c>
      <c r="D333" s="30">
        <f>Responses!AC329</f>
        <v/>
      </c>
      <c r="E333" s="30">
        <f>Responses!AD329</f>
        <v/>
      </c>
      <c r="F333" s="31">
        <f>Responses!AE329</f>
        <v/>
      </c>
      <c r="G333" s="31">
        <f>Responses!AF329</f>
        <v/>
      </c>
      <c r="H333" s="31">
        <f>Responses!AH329</f>
        <v/>
      </c>
      <c r="I333" s="31">
        <f>IF(Responses!Y329="","",Responses!V329&amp;"")</f>
        <v/>
      </c>
    </row>
    <row r="334">
      <c r="A334" s="28">
        <f>Responses!Z330</f>
        <v/>
      </c>
      <c r="B334" s="29">
        <f>Responses!AA330</f>
        <v/>
      </c>
      <c r="C334" s="30">
        <f>Responses!AB330</f>
        <v/>
      </c>
      <c r="D334" s="30">
        <f>Responses!AC330</f>
        <v/>
      </c>
      <c r="E334" s="30">
        <f>Responses!AD330</f>
        <v/>
      </c>
      <c r="F334" s="31">
        <f>Responses!AE330</f>
        <v/>
      </c>
      <c r="G334" s="31">
        <f>Responses!AF330</f>
        <v/>
      </c>
      <c r="H334" s="31">
        <f>Responses!AH330</f>
        <v/>
      </c>
      <c r="I334" s="31">
        <f>IF(Responses!Y330="","",Responses!V330&amp;"")</f>
        <v/>
      </c>
    </row>
    <row r="335">
      <c r="A335" s="28">
        <f>Responses!Z331</f>
        <v/>
      </c>
      <c r="B335" s="29">
        <f>Responses!AA331</f>
        <v/>
      </c>
      <c r="C335" s="30">
        <f>Responses!AB331</f>
        <v/>
      </c>
      <c r="D335" s="30">
        <f>Responses!AC331</f>
        <v/>
      </c>
      <c r="E335" s="30">
        <f>Responses!AD331</f>
        <v/>
      </c>
      <c r="F335" s="31">
        <f>Responses!AE331</f>
        <v/>
      </c>
      <c r="G335" s="31">
        <f>Responses!AF331</f>
        <v/>
      </c>
      <c r="H335" s="31">
        <f>Responses!AH331</f>
        <v/>
      </c>
      <c r="I335" s="31">
        <f>IF(Responses!Y331="","",Responses!V331&amp;"")</f>
        <v/>
      </c>
    </row>
    <row r="336">
      <c r="A336" s="28">
        <f>Responses!Z332</f>
        <v/>
      </c>
      <c r="B336" s="29">
        <f>Responses!AA332</f>
        <v/>
      </c>
      <c r="C336" s="30">
        <f>Responses!AB332</f>
        <v/>
      </c>
      <c r="D336" s="30">
        <f>Responses!AC332</f>
        <v/>
      </c>
      <c r="E336" s="30">
        <f>Responses!AD332</f>
        <v/>
      </c>
      <c r="F336" s="31">
        <f>Responses!AE332</f>
        <v/>
      </c>
      <c r="G336" s="31">
        <f>Responses!AF332</f>
        <v/>
      </c>
      <c r="H336" s="31">
        <f>Responses!AH332</f>
        <v/>
      </c>
      <c r="I336" s="31">
        <f>IF(Responses!Y332="","",Responses!V332&amp;"")</f>
        <v/>
      </c>
    </row>
    <row r="337">
      <c r="A337" s="28">
        <f>Responses!Z333</f>
        <v/>
      </c>
      <c r="B337" s="29">
        <f>Responses!AA333</f>
        <v/>
      </c>
      <c r="C337" s="30">
        <f>Responses!AB333</f>
        <v/>
      </c>
      <c r="D337" s="30">
        <f>Responses!AC333</f>
        <v/>
      </c>
      <c r="E337" s="30">
        <f>Responses!AD333</f>
        <v/>
      </c>
      <c r="F337" s="31">
        <f>Responses!AE333</f>
        <v/>
      </c>
      <c r="G337" s="31">
        <f>Responses!AF333</f>
        <v/>
      </c>
      <c r="H337" s="31">
        <f>Responses!AH333</f>
        <v/>
      </c>
      <c r="I337" s="31">
        <f>IF(Responses!Y333="","",Responses!V333&amp;"")</f>
        <v/>
      </c>
    </row>
    <row r="338">
      <c r="A338" s="28">
        <f>Responses!Z334</f>
        <v/>
      </c>
      <c r="B338" s="29">
        <f>Responses!AA334</f>
        <v/>
      </c>
      <c r="C338" s="30">
        <f>Responses!AB334</f>
        <v/>
      </c>
      <c r="D338" s="30">
        <f>Responses!AC334</f>
        <v/>
      </c>
      <c r="E338" s="30">
        <f>Responses!AD334</f>
        <v/>
      </c>
      <c r="F338" s="31">
        <f>Responses!AE334</f>
        <v/>
      </c>
      <c r="G338" s="31">
        <f>Responses!AF334</f>
        <v/>
      </c>
      <c r="H338" s="31">
        <f>Responses!AH334</f>
        <v/>
      </c>
      <c r="I338" s="31">
        <f>IF(Responses!Y334="","",Responses!V334&amp;"")</f>
        <v/>
      </c>
    </row>
    <row r="339">
      <c r="A339" s="28">
        <f>Responses!Z335</f>
        <v/>
      </c>
      <c r="B339" s="29">
        <f>Responses!AA335</f>
        <v/>
      </c>
      <c r="C339" s="30">
        <f>Responses!AB335</f>
        <v/>
      </c>
      <c r="D339" s="30">
        <f>Responses!AC335</f>
        <v/>
      </c>
      <c r="E339" s="30">
        <f>Responses!AD335</f>
        <v/>
      </c>
      <c r="F339" s="31">
        <f>Responses!AE335</f>
        <v/>
      </c>
      <c r="G339" s="31">
        <f>Responses!AF335</f>
        <v/>
      </c>
      <c r="H339" s="31">
        <f>Responses!AH335</f>
        <v/>
      </c>
      <c r="I339" s="31">
        <f>IF(Responses!Y335="","",Responses!V335&amp;"")</f>
        <v/>
      </c>
    </row>
    <row r="340">
      <c r="A340" s="28">
        <f>Responses!Z336</f>
        <v/>
      </c>
      <c r="B340" s="29">
        <f>Responses!AA336</f>
        <v/>
      </c>
      <c r="C340" s="30">
        <f>Responses!AB336</f>
        <v/>
      </c>
      <c r="D340" s="30">
        <f>Responses!AC336</f>
        <v/>
      </c>
      <c r="E340" s="30">
        <f>Responses!AD336</f>
        <v/>
      </c>
      <c r="F340" s="31">
        <f>Responses!AE336</f>
        <v/>
      </c>
      <c r="G340" s="31">
        <f>Responses!AF336</f>
        <v/>
      </c>
      <c r="H340" s="31">
        <f>Responses!AH336</f>
        <v/>
      </c>
      <c r="I340" s="31">
        <f>IF(Responses!Y336="","",Responses!V336&amp;"")</f>
        <v/>
      </c>
    </row>
    <row r="341">
      <c r="A341" s="28">
        <f>Responses!Z337</f>
        <v/>
      </c>
      <c r="B341" s="29">
        <f>Responses!AA337</f>
        <v/>
      </c>
      <c r="C341" s="30">
        <f>Responses!AB337</f>
        <v/>
      </c>
      <c r="D341" s="30">
        <f>Responses!AC337</f>
        <v/>
      </c>
      <c r="E341" s="30">
        <f>Responses!AD337</f>
        <v/>
      </c>
      <c r="F341" s="31">
        <f>Responses!AE337</f>
        <v/>
      </c>
      <c r="G341" s="31">
        <f>Responses!AF337</f>
        <v/>
      </c>
      <c r="H341" s="31">
        <f>Responses!AH337</f>
        <v/>
      </c>
      <c r="I341" s="31">
        <f>IF(Responses!Y337="","",Responses!V337&amp;"")</f>
        <v/>
      </c>
    </row>
    <row r="342">
      <c r="A342" s="28">
        <f>Responses!Z338</f>
        <v/>
      </c>
      <c r="B342" s="29">
        <f>Responses!AA338</f>
        <v/>
      </c>
      <c r="C342" s="30">
        <f>Responses!AB338</f>
        <v/>
      </c>
      <c r="D342" s="30">
        <f>Responses!AC338</f>
        <v/>
      </c>
      <c r="E342" s="30">
        <f>Responses!AD338</f>
        <v/>
      </c>
      <c r="F342" s="31">
        <f>Responses!AE338</f>
        <v/>
      </c>
      <c r="G342" s="31">
        <f>Responses!AF338</f>
        <v/>
      </c>
      <c r="H342" s="31">
        <f>Responses!AH338</f>
        <v/>
      </c>
      <c r="I342" s="31">
        <f>IF(Responses!Y338="","",Responses!V338&amp;"")</f>
        <v/>
      </c>
    </row>
    <row r="343">
      <c r="A343" s="28">
        <f>Responses!Z339</f>
        <v/>
      </c>
      <c r="B343" s="29">
        <f>Responses!AA339</f>
        <v/>
      </c>
      <c r="C343" s="30">
        <f>Responses!AB339</f>
        <v/>
      </c>
      <c r="D343" s="30">
        <f>Responses!AC339</f>
        <v/>
      </c>
      <c r="E343" s="30">
        <f>Responses!AD339</f>
        <v/>
      </c>
      <c r="F343" s="31">
        <f>Responses!AE339</f>
        <v/>
      </c>
      <c r="G343" s="31">
        <f>Responses!AF339</f>
        <v/>
      </c>
      <c r="H343" s="31">
        <f>Responses!AH339</f>
        <v/>
      </c>
      <c r="I343" s="31">
        <f>IF(Responses!Y339="","",Responses!V339&amp;"")</f>
        <v/>
      </c>
    </row>
    <row r="344">
      <c r="A344" s="28">
        <f>Responses!Z340</f>
        <v/>
      </c>
      <c r="B344" s="29">
        <f>Responses!AA340</f>
        <v/>
      </c>
      <c r="C344" s="30">
        <f>Responses!AB340</f>
        <v/>
      </c>
      <c r="D344" s="30">
        <f>Responses!AC340</f>
        <v/>
      </c>
      <c r="E344" s="30">
        <f>Responses!AD340</f>
        <v/>
      </c>
      <c r="F344" s="31">
        <f>Responses!AE340</f>
        <v/>
      </c>
      <c r="G344" s="31">
        <f>Responses!AF340</f>
        <v/>
      </c>
      <c r="H344" s="31">
        <f>Responses!AH340</f>
        <v/>
      </c>
      <c r="I344" s="31">
        <f>IF(Responses!Y340="","",Responses!V340&amp;"")</f>
        <v/>
      </c>
    </row>
    <row r="345">
      <c r="A345" s="28">
        <f>Responses!Z341</f>
        <v/>
      </c>
      <c r="B345" s="29">
        <f>Responses!AA341</f>
        <v/>
      </c>
      <c r="C345" s="30">
        <f>Responses!AB341</f>
        <v/>
      </c>
      <c r="D345" s="30">
        <f>Responses!AC341</f>
        <v/>
      </c>
      <c r="E345" s="30">
        <f>Responses!AD341</f>
        <v/>
      </c>
      <c r="F345" s="31">
        <f>Responses!AE341</f>
        <v/>
      </c>
      <c r="G345" s="31">
        <f>Responses!AF341</f>
        <v/>
      </c>
      <c r="H345" s="31">
        <f>Responses!AH341</f>
        <v/>
      </c>
      <c r="I345" s="31">
        <f>IF(Responses!Y341="","",Responses!V341&amp;"")</f>
        <v/>
      </c>
    </row>
    <row r="346">
      <c r="A346" s="28">
        <f>Responses!Z342</f>
        <v/>
      </c>
      <c r="B346" s="29">
        <f>Responses!AA342</f>
        <v/>
      </c>
      <c r="C346" s="30">
        <f>Responses!AB342</f>
        <v/>
      </c>
      <c r="D346" s="30">
        <f>Responses!AC342</f>
        <v/>
      </c>
      <c r="E346" s="30">
        <f>Responses!AD342</f>
        <v/>
      </c>
      <c r="F346" s="31">
        <f>Responses!AE342</f>
        <v/>
      </c>
      <c r="G346" s="31">
        <f>Responses!AF342</f>
        <v/>
      </c>
      <c r="H346" s="31">
        <f>Responses!AH342</f>
        <v/>
      </c>
      <c r="I346" s="31">
        <f>IF(Responses!Y342="","",Responses!V342&amp;"")</f>
        <v/>
      </c>
    </row>
    <row r="347">
      <c r="A347" s="28">
        <f>Responses!Z343</f>
        <v/>
      </c>
      <c r="B347" s="29">
        <f>Responses!AA343</f>
        <v/>
      </c>
      <c r="C347" s="30">
        <f>Responses!AB343</f>
        <v/>
      </c>
      <c r="D347" s="30">
        <f>Responses!AC343</f>
        <v/>
      </c>
      <c r="E347" s="30">
        <f>Responses!AD343</f>
        <v/>
      </c>
      <c r="F347" s="31">
        <f>Responses!AE343</f>
        <v/>
      </c>
      <c r="G347" s="31">
        <f>Responses!AF343</f>
        <v/>
      </c>
      <c r="H347" s="31">
        <f>Responses!AH343</f>
        <v/>
      </c>
      <c r="I347" s="31">
        <f>IF(Responses!Y343="","",Responses!V343&amp;"")</f>
        <v/>
      </c>
    </row>
    <row r="348">
      <c r="A348" s="28">
        <f>Responses!Z344</f>
        <v/>
      </c>
      <c r="B348" s="29">
        <f>Responses!AA344</f>
        <v/>
      </c>
      <c r="C348" s="30">
        <f>Responses!AB344</f>
        <v/>
      </c>
      <c r="D348" s="30">
        <f>Responses!AC344</f>
        <v/>
      </c>
      <c r="E348" s="30">
        <f>Responses!AD344</f>
        <v/>
      </c>
      <c r="F348" s="31">
        <f>Responses!AE344</f>
        <v/>
      </c>
      <c r="G348" s="31">
        <f>Responses!AF344</f>
        <v/>
      </c>
      <c r="H348" s="31">
        <f>Responses!AH344</f>
        <v/>
      </c>
      <c r="I348" s="31">
        <f>IF(Responses!Y344="","",Responses!V344&amp;"")</f>
        <v/>
      </c>
    </row>
    <row r="349">
      <c r="A349" s="28">
        <f>Responses!Z345</f>
        <v/>
      </c>
      <c r="B349" s="29">
        <f>Responses!AA345</f>
        <v/>
      </c>
      <c r="C349" s="30">
        <f>Responses!AB345</f>
        <v/>
      </c>
      <c r="D349" s="30">
        <f>Responses!AC345</f>
        <v/>
      </c>
      <c r="E349" s="30">
        <f>Responses!AD345</f>
        <v/>
      </c>
      <c r="F349" s="31">
        <f>Responses!AE345</f>
        <v/>
      </c>
      <c r="G349" s="31">
        <f>Responses!AF345</f>
        <v/>
      </c>
      <c r="H349" s="31">
        <f>Responses!AH345</f>
        <v/>
      </c>
      <c r="I349" s="31">
        <f>IF(Responses!Y345="","",Responses!V345&amp;"")</f>
        <v/>
      </c>
    </row>
    <row r="350">
      <c r="A350" s="28">
        <f>Responses!Z346</f>
        <v/>
      </c>
      <c r="B350" s="29">
        <f>Responses!AA346</f>
        <v/>
      </c>
      <c r="C350" s="30">
        <f>Responses!AB346</f>
        <v/>
      </c>
      <c r="D350" s="30">
        <f>Responses!AC346</f>
        <v/>
      </c>
      <c r="E350" s="30">
        <f>Responses!AD346</f>
        <v/>
      </c>
      <c r="F350" s="31">
        <f>Responses!AE346</f>
        <v/>
      </c>
      <c r="G350" s="31">
        <f>Responses!AF346</f>
        <v/>
      </c>
      <c r="H350" s="31">
        <f>Responses!AH346</f>
        <v/>
      </c>
      <c r="I350" s="31">
        <f>IF(Responses!Y346="","",Responses!V346&amp;"")</f>
        <v/>
      </c>
    </row>
    <row r="351">
      <c r="A351" s="28">
        <f>Responses!Z347</f>
        <v/>
      </c>
      <c r="B351" s="29">
        <f>Responses!AA347</f>
        <v/>
      </c>
      <c r="C351" s="30">
        <f>Responses!AB347</f>
        <v/>
      </c>
      <c r="D351" s="30">
        <f>Responses!AC347</f>
        <v/>
      </c>
      <c r="E351" s="30">
        <f>Responses!AD347</f>
        <v/>
      </c>
      <c r="F351" s="31">
        <f>Responses!AE347</f>
        <v/>
      </c>
      <c r="G351" s="31">
        <f>Responses!AF347</f>
        <v/>
      </c>
      <c r="H351" s="31">
        <f>Responses!AH347</f>
        <v/>
      </c>
      <c r="I351" s="31">
        <f>IF(Responses!Y347="","",Responses!V347&amp;"")</f>
        <v/>
      </c>
    </row>
    <row r="352">
      <c r="A352" s="28">
        <f>Responses!Z348</f>
        <v/>
      </c>
      <c r="B352" s="29">
        <f>Responses!AA348</f>
        <v/>
      </c>
      <c r="C352" s="30">
        <f>Responses!AB348</f>
        <v/>
      </c>
      <c r="D352" s="30">
        <f>Responses!AC348</f>
        <v/>
      </c>
      <c r="E352" s="30">
        <f>Responses!AD348</f>
        <v/>
      </c>
      <c r="F352" s="31">
        <f>Responses!AE348</f>
        <v/>
      </c>
      <c r="G352" s="31">
        <f>Responses!AF348</f>
        <v/>
      </c>
      <c r="H352" s="31">
        <f>Responses!AH348</f>
        <v/>
      </c>
      <c r="I352" s="31">
        <f>IF(Responses!Y348="","",Responses!V348&amp;"")</f>
        <v/>
      </c>
    </row>
    <row r="353">
      <c r="A353" s="28">
        <f>Responses!Z349</f>
        <v/>
      </c>
      <c r="B353" s="29">
        <f>Responses!AA349</f>
        <v/>
      </c>
      <c r="C353" s="30">
        <f>Responses!AB349</f>
        <v/>
      </c>
      <c r="D353" s="30">
        <f>Responses!AC349</f>
        <v/>
      </c>
      <c r="E353" s="30">
        <f>Responses!AD349</f>
        <v/>
      </c>
      <c r="F353" s="31">
        <f>Responses!AE349</f>
        <v/>
      </c>
      <c r="G353" s="31">
        <f>Responses!AF349</f>
        <v/>
      </c>
      <c r="H353" s="31">
        <f>Responses!AH349</f>
        <v/>
      </c>
      <c r="I353" s="31">
        <f>IF(Responses!Y349="","",Responses!V349&amp;"")</f>
        <v/>
      </c>
    </row>
    <row r="354">
      <c r="A354" s="28">
        <f>Responses!Z350</f>
        <v/>
      </c>
      <c r="B354" s="29">
        <f>Responses!AA350</f>
        <v/>
      </c>
      <c r="C354" s="30">
        <f>Responses!AB350</f>
        <v/>
      </c>
      <c r="D354" s="30">
        <f>Responses!AC350</f>
        <v/>
      </c>
      <c r="E354" s="30">
        <f>Responses!AD350</f>
        <v/>
      </c>
      <c r="F354" s="31">
        <f>Responses!AE350</f>
        <v/>
      </c>
      <c r="G354" s="31">
        <f>Responses!AF350</f>
        <v/>
      </c>
      <c r="H354" s="31">
        <f>Responses!AH350</f>
        <v/>
      </c>
      <c r="I354" s="31">
        <f>IF(Responses!Y350="","",Responses!V350&amp;"")</f>
        <v/>
      </c>
    </row>
    <row r="355">
      <c r="A355" s="28">
        <f>Responses!Z351</f>
        <v/>
      </c>
      <c r="B355" s="29">
        <f>Responses!AA351</f>
        <v/>
      </c>
      <c r="C355" s="30">
        <f>Responses!AB351</f>
        <v/>
      </c>
      <c r="D355" s="30">
        <f>Responses!AC351</f>
        <v/>
      </c>
      <c r="E355" s="30">
        <f>Responses!AD351</f>
        <v/>
      </c>
      <c r="F355" s="31">
        <f>Responses!AE351</f>
        <v/>
      </c>
      <c r="G355" s="31">
        <f>Responses!AF351</f>
        <v/>
      </c>
      <c r="H355" s="31">
        <f>Responses!AH351</f>
        <v/>
      </c>
      <c r="I355" s="31">
        <f>IF(Responses!Y351="","",Responses!V351&amp;"")</f>
        <v/>
      </c>
    </row>
    <row r="356">
      <c r="A356" s="28">
        <f>Responses!Z352</f>
        <v/>
      </c>
      <c r="B356" s="29">
        <f>Responses!AA352</f>
        <v/>
      </c>
      <c r="C356" s="30">
        <f>Responses!AB352</f>
        <v/>
      </c>
      <c r="D356" s="30">
        <f>Responses!AC352</f>
        <v/>
      </c>
      <c r="E356" s="30">
        <f>Responses!AD352</f>
        <v/>
      </c>
      <c r="F356" s="31">
        <f>Responses!AE352</f>
        <v/>
      </c>
      <c r="G356" s="31">
        <f>Responses!AF352</f>
        <v/>
      </c>
      <c r="H356" s="31">
        <f>Responses!AH352</f>
        <v/>
      </c>
      <c r="I356" s="31">
        <f>IF(Responses!Y352="","",Responses!V352&amp;"")</f>
        <v/>
      </c>
    </row>
    <row r="357">
      <c r="A357" s="28">
        <f>Responses!Z353</f>
        <v/>
      </c>
      <c r="B357" s="29">
        <f>Responses!AA353</f>
        <v/>
      </c>
      <c r="C357" s="30">
        <f>Responses!AB353</f>
        <v/>
      </c>
      <c r="D357" s="30">
        <f>Responses!AC353</f>
        <v/>
      </c>
      <c r="E357" s="30">
        <f>Responses!AD353</f>
        <v/>
      </c>
      <c r="F357" s="31">
        <f>Responses!AE353</f>
        <v/>
      </c>
      <c r="G357" s="31">
        <f>Responses!AF353</f>
        <v/>
      </c>
      <c r="H357" s="31">
        <f>Responses!AH353</f>
        <v/>
      </c>
      <c r="I357" s="31">
        <f>IF(Responses!Y353="","",Responses!V353&amp;"")</f>
        <v/>
      </c>
    </row>
    <row r="358">
      <c r="A358" s="28">
        <f>Responses!Z354</f>
        <v/>
      </c>
      <c r="B358" s="29">
        <f>Responses!AA354</f>
        <v/>
      </c>
      <c r="C358" s="30">
        <f>Responses!AB354</f>
        <v/>
      </c>
      <c r="D358" s="30">
        <f>Responses!AC354</f>
        <v/>
      </c>
      <c r="E358" s="30">
        <f>Responses!AD354</f>
        <v/>
      </c>
      <c r="F358" s="31">
        <f>Responses!AE354</f>
        <v/>
      </c>
      <c r="G358" s="31">
        <f>Responses!AF354</f>
        <v/>
      </c>
      <c r="H358" s="31">
        <f>Responses!AH354</f>
        <v/>
      </c>
      <c r="I358" s="31">
        <f>IF(Responses!Y354="","",Responses!V354&amp;"")</f>
        <v/>
      </c>
    </row>
    <row r="359">
      <c r="A359" s="28">
        <f>Responses!Z355</f>
        <v/>
      </c>
      <c r="B359" s="29">
        <f>Responses!AA355</f>
        <v/>
      </c>
      <c r="C359" s="30">
        <f>Responses!AB355</f>
        <v/>
      </c>
      <c r="D359" s="30">
        <f>Responses!AC355</f>
        <v/>
      </c>
      <c r="E359" s="30">
        <f>Responses!AD355</f>
        <v/>
      </c>
      <c r="F359" s="31">
        <f>Responses!AE355</f>
        <v/>
      </c>
      <c r="G359" s="31">
        <f>Responses!AF355</f>
        <v/>
      </c>
      <c r="H359" s="31">
        <f>Responses!AH355</f>
        <v/>
      </c>
      <c r="I359" s="31">
        <f>IF(Responses!Y355="","",Responses!V355&amp;"")</f>
        <v/>
      </c>
    </row>
    <row r="360">
      <c r="A360" s="28">
        <f>Responses!Z356</f>
        <v/>
      </c>
      <c r="B360" s="29">
        <f>Responses!AA356</f>
        <v/>
      </c>
      <c r="C360" s="30">
        <f>Responses!AB356</f>
        <v/>
      </c>
      <c r="D360" s="30">
        <f>Responses!AC356</f>
        <v/>
      </c>
      <c r="E360" s="30">
        <f>Responses!AD356</f>
        <v/>
      </c>
      <c r="F360" s="31">
        <f>Responses!AE356</f>
        <v/>
      </c>
      <c r="G360" s="31">
        <f>Responses!AF356</f>
        <v/>
      </c>
      <c r="H360" s="31">
        <f>Responses!AH356</f>
        <v/>
      </c>
      <c r="I360" s="31">
        <f>IF(Responses!Y356="","",Responses!V356&amp;"")</f>
        <v/>
      </c>
    </row>
    <row r="361">
      <c r="A361" s="28">
        <f>Responses!Z357</f>
        <v/>
      </c>
      <c r="B361" s="29">
        <f>Responses!AA357</f>
        <v/>
      </c>
      <c r="C361" s="30">
        <f>Responses!AB357</f>
        <v/>
      </c>
      <c r="D361" s="30">
        <f>Responses!AC357</f>
        <v/>
      </c>
      <c r="E361" s="30">
        <f>Responses!AD357</f>
        <v/>
      </c>
      <c r="F361" s="31">
        <f>Responses!AE357</f>
        <v/>
      </c>
      <c r="G361" s="31">
        <f>Responses!AF357</f>
        <v/>
      </c>
      <c r="H361" s="31">
        <f>Responses!AH357</f>
        <v/>
      </c>
      <c r="I361" s="31">
        <f>IF(Responses!Y357="","",Responses!V357&amp;"")</f>
        <v/>
      </c>
    </row>
    <row r="362">
      <c r="A362" s="28">
        <f>Responses!Z358</f>
        <v/>
      </c>
      <c r="B362" s="29">
        <f>Responses!AA358</f>
        <v/>
      </c>
      <c r="C362" s="30">
        <f>Responses!AB358</f>
        <v/>
      </c>
      <c r="D362" s="30">
        <f>Responses!AC358</f>
        <v/>
      </c>
      <c r="E362" s="30">
        <f>Responses!AD358</f>
        <v/>
      </c>
      <c r="F362" s="31">
        <f>Responses!AE358</f>
        <v/>
      </c>
      <c r="G362" s="31">
        <f>Responses!AF358</f>
        <v/>
      </c>
      <c r="H362" s="31">
        <f>Responses!AH358</f>
        <v/>
      </c>
      <c r="I362" s="31">
        <f>IF(Responses!Y358="","",Responses!V358&amp;"")</f>
        <v/>
      </c>
    </row>
    <row r="363">
      <c r="A363" s="28">
        <f>Responses!Z359</f>
        <v/>
      </c>
      <c r="B363" s="29">
        <f>Responses!AA359</f>
        <v/>
      </c>
      <c r="C363" s="30">
        <f>Responses!AB359</f>
        <v/>
      </c>
      <c r="D363" s="30">
        <f>Responses!AC359</f>
        <v/>
      </c>
      <c r="E363" s="30">
        <f>Responses!AD359</f>
        <v/>
      </c>
      <c r="F363" s="31">
        <f>Responses!AE359</f>
        <v/>
      </c>
      <c r="G363" s="31">
        <f>Responses!AF359</f>
        <v/>
      </c>
      <c r="H363" s="31">
        <f>Responses!AH359</f>
        <v/>
      </c>
      <c r="I363" s="31">
        <f>IF(Responses!Y359="","",Responses!V359&amp;"")</f>
        <v/>
      </c>
    </row>
    <row r="364">
      <c r="A364" s="28">
        <f>Responses!Z360</f>
        <v/>
      </c>
      <c r="B364" s="29">
        <f>Responses!AA360</f>
        <v/>
      </c>
      <c r="C364" s="30">
        <f>Responses!AB360</f>
        <v/>
      </c>
      <c r="D364" s="30">
        <f>Responses!AC360</f>
        <v/>
      </c>
      <c r="E364" s="30">
        <f>Responses!AD360</f>
        <v/>
      </c>
      <c r="F364" s="31">
        <f>Responses!AE360</f>
        <v/>
      </c>
      <c r="G364" s="31">
        <f>Responses!AF360</f>
        <v/>
      </c>
      <c r="H364" s="31">
        <f>Responses!AH360</f>
        <v/>
      </c>
      <c r="I364" s="31">
        <f>IF(Responses!Y360="","",Responses!V360&amp;"")</f>
        <v/>
      </c>
    </row>
    <row r="365">
      <c r="A365" s="28">
        <f>Responses!Z361</f>
        <v/>
      </c>
      <c r="B365" s="29">
        <f>Responses!AA361</f>
        <v/>
      </c>
      <c r="C365" s="30">
        <f>Responses!AB361</f>
        <v/>
      </c>
      <c r="D365" s="30">
        <f>Responses!AC361</f>
        <v/>
      </c>
      <c r="E365" s="30">
        <f>Responses!AD361</f>
        <v/>
      </c>
      <c r="F365" s="31">
        <f>Responses!AE361</f>
        <v/>
      </c>
      <c r="G365" s="31">
        <f>Responses!AF361</f>
        <v/>
      </c>
      <c r="H365" s="31">
        <f>Responses!AH361</f>
        <v/>
      </c>
      <c r="I365" s="31">
        <f>IF(Responses!Y361="","",Responses!V361&amp;"")</f>
        <v/>
      </c>
    </row>
    <row r="366">
      <c r="A366" s="28">
        <f>Responses!Z362</f>
        <v/>
      </c>
      <c r="B366" s="29">
        <f>Responses!AA362</f>
        <v/>
      </c>
      <c r="C366" s="30">
        <f>Responses!AB362</f>
        <v/>
      </c>
      <c r="D366" s="30">
        <f>Responses!AC362</f>
        <v/>
      </c>
      <c r="E366" s="30">
        <f>Responses!AD362</f>
        <v/>
      </c>
      <c r="F366" s="31">
        <f>Responses!AE362</f>
        <v/>
      </c>
      <c r="G366" s="31">
        <f>Responses!AF362</f>
        <v/>
      </c>
      <c r="H366" s="31">
        <f>Responses!AH362</f>
        <v/>
      </c>
      <c r="I366" s="31">
        <f>IF(Responses!Y362="","",Responses!V362&amp;"")</f>
        <v/>
      </c>
    </row>
    <row r="367">
      <c r="A367" s="28">
        <f>Responses!Z363</f>
        <v/>
      </c>
      <c r="B367" s="29">
        <f>Responses!AA363</f>
        <v/>
      </c>
      <c r="C367" s="30">
        <f>Responses!AB363</f>
        <v/>
      </c>
      <c r="D367" s="30">
        <f>Responses!AC363</f>
        <v/>
      </c>
      <c r="E367" s="30">
        <f>Responses!AD363</f>
        <v/>
      </c>
      <c r="F367" s="31">
        <f>Responses!AE363</f>
        <v/>
      </c>
      <c r="G367" s="31">
        <f>Responses!AF363</f>
        <v/>
      </c>
      <c r="H367" s="31">
        <f>Responses!AH363</f>
        <v/>
      </c>
      <c r="I367" s="31">
        <f>IF(Responses!Y363="","",Responses!V363&amp;"")</f>
        <v/>
      </c>
    </row>
    <row r="368">
      <c r="A368" s="28">
        <f>Responses!Z364</f>
        <v/>
      </c>
      <c r="B368" s="29">
        <f>Responses!AA364</f>
        <v/>
      </c>
      <c r="C368" s="30">
        <f>Responses!AB364</f>
        <v/>
      </c>
      <c r="D368" s="30">
        <f>Responses!AC364</f>
        <v/>
      </c>
      <c r="E368" s="30">
        <f>Responses!AD364</f>
        <v/>
      </c>
      <c r="F368" s="31">
        <f>Responses!AE364</f>
        <v/>
      </c>
      <c r="G368" s="31">
        <f>Responses!AF364</f>
        <v/>
      </c>
      <c r="H368" s="31">
        <f>Responses!AH364</f>
        <v/>
      </c>
      <c r="I368" s="31">
        <f>IF(Responses!Y364="","",Responses!V364&amp;"")</f>
        <v/>
      </c>
    </row>
    <row r="369">
      <c r="A369" s="28">
        <f>Responses!Z365</f>
        <v/>
      </c>
      <c r="B369" s="29">
        <f>Responses!AA365</f>
        <v/>
      </c>
      <c r="C369" s="30">
        <f>Responses!AB365</f>
        <v/>
      </c>
      <c r="D369" s="30">
        <f>Responses!AC365</f>
        <v/>
      </c>
      <c r="E369" s="30">
        <f>Responses!AD365</f>
        <v/>
      </c>
      <c r="F369" s="31">
        <f>Responses!AE365</f>
        <v/>
      </c>
      <c r="G369" s="31">
        <f>Responses!AF365</f>
        <v/>
      </c>
      <c r="H369" s="31">
        <f>Responses!AH365</f>
        <v/>
      </c>
      <c r="I369" s="31">
        <f>IF(Responses!Y365="","",Responses!V365&amp;"")</f>
        <v/>
      </c>
    </row>
    <row r="370">
      <c r="A370" s="28">
        <f>Responses!Z366</f>
        <v/>
      </c>
      <c r="B370" s="29">
        <f>Responses!AA366</f>
        <v/>
      </c>
      <c r="C370" s="30">
        <f>Responses!AB366</f>
        <v/>
      </c>
      <c r="D370" s="30">
        <f>Responses!AC366</f>
        <v/>
      </c>
      <c r="E370" s="30">
        <f>Responses!AD366</f>
        <v/>
      </c>
      <c r="F370" s="31">
        <f>Responses!AE366</f>
        <v/>
      </c>
      <c r="G370" s="31">
        <f>Responses!AF366</f>
        <v/>
      </c>
      <c r="H370" s="31">
        <f>Responses!AH366</f>
        <v/>
      </c>
      <c r="I370" s="31">
        <f>IF(Responses!Y366="","",Responses!V366&amp;"")</f>
        <v/>
      </c>
    </row>
    <row r="371">
      <c r="A371" s="28">
        <f>Responses!Z367</f>
        <v/>
      </c>
      <c r="B371" s="29">
        <f>Responses!AA367</f>
        <v/>
      </c>
      <c r="C371" s="30">
        <f>Responses!AB367</f>
        <v/>
      </c>
      <c r="D371" s="30">
        <f>Responses!AC367</f>
        <v/>
      </c>
      <c r="E371" s="30">
        <f>Responses!AD367</f>
        <v/>
      </c>
      <c r="F371" s="31">
        <f>Responses!AE367</f>
        <v/>
      </c>
      <c r="G371" s="31">
        <f>Responses!AF367</f>
        <v/>
      </c>
      <c r="H371" s="31">
        <f>Responses!AH367</f>
        <v/>
      </c>
      <c r="I371" s="31">
        <f>IF(Responses!Y367="","",Responses!V367&amp;"")</f>
        <v/>
      </c>
    </row>
    <row r="372">
      <c r="A372" s="28">
        <f>Responses!Z368</f>
        <v/>
      </c>
      <c r="B372" s="29">
        <f>Responses!AA368</f>
        <v/>
      </c>
      <c r="C372" s="30">
        <f>Responses!AB368</f>
        <v/>
      </c>
      <c r="D372" s="30">
        <f>Responses!AC368</f>
        <v/>
      </c>
      <c r="E372" s="30">
        <f>Responses!AD368</f>
        <v/>
      </c>
      <c r="F372" s="31">
        <f>Responses!AE368</f>
        <v/>
      </c>
      <c r="G372" s="31">
        <f>Responses!AF368</f>
        <v/>
      </c>
      <c r="H372" s="31">
        <f>Responses!AH368</f>
        <v/>
      </c>
      <c r="I372" s="31">
        <f>IF(Responses!Y368="","",Responses!V368&amp;"")</f>
        <v/>
      </c>
    </row>
    <row r="373">
      <c r="A373" s="28">
        <f>Responses!Z369</f>
        <v/>
      </c>
      <c r="B373" s="29">
        <f>Responses!AA369</f>
        <v/>
      </c>
      <c r="C373" s="30">
        <f>Responses!AB369</f>
        <v/>
      </c>
      <c r="D373" s="30">
        <f>Responses!AC369</f>
        <v/>
      </c>
      <c r="E373" s="30">
        <f>Responses!AD369</f>
        <v/>
      </c>
      <c r="F373" s="31">
        <f>Responses!AE369</f>
        <v/>
      </c>
      <c r="G373" s="31">
        <f>Responses!AF369</f>
        <v/>
      </c>
      <c r="H373" s="31">
        <f>Responses!AH369</f>
        <v/>
      </c>
      <c r="I373" s="31">
        <f>IF(Responses!Y369="","",Responses!V369&amp;"")</f>
        <v/>
      </c>
    </row>
    <row r="374">
      <c r="A374" s="28">
        <f>Responses!Z370</f>
        <v/>
      </c>
      <c r="B374" s="29">
        <f>Responses!AA370</f>
        <v/>
      </c>
      <c r="C374" s="30">
        <f>Responses!AB370</f>
        <v/>
      </c>
      <c r="D374" s="30">
        <f>Responses!AC370</f>
        <v/>
      </c>
      <c r="E374" s="30">
        <f>Responses!AD370</f>
        <v/>
      </c>
      <c r="F374" s="31">
        <f>Responses!AE370</f>
        <v/>
      </c>
      <c r="G374" s="31">
        <f>Responses!AF370</f>
        <v/>
      </c>
      <c r="H374" s="31">
        <f>Responses!AH370</f>
        <v/>
      </c>
      <c r="I374" s="31">
        <f>IF(Responses!Y370="","",Responses!V370&amp;"")</f>
        <v/>
      </c>
    </row>
    <row r="375">
      <c r="A375" s="28">
        <f>Responses!Z371</f>
        <v/>
      </c>
      <c r="B375" s="29">
        <f>Responses!AA371</f>
        <v/>
      </c>
      <c r="C375" s="30">
        <f>Responses!AB371</f>
        <v/>
      </c>
      <c r="D375" s="30">
        <f>Responses!AC371</f>
        <v/>
      </c>
      <c r="E375" s="30">
        <f>Responses!AD371</f>
        <v/>
      </c>
      <c r="F375" s="31">
        <f>Responses!AE371</f>
        <v/>
      </c>
      <c r="G375" s="31">
        <f>Responses!AF371</f>
        <v/>
      </c>
      <c r="H375" s="31">
        <f>Responses!AH371</f>
        <v/>
      </c>
      <c r="I375" s="31">
        <f>IF(Responses!Y371="","",Responses!V371&amp;"")</f>
        <v/>
      </c>
    </row>
    <row r="376">
      <c r="A376" s="28">
        <f>Responses!Z372</f>
        <v/>
      </c>
      <c r="B376" s="29">
        <f>Responses!AA372</f>
        <v/>
      </c>
      <c r="C376" s="30">
        <f>Responses!AB372</f>
        <v/>
      </c>
      <c r="D376" s="30">
        <f>Responses!AC372</f>
        <v/>
      </c>
      <c r="E376" s="30">
        <f>Responses!AD372</f>
        <v/>
      </c>
      <c r="F376" s="31">
        <f>Responses!AE372</f>
        <v/>
      </c>
      <c r="G376" s="31">
        <f>Responses!AF372</f>
        <v/>
      </c>
      <c r="H376" s="31">
        <f>Responses!AH372</f>
        <v/>
      </c>
      <c r="I376" s="31">
        <f>IF(Responses!Y372="","",Responses!V372&amp;"")</f>
        <v/>
      </c>
    </row>
    <row r="377">
      <c r="A377" s="28">
        <f>Responses!Z373</f>
        <v/>
      </c>
      <c r="B377" s="29">
        <f>Responses!AA373</f>
        <v/>
      </c>
      <c r="C377" s="30">
        <f>Responses!AB373</f>
        <v/>
      </c>
      <c r="D377" s="30">
        <f>Responses!AC373</f>
        <v/>
      </c>
      <c r="E377" s="30">
        <f>Responses!AD373</f>
        <v/>
      </c>
      <c r="F377" s="31">
        <f>Responses!AE373</f>
        <v/>
      </c>
      <c r="G377" s="31">
        <f>Responses!AF373</f>
        <v/>
      </c>
      <c r="H377" s="31">
        <f>Responses!AH373</f>
        <v/>
      </c>
      <c r="I377" s="31">
        <f>IF(Responses!Y373="","",Responses!V373&amp;"")</f>
        <v/>
      </c>
    </row>
    <row r="378">
      <c r="A378" s="28">
        <f>Responses!Z374</f>
        <v/>
      </c>
      <c r="B378" s="29">
        <f>Responses!AA374</f>
        <v/>
      </c>
      <c r="C378" s="30">
        <f>Responses!AB374</f>
        <v/>
      </c>
      <c r="D378" s="30">
        <f>Responses!AC374</f>
        <v/>
      </c>
      <c r="E378" s="30">
        <f>Responses!AD374</f>
        <v/>
      </c>
      <c r="F378" s="31">
        <f>Responses!AE374</f>
        <v/>
      </c>
      <c r="G378" s="31">
        <f>Responses!AF374</f>
        <v/>
      </c>
      <c r="H378" s="31">
        <f>Responses!AH374</f>
        <v/>
      </c>
      <c r="I378" s="31">
        <f>IF(Responses!Y374="","",Responses!V374&amp;"")</f>
        <v/>
      </c>
    </row>
    <row r="379">
      <c r="A379" s="28">
        <f>Responses!Z375</f>
        <v/>
      </c>
      <c r="B379" s="29">
        <f>Responses!AA375</f>
        <v/>
      </c>
      <c r="C379" s="30">
        <f>Responses!AB375</f>
        <v/>
      </c>
      <c r="D379" s="30">
        <f>Responses!AC375</f>
        <v/>
      </c>
      <c r="E379" s="30">
        <f>Responses!AD375</f>
        <v/>
      </c>
      <c r="F379" s="31">
        <f>Responses!AE375</f>
        <v/>
      </c>
      <c r="G379" s="31">
        <f>Responses!AF375</f>
        <v/>
      </c>
      <c r="H379" s="31">
        <f>Responses!AH375</f>
        <v/>
      </c>
      <c r="I379" s="31">
        <f>IF(Responses!Y375="","",Responses!V375&amp;"")</f>
        <v/>
      </c>
    </row>
    <row r="380">
      <c r="A380" s="28">
        <f>Responses!Z376</f>
        <v/>
      </c>
      <c r="B380" s="29">
        <f>Responses!AA376</f>
        <v/>
      </c>
      <c r="C380" s="30">
        <f>Responses!AB376</f>
        <v/>
      </c>
      <c r="D380" s="30">
        <f>Responses!AC376</f>
        <v/>
      </c>
      <c r="E380" s="30">
        <f>Responses!AD376</f>
        <v/>
      </c>
      <c r="F380" s="31">
        <f>Responses!AE376</f>
        <v/>
      </c>
      <c r="G380" s="31">
        <f>Responses!AF376</f>
        <v/>
      </c>
      <c r="H380" s="31">
        <f>Responses!AH376</f>
        <v/>
      </c>
      <c r="I380" s="31">
        <f>IF(Responses!Y376="","",Responses!V376&amp;"")</f>
        <v/>
      </c>
    </row>
    <row r="381">
      <c r="A381" s="28">
        <f>Responses!Z377</f>
        <v/>
      </c>
      <c r="B381" s="29">
        <f>Responses!AA377</f>
        <v/>
      </c>
      <c r="C381" s="30">
        <f>Responses!AB377</f>
        <v/>
      </c>
      <c r="D381" s="30">
        <f>Responses!AC377</f>
        <v/>
      </c>
      <c r="E381" s="30">
        <f>Responses!AD377</f>
        <v/>
      </c>
      <c r="F381" s="31">
        <f>Responses!AE377</f>
        <v/>
      </c>
      <c r="G381" s="31">
        <f>Responses!AF377</f>
        <v/>
      </c>
      <c r="H381" s="31">
        <f>Responses!AH377</f>
        <v/>
      </c>
      <c r="I381" s="31">
        <f>IF(Responses!Y377="","",Responses!V377&amp;"")</f>
        <v/>
      </c>
    </row>
    <row r="382">
      <c r="A382" s="28">
        <f>Responses!Z378</f>
        <v/>
      </c>
      <c r="B382" s="29">
        <f>Responses!AA378</f>
        <v/>
      </c>
      <c r="C382" s="30">
        <f>Responses!AB378</f>
        <v/>
      </c>
      <c r="D382" s="30">
        <f>Responses!AC378</f>
        <v/>
      </c>
      <c r="E382" s="30">
        <f>Responses!AD378</f>
        <v/>
      </c>
      <c r="F382" s="31">
        <f>Responses!AE378</f>
        <v/>
      </c>
      <c r="G382" s="31">
        <f>Responses!AF378</f>
        <v/>
      </c>
      <c r="H382" s="31">
        <f>Responses!AH378</f>
        <v/>
      </c>
      <c r="I382" s="31">
        <f>IF(Responses!Y378="","",Responses!V378&amp;"")</f>
        <v/>
      </c>
    </row>
    <row r="383">
      <c r="A383" s="28">
        <f>Responses!Z379</f>
        <v/>
      </c>
      <c r="B383" s="29">
        <f>Responses!AA379</f>
        <v/>
      </c>
      <c r="C383" s="30">
        <f>Responses!AB379</f>
        <v/>
      </c>
      <c r="D383" s="30">
        <f>Responses!AC379</f>
        <v/>
      </c>
      <c r="E383" s="30">
        <f>Responses!AD379</f>
        <v/>
      </c>
      <c r="F383" s="31">
        <f>Responses!AE379</f>
        <v/>
      </c>
      <c r="G383" s="31">
        <f>Responses!AF379</f>
        <v/>
      </c>
      <c r="H383" s="31">
        <f>Responses!AH379</f>
        <v/>
      </c>
      <c r="I383" s="31">
        <f>IF(Responses!Y379="","",Responses!V379&amp;"")</f>
        <v/>
      </c>
    </row>
    <row r="384">
      <c r="A384" s="28">
        <f>Responses!Z380</f>
        <v/>
      </c>
      <c r="B384" s="29">
        <f>Responses!AA380</f>
        <v/>
      </c>
      <c r="C384" s="30">
        <f>Responses!AB380</f>
        <v/>
      </c>
      <c r="D384" s="30">
        <f>Responses!AC380</f>
        <v/>
      </c>
      <c r="E384" s="30">
        <f>Responses!AD380</f>
        <v/>
      </c>
      <c r="F384" s="31">
        <f>Responses!AE380</f>
        <v/>
      </c>
      <c r="G384" s="31">
        <f>Responses!AF380</f>
        <v/>
      </c>
      <c r="H384" s="31">
        <f>Responses!AH380</f>
        <v/>
      </c>
      <c r="I384" s="31">
        <f>IF(Responses!Y380="","",Responses!V380&amp;"")</f>
        <v/>
      </c>
    </row>
    <row r="385">
      <c r="A385" s="28">
        <f>Responses!Z381</f>
        <v/>
      </c>
      <c r="B385" s="29">
        <f>Responses!AA381</f>
        <v/>
      </c>
      <c r="C385" s="30">
        <f>Responses!AB381</f>
        <v/>
      </c>
      <c r="D385" s="30">
        <f>Responses!AC381</f>
        <v/>
      </c>
      <c r="E385" s="30">
        <f>Responses!AD381</f>
        <v/>
      </c>
      <c r="F385" s="31">
        <f>Responses!AE381</f>
        <v/>
      </c>
      <c r="G385" s="31">
        <f>Responses!AF381</f>
        <v/>
      </c>
      <c r="H385" s="31">
        <f>Responses!AH381</f>
        <v/>
      </c>
      <c r="I385" s="31">
        <f>IF(Responses!Y381="","",Responses!V381&amp;"")</f>
        <v/>
      </c>
    </row>
    <row r="386">
      <c r="A386" s="28">
        <f>Responses!Z382</f>
        <v/>
      </c>
      <c r="B386" s="29">
        <f>Responses!AA382</f>
        <v/>
      </c>
      <c r="C386" s="30">
        <f>Responses!AB382</f>
        <v/>
      </c>
      <c r="D386" s="30">
        <f>Responses!AC382</f>
        <v/>
      </c>
      <c r="E386" s="30">
        <f>Responses!AD382</f>
        <v/>
      </c>
      <c r="F386" s="31">
        <f>Responses!AE382</f>
        <v/>
      </c>
      <c r="G386" s="31">
        <f>Responses!AF382</f>
        <v/>
      </c>
      <c r="H386" s="31">
        <f>Responses!AH382</f>
        <v/>
      </c>
      <c r="I386" s="31">
        <f>IF(Responses!Y382="","",Responses!V382&amp;"")</f>
        <v/>
      </c>
    </row>
    <row r="387">
      <c r="A387" s="28">
        <f>Responses!Z383</f>
        <v/>
      </c>
      <c r="B387" s="29">
        <f>Responses!AA383</f>
        <v/>
      </c>
      <c r="C387" s="30">
        <f>Responses!AB383</f>
        <v/>
      </c>
      <c r="D387" s="30">
        <f>Responses!AC383</f>
        <v/>
      </c>
      <c r="E387" s="30">
        <f>Responses!AD383</f>
        <v/>
      </c>
      <c r="F387" s="31">
        <f>Responses!AE383</f>
        <v/>
      </c>
      <c r="G387" s="31">
        <f>Responses!AF383</f>
        <v/>
      </c>
      <c r="H387" s="31">
        <f>Responses!AH383</f>
        <v/>
      </c>
      <c r="I387" s="31">
        <f>IF(Responses!Y383="","",Responses!V383&amp;"")</f>
        <v/>
      </c>
    </row>
    <row r="388">
      <c r="A388" s="28">
        <f>Responses!Z384</f>
        <v/>
      </c>
      <c r="B388" s="29">
        <f>Responses!AA384</f>
        <v/>
      </c>
      <c r="C388" s="30">
        <f>Responses!AB384</f>
        <v/>
      </c>
      <c r="D388" s="30">
        <f>Responses!AC384</f>
        <v/>
      </c>
      <c r="E388" s="30">
        <f>Responses!AD384</f>
        <v/>
      </c>
      <c r="F388" s="31">
        <f>Responses!AE384</f>
        <v/>
      </c>
      <c r="G388" s="31">
        <f>Responses!AF384</f>
        <v/>
      </c>
      <c r="H388" s="31">
        <f>Responses!AH384</f>
        <v/>
      </c>
      <c r="I388" s="31">
        <f>IF(Responses!Y384="","",Responses!V384&amp;"")</f>
        <v/>
      </c>
    </row>
    <row r="389">
      <c r="A389" s="28">
        <f>Responses!Z385</f>
        <v/>
      </c>
      <c r="B389" s="29">
        <f>Responses!AA385</f>
        <v/>
      </c>
      <c r="C389" s="30">
        <f>Responses!AB385</f>
        <v/>
      </c>
      <c r="D389" s="30">
        <f>Responses!AC385</f>
        <v/>
      </c>
      <c r="E389" s="30">
        <f>Responses!AD385</f>
        <v/>
      </c>
      <c r="F389" s="31">
        <f>Responses!AE385</f>
        <v/>
      </c>
      <c r="G389" s="31">
        <f>Responses!AF385</f>
        <v/>
      </c>
      <c r="H389" s="31">
        <f>Responses!AH385</f>
        <v/>
      </c>
      <c r="I389" s="31">
        <f>IF(Responses!Y385="","",Responses!V385&amp;"")</f>
        <v/>
      </c>
    </row>
    <row r="390">
      <c r="A390" s="28">
        <f>Responses!Z386</f>
        <v/>
      </c>
      <c r="B390" s="29">
        <f>Responses!AA386</f>
        <v/>
      </c>
      <c r="C390" s="30">
        <f>Responses!AB386</f>
        <v/>
      </c>
      <c r="D390" s="30">
        <f>Responses!AC386</f>
        <v/>
      </c>
      <c r="E390" s="30">
        <f>Responses!AD386</f>
        <v/>
      </c>
      <c r="F390" s="31">
        <f>Responses!AE386</f>
        <v/>
      </c>
      <c r="G390" s="31">
        <f>Responses!AF386</f>
        <v/>
      </c>
      <c r="H390" s="31">
        <f>Responses!AH386</f>
        <v/>
      </c>
      <c r="I390" s="31">
        <f>IF(Responses!Y386="","",Responses!V386&amp;"")</f>
        <v/>
      </c>
    </row>
    <row r="391">
      <c r="A391" s="28">
        <f>Responses!Z387</f>
        <v/>
      </c>
      <c r="B391" s="29">
        <f>Responses!AA387</f>
        <v/>
      </c>
      <c r="C391" s="30">
        <f>Responses!AB387</f>
        <v/>
      </c>
      <c r="D391" s="30">
        <f>Responses!AC387</f>
        <v/>
      </c>
      <c r="E391" s="30">
        <f>Responses!AD387</f>
        <v/>
      </c>
      <c r="F391" s="31">
        <f>Responses!AE387</f>
        <v/>
      </c>
      <c r="G391" s="31">
        <f>Responses!AF387</f>
        <v/>
      </c>
      <c r="H391" s="31">
        <f>Responses!AH387</f>
        <v/>
      </c>
      <c r="I391" s="31">
        <f>IF(Responses!Y387="","",Responses!V387&amp;"")</f>
        <v/>
      </c>
    </row>
    <row r="392">
      <c r="A392" s="28">
        <f>Responses!Z388</f>
        <v/>
      </c>
      <c r="B392" s="29">
        <f>Responses!AA388</f>
        <v/>
      </c>
      <c r="C392" s="30">
        <f>Responses!AB388</f>
        <v/>
      </c>
      <c r="D392" s="30">
        <f>Responses!AC388</f>
        <v/>
      </c>
      <c r="E392" s="30">
        <f>Responses!AD388</f>
        <v/>
      </c>
      <c r="F392" s="31">
        <f>Responses!AE388</f>
        <v/>
      </c>
      <c r="G392" s="31">
        <f>Responses!AF388</f>
        <v/>
      </c>
      <c r="H392" s="31">
        <f>Responses!AH388</f>
        <v/>
      </c>
      <c r="I392" s="31">
        <f>IF(Responses!Y388="","",Responses!V388&amp;"")</f>
        <v/>
      </c>
    </row>
    <row r="393">
      <c r="A393" s="28">
        <f>Responses!Z389</f>
        <v/>
      </c>
      <c r="B393" s="29">
        <f>Responses!AA389</f>
        <v/>
      </c>
      <c r="C393" s="30">
        <f>Responses!AB389</f>
        <v/>
      </c>
      <c r="D393" s="30">
        <f>Responses!AC389</f>
        <v/>
      </c>
      <c r="E393" s="30">
        <f>Responses!AD389</f>
        <v/>
      </c>
      <c r="F393" s="31">
        <f>Responses!AE389</f>
        <v/>
      </c>
      <c r="G393" s="31">
        <f>Responses!AF389</f>
        <v/>
      </c>
      <c r="H393" s="31">
        <f>Responses!AH389</f>
        <v/>
      </c>
      <c r="I393" s="31">
        <f>IF(Responses!Y389="","",Responses!V389&amp;"")</f>
        <v/>
      </c>
    </row>
    <row r="394">
      <c r="A394" s="28">
        <f>Responses!Z390</f>
        <v/>
      </c>
      <c r="B394" s="29">
        <f>Responses!AA390</f>
        <v/>
      </c>
      <c r="C394" s="30">
        <f>Responses!AB390</f>
        <v/>
      </c>
      <c r="D394" s="30">
        <f>Responses!AC390</f>
        <v/>
      </c>
      <c r="E394" s="30">
        <f>Responses!AD390</f>
        <v/>
      </c>
      <c r="F394" s="31">
        <f>Responses!AE390</f>
        <v/>
      </c>
      <c r="G394" s="31">
        <f>Responses!AF390</f>
        <v/>
      </c>
      <c r="H394" s="31">
        <f>Responses!AH390</f>
        <v/>
      </c>
      <c r="I394" s="31">
        <f>IF(Responses!Y390="","",Responses!V390&amp;"")</f>
        <v/>
      </c>
    </row>
    <row r="395">
      <c r="A395" s="28">
        <f>Responses!Z391</f>
        <v/>
      </c>
      <c r="B395" s="29">
        <f>Responses!AA391</f>
        <v/>
      </c>
      <c r="C395" s="30">
        <f>Responses!AB391</f>
        <v/>
      </c>
      <c r="D395" s="30">
        <f>Responses!AC391</f>
        <v/>
      </c>
      <c r="E395" s="30">
        <f>Responses!AD391</f>
        <v/>
      </c>
      <c r="F395" s="31">
        <f>Responses!AE391</f>
        <v/>
      </c>
      <c r="G395" s="31">
        <f>Responses!AF391</f>
        <v/>
      </c>
      <c r="H395" s="31">
        <f>Responses!AH391</f>
        <v/>
      </c>
      <c r="I395" s="31">
        <f>IF(Responses!Y391="","",Responses!V391&amp;"")</f>
        <v/>
      </c>
    </row>
    <row r="396">
      <c r="A396" s="28">
        <f>Responses!Z392</f>
        <v/>
      </c>
      <c r="B396" s="29">
        <f>Responses!AA392</f>
        <v/>
      </c>
      <c r="C396" s="30">
        <f>Responses!AB392</f>
        <v/>
      </c>
      <c r="D396" s="30">
        <f>Responses!AC392</f>
        <v/>
      </c>
      <c r="E396" s="30">
        <f>Responses!AD392</f>
        <v/>
      </c>
      <c r="F396" s="31">
        <f>Responses!AE392</f>
        <v/>
      </c>
      <c r="G396" s="31">
        <f>Responses!AF392</f>
        <v/>
      </c>
      <c r="H396" s="31">
        <f>Responses!AH392</f>
        <v/>
      </c>
      <c r="I396" s="31">
        <f>IF(Responses!Y392="","",Responses!V392&amp;"")</f>
        <v/>
      </c>
    </row>
    <row r="397">
      <c r="A397" s="28">
        <f>Responses!Z393</f>
        <v/>
      </c>
      <c r="B397" s="29">
        <f>Responses!AA393</f>
        <v/>
      </c>
      <c r="C397" s="30">
        <f>Responses!AB393</f>
        <v/>
      </c>
      <c r="D397" s="30">
        <f>Responses!AC393</f>
        <v/>
      </c>
      <c r="E397" s="30">
        <f>Responses!AD393</f>
        <v/>
      </c>
      <c r="F397" s="31">
        <f>Responses!AE393</f>
        <v/>
      </c>
      <c r="G397" s="31">
        <f>Responses!AF393</f>
        <v/>
      </c>
      <c r="H397" s="31">
        <f>Responses!AH393</f>
        <v/>
      </c>
      <c r="I397" s="31">
        <f>IF(Responses!Y393="","",Responses!V393&amp;"")</f>
        <v/>
      </c>
    </row>
    <row r="398">
      <c r="A398" s="28">
        <f>Responses!Z394</f>
        <v/>
      </c>
      <c r="B398" s="29">
        <f>Responses!AA394</f>
        <v/>
      </c>
      <c r="C398" s="30">
        <f>Responses!AB394</f>
        <v/>
      </c>
      <c r="D398" s="30">
        <f>Responses!AC394</f>
        <v/>
      </c>
      <c r="E398" s="30">
        <f>Responses!AD394</f>
        <v/>
      </c>
      <c r="F398" s="31">
        <f>Responses!AE394</f>
        <v/>
      </c>
      <c r="G398" s="31">
        <f>Responses!AF394</f>
        <v/>
      </c>
      <c r="H398" s="31">
        <f>Responses!AH394</f>
        <v/>
      </c>
      <c r="I398" s="31">
        <f>IF(Responses!Y394="","",Responses!V394&amp;"")</f>
        <v/>
      </c>
    </row>
    <row r="399">
      <c r="A399" s="28">
        <f>Responses!Z395</f>
        <v/>
      </c>
      <c r="B399" s="29">
        <f>Responses!AA395</f>
        <v/>
      </c>
      <c r="C399" s="30">
        <f>Responses!AB395</f>
        <v/>
      </c>
      <c r="D399" s="30">
        <f>Responses!AC395</f>
        <v/>
      </c>
      <c r="E399" s="30">
        <f>Responses!AD395</f>
        <v/>
      </c>
      <c r="F399" s="31">
        <f>Responses!AE395</f>
        <v/>
      </c>
      <c r="G399" s="31">
        <f>Responses!AF395</f>
        <v/>
      </c>
      <c r="H399" s="31">
        <f>Responses!AH395</f>
        <v/>
      </c>
      <c r="I399" s="31">
        <f>IF(Responses!Y395="","",Responses!V395&amp;"")</f>
        <v/>
      </c>
    </row>
    <row r="400">
      <c r="A400" s="28">
        <f>Responses!Z396</f>
        <v/>
      </c>
      <c r="B400" s="29">
        <f>Responses!AA396</f>
        <v/>
      </c>
      <c r="C400" s="30">
        <f>Responses!AB396</f>
        <v/>
      </c>
      <c r="D400" s="30">
        <f>Responses!AC396</f>
        <v/>
      </c>
      <c r="E400" s="30">
        <f>Responses!AD396</f>
        <v/>
      </c>
      <c r="F400" s="31">
        <f>Responses!AE396</f>
        <v/>
      </c>
      <c r="G400" s="31">
        <f>Responses!AF396</f>
        <v/>
      </c>
      <c r="H400" s="31">
        <f>Responses!AH396</f>
        <v/>
      </c>
      <c r="I400" s="31">
        <f>IF(Responses!Y396="","",Responses!V396&amp;"")</f>
        <v/>
      </c>
    </row>
    <row r="401">
      <c r="A401" s="28">
        <f>Responses!Z397</f>
        <v/>
      </c>
      <c r="B401" s="29">
        <f>Responses!AA397</f>
        <v/>
      </c>
      <c r="C401" s="30">
        <f>Responses!AB397</f>
        <v/>
      </c>
      <c r="D401" s="30">
        <f>Responses!AC397</f>
        <v/>
      </c>
      <c r="E401" s="30">
        <f>Responses!AD397</f>
        <v/>
      </c>
      <c r="F401" s="31">
        <f>Responses!AE397</f>
        <v/>
      </c>
      <c r="G401" s="31">
        <f>Responses!AF397</f>
        <v/>
      </c>
      <c r="H401" s="31">
        <f>Responses!AH397</f>
        <v/>
      </c>
      <c r="I401" s="31">
        <f>IF(Responses!Y397="","",Responses!V397&amp;"")</f>
        <v/>
      </c>
    </row>
    <row r="402">
      <c r="A402" s="28">
        <f>Responses!Z398</f>
        <v/>
      </c>
      <c r="B402" s="29">
        <f>Responses!AA398</f>
        <v/>
      </c>
      <c r="C402" s="30">
        <f>Responses!AB398</f>
        <v/>
      </c>
      <c r="D402" s="30">
        <f>Responses!AC398</f>
        <v/>
      </c>
      <c r="E402" s="30">
        <f>Responses!AD398</f>
        <v/>
      </c>
      <c r="F402" s="31">
        <f>Responses!AE398</f>
        <v/>
      </c>
      <c r="G402" s="31">
        <f>Responses!AF398</f>
        <v/>
      </c>
      <c r="H402" s="31">
        <f>Responses!AH398</f>
        <v/>
      </c>
      <c r="I402" s="31">
        <f>IF(Responses!Y398="","",Responses!V398&amp;"")</f>
        <v/>
      </c>
    </row>
    <row r="403">
      <c r="A403" s="28">
        <f>Responses!Z399</f>
        <v/>
      </c>
      <c r="B403" s="29">
        <f>Responses!AA399</f>
        <v/>
      </c>
      <c r="C403" s="30">
        <f>Responses!AB399</f>
        <v/>
      </c>
      <c r="D403" s="30">
        <f>Responses!AC399</f>
        <v/>
      </c>
      <c r="E403" s="30">
        <f>Responses!AD399</f>
        <v/>
      </c>
      <c r="F403" s="31">
        <f>Responses!AE399</f>
        <v/>
      </c>
      <c r="G403" s="31">
        <f>Responses!AF399</f>
        <v/>
      </c>
      <c r="H403" s="31">
        <f>Responses!AH399</f>
        <v/>
      </c>
      <c r="I403" s="31">
        <f>IF(Responses!Y399="","",Responses!V399&amp;"")</f>
        <v/>
      </c>
    </row>
    <row r="404">
      <c r="A404" s="28">
        <f>Responses!Z400</f>
        <v/>
      </c>
      <c r="B404" s="29">
        <f>Responses!AA400</f>
        <v/>
      </c>
      <c r="C404" s="30">
        <f>Responses!AB400</f>
        <v/>
      </c>
      <c r="D404" s="30">
        <f>Responses!AC400</f>
        <v/>
      </c>
      <c r="E404" s="30">
        <f>Responses!AD400</f>
        <v/>
      </c>
      <c r="F404" s="31">
        <f>Responses!AE400</f>
        <v/>
      </c>
      <c r="G404" s="31">
        <f>Responses!AF400</f>
        <v/>
      </c>
      <c r="H404" s="31">
        <f>Responses!AH400</f>
        <v/>
      </c>
      <c r="I404" s="31">
        <f>IF(Responses!Y400="","",Responses!V400&amp;"")</f>
        <v/>
      </c>
    </row>
    <row r="405">
      <c r="A405" s="28">
        <f>Responses!Z401</f>
        <v/>
      </c>
      <c r="B405" s="29">
        <f>Responses!AA401</f>
        <v/>
      </c>
      <c r="C405" s="30">
        <f>Responses!AB401</f>
        <v/>
      </c>
      <c r="D405" s="30">
        <f>Responses!AC401</f>
        <v/>
      </c>
      <c r="E405" s="30">
        <f>Responses!AD401</f>
        <v/>
      </c>
      <c r="F405" s="31">
        <f>Responses!AE401</f>
        <v/>
      </c>
      <c r="G405" s="31">
        <f>Responses!AF401</f>
        <v/>
      </c>
      <c r="H405" s="31">
        <f>Responses!AH401</f>
        <v/>
      </c>
      <c r="I405" s="31">
        <f>IF(Responses!Y401="","",Responses!V401&amp;"")</f>
        <v/>
      </c>
    </row>
    <row r="406">
      <c r="A406" s="28">
        <f>Responses!Z402</f>
        <v/>
      </c>
      <c r="B406" s="29">
        <f>Responses!AA402</f>
        <v/>
      </c>
      <c r="C406" s="30">
        <f>Responses!AB402</f>
        <v/>
      </c>
      <c r="D406" s="30">
        <f>Responses!AC402</f>
        <v/>
      </c>
      <c r="E406" s="30">
        <f>Responses!AD402</f>
        <v/>
      </c>
      <c r="F406" s="31">
        <f>Responses!AE402</f>
        <v/>
      </c>
      <c r="G406" s="31">
        <f>Responses!AF402</f>
        <v/>
      </c>
      <c r="H406" s="31">
        <f>Responses!AH402</f>
        <v/>
      </c>
      <c r="I406" s="31">
        <f>IF(Responses!Y402="","",Responses!V402&amp;"")</f>
        <v/>
      </c>
    </row>
    <row r="407">
      <c r="A407" s="28">
        <f>Responses!Z403</f>
        <v/>
      </c>
      <c r="B407" s="29">
        <f>Responses!AA403</f>
        <v/>
      </c>
      <c r="C407" s="30">
        <f>Responses!AB403</f>
        <v/>
      </c>
      <c r="D407" s="30">
        <f>Responses!AC403</f>
        <v/>
      </c>
      <c r="E407" s="30">
        <f>Responses!AD403</f>
        <v/>
      </c>
      <c r="F407" s="31">
        <f>Responses!AE403</f>
        <v/>
      </c>
      <c r="G407" s="31">
        <f>Responses!AF403</f>
        <v/>
      </c>
      <c r="H407" s="31">
        <f>Responses!AH403</f>
        <v/>
      </c>
      <c r="I407" s="31">
        <f>IF(Responses!Y403="","",Responses!V403&amp;"")</f>
        <v/>
      </c>
    </row>
    <row r="408">
      <c r="A408" s="28">
        <f>Responses!Z404</f>
        <v/>
      </c>
      <c r="B408" s="29">
        <f>Responses!AA404</f>
        <v/>
      </c>
      <c r="C408" s="30">
        <f>Responses!AB404</f>
        <v/>
      </c>
      <c r="D408" s="30">
        <f>Responses!AC404</f>
        <v/>
      </c>
      <c r="E408" s="30">
        <f>Responses!AD404</f>
        <v/>
      </c>
      <c r="F408" s="31">
        <f>Responses!AE404</f>
        <v/>
      </c>
      <c r="G408" s="31">
        <f>Responses!AF404</f>
        <v/>
      </c>
      <c r="H408" s="31">
        <f>Responses!AH404</f>
        <v/>
      </c>
      <c r="I408" s="31">
        <f>IF(Responses!Y404="","",Responses!V404&amp;"")</f>
        <v/>
      </c>
    </row>
    <row r="409">
      <c r="A409" s="28">
        <f>Responses!Z405</f>
        <v/>
      </c>
      <c r="B409" s="29">
        <f>Responses!AA405</f>
        <v/>
      </c>
      <c r="C409" s="30">
        <f>Responses!AB405</f>
        <v/>
      </c>
      <c r="D409" s="30">
        <f>Responses!AC405</f>
        <v/>
      </c>
      <c r="E409" s="30">
        <f>Responses!AD405</f>
        <v/>
      </c>
      <c r="F409" s="31">
        <f>Responses!AE405</f>
        <v/>
      </c>
      <c r="G409" s="31">
        <f>Responses!AF405</f>
        <v/>
      </c>
      <c r="H409" s="31">
        <f>Responses!AH405</f>
        <v/>
      </c>
      <c r="I409" s="31">
        <f>IF(Responses!Y405="","",Responses!V405&amp;"")</f>
        <v/>
      </c>
    </row>
    <row r="410">
      <c r="A410" s="28">
        <f>Responses!Z406</f>
        <v/>
      </c>
      <c r="B410" s="29">
        <f>Responses!AA406</f>
        <v/>
      </c>
      <c r="C410" s="30">
        <f>Responses!AB406</f>
        <v/>
      </c>
      <c r="D410" s="30">
        <f>Responses!AC406</f>
        <v/>
      </c>
      <c r="E410" s="30">
        <f>Responses!AD406</f>
        <v/>
      </c>
      <c r="F410" s="31">
        <f>Responses!AE406</f>
        <v/>
      </c>
      <c r="G410" s="31">
        <f>Responses!AF406</f>
        <v/>
      </c>
      <c r="H410" s="31">
        <f>Responses!AH406</f>
        <v/>
      </c>
      <c r="I410" s="31">
        <f>IF(Responses!Y406="","",Responses!V406&amp;"")</f>
        <v/>
      </c>
    </row>
    <row r="411">
      <c r="A411" s="28">
        <f>Responses!Z407</f>
        <v/>
      </c>
      <c r="B411" s="29">
        <f>Responses!AA407</f>
        <v/>
      </c>
      <c r="C411" s="30">
        <f>Responses!AB407</f>
        <v/>
      </c>
      <c r="D411" s="30">
        <f>Responses!AC407</f>
        <v/>
      </c>
      <c r="E411" s="30">
        <f>Responses!AD407</f>
        <v/>
      </c>
      <c r="F411" s="31">
        <f>Responses!AE407</f>
        <v/>
      </c>
      <c r="G411" s="31">
        <f>Responses!AF407</f>
        <v/>
      </c>
      <c r="H411" s="31">
        <f>Responses!AH407</f>
        <v/>
      </c>
      <c r="I411" s="31">
        <f>IF(Responses!Y407="","",Responses!V407&amp;"")</f>
        <v/>
      </c>
    </row>
    <row r="412">
      <c r="A412" s="28">
        <f>Responses!Z408</f>
        <v/>
      </c>
      <c r="B412" s="29">
        <f>Responses!AA408</f>
        <v/>
      </c>
      <c r="C412" s="30">
        <f>Responses!AB408</f>
        <v/>
      </c>
      <c r="D412" s="30">
        <f>Responses!AC408</f>
        <v/>
      </c>
      <c r="E412" s="30">
        <f>Responses!AD408</f>
        <v/>
      </c>
      <c r="F412" s="31">
        <f>Responses!AE408</f>
        <v/>
      </c>
      <c r="G412" s="31">
        <f>Responses!AF408</f>
        <v/>
      </c>
      <c r="H412" s="31">
        <f>Responses!AH408</f>
        <v/>
      </c>
      <c r="I412" s="31">
        <f>IF(Responses!Y408="","",Responses!V408&amp;"")</f>
        <v/>
      </c>
    </row>
    <row r="413">
      <c r="A413" s="28">
        <f>Responses!Z409</f>
        <v/>
      </c>
      <c r="B413" s="29">
        <f>Responses!AA409</f>
        <v/>
      </c>
      <c r="C413" s="30">
        <f>Responses!AB409</f>
        <v/>
      </c>
      <c r="D413" s="30">
        <f>Responses!AC409</f>
        <v/>
      </c>
      <c r="E413" s="30">
        <f>Responses!AD409</f>
        <v/>
      </c>
      <c r="F413" s="31">
        <f>Responses!AE409</f>
        <v/>
      </c>
      <c r="G413" s="31">
        <f>Responses!AF409</f>
        <v/>
      </c>
      <c r="H413" s="31">
        <f>Responses!AH409</f>
        <v/>
      </c>
      <c r="I413" s="31">
        <f>IF(Responses!Y409="","",Responses!V409&amp;"")</f>
        <v/>
      </c>
    </row>
    <row r="414">
      <c r="A414" s="28">
        <f>Responses!Z410</f>
        <v/>
      </c>
      <c r="B414" s="29">
        <f>Responses!AA410</f>
        <v/>
      </c>
      <c r="C414" s="30">
        <f>Responses!AB410</f>
        <v/>
      </c>
      <c r="D414" s="30">
        <f>Responses!AC410</f>
        <v/>
      </c>
      <c r="E414" s="30">
        <f>Responses!AD410</f>
        <v/>
      </c>
      <c r="F414" s="31">
        <f>Responses!AE410</f>
        <v/>
      </c>
      <c r="G414" s="31">
        <f>Responses!AF410</f>
        <v/>
      </c>
      <c r="H414" s="31">
        <f>Responses!AH410</f>
        <v/>
      </c>
      <c r="I414" s="31">
        <f>IF(Responses!Y410="","",Responses!V410&amp;"")</f>
        <v/>
      </c>
    </row>
    <row r="415">
      <c r="A415" s="28">
        <f>Responses!Z411</f>
        <v/>
      </c>
      <c r="B415" s="29">
        <f>Responses!AA411</f>
        <v/>
      </c>
      <c r="C415" s="30">
        <f>Responses!AB411</f>
        <v/>
      </c>
      <c r="D415" s="30">
        <f>Responses!AC411</f>
        <v/>
      </c>
      <c r="E415" s="30">
        <f>Responses!AD411</f>
        <v/>
      </c>
      <c r="F415" s="31">
        <f>Responses!AE411</f>
        <v/>
      </c>
      <c r="G415" s="31">
        <f>Responses!AF411</f>
        <v/>
      </c>
      <c r="H415" s="31">
        <f>Responses!AH411</f>
        <v/>
      </c>
      <c r="I415" s="31">
        <f>IF(Responses!Y411="","",Responses!V411&amp;"")</f>
        <v/>
      </c>
    </row>
    <row r="416">
      <c r="A416" s="28">
        <f>Responses!Z412</f>
        <v/>
      </c>
      <c r="B416" s="29">
        <f>Responses!AA412</f>
        <v/>
      </c>
      <c r="C416" s="30">
        <f>Responses!AB412</f>
        <v/>
      </c>
      <c r="D416" s="30">
        <f>Responses!AC412</f>
        <v/>
      </c>
      <c r="E416" s="30">
        <f>Responses!AD412</f>
        <v/>
      </c>
      <c r="F416" s="31">
        <f>Responses!AE412</f>
        <v/>
      </c>
      <c r="G416" s="31">
        <f>Responses!AF412</f>
        <v/>
      </c>
      <c r="H416" s="31">
        <f>Responses!AH412</f>
        <v/>
      </c>
      <c r="I416" s="31">
        <f>IF(Responses!Y412="","",Responses!V412&amp;"")</f>
        <v/>
      </c>
    </row>
    <row r="417">
      <c r="A417" s="28">
        <f>Responses!Z413</f>
        <v/>
      </c>
      <c r="B417" s="29">
        <f>Responses!AA413</f>
        <v/>
      </c>
      <c r="C417" s="30">
        <f>Responses!AB413</f>
        <v/>
      </c>
      <c r="D417" s="30">
        <f>Responses!AC413</f>
        <v/>
      </c>
      <c r="E417" s="30">
        <f>Responses!AD413</f>
        <v/>
      </c>
      <c r="F417" s="31">
        <f>Responses!AE413</f>
        <v/>
      </c>
      <c r="G417" s="31">
        <f>Responses!AF413</f>
        <v/>
      </c>
      <c r="H417" s="31">
        <f>Responses!AH413</f>
        <v/>
      </c>
      <c r="I417" s="31">
        <f>IF(Responses!Y413="","",Responses!V413&amp;"")</f>
        <v/>
      </c>
    </row>
    <row r="418">
      <c r="A418" s="28">
        <f>Responses!Z414</f>
        <v/>
      </c>
      <c r="B418" s="29">
        <f>Responses!AA414</f>
        <v/>
      </c>
      <c r="C418" s="30">
        <f>Responses!AB414</f>
        <v/>
      </c>
      <c r="D418" s="30">
        <f>Responses!AC414</f>
        <v/>
      </c>
      <c r="E418" s="30">
        <f>Responses!AD414</f>
        <v/>
      </c>
      <c r="F418" s="31">
        <f>Responses!AE414</f>
        <v/>
      </c>
      <c r="G418" s="31">
        <f>Responses!AF414</f>
        <v/>
      </c>
      <c r="H418" s="31">
        <f>Responses!AH414</f>
        <v/>
      </c>
      <c r="I418" s="31">
        <f>IF(Responses!Y414="","",Responses!V414&amp;"")</f>
        <v/>
      </c>
    </row>
    <row r="419">
      <c r="A419" s="28">
        <f>Responses!Z415</f>
        <v/>
      </c>
      <c r="B419" s="29">
        <f>Responses!AA415</f>
        <v/>
      </c>
      <c r="C419" s="30">
        <f>Responses!AB415</f>
        <v/>
      </c>
      <c r="D419" s="30">
        <f>Responses!AC415</f>
        <v/>
      </c>
      <c r="E419" s="30">
        <f>Responses!AD415</f>
        <v/>
      </c>
      <c r="F419" s="31">
        <f>Responses!AE415</f>
        <v/>
      </c>
      <c r="G419" s="31">
        <f>Responses!AF415</f>
        <v/>
      </c>
      <c r="H419" s="31">
        <f>Responses!AH415</f>
        <v/>
      </c>
      <c r="I419" s="31">
        <f>IF(Responses!Y415="","",Responses!V415&amp;"")</f>
        <v/>
      </c>
    </row>
    <row r="420">
      <c r="A420" s="28">
        <f>Responses!Z416</f>
        <v/>
      </c>
      <c r="B420" s="29">
        <f>Responses!AA416</f>
        <v/>
      </c>
      <c r="C420" s="30">
        <f>Responses!AB416</f>
        <v/>
      </c>
      <c r="D420" s="30">
        <f>Responses!AC416</f>
        <v/>
      </c>
      <c r="E420" s="30">
        <f>Responses!AD416</f>
        <v/>
      </c>
      <c r="F420" s="31">
        <f>Responses!AE416</f>
        <v/>
      </c>
      <c r="G420" s="31">
        <f>Responses!AF416</f>
        <v/>
      </c>
      <c r="H420" s="31">
        <f>Responses!AH416</f>
        <v/>
      </c>
      <c r="I420" s="31">
        <f>IF(Responses!Y416="","",Responses!V416&amp;"")</f>
        <v/>
      </c>
    </row>
    <row r="421">
      <c r="A421" s="28">
        <f>Responses!Z417</f>
        <v/>
      </c>
      <c r="B421" s="29">
        <f>Responses!AA417</f>
        <v/>
      </c>
      <c r="C421" s="30">
        <f>Responses!AB417</f>
        <v/>
      </c>
      <c r="D421" s="30">
        <f>Responses!AC417</f>
        <v/>
      </c>
      <c r="E421" s="30">
        <f>Responses!AD417</f>
        <v/>
      </c>
      <c r="F421" s="31">
        <f>Responses!AE417</f>
        <v/>
      </c>
      <c r="G421" s="31">
        <f>Responses!AF417</f>
        <v/>
      </c>
      <c r="H421" s="31">
        <f>Responses!AH417</f>
        <v/>
      </c>
      <c r="I421" s="31">
        <f>IF(Responses!Y417="","",Responses!V417&amp;"")</f>
        <v/>
      </c>
    </row>
    <row r="422">
      <c r="A422" s="28">
        <f>Responses!Z418</f>
        <v/>
      </c>
      <c r="B422" s="29">
        <f>Responses!AA418</f>
        <v/>
      </c>
      <c r="C422" s="30">
        <f>Responses!AB418</f>
        <v/>
      </c>
      <c r="D422" s="30">
        <f>Responses!AC418</f>
        <v/>
      </c>
      <c r="E422" s="30">
        <f>Responses!AD418</f>
        <v/>
      </c>
      <c r="F422" s="31">
        <f>Responses!AE418</f>
        <v/>
      </c>
      <c r="G422" s="31">
        <f>Responses!AF418</f>
        <v/>
      </c>
      <c r="H422" s="31">
        <f>Responses!AH418</f>
        <v/>
      </c>
      <c r="I422" s="31">
        <f>IF(Responses!Y418="","",Responses!V418&amp;"")</f>
        <v/>
      </c>
    </row>
    <row r="423">
      <c r="A423" s="28">
        <f>Responses!Z419</f>
        <v/>
      </c>
      <c r="B423" s="29">
        <f>Responses!AA419</f>
        <v/>
      </c>
      <c r="C423" s="30">
        <f>Responses!AB419</f>
        <v/>
      </c>
      <c r="D423" s="30">
        <f>Responses!AC419</f>
        <v/>
      </c>
      <c r="E423" s="30">
        <f>Responses!AD419</f>
        <v/>
      </c>
      <c r="F423" s="31">
        <f>Responses!AE419</f>
        <v/>
      </c>
      <c r="G423" s="31">
        <f>Responses!AF419</f>
        <v/>
      </c>
      <c r="H423" s="31">
        <f>Responses!AH419</f>
        <v/>
      </c>
      <c r="I423" s="31">
        <f>IF(Responses!Y419="","",Responses!V419&amp;"")</f>
        <v/>
      </c>
    </row>
    <row r="424">
      <c r="A424" s="28">
        <f>Responses!Z420</f>
        <v/>
      </c>
      <c r="B424" s="29">
        <f>Responses!AA420</f>
        <v/>
      </c>
      <c r="C424" s="30">
        <f>Responses!AB420</f>
        <v/>
      </c>
      <c r="D424" s="30">
        <f>Responses!AC420</f>
        <v/>
      </c>
      <c r="E424" s="30">
        <f>Responses!AD420</f>
        <v/>
      </c>
      <c r="F424" s="31">
        <f>Responses!AE420</f>
        <v/>
      </c>
      <c r="G424" s="31">
        <f>Responses!AF420</f>
        <v/>
      </c>
      <c r="H424" s="31">
        <f>Responses!AH420</f>
        <v/>
      </c>
      <c r="I424" s="31">
        <f>IF(Responses!Y420="","",Responses!V420&amp;"")</f>
        <v/>
      </c>
    </row>
    <row r="425">
      <c r="A425" s="28">
        <f>Responses!Z421</f>
        <v/>
      </c>
      <c r="B425" s="29">
        <f>Responses!AA421</f>
        <v/>
      </c>
      <c r="C425" s="30">
        <f>Responses!AB421</f>
        <v/>
      </c>
      <c r="D425" s="30">
        <f>Responses!AC421</f>
        <v/>
      </c>
      <c r="E425" s="30">
        <f>Responses!AD421</f>
        <v/>
      </c>
      <c r="F425" s="31">
        <f>Responses!AE421</f>
        <v/>
      </c>
      <c r="G425" s="31">
        <f>Responses!AF421</f>
        <v/>
      </c>
      <c r="H425" s="31">
        <f>Responses!AH421</f>
        <v/>
      </c>
      <c r="I425" s="31">
        <f>IF(Responses!Y421="","",Responses!V421&amp;"")</f>
        <v/>
      </c>
    </row>
    <row r="426">
      <c r="A426" s="28">
        <f>Responses!Z422</f>
        <v/>
      </c>
      <c r="B426" s="29">
        <f>Responses!AA422</f>
        <v/>
      </c>
      <c r="C426" s="30">
        <f>Responses!AB422</f>
        <v/>
      </c>
      <c r="D426" s="30">
        <f>Responses!AC422</f>
        <v/>
      </c>
      <c r="E426" s="30">
        <f>Responses!AD422</f>
        <v/>
      </c>
      <c r="F426" s="31">
        <f>Responses!AE422</f>
        <v/>
      </c>
      <c r="G426" s="31">
        <f>Responses!AF422</f>
        <v/>
      </c>
      <c r="H426" s="31">
        <f>Responses!AH422</f>
        <v/>
      </c>
      <c r="I426" s="31">
        <f>IF(Responses!Y422="","",Responses!V422&amp;"")</f>
        <v/>
      </c>
    </row>
    <row r="427">
      <c r="A427" s="28">
        <f>Responses!Z423</f>
        <v/>
      </c>
      <c r="B427" s="29">
        <f>Responses!AA423</f>
        <v/>
      </c>
      <c r="C427" s="30">
        <f>Responses!AB423</f>
        <v/>
      </c>
      <c r="D427" s="30">
        <f>Responses!AC423</f>
        <v/>
      </c>
      <c r="E427" s="30">
        <f>Responses!AD423</f>
        <v/>
      </c>
      <c r="F427" s="31">
        <f>Responses!AE423</f>
        <v/>
      </c>
      <c r="G427" s="31">
        <f>Responses!AF423</f>
        <v/>
      </c>
      <c r="H427" s="31">
        <f>Responses!AH423</f>
        <v/>
      </c>
      <c r="I427" s="31">
        <f>IF(Responses!Y423="","",Responses!V423&amp;"")</f>
        <v/>
      </c>
    </row>
    <row r="428">
      <c r="A428" s="28">
        <f>Responses!Z424</f>
        <v/>
      </c>
      <c r="B428" s="29">
        <f>Responses!AA424</f>
        <v/>
      </c>
      <c r="C428" s="30">
        <f>Responses!AB424</f>
        <v/>
      </c>
      <c r="D428" s="30">
        <f>Responses!AC424</f>
        <v/>
      </c>
      <c r="E428" s="30">
        <f>Responses!AD424</f>
        <v/>
      </c>
      <c r="F428" s="31">
        <f>Responses!AE424</f>
        <v/>
      </c>
      <c r="G428" s="31">
        <f>Responses!AF424</f>
        <v/>
      </c>
      <c r="H428" s="31">
        <f>Responses!AH424</f>
        <v/>
      </c>
      <c r="I428" s="31">
        <f>IF(Responses!Y424="","",Responses!V424&amp;"")</f>
        <v/>
      </c>
    </row>
    <row r="429">
      <c r="A429" s="28">
        <f>Responses!Z425</f>
        <v/>
      </c>
      <c r="B429" s="29">
        <f>Responses!AA425</f>
        <v/>
      </c>
      <c r="C429" s="30">
        <f>Responses!AB425</f>
        <v/>
      </c>
      <c r="D429" s="30">
        <f>Responses!AC425</f>
        <v/>
      </c>
      <c r="E429" s="30">
        <f>Responses!AD425</f>
        <v/>
      </c>
      <c r="F429" s="31">
        <f>Responses!AE425</f>
        <v/>
      </c>
      <c r="G429" s="31">
        <f>Responses!AF425</f>
        <v/>
      </c>
      <c r="H429" s="31">
        <f>Responses!AH425</f>
        <v/>
      </c>
      <c r="I429" s="31">
        <f>IF(Responses!Y425="","",Responses!V425&amp;"")</f>
        <v/>
      </c>
    </row>
    <row r="430">
      <c r="A430" s="28">
        <f>Responses!Z426</f>
        <v/>
      </c>
      <c r="B430" s="29">
        <f>Responses!AA426</f>
        <v/>
      </c>
      <c r="C430" s="30">
        <f>Responses!AB426</f>
        <v/>
      </c>
      <c r="D430" s="30">
        <f>Responses!AC426</f>
        <v/>
      </c>
      <c r="E430" s="30">
        <f>Responses!AD426</f>
        <v/>
      </c>
      <c r="F430" s="31">
        <f>Responses!AE426</f>
        <v/>
      </c>
      <c r="G430" s="31">
        <f>Responses!AF426</f>
        <v/>
      </c>
      <c r="H430" s="31">
        <f>Responses!AH426</f>
        <v/>
      </c>
      <c r="I430" s="31">
        <f>IF(Responses!Y426="","",Responses!V426&amp;"")</f>
        <v/>
      </c>
    </row>
    <row r="431">
      <c r="A431" s="28">
        <f>Responses!Z427</f>
        <v/>
      </c>
      <c r="B431" s="29">
        <f>Responses!AA427</f>
        <v/>
      </c>
      <c r="C431" s="30">
        <f>Responses!AB427</f>
        <v/>
      </c>
      <c r="D431" s="30">
        <f>Responses!AC427</f>
        <v/>
      </c>
      <c r="E431" s="30">
        <f>Responses!AD427</f>
        <v/>
      </c>
      <c r="F431" s="31">
        <f>Responses!AE427</f>
        <v/>
      </c>
      <c r="G431" s="31">
        <f>Responses!AF427</f>
        <v/>
      </c>
      <c r="H431" s="31">
        <f>Responses!AH427</f>
        <v/>
      </c>
      <c r="I431" s="31">
        <f>IF(Responses!Y427="","",Responses!V427&amp;"")</f>
        <v/>
      </c>
    </row>
    <row r="432">
      <c r="A432" s="28">
        <f>Responses!Z428</f>
        <v/>
      </c>
      <c r="B432" s="29">
        <f>Responses!AA428</f>
        <v/>
      </c>
      <c r="C432" s="30">
        <f>Responses!AB428</f>
        <v/>
      </c>
      <c r="D432" s="30">
        <f>Responses!AC428</f>
        <v/>
      </c>
      <c r="E432" s="30">
        <f>Responses!AD428</f>
        <v/>
      </c>
      <c r="F432" s="31">
        <f>Responses!AE428</f>
        <v/>
      </c>
      <c r="G432" s="31">
        <f>Responses!AF428</f>
        <v/>
      </c>
      <c r="H432" s="31">
        <f>Responses!AH428</f>
        <v/>
      </c>
      <c r="I432" s="31">
        <f>IF(Responses!Y428="","",Responses!V428&amp;"")</f>
        <v/>
      </c>
    </row>
    <row r="433">
      <c r="A433" s="28">
        <f>Responses!Z429</f>
        <v/>
      </c>
      <c r="B433" s="29">
        <f>Responses!AA429</f>
        <v/>
      </c>
      <c r="C433" s="30">
        <f>Responses!AB429</f>
        <v/>
      </c>
      <c r="D433" s="30">
        <f>Responses!AC429</f>
        <v/>
      </c>
      <c r="E433" s="30">
        <f>Responses!AD429</f>
        <v/>
      </c>
      <c r="F433" s="31">
        <f>Responses!AE429</f>
        <v/>
      </c>
      <c r="G433" s="31">
        <f>Responses!AF429</f>
        <v/>
      </c>
      <c r="H433" s="31">
        <f>Responses!AH429</f>
        <v/>
      </c>
      <c r="I433" s="31">
        <f>IF(Responses!Y429="","",Responses!V429&amp;"")</f>
        <v/>
      </c>
    </row>
    <row r="434">
      <c r="A434" s="28">
        <f>Responses!Z430</f>
        <v/>
      </c>
      <c r="B434" s="29">
        <f>Responses!AA430</f>
        <v/>
      </c>
      <c r="C434" s="30">
        <f>Responses!AB430</f>
        <v/>
      </c>
      <c r="D434" s="30">
        <f>Responses!AC430</f>
        <v/>
      </c>
      <c r="E434" s="30">
        <f>Responses!AD430</f>
        <v/>
      </c>
      <c r="F434" s="31">
        <f>Responses!AE430</f>
        <v/>
      </c>
      <c r="G434" s="31">
        <f>Responses!AF430</f>
        <v/>
      </c>
      <c r="H434" s="31">
        <f>Responses!AH430</f>
        <v/>
      </c>
      <c r="I434" s="31">
        <f>IF(Responses!Y430="","",Responses!V430&amp;"")</f>
        <v/>
      </c>
    </row>
    <row r="435">
      <c r="A435" s="28">
        <f>Responses!Z431</f>
        <v/>
      </c>
      <c r="B435" s="29">
        <f>Responses!AA431</f>
        <v/>
      </c>
      <c r="C435" s="30">
        <f>Responses!AB431</f>
        <v/>
      </c>
      <c r="D435" s="30">
        <f>Responses!AC431</f>
        <v/>
      </c>
      <c r="E435" s="30">
        <f>Responses!AD431</f>
        <v/>
      </c>
      <c r="F435" s="31">
        <f>Responses!AE431</f>
        <v/>
      </c>
      <c r="G435" s="31">
        <f>Responses!AF431</f>
        <v/>
      </c>
      <c r="H435" s="31">
        <f>Responses!AH431</f>
        <v/>
      </c>
      <c r="I435" s="31">
        <f>IF(Responses!Y431="","",Responses!V431&amp;"")</f>
        <v/>
      </c>
    </row>
    <row r="436">
      <c r="A436" s="28">
        <f>Responses!Z432</f>
        <v/>
      </c>
      <c r="B436" s="29">
        <f>Responses!AA432</f>
        <v/>
      </c>
      <c r="C436" s="30">
        <f>Responses!AB432</f>
        <v/>
      </c>
      <c r="D436" s="30">
        <f>Responses!AC432</f>
        <v/>
      </c>
      <c r="E436" s="30">
        <f>Responses!AD432</f>
        <v/>
      </c>
      <c r="F436" s="31">
        <f>Responses!AE432</f>
        <v/>
      </c>
      <c r="G436" s="31">
        <f>Responses!AF432</f>
        <v/>
      </c>
      <c r="H436" s="31">
        <f>Responses!AH432</f>
        <v/>
      </c>
      <c r="I436" s="31">
        <f>IF(Responses!Y432="","",Responses!V432&amp;"")</f>
        <v/>
      </c>
    </row>
    <row r="437">
      <c r="A437" s="28">
        <f>Responses!Z433</f>
        <v/>
      </c>
      <c r="B437" s="29">
        <f>Responses!AA433</f>
        <v/>
      </c>
      <c r="C437" s="30">
        <f>Responses!AB433</f>
        <v/>
      </c>
      <c r="D437" s="30">
        <f>Responses!AC433</f>
        <v/>
      </c>
      <c r="E437" s="30">
        <f>Responses!AD433</f>
        <v/>
      </c>
      <c r="F437" s="31">
        <f>Responses!AE433</f>
        <v/>
      </c>
      <c r="G437" s="31">
        <f>Responses!AF433</f>
        <v/>
      </c>
      <c r="H437" s="31">
        <f>Responses!AH433</f>
        <v/>
      </c>
      <c r="I437" s="31">
        <f>IF(Responses!Y433="","",Responses!V433&amp;"")</f>
        <v/>
      </c>
    </row>
    <row r="438">
      <c r="A438" s="28">
        <f>Responses!Z434</f>
        <v/>
      </c>
      <c r="B438" s="29">
        <f>Responses!AA434</f>
        <v/>
      </c>
      <c r="C438" s="30">
        <f>Responses!AB434</f>
        <v/>
      </c>
      <c r="D438" s="30">
        <f>Responses!AC434</f>
        <v/>
      </c>
      <c r="E438" s="30">
        <f>Responses!AD434</f>
        <v/>
      </c>
      <c r="F438" s="31">
        <f>Responses!AE434</f>
        <v/>
      </c>
      <c r="G438" s="31">
        <f>Responses!AF434</f>
        <v/>
      </c>
      <c r="H438" s="31">
        <f>Responses!AH434</f>
        <v/>
      </c>
      <c r="I438" s="31">
        <f>IF(Responses!Y434="","",Responses!V434&amp;"")</f>
        <v/>
      </c>
    </row>
    <row r="439">
      <c r="A439" s="28">
        <f>Responses!Z435</f>
        <v/>
      </c>
      <c r="B439" s="29">
        <f>Responses!AA435</f>
        <v/>
      </c>
      <c r="C439" s="30">
        <f>Responses!AB435</f>
        <v/>
      </c>
      <c r="D439" s="30">
        <f>Responses!AC435</f>
        <v/>
      </c>
      <c r="E439" s="30">
        <f>Responses!AD435</f>
        <v/>
      </c>
      <c r="F439" s="31">
        <f>Responses!AE435</f>
        <v/>
      </c>
      <c r="G439" s="31">
        <f>Responses!AF435</f>
        <v/>
      </c>
      <c r="H439" s="31">
        <f>Responses!AH435</f>
        <v/>
      </c>
      <c r="I439" s="31">
        <f>IF(Responses!Y435="","",Responses!V435&amp;"")</f>
        <v/>
      </c>
    </row>
    <row r="440">
      <c r="A440" s="28">
        <f>Responses!Z436</f>
        <v/>
      </c>
      <c r="B440" s="29">
        <f>Responses!AA436</f>
        <v/>
      </c>
      <c r="C440" s="30">
        <f>Responses!AB436</f>
        <v/>
      </c>
      <c r="D440" s="30">
        <f>Responses!AC436</f>
        <v/>
      </c>
      <c r="E440" s="30">
        <f>Responses!AD436</f>
        <v/>
      </c>
      <c r="F440" s="31">
        <f>Responses!AE436</f>
        <v/>
      </c>
      <c r="G440" s="31">
        <f>Responses!AF436</f>
        <v/>
      </c>
      <c r="H440" s="31">
        <f>Responses!AH436</f>
        <v/>
      </c>
      <c r="I440" s="31">
        <f>IF(Responses!Y436="","",Responses!V436&amp;"")</f>
        <v/>
      </c>
    </row>
    <row r="441">
      <c r="A441" s="28">
        <f>Responses!Z437</f>
        <v/>
      </c>
      <c r="B441" s="29">
        <f>Responses!AA437</f>
        <v/>
      </c>
      <c r="C441" s="30">
        <f>Responses!AB437</f>
        <v/>
      </c>
      <c r="D441" s="30">
        <f>Responses!AC437</f>
        <v/>
      </c>
      <c r="E441" s="30">
        <f>Responses!AD437</f>
        <v/>
      </c>
      <c r="F441" s="31">
        <f>Responses!AE437</f>
        <v/>
      </c>
      <c r="G441" s="31">
        <f>Responses!AF437</f>
        <v/>
      </c>
      <c r="H441" s="31">
        <f>Responses!AH437</f>
        <v/>
      </c>
      <c r="I441" s="31">
        <f>IF(Responses!Y437="","",Responses!V437&amp;"")</f>
        <v/>
      </c>
    </row>
    <row r="442">
      <c r="A442" s="28">
        <f>Responses!Z438</f>
        <v/>
      </c>
      <c r="B442" s="29">
        <f>Responses!AA438</f>
        <v/>
      </c>
      <c r="C442" s="30">
        <f>Responses!AB438</f>
        <v/>
      </c>
      <c r="D442" s="30">
        <f>Responses!AC438</f>
        <v/>
      </c>
      <c r="E442" s="30">
        <f>Responses!AD438</f>
        <v/>
      </c>
      <c r="F442" s="31">
        <f>Responses!AE438</f>
        <v/>
      </c>
      <c r="G442" s="31">
        <f>Responses!AF438</f>
        <v/>
      </c>
      <c r="H442" s="31">
        <f>Responses!AH438</f>
        <v/>
      </c>
      <c r="I442" s="31">
        <f>IF(Responses!Y438="","",Responses!V438&amp;"")</f>
        <v/>
      </c>
    </row>
    <row r="443">
      <c r="A443" s="28">
        <f>Responses!Z439</f>
        <v/>
      </c>
      <c r="B443" s="29">
        <f>Responses!AA439</f>
        <v/>
      </c>
      <c r="C443" s="30">
        <f>Responses!AB439</f>
        <v/>
      </c>
      <c r="D443" s="30">
        <f>Responses!AC439</f>
        <v/>
      </c>
      <c r="E443" s="30">
        <f>Responses!AD439</f>
        <v/>
      </c>
      <c r="F443" s="31">
        <f>Responses!AE439</f>
        <v/>
      </c>
      <c r="G443" s="31">
        <f>Responses!AF439</f>
        <v/>
      </c>
      <c r="H443" s="31">
        <f>Responses!AH439</f>
        <v/>
      </c>
      <c r="I443" s="31">
        <f>IF(Responses!Y439="","",Responses!V439&amp;"")</f>
        <v/>
      </c>
    </row>
    <row r="444">
      <c r="A444" s="28">
        <f>Responses!Z440</f>
        <v/>
      </c>
      <c r="B444" s="29">
        <f>Responses!AA440</f>
        <v/>
      </c>
      <c r="C444" s="30">
        <f>Responses!AB440</f>
        <v/>
      </c>
      <c r="D444" s="30">
        <f>Responses!AC440</f>
        <v/>
      </c>
      <c r="E444" s="30">
        <f>Responses!AD440</f>
        <v/>
      </c>
      <c r="F444" s="31">
        <f>Responses!AE440</f>
        <v/>
      </c>
      <c r="G444" s="31">
        <f>Responses!AF440</f>
        <v/>
      </c>
      <c r="H444" s="31">
        <f>Responses!AH440</f>
        <v/>
      </c>
      <c r="I444" s="31">
        <f>IF(Responses!Y440="","",Responses!V440&amp;"")</f>
        <v/>
      </c>
    </row>
    <row r="445">
      <c r="A445" s="28">
        <f>Responses!Z441</f>
        <v/>
      </c>
      <c r="B445" s="29">
        <f>Responses!AA441</f>
        <v/>
      </c>
      <c r="C445" s="30">
        <f>Responses!AB441</f>
        <v/>
      </c>
      <c r="D445" s="30">
        <f>Responses!AC441</f>
        <v/>
      </c>
      <c r="E445" s="30">
        <f>Responses!AD441</f>
        <v/>
      </c>
      <c r="F445" s="31">
        <f>Responses!AE441</f>
        <v/>
      </c>
      <c r="G445" s="31">
        <f>Responses!AF441</f>
        <v/>
      </c>
      <c r="H445" s="31">
        <f>Responses!AH441</f>
        <v/>
      </c>
      <c r="I445" s="31">
        <f>IF(Responses!Y441="","",Responses!V441&amp;"")</f>
        <v/>
      </c>
    </row>
    <row r="446">
      <c r="A446" s="28">
        <f>Responses!Z442</f>
        <v/>
      </c>
      <c r="B446" s="29">
        <f>Responses!AA442</f>
        <v/>
      </c>
      <c r="C446" s="30">
        <f>Responses!AB442</f>
        <v/>
      </c>
      <c r="D446" s="30">
        <f>Responses!AC442</f>
        <v/>
      </c>
      <c r="E446" s="30">
        <f>Responses!AD442</f>
        <v/>
      </c>
      <c r="F446" s="31">
        <f>Responses!AE442</f>
        <v/>
      </c>
      <c r="G446" s="31">
        <f>Responses!AF442</f>
        <v/>
      </c>
      <c r="H446" s="31">
        <f>Responses!AH442</f>
        <v/>
      </c>
      <c r="I446" s="31">
        <f>IF(Responses!Y442="","",Responses!V442&amp;"")</f>
        <v/>
      </c>
    </row>
    <row r="447">
      <c r="A447" s="28">
        <f>Responses!Z443</f>
        <v/>
      </c>
      <c r="B447" s="29">
        <f>Responses!AA443</f>
        <v/>
      </c>
      <c r="C447" s="30">
        <f>Responses!AB443</f>
        <v/>
      </c>
      <c r="D447" s="30">
        <f>Responses!AC443</f>
        <v/>
      </c>
      <c r="E447" s="30">
        <f>Responses!AD443</f>
        <v/>
      </c>
      <c r="F447" s="31">
        <f>Responses!AE443</f>
        <v/>
      </c>
      <c r="G447" s="31">
        <f>Responses!AF443</f>
        <v/>
      </c>
      <c r="H447" s="31">
        <f>Responses!AH443</f>
        <v/>
      </c>
      <c r="I447" s="31">
        <f>IF(Responses!Y443="","",Responses!V443&amp;"")</f>
        <v/>
      </c>
    </row>
    <row r="448">
      <c r="A448" s="28">
        <f>Responses!Z444</f>
        <v/>
      </c>
      <c r="B448" s="29">
        <f>Responses!AA444</f>
        <v/>
      </c>
      <c r="C448" s="30">
        <f>Responses!AB444</f>
        <v/>
      </c>
      <c r="D448" s="30">
        <f>Responses!AC444</f>
        <v/>
      </c>
      <c r="E448" s="30">
        <f>Responses!AD444</f>
        <v/>
      </c>
      <c r="F448" s="31">
        <f>Responses!AE444</f>
        <v/>
      </c>
      <c r="G448" s="31">
        <f>Responses!AF444</f>
        <v/>
      </c>
      <c r="H448" s="31">
        <f>Responses!AH444</f>
        <v/>
      </c>
      <c r="I448" s="31">
        <f>IF(Responses!Y444="","",Responses!V444&amp;"")</f>
        <v/>
      </c>
    </row>
    <row r="449">
      <c r="A449" s="28">
        <f>Responses!Z445</f>
        <v/>
      </c>
      <c r="B449" s="29">
        <f>Responses!AA445</f>
        <v/>
      </c>
      <c r="C449" s="30">
        <f>Responses!AB445</f>
        <v/>
      </c>
      <c r="D449" s="30">
        <f>Responses!AC445</f>
        <v/>
      </c>
      <c r="E449" s="30">
        <f>Responses!AD445</f>
        <v/>
      </c>
      <c r="F449" s="31">
        <f>Responses!AE445</f>
        <v/>
      </c>
      <c r="G449" s="31">
        <f>Responses!AF445</f>
        <v/>
      </c>
      <c r="H449" s="31">
        <f>Responses!AH445</f>
        <v/>
      </c>
      <c r="I449" s="31">
        <f>IF(Responses!Y445="","",Responses!V445&amp;"")</f>
        <v/>
      </c>
    </row>
    <row r="450">
      <c r="A450" s="28">
        <f>Responses!Z446</f>
        <v/>
      </c>
      <c r="B450" s="29">
        <f>Responses!AA446</f>
        <v/>
      </c>
      <c r="C450" s="30">
        <f>Responses!AB446</f>
        <v/>
      </c>
      <c r="D450" s="30">
        <f>Responses!AC446</f>
        <v/>
      </c>
      <c r="E450" s="30">
        <f>Responses!AD446</f>
        <v/>
      </c>
      <c r="F450" s="31">
        <f>Responses!AE446</f>
        <v/>
      </c>
      <c r="G450" s="31">
        <f>Responses!AF446</f>
        <v/>
      </c>
      <c r="H450" s="31">
        <f>Responses!AH446</f>
        <v/>
      </c>
      <c r="I450" s="31">
        <f>IF(Responses!Y446="","",Responses!V446&amp;"")</f>
        <v/>
      </c>
    </row>
    <row r="451">
      <c r="A451" s="28">
        <f>Responses!Z447</f>
        <v/>
      </c>
      <c r="B451" s="29">
        <f>Responses!AA447</f>
        <v/>
      </c>
      <c r="C451" s="30">
        <f>Responses!AB447</f>
        <v/>
      </c>
      <c r="D451" s="30">
        <f>Responses!AC447</f>
        <v/>
      </c>
      <c r="E451" s="30">
        <f>Responses!AD447</f>
        <v/>
      </c>
      <c r="F451" s="31">
        <f>Responses!AE447</f>
        <v/>
      </c>
      <c r="G451" s="31">
        <f>Responses!AF447</f>
        <v/>
      </c>
      <c r="H451" s="31">
        <f>Responses!AH447</f>
        <v/>
      </c>
      <c r="I451" s="31">
        <f>IF(Responses!Y447="","",Responses!V447&amp;"")</f>
        <v/>
      </c>
    </row>
    <row r="452">
      <c r="A452" s="28">
        <f>Responses!Z448</f>
        <v/>
      </c>
      <c r="B452" s="29">
        <f>Responses!AA448</f>
        <v/>
      </c>
      <c r="C452" s="30">
        <f>Responses!AB448</f>
        <v/>
      </c>
      <c r="D452" s="30">
        <f>Responses!AC448</f>
        <v/>
      </c>
      <c r="E452" s="30">
        <f>Responses!AD448</f>
        <v/>
      </c>
      <c r="F452" s="31">
        <f>Responses!AE448</f>
        <v/>
      </c>
      <c r="G452" s="31">
        <f>Responses!AF448</f>
        <v/>
      </c>
      <c r="H452" s="31">
        <f>Responses!AH448</f>
        <v/>
      </c>
      <c r="I452" s="31">
        <f>IF(Responses!Y448="","",Responses!V448&amp;"")</f>
        <v/>
      </c>
    </row>
    <row r="453">
      <c r="A453" s="28">
        <f>Responses!Z449</f>
        <v/>
      </c>
      <c r="B453" s="29">
        <f>Responses!AA449</f>
        <v/>
      </c>
      <c r="C453" s="30">
        <f>Responses!AB449</f>
        <v/>
      </c>
      <c r="D453" s="30">
        <f>Responses!AC449</f>
        <v/>
      </c>
      <c r="E453" s="30">
        <f>Responses!AD449</f>
        <v/>
      </c>
      <c r="F453" s="31">
        <f>Responses!AE449</f>
        <v/>
      </c>
      <c r="G453" s="31">
        <f>Responses!AF449</f>
        <v/>
      </c>
      <c r="H453" s="31">
        <f>Responses!AH449</f>
        <v/>
      </c>
      <c r="I453" s="31">
        <f>IF(Responses!Y449="","",Responses!V449&amp;"")</f>
        <v/>
      </c>
    </row>
    <row r="454">
      <c r="A454" s="28">
        <f>Responses!Z450</f>
        <v/>
      </c>
      <c r="B454" s="29">
        <f>Responses!AA450</f>
        <v/>
      </c>
      <c r="C454" s="30">
        <f>Responses!AB450</f>
        <v/>
      </c>
      <c r="D454" s="30">
        <f>Responses!AC450</f>
        <v/>
      </c>
      <c r="E454" s="30">
        <f>Responses!AD450</f>
        <v/>
      </c>
      <c r="F454" s="31">
        <f>Responses!AE450</f>
        <v/>
      </c>
      <c r="G454" s="31">
        <f>Responses!AF450</f>
        <v/>
      </c>
      <c r="H454" s="31">
        <f>Responses!AH450</f>
        <v/>
      </c>
      <c r="I454" s="31">
        <f>IF(Responses!Y450="","",Responses!V450&amp;"")</f>
        <v/>
      </c>
    </row>
    <row r="455">
      <c r="A455" s="28">
        <f>Responses!Z451</f>
        <v/>
      </c>
      <c r="B455" s="29">
        <f>Responses!AA451</f>
        <v/>
      </c>
      <c r="C455" s="30">
        <f>Responses!AB451</f>
        <v/>
      </c>
      <c r="D455" s="30">
        <f>Responses!AC451</f>
        <v/>
      </c>
      <c r="E455" s="30">
        <f>Responses!AD451</f>
        <v/>
      </c>
      <c r="F455" s="31">
        <f>Responses!AE451</f>
        <v/>
      </c>
      <c r="G455" s="31">
        <f>Responses!AF451</f>
        <v/>
      </c>
      <c r="H455" s="31">
        <f>Responses!AH451</f>
        <v/>
      </c>
      <c r="I455" s="31">
        <f>IF(Responses!Y451="","",Responses!V451&amp;"")</f>
        <v/>
      </c>
    </row>
    <row r="456">
      <c r="A456" s="28">
        <f>Responses!Z452</f>
        <v/>
      </c>
      <c r="B456" s="29">
        <f>Responses!AA452</f>
        <v/>
      </c>
      <c r="C456" s="30">
        <f>Responses!AB452</f>
        <v/>
      </c>
      <c r="D456" s="30">
        <f>Responses!AC452</f>
        <v/>
      </c>
      <c r="E456" s="30">
        <f>Responses!AD452</f>
        <v/>
      </c>
      <c r="F456" s="31">
        <f>Responses!AE452</f>
        <v/>
      </c>
      <c r="G456" s="31">
        <f>Responses!AF452</f>
        <v/>
      </c>
      <c r="H456" s="31">
        <f>Responses!AH452</f>
        <v/>
      </c>
      <c r="I456" s="31">
        <f>IF(Responses!Y452="","",Responses!V452&amp;"")</f>
        <v/>
      </c>
    </row>
    <row r="457">
      <c r="A457" s="28">
        <f>Responses!Z453</f>
        <v/>
      </c>
      <c r="B457" s="29">
        <f>Responses!AA453</f>
        <v/>
      </c>
      <c r="C457" s="30">
        <f>Responses!AB453</f>
        <v/>
      </c>
      <c r="D457" s="30">
        <f>Responses!AC453</f>
        <v/>
      </c>
      <c r="E457" s="30">
        <f>Responses!AD453</f>
        <v/>
      </c>
      <c r="F457" s="31">
        <f>Responses!AE453</f>
        <v/>
      </c>
      <c r="G457" s="31">
        <f>Responses!AF453</f>
        <v/>
      </c>
      <c r="H457" s="31">
        <f>Responses!AH453</f>
        <v/>
      </c>
      <c r="I457" s="31">
        <f>IF(Responses!Y453="","",Responses!V453&amp;"")</f>
        <v/>
      </c>
    </row>
    <row r="458">
      <c r="A458" s="28">
        <f>Responses!Z454</f>
        <v/>
      </c>
      <c r="B458" s="29">
        <f>Responses!AA454</f>
        <v/>
      </c>
      <c r="C458" s="30">
        <f>Responses!AB454</f>
        <v/>
      </c>
      <c r="D458" s="30">
        <f>Responses!AC454</f>
        <v/>
      </c>
      <c r="E458" s="30">
        <f>Responses!AD454</f>
        <v/>
      </c>
      <c r="F458" s="31">
        <f>Responses!AE454</f>
        <v/>
      </c>
      <c r="G458" s="31">
        <f>Responses!AF454</f>
        <v/>
      </c>
      <c r="H458" s="31">
        <f>Responses!AH454</f>
        <v/>
      </c>
      <c r="I458" s="31">
        <f>IF(Responses!Y454="","",Responses!V454&amp;"")</f>
        <v/>
      </c>
    </row>
    <row r="459">
      <c r="A459" s="28">
        <f>Responses!Z455</f>
        <v/>
      </c>
      <c r="B459" s="29">
        <f>Responses!AA455</f>
        <v/>
      </c>
      <c r="C459" s="30">
        <f>Responses!AB455</f>
        <v/>
      </c>
      <c r="D459" s="30">
        <f>Responses!AC455</f>
        <v/>
      </c>
      <c r="E459" s="30">
        <f>Responses!AD455</f>
        <v/>
      </c>
      <c r="F459" s="31">
        <f>Responses!AE455</f>
        <v/>
      </c>
      <c r="G459" s="31">
        <f>Responses!AF455</f>
        <v/>
      </c>
      <c r="H459" s="31">
        <f>Responses!AH455</f>
        <v/>
      </c>
      <c r="I459" s="31">
        <f>IF(Responses!Y455="","",Responses!V455&amp;"")</f>
        <v/>
      </c>
    </row>
    <row r="460">
      <c r="A460" s="28">
        <f>Responses!Z456</f>
        <v/>
      </c>
      <c r="B460" s="29">
        <f>Responses!AA456</f>
        <v/>
      </c>
      <c r="C460" s="30">
        <f>Responses!AB456</f>
        <v/>
      </c>
      <c r="D460" s="30">
        <f>Responses!AC456</f>
        <v/>
      </c>
      <c r="E460" s="30">
        <f>Responses!AD456</f>
        <v/>
      </c>
      <c r="F460" s="31">
        <f>Responses!AE456</f>
        <v/>
      </c>
      <c r="G460" s="31">
        <f>Responses!AF456</f>
        <v/>
      </c>
      <c r="H460" s="31">
        <f>Responses!AH456</f>
        <v/>
      </c>
      <c r="I460" s="31">
        <f>IF(Responses!Y456="","",Responses!V456&amp;"")</f>
        <v/>
      </c>
    </row>
    <row r="461">
      <c r="A461" s="28">
        <f>Responses!Z457</f>
        <v/>
      </c>
      <c r="B461" s="29">
        <f>Responses!AA457</f>
        <v/>
      </c>
      <c r="C461" s="30">
        <f>Responses!AB457</f>
        <v/>
      </c>
      <c r="D461" s="30">
        <f>Responses!AC457</f>
        <v/>
      </c>
      <c r="E461" s="30">
        <f>Responses!AD457</f>
        <v/>
      </c>
      <c r="F461" s="31">
        <f>Responses!AE457</f>
        <v/>
      </c>
      <c r="G461" s="31">
        <f>Responses!AF457</f>
        <v/>
      </c>
      <c r="H461" s="31">
        <f>Responses!AH457</f>
        <v/>
      </c>
      <c r="I461" s="31">
        <f>IF(Responses!Y457="","",Responses!V457&amp;"")</f>
        <v/>
      </c>
    </row>
    <row r="462">
      <c r="A462" s="28">
        <f>Responses!Z458</f>
        <v/>
      </c>
      <c r="B462" s="29">
        <f>Responses!AA458</f>
        <v/>
      </c>
      <c r="C462" s="30">
        <f>Responses!AB458</f>
        <v/>
      </c>
      <c r="D462" s="30">
        <f>Responses!AC458</f>
        <v/>
      </c>
      <c r="E462" s="30">
        <f>Responses!AD458</f>
        <v/>
      </c>
      <c r="F462" s="31">
        <f>Responses!AE458</f>
        <v/>
      </c>
      <c r="G462" s="31">
        <f>Responses!AF458</f>
        <v/>
      </c>
      <c r="H462" s="31">
        <f>Responses!AH458</f>
        <v/>
      </c>
      <c r="I462" s="31">
        <f>IF(Responses!Y458="","",Responses!V458&amp;"")</f>
        <v/>
      </c>
    </row>
    <row r="463">
      <c r="A463" s="28">
        <f>Responses!Z459</f>
        <v/>
      </c>
      <c r="B463" s="29">
        <f>Responses!AA459</f>
        <v/>
      </c>
      <c r="C463" s="30">
        <f>Responses!AB459</f>
        <v/>
      </c>
      <c r="D463" s="30">
        <f>Responses!AC459</f>
        <v/>
      </c>
      <c r="E463" s="30">
        <f>Responses!AD459</f>
        <v/>
      </c>
      <c r="F463" s="31">
        <f>Responses!AE459</f>
        <v/>
      </c>
      <c r="G463" s="31">
        <f>Responses!AF459</f>
        <v/>
      </c>
      <c r="H463" s="31">
        <f>Responses!AH459</f>
        <v/>
      </c>
      <c r="I463" s="31">
        <f>IF(Responses!Y459="","",Responses!V459&amp;"")</f>
        <v/>
      </c>
    </row>
    <row r="464">
      <c r="A464" s="28">
        <f>Responses!Z460</f>
        <v/>
      </c>
      <c r="B464" s="29">
        <f>Responses!AA460</f>
        <v/>
      </c>
      <c r="C464" s="30">
        <f>Responses!AB460</f>
        <v/>
      </c>
      <c r="D464" s="30">
        <f>Responses!AC460</f>
        <v/>
      </c>
      <c r="E464" s="30">
        <f>Responses!AD460</f>
        <v/>
      </c>
      <c r="F464" s="31">
        <f>Responses!AE460</f>
        <v/>
      </c>
      <c r="G464" s="31">
        <f>Responses!AF460</f>
        <v/>
      </c>
      <c r="H464" s="31">
        <f>Responses!AH460</f>
        <v/>
      </c>
      <c r="I464" s="31">
        <f>IF(Responses!Y460="","",Responses!V460&amp;"")</f>
        <v/>
      </c>
    </row>
    <row r="465">
      <c r="A465" s="28">
        <f>Responses!Z461</f>
        <v/>
      </c>
      <c r="B465" s="29">
        <f>Responses!AA461</f>
        <v/>
      </c>
      <c r="C465" s="30">
        <f>Responses!AB461</f>
        <v/>
      </c>
      <c r="D465" s="30">
        <f>Responses!AC461</f>
        <v/>
      </c>
      <c r="E465" s="30">
        <f>Responses!AD461</f>
        <v/>
      </c>
      <c r="F465" s="31">
        <f>Responses!AE461</f>
        <v/>
      </c>
      <c r="G465" s="31">
        <f>Responses!AF461</f>
        <v/>
      </c>
      <c r="H465" s="31">
        <f>Responses!AH461</f>
        <v/>
      </c>
      <c r="I465" s="31">
        <f>IF(Responses!Y461="","",Responses!V461&amp;"")</f>
        <v/>
      </c>
    </row>
    <row r="466">
      <c r="A466" s="28">
        <f>Responses!Z462</f>
        <v/>
      </c>
      <c r="B466" s="29">
        <f>Responses!AA462</f>
        <v/>
      </c>
      <c r="C466" s="30">
        <f>Responses!AB462</f>
        <v/>
      </c>
      <c r="D466" s="30">
        <f>Responses!AC462</f>
        <v/>
      </c>
      <c r="E466" s="30">
        <f>Responses!AD462</f>
        <v/>
      </c>
      <c r="F466" s="31">
        <f>Responses!AE462</f>
        <v/>
      </c>
      <c r="G466" s="31">
        <f>Responses!AF462</f>
        <v/>
      </c>
      <c r="H466" s="31">
        <f>Responses!AH462</f>
        <v/>
      </c>
      <c r="I466" s="31">
        <f>IF(Responses!Y462="","",Responses!V462&amp;"")</f>
        <v/>
      </c>
    </row>
    <row r="467">
      <c r="A467" s="28">
        <f>Responses!Z463</f>
        <v/>
      </c>
      <c r="B467" s="29">
        <f>Responses!AA463</f>
        <v/>
      </c>
      <c r="C467" s="30">
        <f>Responses!AB463</f>
        <v/>
      </c>
      <c r="D467" s="30">
        <f>Responses!AC463</f>
        <v/>
      </c>
      <c r="E467" s="30">
        <f>Responses!AD463</f>
        <v/>
      </c>
      <c r="F467" s="31">
        <f>Responses!AE463</f>
        <v/>
      </c>
      <c r="G467" s="31">
        <f>Responses!AF463</f>
        <v/>
      </c>
      <c r="H467" s="31">
        <f>Responses!AH463</f>
        <v/>
      </c>
      <c r="I467" s="31">
        <f>IF(Responses!Y463="","",Responses!V463&amp;"")</f>
        <v/>
      </c>
    </row>
    <row r="468">
      <c r="A468" s="28">
        <f>Responses!Z464</f>
        <v/>
      </c>
      <c r="B468" s="29">
        <f>Responses!AA464</f>
        <v/>
      </c>
      <c r="C468" s="30">
        <f>Responses!AB464</f>
        <v/>
      </c>
      <c r="D468" s="30">
        <f>Responses!AC464</f>
        <v/>
      </c>
      <c r="E468" s="30">
        <f>Responses!AD464</f>
        <v/>
      </c>
      <c r="F468" s="31">
        <f>Responses!AE464</f>
        <v/>
      </c>
      <c r="G468" s="31">
        <f>Responses!AF464</f>
        <v/>
      </c>
      <c r="H468" s="31">
        <f>Responses!AH464</f>
        <v/>
      </c>
      <c r="I468" s="31">
        <f>IF(Responses!Y464="","",Responses!V464&amp;"")</f>
        <v/>
      </c>
    </row>
    <row r="469">
      <c r="A469" s="28">
        <f>Responses!Z465</f>
        <v/>
      </c>
      <c r="B469" s="29">
        <f>Responses!AA465</f>
        <v/>
      </c>
      <c r="C469" s="30">
        <f>Responses!AB465</f>
        <v/>
      </c>
      <c r="D469" s="30">
        <f>Responses!AC465</f>
        <v/>
      </c>
      <c r="E469" s="30">
        <f>Responses!AD465</f>
        <v/>
      </c>
      <c r="F469" s="31">
        <f>Responses!AE465</f>
        <v/>
      </c>
      <c r="G469" s="31">
        <f>Responses!AF465</f>
        <v/>
      </c>
      <c r="H469" s="31">
        <f>Responses!AH465</f>
        <v/>
      </c>
      <c r="I469" s="31">
        <f>IF(Responses!Y465="","",Responses!V465&amp;"")</f>
        <v/>
      </c>
    </row>
    <row r="470">
      <c r="A470" s="28">
        <f>Responses!Z466</f>
        <v/>
      </c>
      <c r="B470" s="29">
        <f>Responses!AA466</f>
        <v/>
      </c>
      <c r="C470" s="30">
        <f>Responses!AB466</f>
        <v/>
      </c>
      <c r="D470" s="30">
        <f>Responses!AC466</f>
        <v/>
      </c>
      <c r="E470" s="30">
        <f>Responses!AD466</f>
        <v/>
      </c>
      <c r="F470" s="31">
        <f>Responses!AE466</f>
        <v/>
      </c>
      <c r="G470" s="31">
        <f>Responses!AF466</f>
        <v/>
      </c>
      <c r="H470" s="31">
        <f>Responses!AH466</f>
        <v/>
      </c>
      <c r="I470" s="31">
        <f>IF(Responses!Y466="","",Responses!V466&amp;"")</f>
        <v/>
      </c>
    </row>
    <row r="471">
      <c r="A471" s="28">
        <f>Responses!Z467</f>
        <v/>
      </c>
      <c r="B471" s="29">
        <f>Responses!AA467</f>
        <v/>
      </c>
      <c r="C471" s="30">
        <f>Responses!AB467</f>
        <v/>
      </c>
      <c r="D471" s="30">
        <f>Responses!AC467</f>
        <v/>
      </c>
      <c r="E471" s="30">
        <f>Responses!AD467</f>
        <v/>
      </c>
      <c r="F471" s="31">
        <f>Responses!AE467</f>
        <v/>
      </c>
      <c r="G471" s="31">
        <f>Responses!AF467</f>
        <v/>
      </c>
      <c r="H471" s="31">
        <f>Responses!AH467</f>
        <v/>
      </c>
      <c r="I471" s="31">
        <f>IF(Responses!Y467="","",Responses!V467&amp;"")</f>
        <v/>
      </c>
    </row>
    <row r="472">
      <c r="A472" s="28">
        <f>Responses!Z468</f>
        <v/>
      </c>
      <c r="B472" s="29">
        <f>Responses!AA468</f>
        <v/>
      </c>
      <c r="C472" s="30">
        <f>Responses!AB468</f>
        <v/>
      </c>
      <c r="D472" s="30">
        <f>Responses!AC468</f>
        <v/>
      </c>
      <c r="E472" s="30">
        <f>Responses!AD468</f>
        <v/>
      </c>
      <c r="F472" s="31">
        <f>Responses!AE468</f>
        <v/>
      </c>
      <c r="G472" s="31">
        <f>Responses!AF468</f>
        <v/>
      </c>
      <c r="H472" s="31">
        <f>Responses!AH468</f>
        <v/>
      </c>
      <c r="I472" s="31">
        <f>IF(Responses!Y468="","",Responses!V468&amp;"")</f>
        <v/>
      </c>
    </row>
    <row r="473">
      <c r="A473" s="28">
        <f>Responses!Z469</f>
        <v/>
      </c>
      <c r="B473" s="29">
        <f>Responses!AA469</f>
        <v/>
      </c>
      <c r="C473" s="30">
        <f>Responses!AB469</f>
        <v/>
      </c>
      <c r="D473" s="30">
        <f>Responses!AC469</f>
        <v/>
      </c>
      <c r="E473" s="30">
        <f>Responses!AD469</f>
        <v/>
      </c>
      <c r="F473" s="31">
        <f>Responses!AE469</f>
        <v/>
      </c>
      <c r="G473" s="31">
        <f>Responses!AF469</f>
        <v/>
      </c>
      <c r="H473" s="31">
        <f>Responses!AH469</f>
        <v/>
      </c>
      <c r="I473" s="31">
        <f>IF(Responses!Y469="","",Responses!V469&amp;"")</f>
        <v/>
      </c>
    </row>
    <row r="474">
      <c r="A474" s="28">
        <f>Responses!Z470</f>
        <v/>
      </c>
      <c r="B474" s="29">
        <f>Responses!AA470</f>
        <v/>
      </c>
      <c r="C474" s="30">
        <f>Responses!AB470</f>
        <v/>
      </c>
      <c r="D474" s="30">
        <f>Responses!AC470</f>
        <v/>
      </c>
      <c r="E474" s="30">
        <f>Responses!AD470</f>
        <v/>
      </c>
      <c r="F474" s="31">
        <f>Responses!AE470</f>
        <v/>
      </c>
      <c r="G474" s="31">
        <f>Responses!AF470</f>
        <v/>
      </c>
      <c r="H474" s="31">
        <f>Responses!AH470</f>
        <v/>
      </c>
      <c r="I474" s="31">
        <f>IF(Responses!Y470="","",Responses!V470&amp;"")</f>
        <v/>
      </c>
    </row>
    <row r="475">
      <c r="A475" s="28">
        <f>Responses!Z471</f>
        <v/>
      </c>
      <c r="B475" s="29">
        <f>Responses!AA471</f>
        <v/>
      </c>
      <c r="C475" s="30">
        <f>Responses!AB471</f>
        <v/>
      </c>
      <c r="D475" s="30">
        <f>Responses!AC471</f>
        <v/>
      </c>
      <c r="E475" s="30">
        <f>Responses!AD471</f>
        <v/>
      </c>
      <c r="F475" s="31">
        <f>Responses!AE471</f>
        <v/>
      </c>
      <c r="G475" s="31">
        <f>Responses!AF471</f>
        <v/>
      </c>
      <c r="H475" s="31">
        <f>Responses!AH471</f>
        <v/>
      </c>
      <c r="I475" s="31">
        <f>IF(Responses!Y471="","",Responses!V471&amp;"")</f>
        <v/>
      </c>
    </row>
    <row r="476">
      <c r="A476" s="28">
        <f>Responses!Z472</f>
        <v/>
      </c>
      <c r="B476" s="29">
        <f>Responses!AA472</f>
        <v/>
      </c>
      <c r="C476" s="30">
        <f>Responses!AB472</f>
        <v/>
      </c>
      <c r="D476" s="30">
        <f>Responses!AC472</f>
        <v/>
      </c>
      <c r="E476" s="30">
        <f>Responses!AD472</f>
        <v/>
      </c>
      <c r="F476" s="31">
        <f>Responses!AE472</f>
        <v/>
      </c>
      <c r="G476" s="31">
        <f>Responses!AF472</f>
        <v/>
      </c>
      <c r="H476" s="31">
        <f>Responses!AH472</f>
        <v/>
      </c>
      <c r="I476" s="31">
        <f>IF(Responses!Y472="","",Responses!V472&amp;"")</f>
        <v/>
      </c>
    </row>
    <row r="477">
      <c r="A477" s="28">
        <f>Responses!Z473</f>
        <v/>
      </c>
      <c r="B477" s="29">
        <f>Responses!AA473</f>
        <v/>
      </c>
      <c r="C477" s="30">
        <f>Responses!AB473</f>
        <v/>
      </c>
      <c r="D477" s="30">
        <f>Responses!AC473</f>
        <v/>
      </c>
      <c r="E477" s="30">
        <f>Responses!AD473</f>
        <v/>
      </c>
      <c r="F477" s="31">
        <f>Responses!AE473</f>
        <v/>
      </c>
      <c r="G477" s="31">
        <f>Responses!AF473</f>
        <v/>
      </c>
      <c r="H477" s="31">
        <f>Responses!AH473</f>
        <v/>
      </c>
      <c r="I477" s="31">
        <f>IF(Responses!Y473="","",Responses!V473&amp;"")</f>
        <v/>
      </c>
    </row>
    <row r="478">
      <c r="A478" s="28">
        <f>Responses!Z474</f>
        <v/>
      </c>
      <c r="B478" s="29">
        <f>Responses!AA474</f>
        <v/>
      </c>
      <c r="C478" s="30">
        <f>Responses!AB474</f>
        <v/>
      </c>
      <c r="D478" s="30">
        <f>Responses!AC474</f>
        <v/>
      </c>
      <c r="E478" s="30">
        <f>Responses!AD474</f>
        <v/>
      </c>
      <c r="F478" s="31">
        <f>Responses!AE474</f>
        <v/>
      </c>
      <c r="G478" s="31">
        <f>Responses!AF474</f>
        <v/>
      </c>
      <c r="H478" s="31">
        <f>Responses!AH474</f>
        <v/>
      </c>
      <c r="I478" s="31">
        <f>IF(Responses!Y474="","",Responses!V474&amp;"")</f>
        <v/>
      </c>
    </row>
    <row r="479">
      <c r="A479" s="28">
        <f>Responses!Z475</f>
        <v/>
      </c>
      <c r="B479" s="29">
        <f>Responses!AA475</f>
        <v/>
      </c>
      <c r="C479" s="30">
        <f>Responses!AB475</f>
        <v/>
      </c>
      <c r="D479" s="30">
        <f>Responses!AC475</f>
        <v/>
      </c>
      <c r="E479" s="30">
        <f>Responses!AD475</f>
        <v/>
      </c>
      <c r="F479" s="31">
        <f>Responses!AE475</f>
        <v/>
      </c>
      <c r="G479" s="31">
        <f>Responses!AF475</f>
        <v/>
      </c>
      <c r="H479" s="31">
        <f>Responses!AH475</f>
        <v/>
      </c>
      <c r="I479" s="31">
        <f>IF(Responses!Y475="","",Responses!V475&amp;"")</f>
        <v/>
      </c>
    </row>
    <row r="480">
      <c r="A480" s="28">
        <f>Responses!Z476</f>
        <v/>
      </c>
      <c r="B480" s="29">
        <f>Responses!AA476</f>
        <v/>
      </c>
      <c r="C480" s="30">
        <f>Responses!AB476</f>
        <v/>
      </c>
      <c r="D480" s="30">
        <f>Responses!AC476</f>
        <v/>
      </c>
      <c r="E480" s="30">
        <f>Responses!AD476</f>
        <v/>
      </c>
      <c r="F480" s="31">
        <f>Responses!AE476</f>
        <v/>
      </c>
      <c r="G480" s="31">
        <f>Responses!AF476</f>
        <v/>
      </c>
      <c r="H480" s="31">
        <f>Responses!AH476</f>
        <v/>
      </c>
      <c r="I480" s="31">
        <f>IF(Responses!Y476="","",Responses!V476&amp;"")</f>
        <v/>
      </c>
    </row>
    <row r="481">
      <c r="A481" s="28">
        <f>Responses!Z477</f>
        <v/>
      </c>
      <c r="B481" s="29">
        <f>Responses!AA477</f>
        <v/>
      </c>
      <c r="C481" s="30">
        <f>Responses!AB477</f>
        <v/>
      </c>
      <c r="D481" s="30">
        <f>Responses!AC477</f>
        <v/>
      </c>
      <c r="E481" s="30">
        <f>Responses!AD477</f>
        <v/>
      </c>
      <c r="F481" s="31">
        <f>Responses!AE477</f>
        <v/>
      </c>
      <c r="G481" s="31">
        <f>Responses!AF477</f>
        <v/>
      </c>
      <c r="H481" s="31">
        <f>Responses!AH477</f>
        <v/>
      </c>
      <c r="I481" s="31">
        <f>IF(Responses!Y477="","",Responses!V477&amp;"")</f>
        <v/>
      </c>
    </row>
    <row r="482">
      <c r="A482" s="28">
        <f>Responses!Z478</f>
        <v/>
      </c>
      <c r="B482" s="29">
        <f>Responses!AA478</f>
        <v/>
      </c>
      <c r="C482" s="30">
        <f>Responses!AB478</f>
        <v/>
      </c>
      <c r="D482" s="30">
        <f>Responses!AC478</f>
        <v/>
      </c>
      <c r="E482" s="30">
        <f>Responses!AD478</f>
        <v/>
      </c>
      <c r="F482" s="31">
        <f>Responses!AE478</f>
        <v/>
      </c>
      <c r="G482" s="31">
        <f>Responses!AF478</f>
        <v/>
      </c>
      <c r="H482" s="31">
        <f>Responses!AH478</f>
        <v/>
      </c>
      <c r="I482" s="31">
        <f>IF(Responses!Y478="","",Responses!V478&amp;"")</f>
        <v/>
      </c>
    </row>
    <row r="483">
      <c r="A483" s="28">
        <f>Responses!Z479</f>
        <v/>
      </c>
      <c r="B483" s="29">
        <f>Responses!AA479</f>
        <v/>
      </c>
      <c r="C483" s="30">
        <f>Responses!AB479</f>
        <v/>
      </c>
      <c r="D483" s="30">
        <f>Responses!AC479</f>
        <v/>
      </c>
      <c r="E483" s="30">
        <f>Responses!AD479</f>
        <v/>
      </c>
      <c r="F483" s="31">
        <f>Responses!AE479</f>
        <v/>
      </c>
      <c r="G483" s="31">
        <f>Responses!AF479</f>
        <v/>
      </c>
      <c r="H483" s="31">
        <f>Responses!AH479</f>
        <v/>
      </c>
      <c r="I483" s="31">
        <f>IF(Responses!Y479="","",Responses!V479&amp;"")</f>
        <v/>
      </c>
    </row>
    <row r="484">
      <c r="A484" s="28">
        <f>Responses!Z480</f>
        <v/>
      </c>
      <c r="B484" s="29">
        <f>Responses!AA480</f>
        <v/>
      </c>
      <c r="C484" s="30">
        <f>Responses!AB480</f>
        <v/>
      </c>
      <c r="D484" s="30">
        <f>Responses!AC480</f>
        <v/>
      </c>
      <c r="E484" s="30">
        <f>Responses!AD480</f>
        <v/>
      </c>
      <c r="F484" s="31">
        <f>Responses!AE480</f>
        <v/>
      </c>
      <c r="G484" s="31">
        <f>Responses!AF480</f>
        <v/>
      </c>
      <c r="H484" s="31">
        <f>Responses!AH480</f>
        <v/>
      </c>
      <c r="I484" s="31">
        <f>IF(Responses!Y480="","",Responses!V480&amp;"")</f>
        <v/>
      </c>
    </row>
    <row r="485">
      <c r="A485" s="28">
        <f>Responses!Z481</f>
        <v/>
      </c>
      <c r="B485" s="29">
        <f>Responses!AA481</f>
        <v/>
      </c>
      <c r="C485" s="30">
        <f>Responses!AB481</f>
        <v/>
      </c>
      <c r="D485" s="30">
        <f>Responses!AC481</f>
        <v/>
      </c>
      <c r="E485" s="30">
        <f>Responses!AD481</f>
        <v/>
      </c>
      <c r="F485" s="31">
        <f>Responses!AE481</f>
        <v/>
      </c>
      <c r="G485" s="31">
        <f>Responses!AF481</f>
        <v/>
      </c>
      <c r="H485" s="31">
        <f>Responses!AH481</f>
        <v/>
      </c>
      <c r="I485" s="31">
        <f>IF(Responses!Y481="","",Responses!V481&amp;"")</f>
        <v/>
      </c>
    </row>
    <row r="486">
      <c r="A486" s="28">
        <f>Responses!Z482</f>
        <v/>
      </c>
      <c r="B486" s="29">
        <f>Responses!AA482</f>
        <v/>
      </c>
      <c r="C486" s="30">
        <f>Responses!AB482</f>
        <v/>
      </c>
      <c r="D486" s="30">
        <f>Responses!AC482</f>
        <v/>
      </c>
      <c r="E486" s="30">
        <f>Responses!AD482</f>
        <v/>
      </c>
      <c r="F486" s="31">
        <f>Responses!AE482</f>
        <v/>
      </c>
      <c r="G486" s="31">
        <f>Responses!AF482</f>
        <v/>
      </c>
      <c r="H486" s="31">
        <f>Responses!AH482</f>
        <v/>
      </c>
      <c r="I486" s="31">
        <f>IF(Responses!Y482="","",Responses!V482&amp;"")</f>
        <v/>
      </c>
    </row>
    <row r="487">
      <c r="A487" s="28">
        <f>Responses!Z483</f>
        <v/>
      </c>
      <c r="B487" s="29">
        <f>Responses!AA483</f>
        <v/>
      </c>
      <c r="C487" s="30">
        <f>Responses!AB483</f>
        <v/>
      </c>
      <c r="D487" s="30">
        <f>Responses!AC483</f>
        <v/>
      </c>
      <c r="E487" s="30">
        <f>Responses!AD483</f>
        <v/>
      </c>
      <c r="F487" s="31">
        <f>Responses!AE483</f>
        <v/>
      </c>
      <c r="G487" s="31">
        <f>Responses!AF483</f>
        <v/>
      </c>
      <c r="H487" s="31">
        <f>Responses!AH483</f>
        <v/>
      </c>
      <c r="I487" s="31">
        <f>IF(Responses!Y483="","",Responses!V483&amp;"")</f>
        <v/>
      </c>
    </row>
    <row r="488">
      <c r="A488" s="28">
        <f>Responses!Z484</f>
        <v/>
      </c>
      <c r="B488" s="29">
        <f>Responses!AA484</f>
        <v/>
      </c>
      <c r="C488" s="30">
        <f>Responses!AB484</f>
        <v/>
      </c>
      <c r="D488" s="30">
        <f>Responses!AC484</f>
        <v/>
      </c>
      <c r="E488" s="30">
        <f>Responses!AD484</f>
        <v/>
      </c>
      <c r="F488" s="31">
        <f>Responses!AE484</f>
        <v/>
      </c>
      <c r="G488" s="31">
        <f>Responses!AF484</f>
        <v/>
      </c>
      <c r="H488" s="31">
        <f>Responses!AH484</f>
        <v/>
      </c>
      <c r="I488" s="31">
        <f>IF(Responses!Y484="","",Responses!V484&amp;"")</f>
        <v/>
      </c>
    </row>
    <row r="489">
      <c r="A489" s="28">
        <f>Responses!Z485</f>
        <v/>
      </c>
      <c r="B489" s="29">
        <f>Responses!AA485</f>
        <v/>
      </c>
      <c r="C489" s="30">
        <f>Responses!AB485</f>
        <v/>
      </c>
      <c r="D489" s="30">
        <f>Responses!AC485</f>
        <v/>
      </c>
      <c r="E489" s="30">
        <f>Responses!AD485</f>
        <v/>
      </c>
      <c r="F489" s="31">
        <f>Responses!AE485</f>
        <v/>
      </c>
      <c r="G489" s="31">
        <f>Responses!AF485</f>
        <v/>
      </c>
      <c r="H489" s="31">
        <f>Responses!AH485</f>
        <v/>
      </c>
      <c r="I489" s="31">
        <f>IF(Responses!Y485="","",Responses!V485&amp;"")</f>
        <v/>
      </c>
    </row>
    <row r="490">
      <c r="A490" s="28">
        <f>Responses!Z486</f>
        <v/>
      </c>
      <c r="B490" s="29">
        <f>Responses!AA486</f>
        <v/>
      </c>
      <c r="C490" s="30">
        <f>Responses!AB486</f>
        <v/>
      </c>
      <c r="D490" s="30">
        <f>Responses!AC486</f>
        <v/>
      </c>
      <c r="E490" s="30">
        <f>Responses!AD486</f>
        <v/>
      </c>
      <c r="F490" s="31">
        <f>Responses!AE486</f>
        <v/>
      </c>
      <c r="G490" s="31">
        <f>Responses!AF486</f>
        <v/>
      </c>
      <c r="H490" s="31">
        <f>Responses!AH486</f>
        <v/>
      </c>
      <c r="I490" s="31">
        <f>IF(Responses!Y486="","",Responses!V486&amp;"")</f>
        <v/>
      </c>
    </row>
    <row r="491">
      <c r="A491" s="28">
        <f>Responses!Z487</f>
        <v/>
      </c>
      <c r="B491" s="29">
        <f>Responses!AA487</f>
        <v/>
      </c>
      <c r="C491" s="30">
        <f>Responses!AB487</f>
        <v/>
      </c>
      <c r="D491" s="30">
        <f>Responses!AC487</f>
        <v/>
      </c>
      <c r="E491" s="30">
        <f>Responses!AD487</f>
        <v/>
      </c>
      <c r="F491" s="31">
        <f>Responses!AE487</f>
        <v/>
      </c>
      <c r="G491" s="31">
        <f>Responses!AF487</f>
        <v/>
      </c>
      <c r="H491" s="31">
        <f>Responses!AH487</f>
        <v/>
      </c>
      <c r="I491" s="31">
        <f>IF(Responses!Y487="","",Responses!V487&amp;"")</f>
        <v/>
      </c>
    </row>
    <row r="492">
      <c r="A492" s="28">
        <f>Responses!Z488</f>
        <v/>
      </c>
      <c r="B492" s="29">
        <f>Responses!AA488</f>
        <v/>
      </c>
      <c r="C492" s="30">
        <f>Responses!AB488</f>
        <v/>
      </c>
      <c r="D492" s="30">
        <f>Responses!AC488</f>
        <v/>
      </c>
      <c r="E492" s="30">
        <f>Responses!AD488</f>
        <v/>
      </c>
      <c r="F492" s="31">
        <f>Responses!AE488</f>
        <v/>
      </c>
      <c r="G492" s="31">
        <f>Responses!AF488</f>
        <v/>
      </c>
      <c r="H492" s="31">
        <f>Responses!AH488</f>
        <v/>
      </c>
      <c r="I492" s="31">
        <f>IF(Responses!Y488="","",Responses!V488&amp;"")</f>
        <v/>
      </c>
    </row>
    <row r="493">
      <c r="A493" s="28">
        <f>Responses!Z489</f>
        <v/>
      </c>
      <c r="B493" s="29">
        <f>Responses!AA489</f>
        <v/>
      </c>
      <c r="C493" s="30">
        <f>Responses!AB489</f>
        <v/>
      </c>
      <c r="D493" s="30">
        <f>Responses!AC489</f>
        <v/>
      </c>
      <c r="E493" s="30">
        <f>Responses!AD489</f>
        <v/>
      </c>
      <c r="F493" s="31">
        <f>Responses!AE489</f>
        <v/>
      </c>
      <c r="G493" s="31">
        <f>Responses!AF489</f>
        <v/>
      </c>
      <c r="H493" s="31">
        <f>Responses!AH489</f>
        <v/>
      </c>
      <c r="I493" s="31">
        <f>IF(Responses!Y489="","",Responses!V489&amp;"")</f>
        <v/>
      </c>
    </row>
    <row r="494">
      <c r="A494" s="28">
        <f>Responses!Z490</f>
        <v/>
      </c>
      <c r="B494" s="29">
        <f>Responses!AA490</f>
        <v/>
      </c>
      <c r="C494" s="30">
        <f>Responses!AB490</f>
        <v/>
      </c>
      <c r="D494" s="30">
        <f>Responses!AC490</f>
        <v/>
      </c>
      <c r="E494" s="30">
        <f>Responses!AD490</f>
        <v/>
      </c>
      <c r="F494" s="31">
        <f>Responses!AE490</f>
        <v/>
      </c>
      <c r="G494" s="31">
        <f>Responses!AF490</f>
        <v/>
      </c>
      <c r="H494" s="31">
        <f>Responses!AH490</f>
        <v/>
      </c>
      <c r="I494" s="31">
        <f>IF(Responses!Y490="","",Responses!V490&amp;"")</f>
        <v/>
      </c>
    </row>
    <row r="495">
      <c r="A495" s="28">
        <f>Responses!Z491</f>
        <v/>
      </c>
      <c r="B495" s="29">
        <f>Responses!AA491</f>
        <v/>
      </c>
      <c r="C495" s="30">
        <f>Responses!AB491</f>
        <v/>
      </c>
      <c r="D495" s="30">
        <f>Responses!AC491</f>
        <v/>
      </c>
      <c r="E495" s="30">
        <f>Responses!AD491</f>
        <v/>
      </c>
      <c r="F495" s="31">
        <f>Responses!AE491</f>
        <v/>
      </c>
      <c r="G495" s="31">
        <f>Responses!AF491</f>
        <v/>
      </c>
      <c r="H495" s="31">
        <f>Responses!AH491</f>
        <v/>
      </c>
      <c r="I495" s="31">
        <f>IF(Responses!Y491="","",Responses!V491&amp;"")</f>
        <v/>
      </c>
    </row>
    <row r="496">
      <c r="A496" s="28">
        <f>Responses!Z492</f>
        <v/>
      </c>
      <c r="B496" s="29">
        <f>Responses!AA492</f>
        <v/>
      </c>
      <c r="C496" s="30">
        <f>Responses!AB492</f>
        <v/>
      </c>
      <c r="D496" s="30">
        <f>Responses!AC492</f>
        <v/>
      </c>
      <c r="E496" s="30">
        <f>Responses!AD492</f>
        <v/>
      </c>
      <c r="F496" s="31">
        <f>Responses!AE492</f>
        <v/>
      </c>
      <c r="G496" s="31">
        <f>Responses!AF492</f>
        <v/>
      </c>
      <c r="H496" s="31">
        <f>Responses!AH492</f>
        <v/>
      </c>
      <c r="I496" s="31">
        <f>IF(Responses!Y492="","",Responses!V492&amp;"")</f>
        <v/>
      </c>
    </row>
    <row r="497">
      <c r="A497" s="28">
        <f>Responses!Z493</f>
        <v/>
      </c>
      <c r="B497" s="29">
        <f>Responses!AA493</f>
        <v/>
      </c>
      <c r="C497" s="30">
        <f>Responses!AB493</f>
        <v/>
      </c>
      <c r="D497" s="30">
        <f>Responses!AC493</f>
        <v/>
      </c>
      <c r="E497" s="30">
        <f>Responses!AD493</f>
        <v/>
      </c>
      <c r="F497" s="31">
        <f>Responses!AE493</f>
        <v/>
      </c>
      <c r="G497" s="31">
        <f>Responses!AF493</f>
        <v/>
      </c>
      <c r="H497" s="31">
        <f>Responses!AH493</f>
        <v/>
      </c>
      <c r="I497" s="31">
        <f>IF(Responses!Y493="","",Responses!V493&amp;"")</f>
        <v/>
      </c>
    </row>
    <row r="498">
      <c r="A498" s="28">
        <f>Responses!Z494</f>
        <v/>
      </c>
      <c r="B498" s="29">
        <f>Responses!AA494</f>
        <v/>
      </c>
      <c r="C498" s="30">
        <f>Responses!AB494</f>
        <v/>
      </c>
      <c r="D498" s="30">
        <f>Responses!AC494</f>
        <v/>
      </c>
      <c r="E498" s="30">
        <f>Responses!AD494</f>
        <v/>
      </c>
      <c r="F498" s="31">
        <f>Responses!AE494</f>
        <v/>
      </c>
      <c r="G498" s="31">
        <f>Responses!AF494</f>
        <v/>
      </c>
      <c r="H498" s="31">
        <f>Responses!AH494</f>
        <v/>
      </c>
      <c r="I498" s="31">
        <f>IF(Responses!Y494="","",Responses!V494&amp;"")</f>
        <v/>
      </c>
    </row>
    <row r="499">
      <c r="A499" s="28">
        <f>Responses!Z495</f>
        <v/>
      </c>
      <c r="B499" s="29">
        <f>Responses!AA495</f>
        <v/>
      </c>
      <c r="C499" s="30">
        <f>Responses!AB495</f>
        <v/>
      </c>
      <c r="D499" s="30">
        <f>Responses!AC495</f>
        <v/>
      </c>
      <c r="E499" s="30">
        <f>Responses!AD495</f>
        <v/>
      </c>
      <c r="F499" s="31">
        <f>Responses!AE495</f>
        <v/>
      </c>
      <c r="G499" s="31">
        <f>Responses!AF495</f>
        <v/>
      </c>
      <c r="H499" s="31">
        <f>Responses!AH495</f>
        <v/>
      </c>
      <c r="I499" s="31">
        <f>IF(Responses!Y495="","",Responses!V495&amp;"")</f>
        <v/>
      </c>
    </row>
    <row r="500">
      <c r="A500" s="28">
        <f>Responses!Z496</f>
        <v/>
      </c>
      <c r="B500" s="29">
        <f>Responses!AA496</f>
        <v/>
      </c>
      <c r="C500" s="30">
        <f>Responses!AB496</f>
        <v/>
      </c>
      <c r="D500" s="30">
        <f>Responses!AC496</f>
        <v/>
      </c>
      <c r="E500" s="30">
        <f>Responses!AD496</f>
        <v/>
      </c>
      <c r="F500" s="31">
        <f>Responses!AE496</f>
        <v/>
      </c>
      <c r="G500" s="31">
        <f>Responses!AF496</f>
        <v/>
      </c>
      <c r="H500" s="31">
        <f>Responses!AH496</f>
        <v/>
      </c>
      <c r="I500" s="31">
        <f>IF(Responses!Y496="","",Responses!V496&amp;"")</f>
        <v/>
      </c>
    </row>
    <row r="501">
      <c r="A501" s="28">
        <f>Responses!Z497</f>
        <v/>
      </c>
      <c r="B501" s="29">
        <f>Responses!AA497</f>
        <v/>
      </c>
      <c r="C501" s="30">
        <f>Responses!AB497</f>
        <v/>
      </c>
      <c r="D501" s="30">
        <f>Responses!AC497</f>
        <v/>
      </c>
      <c r="E501" s="30">
        <f>Responses!AD497</f>
        <v/>
      </c>
      <c r="F501" s="31">
        <f>Responses!AE497</f>
        <v/>
      </c>
      <c r="G501" s="31">
        <f>Responses!AF497</f>
        <v/>
      </c>
      <c r="H501" s="31">
        <f>Responses!AH497</f>
        <v/>
      </c>
      <c r="I501" s="31">
        <f>IF(Responses!Y497="","",Responses!V497&amp;"")</f>
        <v/>
      </c>
    </row>
    <row r="502">
      <c r="A502" s="28">
        <f>Responses!Z498</f>
        <v/>
      </c>
      <c r="B502" s="29">
        <f>Responses!AA498</f>
        <v/>
      </c>
      <c r="C502" s="30">
        <f>Responses!AB498</f>
        <v/>
      </c>
      <c r="D502" s="30">
        <f>Responses!AC498</f>
        <v/>
      </c>
      <c r="E502" s="30">
        <f>Responses!AD498</f>
        <v/>
      </c>
      <c r="F502" s="31">
        <f>Responses!AE498</f>
        <v/>
      </c>
      <c r="G502" s="31">
        <f>Responses!AF498</f>
        <v/>
      </c>
      <c r="H502" s="31">
        <f>Responses!AH498</f>
        <v/>
      </c>
      <c r="I502" s="31">
        <f>IF(Responses!Y498="","",Responses!V498&amp;"")</f>
        <v/>
      </c>
    </row>
    <row r="503">
      <c r="A503" s="28">
        <f>Responses!Z499</f>
        <v/>
      </c>
      <c r="B503" s="29">
        <f>Responses!AA499</f>
        <v/>
      </c>
      <c r="C503" s="30">
        <f>Responses!AB499</f>
        <v/>
      </c>
      <c r="D503" s="30">
        <f>Responses!AC499</f>
        <v/>
      </c>
      <c r="E503" s="30">
        <f>Responses!AD499</f>
        <v/>
      </c>
      <c r="F503" s="31">
        <f>Responses!AE499</f>
        <v/>
      </c>
      <c r="G503" s="31">
        <f>Responses!AF499</f>
        <v/>
      </c>
      <c r="H503" s="31">
        <f>Responses!AH499</f>
        <v/>
      </c>
      <c r="I503" s="31">
        <f>IF(Responses!Y499="","",Responses!V499&amp;"")</f>
        <v/>
      </c>
    </row>
    <row r="504">
      <c r="A504" s="28">
        <f>Responses!Z500</f>
        <v/>
      </c>
      <c r="B504" s="29">
        <f>Responses!AA500</f>
        <v/>
      </c>
      <c r="C504" s="30">
        <f>Responses!AB500</f>
        <v/>
      </c>
      <c r="D504" s="30">
        <f>Responses!AC500</f>
        <v/>
      </c>
      <c r="E504" s="30">
        <f>Responses!AD500</f>
        <v/>
      </c>
      <c r="F504" s="31">
        <f>Responses!AE500</f>
        <v/>
      </c>
      <c r="G504" s="31">
        <f>Responses!AF500</f>
        <v/>
      </c>
      <c r="H504" s="31">
        <f>Responses!AH500</f>
        <v/>
      </c>
      <c r="I504" s="31">
        <f>IF(Responses!Y500="","",Responses!V500&amp;"")</f>
        <v/>
      </c>
    </row>
    <row r="505">
      <c r="A505" s="28">
        <f>Responses!Z501</f>
        <v/>
      </c>
      <c r="B505" s="29">
        <f>Responses!AA501</f>
        <v/>
      </c>
      <c r="C505" s="30">
        <f>Responses!AB501</f>
        <v/>
      </c>
      <c r="D505" s="30">
        <f>Responses!AC501</f>
        <v/>
      </c>
      <c r="E505" s="30">
        <f>Responses!AD501</f>
        <v/>
      </c>
      <c r="F505" s="31">
        <f>Responses!AE501</f>
        <v/>
      </c>
      <c r="G505" s="31">
        <f>Responses!AF501</f>
        <v/>
      </c>
      <c r="H505" s="31">
        <f>Responses!AH501</f>
        <v/>
      </c>
      <c r="I505" s="31">
        <f>IF(Responses!Y501="","",Responses!V501&amp;"")</f>
        <v/>
      </c>
    </row>
  </sheetData>
  <pageMargins left="0.75" right="0.75" top="1" bottom="1" header="0.5" footer="0.5"/>
</worksheet>
</file>

<file path=xl/worksheets/sheet4.xml><?xml version="1.0" encoding="utf-8"?>
<worksheet xmlns="http://schemas.openxmlformats.org/spreadsheetml/2006/main">
  <sheetPr>
    <tabColor rgb="000F766E"/>
    <outlinePr summaryBelow="1" summaryRight="1"/>
    <pageSetUpPr/>
  </sheetPr>
  <dimension ref="A1:H49"/>
  <sheetViews>
    <sheetView workbookViewId="0">
      <pane ySplit="8" topLeftCell="A9" activePane="bottomLeft" state="frozen"/>
      <selection pane="bottomLeft" activeCell="A1" sqref="A1"/>
    </sheetView>
  </sheetViews>
  <sheetFormatPr baseColWidth="8" defaultRowHeight="15"/>
  <cols>
    <col width="34" customWidth="1" min="1" max="1"/>
    <col width="12" customWidth="1" min="2" max="2"/>
    <col width="12" customWidth="1" min="3" max="3"/>
    <col width="12" customWidth="1" min="4" max="4"/>
    <col width="13" customWidth="1" min="5" max="5"/>
    <col width="15" customWidth="1" min="6" max="6"/>
    <col width="14" customWidth="1" min="7" max="7"/>
    <col width="13" customWidth="1" min="8" max="8"/>
  </cols>
  <sheetData>
    <row r="1">
      <c r="A1" s="25" t="inlineStr">
        <is>
          <t>Tally: support, oppose and neither per agenda item</t>
        </is>
      </c>
    </row>
    <row r="2">
      <c r="A2" s="26" t="inlineStr">
        <is>
          <t>Items appear in the order they first show in your export. Type a meeting date to count only that meeting, or leave it empty to count all of them.</t>
        </is>
      </c>
    </row>
    <row r="3">
      <c r="A3" s="27">
        <f>IF(COUNTIF(Responses!$A$2:$A$501,"EXAMPLE*")&gt;0,"You are looking at EXAMPLE data. Clear A2 to W11 on Responses, then paste your own.","")</f>
        <v/>
      </c>
    </row>
    <row r="5">
      <c r="A5" s="32" t="inlineStr">
        <is>
          <t>Meeting date to show (optional)</t>
        </is>
      </c>
      <c r="B5" s="33" t="n"/>
    </row>
    <row r="8" ht="32" customHeight="1">
      <c r="A8" s="3" t="inlineStr">
        <is>
          <t>Item</t>
        </is>
      </c>
      <c r="B8" s="3" t="inlineStr">
        <is>
          <t>Support</t>
        </is>
      </c>
      <c r="C8" s="3" t="inlineStr">
        <is>
          <t>Oppose</t>
        </is>
      </c>
      <c r="D8" s="3" t="inlineStr">
        <is>
          <t>Neither</t>
        </is>
      </c>
      <c r="E8" s="3" t="inlineStr">
        <is>
          <t>No position</t>
        </is>
      </c>
      <c r="F8" s="3" t="inlineStr">
        <is>
          <t>Total comments</t>
        </is>
      </c>
      <c r="G8" s="3" t="inlineStr">
        <is>
          <t>Asked to speak</t>
        </is>
      </c>
      <c r="H8" s="3" t="inlineStr">
        <is>
          <t>Written only</t>
        </is>
      </c>
    </row>
    <row r="9">
      <c r="A9" s="31">
        <f>IFERROR(INDEX(Responses!$AB$2:$AB$501,MATCH(1,Responses!$AK$2:$AK$501,0)),"")</f>
        <v/>
      </c>
      <c r="B9" s="30">
        <f>IF($A9="","",COUNTIFS(Responses!$AB$2:$AB$501,$A9,Responses!$AC$2:$AC$501,"Support",Responses!$AI$2:$AI$501,1))</f>
        <v/>
      </c>
      <c r="C9" s="30">
        <f>IF($A9="","",COUNTIFS(Responses!$AB$2:$AB$501,$A9,Responses!$AC$2:$AC$501,"Oppose",Responses!$AI$2:$AI$501,1))</f>
        <v/>
      </c>
      <c r="D9" s="30">
        <f>IF($A9="","",COUNTIFS(Responses!$AB$2:$AB$501,$A9,Responses!$AC$2:$AC$501,"Neither",Responses!$AI$2:$AI$501,1))</f>
        <v/>
      </c>
      <c r="E9" s="30">
        <f>IF($A9="","",COUNTIFS(Responses!$AB$2:$AB$501,$A9,Responses!$AC$2:$AC$501,"No position",Responses!$AI$2:$AI$501,1))</f>
        <v/>
      </c>
      <c r="F9" s="30">
        <f>IF($A9="","",COUNTIFS(Responses!$AB$2:$AB$501,$A9,Responses!$AI$2:$AI$501,1))</f>
        <v/>
      </c>
      <c r="G9" s="30">
        <f>IF($A9="","",COUNTIFS(Responses!$AB$2:$AB$501,$A9,Responses!$AD$2:$AD$501,"In person",Responses!$AI$2:$AI$501,1)+COUNTIFS(Responses!$AB$2:$AB$501,$A9,Responses!$AD$2:$AD$501,"Online",Responses!$AI$2:$AI$501,1))</f>
        <v/>
      </c>
      <c r="H9" s="30">
        <f>IF($A9="","",COUNTIFS(Responses!$AB$2:$AB$501,$A9,Responses!$AD$2:$AD$501,"Written only",Responses!$AI$2:$AI$501,1))</f>
        <v/>
      </c>
    </row>
    <row r="10">
      <c r="A10" s="31">
        <f>IFERROR(INDEX(Responses!$AB$2:$AB$501,MATCH(2,Responses!$AK$2:$AK$501,0)),"")</f>
        <v/>
      </c>
      <c r="B10" s="30">
        <f>IF($A10="","",COUNTIFS(Responses!$AB$2:$AB$501,$A10,Responses!$AC$2:$AC$501,"Support",Responses!$AI$2:$AI$501,1))</f>
        <v/>
      </c>
      <c r="C10" s="30">
        <f>IF($A10="","",COUNTIFS(Responses!$AB$2:$AB$501,$A10,Responses!$AC$2:$AC$501,"Oppose",Responses!$AI$2:$AI$501,1))</f>
        <v/>
      </c>
      <c r="D10" s="30">
        <f>IF($A10="","",COUNTIFS(Responses!$AB$2:$AB$501,$A10,Responses!$AC$2:$AC$501,"Neither",Responses!$AI$2:$AI$501,1))</f>
        <v/>
      </c>
      <c r="E10" s="30">
        <f>IF($A10="","",COUNTIFS(Responses!$AB$2:$AB$501,$A10,Responses!$AC$2:$AC$501,"No position",Responses!$AI$2:$AI$501,1))</f>
        <v/>
      </c>
      <c r="F10" s="30">
        <f>IF($A10="","",COUNTIFS(Responses!$AB$2:$AB$501,$A10,Responses!$AI$2:$AI$501,1))</f>
        <v/>
      </c>
      <c r="G10" s="30">
        <f>IF($A10="","",COUNTIFS(Responses!$AB$2:$AB$501,$A10,Responses!$AD$2:$AD$501,"In person",Responses!$AI$2:$AI$501,1)+COUNTIFS(Responses!$AB$2:$AB$501,$A10,Responses!$AD$2:$AD$501,"Online",Responses!$AI$2:$AI$501,1))</f>
        <v/>
      </c>
      <c r="H10" s="30">
        <f>IF($A10="","",COUNTIFS(Responses!$AB$2:$AB$501,$A10,Responses!$AD$2:$AD$501,"Written only",Responses!$AI$2:$AI$501,1))</f>
        <v/>
      </c>
    </row>
    <row r="11">
      <c r="A11" s="31">
        <f>IFERROR(INDEX(Responses!$AB$2:$AB$501,MATCH(3,Responses!$AK$2:$AK$501,0)),"")</f>
        <v/>
      </c>
      <c r="B11" s="30">
        <f>IF($A11="","",COUNTIFS(Responses!$AB$2:$AB$501,$A11,Responses!$AC$2:$AC$501,"Support",Responses!$AI$2:$AI$501,1))</f>
        <v/>
      </c>
      <c r="C11" s="30">
        <f>IF($A11="","",COUNTIFS(Responses!$AB$2:$AB$501,$A11,Responses!$AC$2:$AC$501,"Oppose",Responses!$AI$2:$AI$501,1))</f>
        <v/>
      </c>
      <c r="D11" s="30">
        <f>IF($A11="","",COUNTIFS(Responses!$AB$2:$AB$501,$A11,Responses!$AC$2:$AC$501,"Neither",Responses!$AI$2:$AI$501,1))</f>
        <v/>
      </c>
      <c r="E11" s="30">
        <f>IF($A11="","",COUNTIFS(Responses!$AB$2:$AB$501,$A11,Responses!$AC$2:$AC$501,"No position",Responses!$AI$2:$AI$501,1))</f>
        <v/>
      </c>
      <c r="F11" s="30">
        <f>IF($A11="","",COUNTIFS(Responses!$AB$2:$AB$501,$A11,Responses!$AI$2:$AI$501,1))</f>
        <v/>
      </c>
      <c r="G11" s="30">
        <f>IF($A11="","",COUNTIFS(Responses!$AB$2:$AB$501,$A11,Responses!$AD$2:$AD$501,"In person",Responses!$AI$2:$AI$501,1)+COUNTIFS(Responses!$AB$2:$AB$501,$A11,Responses!$AD$2:$AD$501,"Online",Responses!$AI$2:$AI$501,1))</f>
        <v/>
      </c>
      <c r="H11" s="30">
        <f>IF($A11="","",COUNTIFS(Responses!$AB$2:$AB$501,$A11,Responses!$AD$2:$AD$501,"Written only",Responses!$AI$2:$AI$501,1))</f>
        <v/>
      </c>
    </row>
    <row r="12">
      <c r="A12" s="31">
        <f>IFERROR(INDEX(Responses!$AB$2:$AB$501,MATCH(4,Responses!$AK$2:$AK$501,0)),"")</f>
        <v/>
      </c>
      <c r="B12" s="30">
        <f>IF($A12="","",COUNTIFS(Responses!$AB$2:$AB$501,$A12,Responses!$AC$2:$AC$501,"Support",Responses!$AI$2:$AI$501,1))</f>
        <v/>
      </c>
      <c r="C12" s="30">
        <f>IF($A12="","",COUNTIFS(Responses!$AB$2:$AB$501,$A12,Responses!$AC$2:$AC$501,"Oppose",Responses!$AI$2:$AI$501,1))</f>
        <v/>
      </c>
      <c r="D12" s="30">
        <f>IF($A12="","",COUNTIFS(Responses!$AB$2:$AB$501,$A12,Responses!$AC$2:$AC$501,"Neither",Responses!$AI$2:$AI$501,1))</f>
        <v/>
      </c>
      <c r="E12" s="30">
        <f>IF($A12="","",COUNTIFS(Responses!$AB$2:$AB$501,$A12,Responses!$AC$2:$AC$501,"No position",Responses!$AI$2:$AI$501,1))</f>
        <v/>
      </c>
      <c r="F12" s="30">
        <f>IF($A12="","",COUNTIFS(Responses!$AB$2:$AB$501,$A12,Responses!$AI$2:$AI$501,1))</f>
        <v/>
      </c>
      <c r="G12" s="30">
        <f>IF($A12="","",COUNTIFS(Responses!$AB$2:$AB$501,$A12,Responses!$AD$2:$AD$501,"In person",Responses!$AI$2:$AI$501,1)+COUNTIFS(Responses!$AB$2:$AB$501,$A12,Responses!$AD$2:$AD$501,"Online",Responses!$AI$2:$AI$501,1))</f>
        <v/>
      </c>
      <c r="H12" s="30">
        <f>IF($A12="","",COUNTIFS(Responses!$AB$2:$AB$501,$A12,Responses!$AD$2:$AD$501,"Written only",Responses!$AI$2:$AI$501,1))</f>
        <v/>
      </c>
    </row>
    <row r="13">
      <c r="A13" s="31">
        <f>IFERROR(INDEX(Responses!$AB$2:$AB$501,MATCH(5,Responses!$AK$2:$AK$501,0)),"")</f>
        <v/>
      </c>
      <c r="B13" s="30">
        <f>IF($A13="","",COUNTIFS(Responses!$AB$2:$AB$501,$A13,Responses!$AC$2:$AC$501,"Support",Responses!$AI$2:$AI$501,1))</f>
        <v/>
      </c>
      <c r="C13" s="30">
        <f>IF($A13="","",COUNTIFS(Responses!$AB$2:$AB$501,$A13,Responses!$AC$2:$AC$501,"Oppose",Responses!$AI$2:$AI$501,1))</f>
        <v/>
      </c>
      <c r="D13" s="30">
        <f>IF($A13="","",COUNTIFS(Responses!$AB$2:$AB$501,$A13,Responses!$AC$2:$AC$501,"Neither",Responses!$AI$2:$AI$501,1))</f>
        <v/>
      </c>
      <c r="E13" s="30">
        <f>IF($A13="","",COUNTIFS(Responses!$AB$2:$AB$501,$A13,Responses!$AC$2:$AC$501,"No position",Responses!$AI$2:$AI$501,1))</f>
        <v/>
      </c>
      <c r="F13" s="30">
        <f>IF($A13="","",COUNTIFS(Responses!$AB$2:$AB$501,$A13,Responses!$AI$2:$AI$501,1))</f>
        <v/>
      </c>
      <c r="G13" s="30">
        <f>IF($A13="","",COUNTIFS(Responses!$AB$2:$AB$501,$A13,Responses!$AD$2:$AD$501,"In person",Responses!$AI$2:$AI$501,1)+COUNTIFS(Responses!$AB$2:$AB$501,$A13,Responses!$AD$2:$AD$501,"Online",Responses!$AI$2:$AI$501,1))</f>
        <v/>
      </c>
      <c r="H13" s="30">
        <f>IF($A13="","",COUNTIFS(Responses!$AB$2:$AB$501,$A13,Responses!$AD$2:$AD$501,"Written only",Responses!$AI$2:$AI$501,1))</f>
        <v/>
      </c>
    </row>
    <row r="14">
      <c r="A14" s="31">
        <f>IFERROR(INDEX(Responses!$AB$2:$AB$501,MATCH(6,Responses!$AK$2:$AK$501,0)),"")</f>
        <v/>
      </c>
      <c r="B14" s="30">
        <f>IF($A14="","",COUNTIFS(Responses!$AB$2:$AB$501,$A14,Responses!$AC$2:$AC$501,"Support",Responses!$AI$2:$AI$501,1))</f>
        <v/>
      </c>
      <c r="C14" s="30">
        <f>IF($A14="","",COUNTIFS(Responses!$AB$2:$AB$501,$A14,Responses!$AC$2:$AC$501,"Oppose",Responses!$AI$2:$AI$501,1))</f>
        <v/>
      </c>
      <c r="D14" s="30">
        <f>IF($A14="","",COUNTIFS(Responses!$AB$2:$AB$501,$A14,Responses!$AC$2:$AC$501,"Neither",Responses!$AI$2:$AI$501,1))</f>
        <v/>
      </c>
      <c r="E14" s="30">
        <f>IF($A14="","",COUNTIFS(Responses!$AB$2:$AB$501,$A14,Responses!$AC$2:$AC$501,"No position",Responses!$AI$2:$AI$501,1))</f>
        <v/>
      </c>
      <c r="F14" s="30">
        <f>IF($A14="","",COUNTIFS(Responses!$AB$2:$AB$501,$A14,Responses!$AI$2:$AI$501,1))</f>
        <v/>
      </c>
      <c r="G14" s="30">
        <f>IF($A14="","",COUNTIFS(Responses!$AB$2:$AB$501,$A14,Responses!$AD$2:$AD$501,"In person",Responses!$AI$2:$AI$501,1)+COUNTIFS(Responses!$AB$2:$AB$501,$A14,Responses!$AD$2:$AD$501,"Online",Responses!$AI$2:$AI$501,1))</f>
        <v/>
      </c>
      <c r="H14" s="30">
        <f>IF($A14="","",COUNTIFS(Responses!$AB$2:$AB$501,$A14,Responses!$AD$2:$AD$501,"Written only",Responses!$AI$2:$AI$501,1))</f>
        <v/>
      </c>
    </row>
    <row r="15">
      <c r="A15" s="31">
        <f>IFERROR(INDEX(Responses!$AB$2:$AB$501,MATCH(7,Responses!$AK$2:$AK$501,0)),"")</f>
        <v/>
      </c>
      <c r="B15" s="30">
        <f>IF($A15="","",COUNTIFS(Responses!$AB$2:$AB$501,$A15,Responses!$AC$2:$AC$501,"Support",Responses!$AI$2:$AI$501,1))</f>
        <v/>
      </c>
      <c r="C15" s="30">
        <f>IF($A15="","",COUNTIFS(Responses!$AB$2:$AB$501,$A15,Responses!$AC$2:$AC$501,"Oppose",Responses!$AI$2:$AI$501,1))</f>
        <v/>
      </c>
      <c r="D15" s="30">
        <f>IF($A15="","",COUNTIFS(Responses!$AB$2:$AB$501,$A15,Responses!$AC$2:$AC$501,"Neither",Responses!$AI$2:$AI$501,1))</f>
        <v/>
      </c>
      <c r="E15" s="30">
        <f>IF($A15="","",COUNTIFS(Responses!$AB$2:$AB$501,$A15,Responses!$AC$2:$AC$501,"No position",Responses!$AI$2:$AI$501,1))</f>
        <v/>
      </c>
      <c r="F15" s="30">
        <f>IF($A15="","",COUNTIFS(Responses!$AB$2:$AB$501,$A15,Responses!$AI$2:$AI$501,1))</f>
        <v/>
      </c>
      <c r="G15" s="30">
        <f>IF($A15="","",COUNTIFS(Responses!$AB$2:$AB$501,$A15,Responses!$AD$2:$AD$501,"In person",Responses!$AI$2:$AI$501,1)+COUNTIFS(Responses!$AB$2:$AB$501,$A15,Responses!$AD$2:$AD$501,"Online",Responses!$AI$2:$AI$501,1))</f>
        <v/>
      </c>
      <c r="H15" s="30">
        <f>IF($A15="","",COUNTIFS(Responses!$AB$2:$AB$501,$A15,Responses!$AD$2:$AD$501,"Written only",Responses!$AI$2:$AI$501,1))</f>
        <v/>
      </c>
    </row>
    <row r="16">
      <c r="A16" s="31">
        <f>IFERROR(INDEX(Responses!$AB$2:$AB$501,MATCH(8,Responses!$AK$2:$AK$501,0)),"")</f>
        <v/>
      </c>
      <c r="B16" s="30">
        <f>IF($A16="","",COUNTIFS(Responses!$AB$2:$AB$501,$A16,Responses!$AC$2:$AC$501,"Support",Responses!$AI$2:$AI$501,1))</f>
        <v/>
      </c>
      <c r="C16" s="30">
        <f>IF($A16="","",COUNTIFS(Responses!$AB$2:$AB$501,$A16,Responses!$AC$2:$AC$501,"Oppose",Responses!$AI$2:$AI$501,1))</f>
        <v/>
      </c>
      <c r="D16" s="30">
        <f>IF($A16="","",COUNTIFS(Responses!$AB$2:$AB$501,$A16,Responses!$AC$2:$AC$501,"Neither",Responses!$AI$2:$AI$501,1))</f>
        <v/>
      </c>
      <c r="E16" s="30">
        <f>IF($A16="","",COUNTIFS(Responses!$AB$2:$AB$501,$A16,Responses!$AC$2:$AC$501,"No position",Responses!$AI$2:$AI$501,1))</f>
        <v/>
      </c>
      <c r="F16" s="30">
        <f>IF($A16="","",COUNTIFS(Responses!$AB$2:$AB$501,$A16,Responses!$AI$2:$AI$501,1))</f>
        <v/>
      </c>
      <c r="G16" s="30">
        <f>IF($A16="","",COUNTIFS(Responses!$AB$2:$AB$501,$A16,Responses!$AD$2:$AD$501,"In person",Responses!$AI$2:$AI$501,1)+COUNTIFS(Responses!$AB$2:$AB$501,$A16,Responses!$AD$2:$AD$501,"Online",Responses!$AI$2:$AI$501,1))</f>
        <v/>
      </c>
      <c r="H16" s="30">
        <f>IF($A16="","",COUNTIFS(Responses!$AB$2:$AB$501,$A16,Responses!$AD$2:$AD$501,"Written only",Responses!$AI$2:$AI$501,1))</f>
        <v/>
      </c>
    </row>
    <row r="17">
      <c r="A17" s="31">
        <f>IFERROR(INDEX(Responses!$AB$2:$AB$501,MATCH(9,Responses!$AK$2:$AK$501,0)),"")</f>
        <v/>
      </c>
      <c r="B17" s="30">
        <f>IF($A17="","",COUNTIFS(Responses!$AB$2:$AB$501,$A17,Responses!$AC$2:$AC$501,"Support",Responses!$AI$2:$AI$501,1))</f>
        <v/>
      </c>
      <c r="C17" s="30">
        <f>IF($A17="","",COUNTIFS(Responses!$AB$2:$AB$501,$A17,Responses!$AC$2:$AC$501,"Oppose",Responses!$AI$2:$AI$501,1))</f>
        <v/>
      </c>
      <c r="D17" s="30">
        <f>IF($A17="","",COUNTIFS(Responses!$AB$2:$AB$501,$A17,Responses!$AC$2:$AC$501,"Neither",Responses!$AI$2:$AI$501,1))</f>
        <v/>
      </c>
      <c r="E17" s="30">
        <f>IF($A17="","",COUNTIFS(Responses!$AB$2:$AB$501,$A17,Responses!$AC$2:$AC$501,"No position",Responses!$AI$2:$AI$501,1))</f>
        <v/>
      </c>
      <c r="F17" s="30">
        <f>IF($A17="","",COUNTIFS(Responses!$AB$2:$AB$501,$A17,Responses!$AI$2:$AI$501,1))</f>
        <v/>
      </c>
      <c r="G17" s="30">
        <f>IF($A17="","",COUNTIFS(Responses!$AB$2:$AB$501,$A17,Responses!$AD$2:$AD$501,"In person",Responses!$AI$2:$AI$501,1)+COUNTIFS(Responses!$AB$2:$AB$501,$A17,Responses!$AD$2:$AD$501,"Online",Responses!$AI$2:$AI$501,1))</f>
        <v/>
      </c>
      <c r="H17" s="30">
        <f>IF($A17="","",COUNTIFS(Responses!$AB$2:$AB$501,$A17,Responses!$AD$2:$AD$501,"Written only",Responses!$AI$2:$AI$501,1))</f>
        <v/>
      </c>
    </row>
    <row r="18">
      <c r="A18" s="31">
        <f>IFERROR(INDEX(Responses!$AB$2:$AB$501,MATCH(10,Responses!$AK$2:$AK$501,0)),"")</f>
        <v/>
      </c>
      <c r="B18" s="30">
        <f>IF($A18="","",COUNTIFS(Responses!$AB$2:$AB$501,$A18,Responses!$AC$2:$AC$501,"Support",Responses!$AI$2:$AI$501,1))</f>
        <v/>
      </c>
      <c r="C18" s="30">
        <f>IF($A18="","",COUNTIFS(Responses!$AB$2:$AB$501,$A18,Responses!$AC$2:$AC$501,"Oppose",Responses!$AI$2:$AI$501,1))</f>
        <v/>
      </c>
      <c r="D18" s="30">
        <f>IF($A18="","",COUNTIFS(Responses!$AB$2:$AB$501,$A18,Responses!$AC$2:$AC$501,"Neither",Responses!$AI$2:$AI$501,1))</f>
        <v/>
      </c>
      <c r="E18" s="30">
        <f>IF($A18="","",COUNTIFS(Responses!$AB$2:$AB$501,$A18,Responses!$AC$2:$AC$501,"No position",Responses!$AI$2:$AI$501,1))</f>
        <v/>
      </c>
      <c r="F18" s="30">
        <f>IF($A18="","",COUNTIFS(Responses!$AB$2:$AB$501,$A18,Responses!$AI$2:$AI$501,1))</f>
        <v/>
      </c>
      <c r="G18" s="30">
        <f>IF($A18="","",COUNTIFS(Responses!$AB$2:$AB$501,$A18,Responses!$AD$2:$AD$501,"In person",Responses!$AI$2:$AI$501,1)+COUNTIFS(Responses!$AB$2:$AB$501,$A18,Responses!$AD$2:$AD$501,"Online",Responses!$AI$2:$AI$501,1))</f>
        <v/>
      </c>
      <c r="H18" s="30">
        <f>IF($A18="","",COUNTIFS(Responses!$AB$2:$AB$501,$A18,Responses!$AD$2:$AD$501,"Written only",Responses!$AI$2:$AI$501,1))</f>
        <v/>
      </c>
    </row>
    <row r="19">
      <c r="A19" s="31">
        <f>IFERROR(INDEX(Responses!$AB$2:$AB$501,MATCH(11,Responses!$AK$2:$AK$501,0)),"")</f>
        <v/>
      </c>
      <c r="B19" s="30">
        <f>IF($A19="","",COUNTIFS(Responses!$AB$2:$AB$501,$A19,Responses!$AC$2:$AC$501,"Support",Responses!$AI$2:$AI$501,1))</f>
        <v/>
      </c>
      <c r="C19" s="30">
        <f>IF($A19="","",COUNTIFS(Responses!$AB$2:$AB$501,$A19,Responses!$AC$2:$AC$501,"Oppose",Responses!$AI$2:$AI$501,1))</f>
        <v/>
      </c>
      <c r="D19" s="30">
        <f>IF($A19="","",COUNTIFS(Responses!$AB$2:$AB$501,$A19,Responses!$AC$2:$AC$501,"Neither",Responses!$AI$2:$AI$501,1))</f>
        <v/>
      </c>
      <c r="E19" s="30">
        <f>IF($A19="","",COUNTIFS(Responses!$AB$2:$AB$501,$A19,Responses!$AC$2:$AC$501,"No position",Responses!$AI$2:$AI$501,1))</f>
        <v/>
      </c>
      <c r="F19" s="30">
        <f>IF($A19="","",COUNTIFS(Responses!$AB$2:$AB$501,$A19,Responses!$AI$2:$AI$501,1))</f>
        <v/>
      </c>
      <c r="G19" s="30">
        <f>IF($A19="","",COUNTIFS(Responses!$AB$2:$AB$501,$A19,Responses!$AD$2:$AD$501,"In person",Responses!$AI$2:$AI$501,1)+COUNTIFS(Responses!$AB$2:$AB$501,$A19,Responses!$AD$2:$AD$501,"Online",Responses!$AI$2:$AI$501,1))</f>
        <v/>
      </c>
      <c r="H19" s="30">
        <f>IF($A19="","",COUNTIFS(Responses!$AB$2:$AB$501,$A19,Responses!$AD$2:$AD$501,"Written only",Responses!$AI$2:$AI$501,1))</f>
        <v/>
      </c>
    </row>
    <row r="20">
      <c r="A20" s="31">
        <f>IFERROR(INDEX(Responses!$AB$2:$AB$501,MATCH(12,Responses!$AK$2:$AK$501,0)),"")</f>
        <v/>
      </c>
      <c r="B20" s="30">
        <f>IF($A20="","",COUNTIFS(Responses!$AB$2:$AB$501,$A20,Responses!$AC$2:$AC$501,"Support",Responses!$AI$2:$AI$501,1))</f>
        <v/>
      </c>
      <c r="C20" s="30">
        <f>IF($A20="","",COUNTIFS(Responses!$AB$2:$AB$501,$A20,Responses!$AC$2:$AC$501,"Oppose",Responses!$AI$2:$AI$501,1))</f>
        <v/>
      </c>
      <c r="D20" s="30">
        <f>IF($A20="","",COUNTIFS(Responses!$AB$2:$AB$501,$A20,Responses!$AC$2:$AC$501,"Neither",Responses!$AI$2:$AI$501,1))</f>
        <v/>
      </c>
      <c r="E20" s="30">
        <f>IF($A20="","",COUNTIFS(Responses!$AB$2:$AB$501,$A20,Responses!$AC$2:$AC$501,"No position",Responses!$AI$2:$AI$501,1))</f>
        <v/>
      </c>
      <c r="F20" s="30">
        <f>IF($A20="","",COUNTIFS(Responses!$AB$2:$AB$501,$A20,Responses!$AI$2:$AI$501,1))</f>
        <v/>
      </c>
      <c r="G20" s="30">
        <f>IF($A20="","",COUNTIFS(Responses!$AB$2:$AB$501,$A20,Responses!$AD$2:$AD$501,"In person",Responses!$AI$2:$AI$501,1)+COUNTIFS(Responses!$AB$2:$AB$501,$A20,Responses!$AD$2:$AD$501,"Online",Responses!$AI$2:$AI$501,1))</f>
        <v/>
      </c>
      <c r="H20" s="30">
        <f>IF($A20="","",COUNTIFS(Responses!$AB$2:$AB$501,$A20,Responses!$AD$2:$AD$501,"Written only",Responses!$AI$2:$AI$501,1))</f>
        <v/>
      </c>
    </row>
    <row r="21">
      <c r="A21" s="31">
        <f>IFERROR(INDEX(Responses!$AB$2:$AB$501,MATCH(13,Responses!$AK$2:$AK$501,0)),"")</f>
        <v/>
      </c>
      <c r="B21" s="30">
        <f>IF($A21="","",COUNTIFS(Responses!$AB$2:$AB$501,$A21,Responses!$AC$2:$AC$501,"Support",Responses!$AI$2:$AI$501,1))</f>
        <v/>
      </c>
      <c r="C21" s="30">
        <f>IF($A21="","",COUNTIFS(Responses!$AB$2:$AB$501,$A21,Responses!$AC$2:$AC$501,"Oppose",Responses!$AI$2:$AI$501,1))</f>
        <v/>
      </c>
      <c r="D21" s="30">
        <f>IF($A21="","",COUNTIFS(Responses!$AB$2:$AB$501,$A21,Responses!$AC$2:$AC$501,"Neither",Responses!$AI$2:$AI$501,1))</f>
        <v/>
      </c>
      <c r="E21" s="30">
        <f>IF($A21="","",COUNTIFS(Responses!$AB$2:$AB$501,$A21,Responses!$AC$2:$AC$501,"No position",Responses!$AI$2:$AI$501,1))</f>
        <v/>
      </c>
      <c r="F21" s="30">
        <f>IF($A21="","",COUNTIFS(Responses!$AB$2:$AB$501,$A21,Responses!$AI$2:$AI$501,1))</f>
        <v/>
      </c>
      <c r="G21" s="30">
        <f>IF($A21="","",COUNTIFS(Responses!$AB$2:$AB$501,$A21,Responses!$AD$2:$AD$501,"In person",Responses!$AI$2:$AI$501,1)+COUNTIFS(Responses!$AB$2:$AB$501,$A21,Responses!$AD$2:$AD$501,"Online",Responses!$AI$2:$AI$501,1))</f>
        <v/>
      </c>
      <c r="H21" s="30">
        <f>IF($A21="","",COUNTIFS(Responses!$AB$2:$AB$501,$A21,Responses!$AD$2:$AD$501,"Written only",Responses!$AI$2:$AI$501,1))</f>
        <v/>
      </c>
    </row>
    <row r="22">
      <c r="A22" s="31">
        <f>IFERROR(INDEX(Responses!$AB$2:$AB$501,MATCH(14,Responses!$AK$2:$AK$501,0)),"")</f>
        <v/>
      </c>
      <c r="B22" s="30">
        <f>IF($A22="","",COUNTIFS(Responses!$AB$2:$AB$501,$A22,Responses!$AC$2:$AC$501,"Support",Responses!$AI$2:$AI$501,1))</f>
        <v/>
      </c>
      <c r="C22" s="30">
        <f>IF($A22="","",COUNTIFS(Responses!$AB$2:$AB$501,$A22,Responses!$AC$2:$AC$501,"Oppose",Responses!$AI$2:$AI$501,1))</f>
        <v/>
      </c>
      <c r="D22" s="30">
        <f>IF($A22="","",COUNTIFS(Responses!$AB$2:$AB$501,$A22,Responses!$AC$2:$AC$501,"Neither",Responses!$AI$2:$AI$501,1))</f>
        <v/>
      </c>
      <c r="E22" s="30">
        <f>IF($A22="","",COUNTIFS(Responses!$AB$2:$AB$501,$A22,Responses!$AC$2:$AC$501,"No position",Responses!$AI$2:$AI$501,1))</f>
        <v/>
      </c>
      <c r="F22" s="30">
        <f>IF($A22="","",COUNTIFS(Responses!$AB$2:$AB$501,$A22,Responses!$AI$2:$AI$501,1))</f>
        <v/>
      </c>
      <c r="G22" s="30">
        <f>IF($A22="","",COUNTIFS(Responses!$AB$2:$AB$501,$A22,Responses!$AD$2:$AD$501,"In person",Responses!$AI$2:$AI$501,1)+COUNTIFS(Responses!$AB$2:$AB$501,$A22,Responses!$AD$2:$AD$501,"Online",Responses!$AI$2:$AI$501,1))</f>
        <v/>
      </c>
      <c r="H22" s="30">
        <f>IF($A22="","",COUNTIFS(Responses!$AB$2:$AB$501,$A22,Responses!$AD$2:$AD$501,"Written only",Responses!$AI$2:$AI$501,1))</f>
        <v/>
      </c>
    </row>
    <row r="23">
      <c r="A23" s="31">
        <f>IFERROR(INDEX(Responses!$AB$2:$AB$501,MATCH(15,Responses!$AK$2:$AK$501,0)),"")</f>
        <v/>
      </c>
      <c r="B23" s="30">
        <f>IF($A23="","",COUNTIFS(Responses!$AB$2:$AB$501,$A23,Responses!$AC$2:$AC$501,"Support",Responses!$AI$2:$AI$501,1))</f>
        <v/>
      </c>
      <c r="C23" s="30">
        <f>IF($A23="","",COUNTIFS(Responses!$AB$2:$AB$501,$A23,Responses!$AC$2:$AC$501,"Oppose",Responses!$AI$2:$AI$501,1))</f>
        <v/>
      </c>
      <c r="D23" s="30">
        <f>IF($A23="","",COUNTIFS(Responses!$AB$2:$AB$501,$A23,Responses!$AC$2:$AC$501,"Neither",Responses!$AI$2:$AI$501,1))</f>
        <v/>
      </c>
      <c r="E23" s="30">
        <f>IF($A23="","",COUNTIFS(Responses!$AB$2:$AB$501,$A23,Responses!$AC$2:$AC$501,"No position",Responses!$AI$2:$AI$501,1))</f>
        <v/>
      </c>
      <c r="F23" s="30">
        <f>IF($A23="","",COUNTIFS(Responses!$AB$2:$AB$501,$A23,Responses!$AI$2:$AI$501,1))</f>
        <v/>
      </c>
      <c r="G23" s="30">
        <f>IF($A23="","",COUNTIFS(Responses!$AB$2:$AB$501,$A23,Responses!$AD$2:$AD$501,"In person",Responses!$AI$2:$AI$501,1)+COUNTIFS(Responses!$AB$2:$AB$501,$A23,Responses!$AD$2:$AD$501,"Online",Responses!$AI$2:$AI$501,1))</f>
        <v/>
      </c>
      <c r="H23" s="30">
        <f>IF($A23="","",COUNTIFS(Responses!$AB$2:$AB$501,$A23,Responses!$AD$2:$AD$501,"Written only",Responses!$AI$2:$AI$501,1))</f>
        <v/>
      </c>
    </row>
    <row r="24">
      <c r="A24" s="31">
        <f>IFERROR(INDEX(Responses!$AB$2:$AB$501,MATCH(16,Responses!$AK$2:$AK$501,0)),"")</f>
        <v/>
      </c>
      <c r="B24" s="30">
        <f>IF($A24="","",COUNTIFS(Responses!$AB$2:$AB$501,$A24,Responses!$AC$2:$AC$501,"Support",Responses!$AI$2:$AI$501,1))</f>
        <v/>
      </c>
      <c r="C24" s="30">
        <f>IF($A24="","",COUNTIFS(Responses!$AB$2:$AB$501,$A24,Responses!$AC$2:$AC$501,"Oppose",Responses!$AI$2:$AI$501,1))</f>
        <v/>
      </c>
      <c r="D24" s="30">
        <f>IF($A24="","",COUNTIFS(Responses!$AB$2:$AB$501,$A24,Responses!$AC$2:$AC$501,"Neither",Responses!$AI$2:$AI$501,1))</f>
        <v/>
      </c>
      <c r="E24" s="30">
        <f>IF($A24="","",COUNTIFS(Responses!$AB$2:$AB$501,$A24,Responses!$AC$2:$AC$501,"No position",Responses!$AI$2:$AI$501,1))</f>
        <v/>
      </c>
      <c r="F24" s="30">
        <f>IF($A24="","",COUNTIFS(Responses!$AB$2:$AB$501,$A24,Responses!$AI$2:$AI$501,1))</f>
        <v/>
      </c>
      <c r="G24" s="30">
        <f>IF($A24="","",COUNTIFS(Responses!$AB$2:$AB$501,$A24,Responses!$AD$2:$AD$501,"In person",Responses!$AI$2:$AI$501,1)+COUNTIFS(Responses!$AB$2:$AB$501,$A24,Responses!$AD$2:$AD$501,"Online",Responses!$AI$2:$AI$501,1))</f>
        <v/>
      </c>
      <c r="H24" s="30">
        <f>IF($A24="","",COUNTIFS(Responses!$AB$2:$AB$501,$A24,Responses!$AD$2:$AD$501,"Written only",Responses!$AI$2:$AI$501,1))</f>
        <v/>
      </c>
    </row>
    <row r="25">
      <c r="A25" s="31">
        <f>IFERROR(INDEX(Responses!$AB$2:$AB$501,MATCH(17,Responses!$AK$2:$AK$501,0)),"")</f>
        <v/>
      </c>
      <c r="B25" s="30">
        <f>IF($A25="","",COUNTIFS(Responses!$AB$2:$AB$501,$A25,Responses!$AC$2:$AC$501,"Support",Responses!$AI$2:$AI$501,1))</f>
        <v/>
      </c>
      <c r="C25" s="30">
        <f>IF($A25="","",COUNTIFS(Responses!$AB$2:$AB$501,$A25,Responses!$AC$2:$AC$501,"Oppose",Responses!$AI$2:$AI$501,1))</f>
        <v/>
      </c>
      <c r="D25" s="30">
        <f>IF($A25="","",COUNTIFS(Responses!$AB$2:$AB$501,$A25,Responses!$AC$2:$AC$501,"Neither",Responses!$AI$2:$AI$501,1))</f>
        <v/>
      </c>
      <c r="E25" s="30">
        <f>IF($A25="","",COUNTIFS(Responses!$AB$2:$AB$501,$A25,Responses!$AC$2:$AC$501,"No position",Responses!$AI$2:$AI$501,1))</f>
        <v/>
      </c>
      <c r="F25" s="30">
        <f>IF($A25="","",COUNTIFS(Responses!$AB$2:$AB$501,$A25,Responses!$AI$2:$AI$501,1))</f>
        <v/>
      </c>
      <c r="G25" s="30">
        <f>IF($A25="","",COUNTIFS(Responses!$AB$2:$AB$501,$A25,Responses!$AD$2:$AD$501,"In person",Responses!$AI$2:$AI$501,1)+COUNTIFS(Responses!$AB$2:$AB$501,$A25,Responses!$AD$2:$AD$501,"Online",Responses!$AI$2:$AI$501,1))</f>
        <v/>
      </c>
      <c r="H25" s="30">
        <f>IF($A25="","",COUNTIFS(Responses!$AB$2:$AB$501,$A25,Responses!$AD$2:$AD$501,"Written only",Responses!$AI$2:$AI$501,1))</f>
        <v/>
      </c>
    </row>
    <row r="26">
      <c r="A26" s="31">
        <f>IFERROR(INDEX(Responses!$AB$2:$AB$501,MATCH(18,Responses!$AK$2:$AK$501,0)),"")</f>
        <v/>
      </c>
      <c r="B26" s="30">
        <f>IF($A26="","",COUNTIFS(Responses!$AB$2:$AB$501,$A26,Responses!$AC$2:$AC$501,"Support",Responses!$AI$2:$AI$501,1))</f>
        <v/>
      </c>
      <c r="C26" s="30">
        <f>IF($A26="","",COUNTIFS(Responses!$AB$2:$AB$501,$A26,Responses!$AC$2:$AC$501,"Oppose",Responses!$AI$2:$AI$501,1))</f>
        <v/>
      </c>
      <c r="D26" s="30">
        <f>IF($A26="","",COUNTIFS(Responses!$AB$2:$AB$501,$A26,Responses!$AC$2:$AC$501,"Neither",Responses!$AI$2:$AI$501,1))</f>
        <v/>
      </c>
      <c r="E26" s="30">
        <f>IF($A26="","",COUNTIFS(Responses!$AB$2:$AB$501,$A26,Responses!$AC$2:$AC$501,"No position",Responses!$AI$2:$AI$501,1))</f>
        <v/>
      </c>
      <c r="F26" s="30">
        <f>IF($A26="","",COUNTIFS(Responses!$AB$2:$AB$501,$A26,Responses!$AI$2:$AI$501,1))</f>
        <v/>
      </c>
      <c r="G26" s="30">
        <f>IF($A26="","",COUNTIFS(Responses!$AB$2:$AB$501,$A26,Responses!$AD$2:$AD$501,"In person",Responses!$AI$2:$AI$501,1)+COUNTIFS(Responses!$AB$2:$AB$501,$A26,Responses!$AD$2:$AD$501,"Online",Responses!$AI$2:$AI$501,1))</f>
        <v/>
      </c>
      <c r="H26" s="30">
        <f>IF($A26="","",COUNTIFS(Responses!$AB$2:$AB$501,$A26,Responses!$AD$2:$AD$501,"Written only",Responses!$AI$2:$AI$501,1))</f>
        <v/>
      </c>
    </row>
    <row r="27">
      <c r="A27" s="31">
        <f>IFERROR(INDEX(Responses!$AB$2:$AB$501,MATCH(19,Responses!$AK$2:$AK$501,0)),"")</f>
        <v/>
      </c>
      <c r="B27" s="30">
        <f>IF($A27="","",COUNTIFS(Responses!$AB$2:$AB$501,$A27,Responses!$AC$2:$AC$501,"Support",Responses!$AI$2:$AI$501,1))</f>
        <v/>
      </c>
      <c r="C27" s="30">
        <f>IF($A27="","",COUNTIFS(Responses!$AB$2:$AB$501,$A27,Responses!$AC$2:$AC$501,"Oppose",Responses!$AI$2:$AI$501,1))</f>
        <v/>
      </c>
      <c r="D27" s="30">
        <f>IF($A27="","",COUNTIFS(Responses!$AB$2:$AB$501,$A27,Responses!$AC$2:$AC$501,"Neither",Responses!$AI$2:$AI$501,1))</f>
        <v/>
      </c>
      <c r="E27" s="30">
        <f>IF($A27="","",COUNTIFS(Responses!$AB$2:$AB$501,$A27,Responses!$AC$2:$AC$501,"No position",Responses!$AI$2:$AI$501,1))</f>
        <v/>
      </c>
      <c r="F27" s="30">
        <f>IF($A27="","",COUNTIFS(Responses!$AB$2:$AB$501,$A27,Responses!$AI$2:$AI$501,1))</f>
        <v/>
      </c>
      <c r="G27" s="30">
        <f>IF($A27="","",COUNTIFS(Responses!$AB$2:$AB$501,$A27,Responses!$AD$2:$AD$501,"In person",Responses!$AI$2:$AI$501,1)+COUNTIFS(Responses!$AB$2:$AB$501,$A27,Responses!$AD$2:$AD$501,"Online",Responses!$AI$2:$AI$501,1))</f>
        <v/>
      </c>
      <c r="H27" s="30">
        <f>IF($A27="","",COUNTIFS(Responses!$AB$2:$AB$501,$A27,Responses!$AD$2:$AD$501,"Written only",Responses!$AI$2:$AI$501,1))</f>
        <v/>
      </c>
    </row>
    <row r="28">
      <c r="A28" s="31">
        <f>IFERROR(INDEX(Responses!$AB$2:$AB$501,MATCH(20,Responses!$AK$2:$AK$501,0)),"")</f>
        <v/>
      </c>
      <c r="B28" s="30">
        <f>IF($A28="","",COUNTIFS(Responses!$AB$2:$AB$501,$A28,Responses!$AC$2:$AC$501,"Support",Responses!$AI$2:$AI$501,1))</f>
        <v/>
      </c>
      <c r="C28" s="30">
        <f>IF($A28="","",COUNTIFS(Responses!$AB$2:$AB$501,$A28,Responses!$AC$2:$AC$501,"Oppose",Responses!$AI$2:$AI$501,1))</f>
        <v/>
      </c>
      <c r="D28" s="30">
        <f>IF($A28="","",COUNTIFS(Responses!$AB$2:$AB$501,$A28,Responses!$AC$2:$AC$501,"Neither",Responses!$AI$2:$AI$501,1))</f>
        <v/>
      </c>
      <c r="E28" s="30">
        <f>IF($A28="","",COUNTIFS(Responses!$AB$2:$AB$501,$A28,Responses!$AC$2:$AC$501,"No position",Responses!$AI$2:$AI$501,1))</f>
        <v/>
      </c>
      <c r="F28" s="30">
        <f>IF($A28="","",COUNTIFS(Responses!$AB$2:$AB$501,$A28,Responses!$AI$2:$AI$501,1))</f>
        <v/>
      </c>
      <c r="G28" s="30">
        <f>IF($A28="","",COUNTIFS(Responses!$AB$2:$AB$501,$A28,Responses!$AD$2:$AD$501,"In person",Responses!$AI$2:$AI$501,1)+COUNTIFS(Responses!$AB$2:$AB$501,$A28,Responses!$AD$2:$AD$501,"Online",Responses!$AI$2:$AI$501,1))</f>
        <v/>
      </c>
      <c r="H28" s="30">
        <f>IF($A28="","",COUNTIFS(Responses!$AB$2:$AB$501,$A28,Responses!$AD$2:$AD$501,"Written only",Responses!$AI$2:$AI$501,1))</f>
        <v/>
      </c>
    </row>
    <row r="29">
      <c r="A29" s="31">
        <f>IFERROR(INDEX(Responses!$AB$2:$AB$501,MATCH(21,Responses!$AK$2:$AK$501,0)),"")</f>
        <v/>
      </c>
      <c r="B29" s="30">
        <f>IF($A29="","",COUNTIFS(Responses!$AB$2:$AB$501,$A29,Responses!$AC$2:$AC$501,"Support",Responses!$AI$2:$AI$501,1))</f>
        <v/>
      </c>
      <c r="C29" s="30">
        <f>IF($A29="","",COUNTIFS(Responses!$AB$2:$AB$501,$A29,Responses!$AC$2:$AC$501,"Oppose",Responses!$AI$2:$AI$501,1))</f>
        <v/>
      </c>
      <c r="D29" s="30">
        <f>IF($A29="","",COUNTIFS(Responses!$AB$2:$AB$501,$A29,Responses!$AC$2:$AC$501,"Neither",Responses!$AI$2:$AI$501,1))</f>
        <v/>
      </c>
      <c r="E29" s="30">
        <f>IF($A29="","",COUNTIFS(Responses!$AB$2:$AB$501,$A29,Responses!$AC$2:$AC$501,"No position",Responses!$AI$2:$AI$501,1))</f>
        <v/>
      </c>
      <c r="F29" s="30">
        <f>IF($A29="","",COUNTIFS(Responses!$AB$2:$AB$501,$A29,Responses!$AI$2:$AI$501,1))</f>
        <v/>
      </c>
      <c r="G29" s="30">
        <f>IF($A29="","",COUNTIFS(Responses!$AB$2:$AB$501,$A29,Responses!$AD$2:$AD$501,"In person",Responses!$AI$2:$AI$501,1)+COUNTIFS(Responses!$AB$2:$AB$501,$A29,Responses!$AD$2:$AD$501,"Online",Responses!$AI$2:$AI$501,1))</f>
        <v/>
      </c>
      <c r="H29" s="30">
        <f>IF($A29="","",COUNTIFS(Responses!$AB$2:$AB$501,$A29,Responses!$AD$2:$AD$501,"Written only",Responses!$AI$2:$AI$501,1))</f>
        <v/>
      </c>
    </row>
    <row r="30">
      <c r="A30" s="31">
        <f>IFERROR(INDEX(Responses!$AB$2:$AB$501,MATCH(22,Responses!$AK$2:$AK$501,0)),"")</f>
        <v/>
      </c>
      <c r="B30" s="30">
        <f>IF($A30="","",COUNTIFS(Responses!$AB$2:$AB$501,$A30,Responses!$AC$2:$AC$501,"Support",Responses!$AI$2:$AI$501,1))</f>
        <v/>
      </c>
      <c r="C30" s="30">
        <f>IF($A30="","",COUNTIFS(Responses!$AB$2:$AB$501,$A30,Responses!$AC$2:$AC$501,"Oppose",Responses!$AI$2:$AI$501,1))</f>
        <v/>
      </c>
      <c r="D30" s="30">
        <f>IF($A30="","",COUNTIFS(Responses!$AB$2:$AB$501,$A30,Responses!$AC$2:$AC$501,"Neither",Responses!$AI$2:$AI$501,1))</f>
        <v/>
      </c>
      <c r="E30" s="30">
        <f>IF($A30="","",COUNTIFS(Responses!$AB$2:$AB$501,$A30,Responses!$AC$2:$AC$501,"No position",Responses!$AI$2:$AI$501,1))</f>
        <v/>
      </c>
      <c r="F30" s="30">
        <f>IF($A30="","",COUNTIFS(Responses!$AB$2:$AB$501,$A30,Responses!$AI$2:$AI$501,1))</f>
        <v/>
      </c>
      <c r="G30" s="30">
        <f>IF($A30="","",COUNTIFS(Responses!$AB$2:$AB$501,$A30,Responses!$AD$2:$AD$501,"In person",Responses!$AI$2:$AI$501,1)+COUNTIFS(Responses!$AB$2:$AB$501,$A30,Responses!$AD$2:$AD$501,"Online",Responses!$AI$2:$AI$501,1))</f>
        <v/>
      </c>
      <c r="H30" s="30">
        <f>IF($A30="","",COUNTIFS(Responses!$AB$2:$AB$501,$A30,Responses!$AD$2:$AD$501,"Written only",Responses!$AI$2:$AI$501,1))</f>
        <v/>
      </c>
    </row>
    <row r="31">
      <c r="A31" s="31">
        <f>IFERROR(INDEX(Responses!$AB$2:$AB$501,MATCH(23,Responses!$AK$2:$AK$501,0)),"")</f>
        <v/>
      </c>
      <c r="B31" s="30">
        <f>IF($A31="","",COUNTIFS(Responses!$AB$2:$AB$501,$A31,Responses!$AC$2:$AC$501,"Support",Responses!$AI$2:$AI$501,1))</f>
        <v/>
      </c>
      <c r="C31" s="30">
        <f>IF($A31="","",COUNTIFS(Responses!$AB$2:$AB$501,$A31,Responses!$AC$2:$AC$501,"Oppose",Responses!$AI$2:$AI$501,1))</f>
        <v/>
      </c>
      <c r="D31" s="30">
        <f>IF($A31="","",COUNTIFS(Responses!$AB$2:$AB$501,$A31,Responses!$AC$2:$AC$501,"Neither",Responses!$AI$2:$AI$501,1))</f>
        <v/>
      </c>
      <c r="E31" s="30">
        <f>IF($A31="","",COUNTIFS(Responses!$AB$2:$AB$501,$A31,Responses!$AC$2:$AC$501,"No position",Responses!$AI$2:$AI$501,1))</f>
        <v/>
      </c>
      <c r="F31" s="30">
        <f>IF($A31="","",COUNTIFS(Responses!$AB$2:$AB$501,$A31,Responses!$AI$2:$AI$501,1))</f>
        <v/>
      </c>
      <c r="G31" s="30">
        <f>IF($A31="","",COUNTIFS(Responses!$AB$2:$AB$501,$A31,Responses!$AD$2:$AD$501,"In person",Responses!$AI$2:$AI$501,1)+COUNTIFS(Responses!$AB$2:$AB$501,$A31,Responses!$AD$2:$AD$501,"Online",Responses!$AI$2:$AI$501,1))</f>
        <v/>
      </c>
      <c r="H31" s="30">
        <f>IF($A31="","",COUNTIFS(Responses!$AB$2:$AB$501,$A31,Responses!$AD$2:$AD$501,"Written only",Responses!$AI$2:$AI$501,1))</f>
        <v/>
      </c>
    </row>
    <row r="32">
      <c r="A32" s="31">
        <f>IFERROR(INDEX(Responses!$AB$2:$AB$501,MATCH(24,Responses!$AK$2:$AK$501,0)),"")</f>
        <v/>
      </c>
      <c r="B32" s="30">
        <f>IF($A32="","",COUNTIFS(Responses!$AB$2:$AB$501,$A32,Responses!$AC$2:$AC$501,"Support",Responses!$AI$2:$AI$501,1))</f>
        <v/>
      </c>
      <c r="C32" s="30">
        <f>IF($A32="","",COUNTIFS(Responses!$AB$2:$AB$501,$A32,Responses!$AC$2:$AC$501,"Oppose",Responses!$AI$2:$AI$501,1))</f>
        <v/>
      </c>
      <c r="D32" s="30">
        <f>IF($A32="","",COUNTIFS(Responses!$AB$2:$AB$501,$A32,Responses!$AC$2:$AC$501,"Neither",Responses!$AI$2:$AI$501,1))</f>
        <v/>
      </c>
      <c r="E32" s="30">
        <f>IF($A32="","",COUNTIFS(Responses!$AB$2:$AB$501,$A32,Responses!$AC$2:$AC$501,"No position",Responses!$AI$2:$AI$501,1))</f>
        <v/>
      </c>
      <c r="F32" s="30">
        <f>IF($A32="","",COUNTIFS(Responses!$AB$2:$AB$501,$A32,Responses!$AI$2:$AI$501,1))</f>
        <v/>
      </c>
      <c r="G32" s="30">
        <f>IF($A32="","",COUNTIFS(Responses!$AB$2:$AB$501,$A32,Responses!$AD$2:$AD$501,"In person",Responses!$AI$2:$AI$501,1)+COUNTIFS(Responses!$AB$2:$AB$501,$A32,Responses!$AD$2:$AD$501,"Online",Responses!$AI$2:$AI$501,1))</f>
        <v/>
      </c>
      <c r="H32" s="30">
        <f>IF($A32="","",COUNTIFS(Responses!$AB$2:$AB$501,$A32,Responses!$AD$2:$AD$501,"Written only",Responses!$AI$2:$AI$501,1))</f>
        <v/>
      </c>
    </row>
    <row r="33">
      <c r="A33" s="31">
        <f>IFERROR(INDEX(Responses!$AB$2:$AB$501,MATCH(25,Responses!$AK$2:$AK$501,0)),"")</f>
        <v/>
      </c>
      <c r="B33" s="30">
        <f>IF($A33="","",COUNTIFS(Responses!$AB$2:$AB$501,$A33,Responses!$AC$2:$AC$501,"Support",Responses!$AI$2:$AI$501,1))</f>
        <v/>
      </c>
      <c r="C33" s="30">
        <f>IF($A33="","",COUNTIFS(Responses!$AB$2:$AB$501,$A33,Responses!$AC$2:$AC$501,"Oppose",Responses!$AI$2:$AI$501,1))</f>
        <v/>
      </c>
      <c r="D33" s="30">
        <f>IF($A33="","",COUNTIFS(Responses!$AB$2:$AB$501,$A33,Responses!$AC$2:$AC$501,"Neither",Responses!$AI$2:$AI$501,1))</f>
        <v/>
      </c>
      <c r="E33" s="30">
        <f>IF($A33="","",COUNTIFS(Responses!$AB$2:$AB$501,$A33,Responses!$AC$2:$AC$501,"No position",Responses!$AI$2:$AI$501,1))</f>
        <v/>
      </c>
      <c r="F33" s="30">
        <f>IF($A33="","",COUNTIFS(Responses!$AB$2:$AB$501,$A33,Responses!$AI$2:$AI$501,1))</f>
        <v/>
      </c>
      <c r="G33" s="30">
        <f>IF($A33="","",COUNTIFS(Responses!$AB$2:$AB$501,$A33,Responses!$AD$2:$AD$501,"In person",Responses!$AI$2:$AI$501,1)+COUNTIFS(Responses!$AB$2:$AB$501,$A33,Responses!$AD$2:$AD$501,"Online",Responses!$AI$2:$AI$501,1))</f>
        <v/>
      </c>
      <c r="H33" s="30">
        <f>IF($A33="","",COUNTIFS(Responses!$AB$2:$AB$501,$A33,Responses!$AD$2:$AD$501,"Written only",Responses!$AI$2:$AI$501,1))</f>
        <v/>
      </c>
    </row>
    <row r="34">
      <c r="A34" s="31">
        <f>IFERROR(INDEX(Responses!$AB$2:$AB$501,MATCH(26,Responses!$AK$2:$AK$501,0)),"")</f>
        <v/>
      </c>
      <c r="B34" s="30">
        <f>IF($A34="","",COUNTIFS(Responses!$AB$2:$AB$501,$A34,Responses!$AC$2:$AC$501,"Support",Responses!$AI$2:$AI$501,1))</f>
        <v/>
      </c>
      <c r="C34" s="30">
        <f>IF($A34="","",COUNTIFS(Responses!$AB$2:$AB$501,$A34,Responses!$AC$2:$AC$501,"Oppose",Responses!$AI$2:$AI$501,1))</f>
        <v/>
      </c>
      <c r="D34" s="30">
        <f>IF($A34="","",COUNTIFS(Responses!$AB$2:$AB$501,$A34,Responses!$AC$2:$AC$501,"Neither",Responses!$AI$2:$AI$501,1))</f>
        <v/>
      </c>
      <c r="E34" s="30">
        <f>IF($A34="","",COUNTIFS(Responses!$AB$2:$AB$501,$A34,Responses!$AC$2:$AC$501,"No position",Responses!$AI$2:$AI$501,1))</f>
        <v/>
      </c>
      <c r="F34" s="30">
        <f>IF($A34="","",COUNTIFS(Responses!$AB$2:$AB$501,$A34,Responses!$AI$2:$AI$501,1))</f>
        <v/>
      </c>
      <c r="G34" s="30">
        <f>IF($A34="","",COUNTIFS(Responses!$AB$2:$AB$501,$A34,Responses!$AD$2:$AD$501,"In person",Responses!$AI$2:$AI$501,1)+COUNTIFS(Responses!$AB$2:$AB$501,$A34,Responses!$AD$2:$AD$501,"Online",Responses!$AI$2:$AI$501,1))</f>
        <v/>
      </c>
      <c r="H34" s="30">
        <f>IF($A34="","",COUNTIFS(Responses!$AB$2:$AB$501,$A34,Responses!$AD$2:$AD$501,"Written only",Responses!$AI$2:$AI$501,1))</f>
        <v/>
      </c>
    </row>
    <row r="35">
      <c r="A35" s="31">
        <f>IFERROR(INDEX(Responses!$AB$2:$AB$501,MATCH(27,Responses!$AK$2:$AK$501,0)),"")</f>
        <v/>
      </c>
      <c r="B35" s="30">
        <f>IF($A35="","",COUNTIFS(Responses!$AB$2:$AB$501,$A35,Responses!$AC$2:$AC$501,"Support",Responses!$AI$2:$AI$501,1))</f>
        <v/>
      </c>
      <c r="C35" s="30">
        <f>IF($A35="","",COUNTIFS(Responses!$AB$2:$AB$501,$A35,Responses!$AC$2:$AC$501,"Oppose",Responses!$AI$2:$AI$501,1))</f>
        <v/>
      </c>
      <c r="D35" s="30">
        <f>IF($A35="","",COUNTIFS(Responses!$AB$2:$AB$501,$A35,Responses!$AC$2:$AC$501,"Neither",Responses!$AI$2:$AI$501,1))</f>
        <v/>
      </c>
      <c r="E35" s="30">
        <f>IF($A35="","",COUNTIFS(Responses!$AB$2:$AB$501,$A35,Responses!$AC$2:$AC$501,"No position",Responses!$AI$2:$AI$501,1))</f>
        <v/>
      </c>
      <c r="F35" s="30">
        <f>IF($A35="","",COUNTIFS(Responses!$AB$2:$AB$501,$A35,Responses!$AI$2:$AI$501,1))</f>
        <v/>
      </c>
      <c r="G35" s="30">
        <f>IF($A35="","",COUNTIFS(Responses!$AB$2:$AB$501,$A35,Responses!$AD$2:$AD$501,"In person",Responses!$AI$2:$AI$501,1)+COUNTIFS(Responses!$AB$2:$AB$501,$A35,Responses!$AD$2:$AD$501,"Online",Responses!$AI$2:$AI$501,1))</f>
        <v/>
      </c>
      <c r="H35" s="30">
        <f>IF($A35="","",COUNTIFS(Responses!$AB$2:$AB$501,$A35,Responses!$AD$2:$AD$501,"Written only",Responses!$AI$2:$AI$501,1))</f>
        <v/>
      </c>
    </row>
    <row r="36">
      <c r="A36" s="31">
        <f>IFERROR(INDEX(Responses!$AB$2:$AB$501,MATCH(28,Responses!$AK$2:$AK$501,0)),"")</f>
        <v/>
      </c>
      <c r="B36" s="30">
        <f>IF($A36="","",COUNTIFS(Responses!$AB$2:$AB$501,$A36,Responses!$AC$2:$AC$501,"Support",Responses!$AI$2:$AI$501,1))</f>
        <v/>
      </c>
      <c r="C36" s="30">
        <f>IF($A36="","",COUNTIFS(Responses!$AB$2:$AB$501,$A36,Responses!$AC$2:$AC$501,"Oppose",Responses!$AI$2:$AI$501,1))</f>
        <v/>
      </c>
      <c r="D36" s="30">
        <f>IF($A36="","",COUNTIFS(Responses!$AB$2:$AB$501,$A36,Responses!$AC$2:$AC$501,"Neither",Responses!$AI$2:$AI$501,1))</f>
        <v/>
      </c>
      <c r="E36" s="30">
        <f>IF($A36="","",COUNTIFS(Responses!$AB$2:$AB$501,$A36,Responses!$AC$2:$AC$501,"No position",Responses!$AI$2:$AI$501,1))</f>
        <v/>
      </c>
      <c r="F36" s="30">
        <f>IF($A36="","",COUNTIFS(Responses!$AB$2:$AB$501,$A36,Responses!$AI$2:$AI$501,1))</f>
        <v/>
      </c>
      <c r="G36" s="30">
        <f>IF($A36="","",COUNTIFS(Responses!$AB$2:$AB$501,$A36,Responses!$AD$2:$AD$501,"In person",Responses!$AI$2:$AI$501,1)+COUNTIFS(Responses!$AB$2:$AB$501,$A36,Responses!$AD$2:$AD$501,"Online",Responses!$AI$2:$AI$501,1))</f>
        <v/>
      </c>
      <c r="H36" s="30">
        <f>IF($A36="","",COUNTIFS(Responses!$AB$2:$AB$501,$A36,Responses!$AD$2:$AD$501,"Written only",Responses!$AI$2:$AI$501,1))</f>
        <v/>
      </c>
    </row>
    <row r="37">
      <c r="A37" s="31">
        <f>IFERROR(INDEX(Responses!$AB$2:$AB$501,MATCH(29,Responses!$AK$2:$AK$501,0)),"")</f>
        <v/>
      </c>
      <c r="B37" s="30">
        <f>IF($A37="","",COUNTIFS(Responses!$AB$2:$AB$501,$A37,Responses!$AC$2:$AC$501,"Support",Responses!$AI$2:$AI$501,1))</f>
        <v/>
      </c>
      <c r="C37" s="30">
        <f>IF($A37="","",COUNTIFS(Responses!$AB$2:$AB$501,$A37,Responses!$AC$2:$AC$501,"Oppose",Responses!$AI$2:$AI$501,1))</f>
        <v/>
      </c>
      <c r="D37" s="30">
        <f>IF($A37="","",COUNTIFS(Responses!$AB$2:$AB$501,$A37,Responses!$AC$2:$AC$501,"Neither",Responses!$AI$2:$AI$501,1))</f>
        <v/>
      </c>
      <c r="E37" s="30">
        <f>IF($A37="","",COUNTIFS(Responses!$AB$2:$AB$501,$A37,Responses!$AC$2:$AC$501,"No position",Responses!$AI$2:$AI$501,1))</f>
        <v/>
      </c>
      <c r="F37" s="30">
        <f>IF($A37="","",COUNTIFS(Responses!$AB$2:$AB$501,$A37,Responses!$AI$2:$AI$501,1))</f>
        <v/>
      </c>
      <c r="G37" s="30">
        <f>IF($A37="","",COUNTIFS(Responses!$AB$2:$AB$501,$A37,Responses!$AD$2:$AD$501,"In person",Responses!$AI$2:$AI$501,1)+COUNTIFS(Responses!$AB$2:$AB$501,$A37,Responses!$AD$2:$AD$501,"Online",Responses!$AI$2:$AI$501,1))</f>
        <v/>
      </c>
      <c r="H37" s="30">
        <f>IF($A37="","",COUNTIFS(Responses!$AB$2:$AB$501,$A37,Responses!$AD$2:$AD$501,"Written only",Responses!$AI$2:$AI$501,1))</f>
        <v/>
      </c>
    </row>
    <row r="38">
      <c r="A38" s="31">
        <f>IFERROR(INDEX(Responses!$AB$2:$AB$501,MATCH(30,Responses!$AK$2:$AK$501,0)),"")</f>
        <v/>
      </c>
      <c r="B38" s="30">
        <f>IF($A38="","",COUNTIFS(Responses!$AB$2:$AB$501,$A38,Responses!$AC$2:$AC$501,"Support",Responses!$AI$2:$AI$501,1))</f>
        <v/>
      </c>
      <c r="C38" s="30">
        <f>IF($A38="","",COUNTIFS(Responses!$AB$2:$AB$501,$A38,Responses!$AC$2:$AC$501,"Oppose",Responses!$AI$2:$AI$501,1))</f>
        <v/>
      </c>
      <c r="D38" s="30">
        <f>IF($A38="","",COUNTIFS(Responses!$AB$2:$AB$501,$A38,Responses!$AC$2:$AC$501,"Neither",Responses!$AI$2:$AI$501,1))</f>
        <v/>
      </c>
      <c r="E38" s="30">
        <f>IF($A38="","",COUNTIFS(Responses!$AB$2:$AB$501,$A38,Responses!$AC$2:$AC$501,"No position",Responses!$AI$2:$AI$501,1))</f>
        <v/>
      </c>
      <c r="F38" s="30">
        <f>IF($A38="","",COUNTIFS(Responses!$AB$2:$AB$501,$A38,Responses!$AI$2:$AI$501,1))</f>
        <v/>
      </c>
      <c r="G38" s="30">
        <f>IF($A38="","",COUNTIFS(Responses!$AB$2:$AB$501,$A38,Responses!$AD$2:$AD$501,"In person",Responses!$AI$2:$AI$501,1)+COUNTIFS(Responses!$AB$2:$AB$501,$A38,Responses!$AD$2:$AD$501,"Online",Responses!$AI$2:$AI$501,1))</f>
        <v/>
      </c>
      <c r="H38" s="30">
        <f>IF($A38="","",COUNTIFS(Responses!$AB$2:$AB$501,$A38,Responses!$AD$2:$AD$501,"Written only",Responses!$AI$2:$AI$501,1))</f>
        <v/>
      </c>
    </row>
    <row r="39">
      <c r="A39" s="31">
        <f>IFERROR(INDEX(Responses!$AB$2:$AB$501,MATCH(31,Responses!$AK$2:$AK$501,0)),"")</f>
        <v/>
      </c>
      <c r="B39" s="30">
        <f>IF($A39="","",COUNTIFS(Responses!$AB$2:$AB$501,$A39,Responses!$AC$2:$AC$501,"Support",Responses!$AI$2:$AI$501,1))</f>
        <v/>
      </c>
      <c r="C39" s="30">
        <f>IF($A39="","",COUNTIFS(Responses!$AB$2:$AB$501,$A39,Responses!$AC$2:$AC$501,"Oppose",Responses!$AI$2:$AI$501,1))</f>
        <v/>
      </c>
      <c r="D39" s="30">
        <f>IF($A39="","",COUNTIFS(Responses!$AB$2:$AB$501,$A39,Responses!$AC$2:$AC$501,"Neither",Responses!$AI$2:$AI$501,1))</f>
        <v/>
      </c>
      <c r="E39" s="30">
        <f>IF($A39="","",COUNTIFS(Responses!$AB$2:$AB$501,$A39,Responses!$AC$2:$AC$501,"No position",Responses!$AI$2:$AI$501,1))</f>
        <v/>
      </c>
      <c r="F39" s="30">
        <f>IF($A39="","",COUNTIFS(Responses!$AB$2:$AB$501,$A39,Responses!$AI$2:$AI$501,1))</f>
        <v/>
      </c>
      <c r="G39" s="30">
        <f>IF($A39="","",COUNTIFS(Responses!$AB$2:$AB$501,$A39,Responses!$AD$2:$AD$501,"In person",Responses!$AI$2:$AI$501,1)+COUNTIFS(Responses!$AB$2:$AB$501,$A39,Responses!$AD$2:$AD$501,"Online",Responses!$AI$2:$AI$501,1))</f>
        <v/>
      </c>
      <c r="H39" s="30">
        <f>IF($A39="","",COUNTIFS(Responses!$AB$2:$AB$501,$A39,Responses!$AD$2:$AD$501,"Written only",Responses!$AI$2:$AI$501,1))</f>
        <v/>
      </c>
    </row>
    <row r="40">
      <c r="A40" s="31">
        <f>IFERROR(INDEX(Responses!$AB$2:$AB$501,MATCH(32,Responses!$AK$2:$AK$501,0)),"")</f>
        <v/>
      </c>
      <c r="B40" s="30">
        <f>IF($A40="","",COUNTIFS(Responses!$AB$2:$AB$501,$A40,Responses!$AC$2:$AC$501,"Support",Responses!$AI$2:$AI$501,1))</f>
        <v/>
      </c>
      <c r="C40" s="30">
        <f>IF($A40="","",COUNTIFS(Responses!$AB$2:$AB$501,$A40,Responses!$AC$2:$AC$501,"Oppose",Responses!$AI$2:$AI$501,1))</f>
        <v/>
      </c>
      <c r="D40" s="30">
        <f>IF($A40="","",COUNTIFS(Responses!$AB$2:$AB$501,$A40,Responses!$AC$2:$AC$501,"Neither",Responses!$AI$2:$AI$501,1))</f>
        <v/>
      </c>
      <c r="E40" s="30">
        <f>IF($A40="","",COUNTIFS(Responses!$AB$2:$AB$501,$A40,Responses!$AC$2:$AC$501,"No position",Responses!$AI$2:$AI$501,1))</f>
        <v/>
      </c>
      <c r="F40" s="30">
        <f>IF($A40="","",COUNTIFS(Responses!$AB$2:$AB$501,$A40,Responses!$AI$2:$AI$501,1))</f>
        <v/>
      </c>
      <c r="G40" s="30">
        <f>IF($A40="","",COUNTIFS(Responses!$AB$2:$AB$501,$A40,Responses!$AD$2:$AD$501,"In person",Responses!$AI$2:$AI$501,1)+COUNTIFS(Responses!$AB$2:$AB$501,$A40,Responses!$AD$2:$AD$501,"Online",Responses!$AI$2:$AI$501,1))</f>
        <v/>
      </c>
      <c r="H40" s="30">
        <f>IF($A40="","",COUNTIFS(Responses!$AB$2:$AB$501,$A40,Responses!$AD$2:$AD$501,"Written only",Responses!$AI$2:$AI$501,1))</f>
        <v/>
      </c>
    </row>
    <row r="41">
      <c r="A41" s="31">
        <f>IFERROR(INDEX(Responses!$AB$2:$AB$501,MATCH(33,Responses!$AK$2:$AK$501,0)),"")</f>
        <v/>
      </c>
      <c r="B41" s="30">
        <f>IF($A41="","",COUNTIFS(Responses!$AB$2:$AB$501,$A41,Responses!$AC$2:$AC$501,"Support",Responses!$AI$2:$AI$501,1))</f>
        <v/>
      </c>
      <c r="C41" s="30">
        <f>IF($A41="","",COUNTIFS(Responses!$AB$2:$AB$501,$A41,Responses!$AC$2:$AC$501,"Oppose",Responses!$AI$2:$AI$501,1))</f>
        <v/>
      </c>
      <c r="D41" s="30">
        <f>IF($A41="","",COUNTIFS(Responses!$AB$2:$AB$501,$A41,Responses!$AC$2:$AC$501,"Neither",Responses!$AI$2:$AI$501,1))</f>
        <v/>
      </c>
      <c r="E41" s="30">
        <f>IF($A41="","",COUNTIFS(Responses!$AB$2:$AB$501,$A41,Responses!$AC$2:$AC$501,"No position",Responses!$AI$2:$AI$501,1))</f>
        <v/>
      </c>
      <c r="F41" s="30">
        <f>IF($A41="","",COUNTIFS(Responses!$AB$2:$AB$501,$A41,Responses!$AI$2:$AI$501,1))</f>
        <v/>
      </c>
      <c r="G41" s="30">
        <f>IF($A41="","",COUNTIFS(Responses!$AB$2:$AB$501,$A41,Responses!$AD$2:$AD$501,"In person",Responses!$AI$2:$AI$501,1)+COUNTIFS(Responses!$AB$2:$AB$501,$A41,Responses!$AD$2:$AD$501,"Online",Responses!$AI$2:$AI$501,1))</f>
        <v/>
      </c>
      <c r="H41" s="30">
        <f>IF($A41="","",COUNTIFS(Responses!$AB$2:$AB$501,$A41,Responses!$AD$2:$AD$501,"Written only",Responses!$AI$2:$AI$501,1))</f>
        <v/>
      </c>
    </row>
    <row r="42">
      <c r="A42" s="31">
        <f>IFERROR(INDEX(Responses!$AB$2:$AB$501,MATCH(34,Responses!$AK$2:$AK$501,0)),"")</f>
        <v/>
      </c>
      <c r="B42" s="30">
        <f>IF($A42="","",COUNTIFS(Responses!$AB$2:$AB$501,$A42,Responses!$AC$2:$AC$501,"Support",Responses!$AI$2:$AI$501,1))</f>
        <v/>
      </c>
      <c r="C42" s="30">
        <f>IF($A42="","",COUNTIFS(Responses!$AB$2:$AB$501,$A42,Responses!$AC$2:$AC$501,"Oppose",Responses!$AI$2:$AI$501,1))</f>
        <v/>
      </c>
      <c r="D42" s="30">
        <f>IF($A42="","",COUNTIFS(Responses!$AB$2:$AB$501,$A42,Responses!$AC$2:$AC$501,"Neither",Responses!$AI$2:$AI$501,1))</f>
        <v/>
      </c>
      <c r="E42" s="30">
        <f>IF($A42="","",COUNTIFS(Responses!$AB$2:$AB$501,$A42,Responses!$AC$2:$AC$501,"No position",Responses!$AI$2:$AI$501,1))</f>
        <v/>
      </c>
      <c r="F42" s="30">
        <f>IF($A42="","",COUNTIFS(Responses!$AB$2:$AB$501,$A42,Responses!$AI$2:$AI$501,1))</f>
        <v/>
      </c>
      <c r="G42" s="30">
        <f>IF($A42="","",COUNTIFS(Responses!$AB$2:$AB$501,$A42,Responses!$AD$2:$AD$501,"In person",Responses!$AI$2:$AI$501,1)+COUNTIFS(Responses!$AB$2:$AB$501,$A42,Responses!$AD$2:$AD$501,"Online",Responses!$AI$2:$AI$501,1))</f>
        <v/>
      </c>
      <c r="H42" s="30">
        <f>IF($A42="","",COUNTIFS(Responses!$AB$2:$AB$501,$A42,Responses!$AD$2:$AD$501,"Written only",Responses!$AI$2:$AI$501,1))</f>
        <v/>
      </c>
    </row>
    <row r="43">
      <c r="A43" s="31">
        <f>IFERROR(INDEX(Responses!$AB$2:$AB$501,MATCH(35,Responses!$AK$2:$AK$501,0)),"")</f>
        <v/>
      </c>
      <c r="B43" s="30">
        <f>IF($A43="","",COUNTIFS(Responses!$AB$2:$AB$501,$A43,Responses!$AC$2:$AC$501,"Support",Responses!$AI$2:$AI$501,1))</f>
        <v/>
      </c>
      <c r="C43" s="30">
        <f>IF($A43="","",COUNTIFS(Responses!$AB$2:$AB$501,$A43,Responses!$AC$2:$AC$501,"Oppose",Responses!$AI$2:$AI$501,1))</f>
        <v/>
      </c>
      <c r="D43" s="30">
        <f>IF($A43="","",COUNTIFS(Responses!$AB$2:$AB$501,$A43,Responses!$AC$2:$AC$501,"Neither",Responses!$AI$2:$AI$501,1))</f>
        <v/>
      </c>
      <c r="E43" s="30">
        <f>IF($A43="","",COUNTIFS(Responses!$AB$2:$AB$501,$A43,Responses!$AC$2:$AC$501,"No position",Responses!$AI$2:$AI$501,1))</f>
        <v/>
      </c>
      <c r="F43" s="30">
        <f>IF($A43="","",COUNTIFS(Responses!$AB$2:$AB$501,$A43,Responses!$AI$2:$AI$501,1))</f>
        <v/>
      </c>
      <c r="G43" s="30">
        <f>IF($A43="","",COUNTIFS(Responses!$AB$2:$AB$501,$A43,Responses!$AD$2:$AD$501,"In person",Responses!$AI$2:$AI$501,1)+COUNTIFS(Responses!$AB$2:$AB$501,$A43,Responses!$AD$2:$AD$501,"Online",Responses!$AI$2:$AI$501,1))</f>
        <v/>
      </c>
      <c r="H43" s="30">
        <f>IF($A43="","",COUNTIFS(Responses!$AB$2:$AB$501,$A43,Responses!$AD$2:$AD$501,"Written only",Responses!$AI$2:$AI$501,1))</f>
        <v/>
      </c>
    </row>
    <row r="44">
      <c r="A44" s="31">
        <f>IFERROR(INDEX(Responses!$AB$2:$AB$501,MATCH(36,Responses!$AK$2:$AK$501,0)),"")</f>
        <v/>
      </c>
      <c r="B44" s="30">
        <f>IF($A44="","",COUNTIFS(Responses!$AB$2:$AB$501,$A44,Responses!$AC$2:$AC$501,"Support",Responses!$AI$2:$AI$501,1))</f>
        <v/>
      </c>
      <c r="C44" s="30">
        <f>IF($A44="","",COUNTIFS(Responses!$AB$2:$AB$501,$A44,Responses!$AC$2:$AC$501,"Oppose",Responses!$AI$2:$AI$501,1))</f>
        <v/>
      </c>
      <c r="D44" s="30">
        <f>IF($A44="","",COUNTIFS(Responses!$AB$2:$AB$501,$A44,Responses!$AC$2:$AC$501,"Neither",Responses!$AI$2:$AI$501,1))</f>
        <v/>
      </c>
      <c r="E44" s="30">
        <f>IF($A44="","",COUNTIFS(Responses!$AB$2:$AB$501,$A44,Responses!$AC$2:$AC$501,"No position",Responses!$AI$2:$AI$501,1))</f>
        <v/>
      </c>
      <c r="F44" s="30">
        <f>IF($A44="","",COUNTIFS(Responses!$AB$2:$AB$501,$A44,Responses!$AI$2:$AI$501,1))</f>
        <v/>
      </c>
      <c r="G44" s="30">
        <f>IF($A44="","",COUNTIFS(Responses!$AB$2:$AB$501,$A44,Responses!$AD$2:$AD$501,"In person",Responses!$AI$2:$AI$501,1)+COUNTIFS(Responses!$AB$2:$AB$501,$A44,Responses!$AD$2:$AD$501,"Online",Responses!$AI$2:$AI$501,1))</f>
        <v/>
      </c>
      <c r="H44" s="30">
        <f>IF($A44="","",COUNTIFS(Responses!$AB$2:$AB$501,$A44,Responses!$AD$2:$AD$501,"Written only",Responses!$AI$2:$AI$501,1))</f>
        <v/>
      </c>
    </row>
    <row r="45">
      <c r="A45" s="31">
        <f>IFERROR(INDEX(Responses!$AB$2:$AB$501,MATCH(37,Responses!$AK$2:$AK$501,0)),"")</f>
        <v/>
      </c>
      <c r="B45" s="30">
        <f>IF($A45="","",COUNTIFS(Responses!$AB$2:$AB$501,$A45,Responses!$AC$2:$AC$501,"Support",Responses!$AI$2:$AI$501,1))</f>
        <v/>
      </c>
      <c r="C45" s="30">
        <f>IF($A45="","",COUNTIFS(Responses!$AB$2:$AB$501,$A45,Responses!$AC$2:$AC$501,"Oppose",Responses!$AI$2:$AI$501,1))</f>
        <v/>
      </c>
      <c r="D45" s="30">
        <f>IF($A45="","",COUNTIFS(Responses!$AB$2:$AB$501,$A45,Responses!$AC$2:$AC$501,"Neither",Responses!$AI$2:$AI$501,1))</f>
        <v/>
      </c>
      <c r="E45" s="30">
        <f>IF($A45="","",COUNTIFS(Responses!$AB$2:$AB$501,$A45,Responses!$AC$2:$AC$501,"No position",Responses!$AI$2:$AI$501,1))</f>
        <v/>
      </c>
      <c r="F45" s="30">
        <f>IF($A45="","",COUNTIFS(Responses!$AB$2:$AB$501,$A45,Responses!$AI$2:$AI$501,1))</f>
        <v/>
      </c>
      <c r="G45" s="30">
        <f>IF($A45="","",COUNTIFS(Responses!$AB$2:$AB$501,$A45,Responses!$AD$2:$AD$501,"In person",Responses!$AI$2:$AI$501,1)+COUNTIFS(Responses!$AB$2:$AB$501,$A45,Responses!$AD$2:$AD$501,"Online",Responses!$AI$2:$AI$501,1))</f>
        <v/>
      </c>
      <c r="H45" s="30">
        <f>IF($A45="","",COUNTIFS(Responses!$AB$2:$AB$501,$A45,Responses!$AD$2:$AD$501,"Written only",Responses!$AI$2:$AI$501,1))</f>
        <v/>
      </c>
    </row>
    <row r="46">
      <c r="A46" s="31">
        <f>IFERROR(INDEX(Responses!$AB$2:$AB$501,MATCH(38,Responses!$AK$2:$AK$501,0)),"")</f>
        <v/>
      </c>
      <c r="B46" s="30">
        <f>IF($A46="","",COUNTIFS(Responses!$AB$2:$AB$501,$A46,Responses!$AC$2:$AC$501,"Support",Responses!$AI$2:$AI$501,1))</f>
        <v/>
      </c>
      <c r="C46" s="30">
        <f>IF($A46="","",COUNTIFS(Responses!$AB$2:$AB$501,$A46,Responses!$AC$2:$AC$501,"Oppose",Responses!$AI$2:$AI$501,1))</f>
        <v/>
      </c>
      <c r="D46" s="30">
        <f>IF($A46="","",COUNTIFS(Responses!$AB$2:$AB$501,$A46,Responses!$AC$2:$AC$501,"Neither",Responses!$AI$2:$AI$501,1))</f>
        <v/>
      </c>
      <c r="E46" s="30">
        <f>IF($A46="","",COUNTIFS(Responses!$AB$2:$AB$501,$A46,Responses!$AC$2:$AC$501,"No position",Responses!$AI$2:$AI$501,1))</f>
        <v/>
      </c>
      <c r="F46" s="30">
        <f>IF($A46="","",COUNTIFS(Responses!$AB$2:$AB$501,$A46,Responses!$AI$2:$AI$501,1))</f>
        <v/>
      </c>
      <c r="G46" s="30">
        <f>IF($A46="","",COUNTIFS(Responses!$AB$2:$AB$501,$A46,Responses!$AD$2:$AD$501,"In person",Responses!$AI$2:$AI$501,1)+COUNTIFS(Responses!$AB$2:$AB$501,$A46,Responses!$AD$2:$AD$501,"Online",Responses!$AI$2:$AI$501,1))</f>
        <v/>
      </c>
      <c r="H46" s="30">
        <f>IF($A46="","",COUNTIFS(Responses!$AB$2:$AB$501,$A46,Responses!$AD$2:$AD$501,"Written only",Responses!$AI$2:$AI$501,1))</f>
        <v/>
      </c>
    </row>
    <row r="47">
      <c r="A47" s="31">
        <f>IFERROR(INDEX(Responses!$AB$2:$AB$501,MATCH(39,Responses!$AK$2:$AK$501,0)),"")</f>
        <v/>
      </c>
      <c r="B47" s="30">
        <f>IF($A47="","",COUNTIFS(Responses!$AB$2:$AB$501,$A47,Responses!$AC$2:$AC$501,"Support",Responses!$AI$2:$AI$501,1))</f>
        <v/>
      </c>
      <c r="C47" s="30">
        <f>IF($A47="","",COUNTIFS(Responses!$AB$2:$AB$501,$A47,Responses!$AC$2:$AC$501,"Oppose",Responses!$AI$2:$AI$501,1))</f>
        <v/>
      </c>
      <c r="D47" s="30">
        <f>IF($A47="","",COUNTIFS(Responses!$AB$2:$AB$501,$A47,Responses!$AC$2:$AC$501,"Neither",Responses!$AI$2:$AI$501,1))</f>
        <v/>
      </c>
      <c r="E47" s="30">
        <f>IF($A47="","",COUNTIFS(Responses!$AB$2:$AB$501,$A47,Responses!$AC$2:$AC$501,"No position",Responses!$AI$2:$AI$501,1))</f>
        <v/>
      </c>
      <c r="F47" s="30">
        <f>IF($A47="","",COUNTIFS(Responses!$AB$2:$AB$501,$A47,Responses!$AI$2:$AI$501,1))</f>
        <v/>
      </c>
      <c r="G47" s="30">
        <f>IF($A47="","",COUNTIFS(Responses!$AB$2:$AB$501,$A47,Responses!$AD$2:$AD$501,"In person",Responses!$AI$2:$AI$501,1)+COUNTIFS(Responses!$AB$2:$AB$501,$A47,Responses!$AD$2:$AD$501,"Online",Responses!$AI$2:$AI$501,1))</f>
        <v/>
      </c>
      <c r="H47" s="30">
        <f>IF($A47="","",COUNTIFS(Responses!$AB$2:$AB$501,$A47,Responses!$AD$2:$AD$501,"Written only",Responses!$AI$2:$AI$501,1))</f>
        <v/>
      </c>
    </row>
    <row r="48">
      <c r="A48" s="31">
        <f>IFERROR(INDEX(Responses!$AB$2:$AB$501,MATCH(40,Responses!$AK$2:$AK$501,0)),"")</f>
        <v/>
      </c>
      <c r="B48" s="30">
        <f>IF($A48="","",COUNTIFS(Responses!$AB$2:$AB$501,$A48,Responses!$AC$2:$AC$501,"Support",Responses!$AI$2:$AI$501,1))</f>
        <v/>
      </c>
      <c r="C48" s="30">
        <f>IF($A48="","",COUNTIFS(Responses!$AB$2:$AB$501,$A48,Responses!$AC$2:$AC$501,"Oppose",Responses!$AI$2:$AI$501,1))</f>
        <v/>
      </c>
      <c r="D48" s="30">
        <f>IF($A48="","",COUNTIFS(Responses!$AB$2:$AB$501,$A48,Responses!$AC$2:$AC$501,"Neither",Responses!$AI$2:$AI$501,1))</f>
        <v/>
      </c>
      <c r="E48" s="30">
        <f>IF($A48="","",COUNTIFS(Responses!$AB$2:$AB$501,$A48,Responses!$AC$2:$AC$501,"No position",Responses!$AI$2:$AI$501,1))</f>
        <v/>
      </c>
      <c r="F48" s="30">
        <f>IF($A48="","",COUNTIFS(Responses!$AB$2:$AB$501,$A48,Responses!$AI$2:$AI$501,1))</f>
        <v/>
      </c>
      <c r="G48" s="30">
        <f>IF($A48="","",COUNTIFS(Responses!$AB$2:$AB$501,$A48,Responses!$AD$2:$AD$501,"In person",Responses!$AI$2:$AI$501,1)+COUNTIFS(Responses!$AB$2:$AB$501,$A48,Responses!$AD$2:$AD$501,"Online",Responses!$AI$2:$AI$501,1))</f>
        <v/>
      </c>
      <c r="H48" s="30">
        <f>IF($A48="","",COUNTIFS(Responses!$AB$2:$AB$501,$A48,Responses!$AD$2:$AD$501,"Written only",Responses!$AI$2:$AI$501,1))</f>
        <v/>
      </c>
    </row>
    <row r="49">
      <c r="A49" s="10" t="inlineStr">
        <is>
          <t>All items</t>
        </is>
      </c>
      <c r="B49" s="34">
        <f>SUM(B9:B48)</f>
        <v/>
      </c>
      <c r="C49" s="34">
        <f>SUM(C9:C48)</f>
        <v/>
      </c>
      <c r="D49" s="34">
        <f>SUM(D9:D48)</f>
        <v/>
      </c>
      <c r="E49" s="34">
        <f>SUM(E9:E48)</f>
        <v/>
      </c>
      <c r="F49" s="34">
        <f>SUM(F9:F48)</f>
        <v/>
      </c>
      <c r="G49" s="34">
        <f>SUM(G9:G48)</f>
        <v/>
      </c>
      <c r="H49" s="34">
        <f>SUM(H9:H48)</f>
        <v/>
      </c>
    </row>
  </sheetData>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4B2E83"/>
    <outlinePr summaryBelow="1" summaryRight="1"/>
    <pageSetUpPr/>
  </sheetPr>
  <dimension ref="A1:G68"/>
  <sheetViews>
    <sheetView workbookViewId="0">
      <pane ySplit="8" topLeftCell="A9" activePane="bottomLeft" state="frozen"/>
      <selection pane="bottomLeft" activeCell="A1" sqref="A1"/>
    </sheetView>
  </sheetViews>
  <sheetFormatPr baseColWidth="8" defaultRowHeight="15"/>
  <cols>
    <col width="26" customWidth="1" min="1" max="1"/>
    <col width="22" customWidth="1" min="2" max="2"/>
    <col width="24" customWidth="1" min="3" max="3"/>
    <col width="12" customWidth="1" min="4" max="4"/>
    <col width="20" customWidth="1" min="5" max="5"/>
    <col width="22" customWidth="1" min="6" max="6"/>
    <col width="17" customWidth="1" min="7" max="7"/>
  </cols>
  <sheetData>
    <row r="1">
      <c r="A1" s="25" t="inlineStr">
        <is>
          <t>Speakers: in the order they sent their comment</t>
        </is>
      </c>
    </row>
    <row r="2">
      <c r="A2" s="26" t="inlineStr">
        <is>
          <t>Lists everyone who said they would speak, in person or online. Pick an item to see its speakers, or leave it empty for all items. The meeting date comes from the Tally tab.</t>
        </is>
      </c>
    </row>
    <row r="3">
      <c r="A3" s="27">
        <f>IF(COUNTIF(Responses!$A$2:$A$501,"EXAMPLE*")&gt;0,"You are looking at EXAMPLE data. Clear A2 to W11 on Responses, then paste your own.","")</f>
        <v/>
      </c>
    </row>
    <row r="5">
      <c r="A5" s="32" t="inlineStr">
        <is>
          <t>Item to show (optional)</t>
        </is>
      </c>
      <c r="B5" s="8" t="n"/>
    </row>
    <row r="8" ht="28" customHeight="1">
      <c r="A8" s="3" t="inlineStr">
        <is>
          <t>Order</t>
        </is>
      </c>
      <c r="B8" s="3" t="inlineStr">
        <is>
          <t>Item</t>
        </is>
      </c>
      <c r="C8" s="3" t="inlineStr">
        <is>
          <t>Name</t>
        </is>
      </c>
      <c r="D8" s="3" t="inlineStr">
        <is>
          <t>How</t>
        </is>
      </c>
      <c r="E8" s="3" t="inlineStr">
        <is>
          <t>Phone to join online</t>
        </is>
      </c>
      <c r="F8" s="3" t="inlineStr">
        <is>
          <t>City or neighborhood</t>
        </is>
      </c>
      <c r="G8" s="3" t="inlineStr">
        <is>
          <t>Received</t>
        </is>
      </c>
    </row>
    <row r="9">
      <c r="A9" s="30">
        <f>IF(ISNUMBER(SMALL(Responses!$AL$2:$AL$501,1)),1,"")</f>
        <v/>
      </c>
      <c r="B9" s="31">
        <f>IFERROR(INDEX(Responses!$AB$2:$AB$501,MATCH(SMALL(Responses!$AL$2:$AL$501,1),Responses!$AL$2:$AL$501,0)),"")</f>
        <v/>
      </c>
      <c r="C9" s="31">
        <f>IFERROR(INDEX(Responses!$AE$2:$AE$501,MATCH(SMALL(Responses!$AL$2:$AL$501,1),Responses!$AL$2:$AL$501,0)),"")</f>
        <v/>
      </c>
      <c r="D9" s="31">
        <f>IFERROR(INDEX(Responses!$AD$2:$AD$501,MATCH(SMALL(Responses!$AL$2:$AL$501,1),Responses!$AL$2:$AL$501,0)),"")</f>
        <v/>
      </c>
      <c r="E9" s="31">
        <f>IFERROR(INDEX(Responses!$AG$2:$AG$501,MATCH(SMALL(Responses!$AL$2:$AL$501,1),Responses!$AL$2:$AL$501,0)),"")</f>
        <v/>
      </c>
      <c r="F9" s="31">
        <f>IFERROR(INDEX(Responses!$AF$2:$AF$501,MATCH(SMALL(Responses!$AL$2:$AL$501,1),Responses!$AL$2:$AL$501,0)),"")</f>
        <v/>
      </c>
      <c r="G9" s="28">
        <f>IFERROR(INDEX(Responses!$Z$2:$Z$501,MATCH(SMALL(Responses!$AL$2:$AL$501,1),Responses!$AL$2:$AL$501,0)),"")</f>
        <v/>
      </c>
    </row>
    <row r="10">
      <c r="A10" s="30">
        <f>IF(ISNUMBER(SMALL(Responses!$AL$2:$AL$501,2)),2,"")</f>
        <v/>
      </c>
      <c r="B10" s="31">
        <f>IFERROR(INDEX(Responses!$AB$2:$AB$501,MATCH(SMALL(Responses!$AL$2:$AL$501,2),Responses!$AL$2:$AL$501,0)),"")</f>
        <v/>
      </c>
      <c r="C10" s="31">
        <f>IFERROR(INDEX(Responses!$AE$2:$AE$501,MATCH(SMALL(Responses!$AL$2:$AL$501,2),Responses!$AL$2:$AL$501,0)),"")</f>
        <v/>
      </c>
      <c r="D10" s="31">
        <f>IFERROR(INDEX(Responses!$AD$2:$AD$501,MATCH(SMALL(Responses!$AL$2:$AL$501,2),Responses!$AL$2:$AL$501,0)),"")</f>
        <v/>
      </c>
      <c r="E10" s="31">
        <f>IFERROR(INDEX(Responses!$AG$2:$AG$501,MATCH(SMALL(Responses!$AL$2:$AL$501,2),Responses!$AL$2:$AL$501,0)),"")</f>
        <v/>
      </c>
      <c r="F10" s="31">
        <f>IFERROR(INDEX(Responses!$AF$2:$AF$501,MATCH(SMALL(Responses!$AL$2:$AL$501,2),Responses!$AL$2:$AL$501,0)),"")</f>
        <v/>
      </c>
      <c r="G10" s="28">
        <f>IFERROR(INDEX(Responses!$Z$2:$Z$501,MATCH(SMALL(Responses!$AL$2:$AL$501,2),Responses!$AL$2:$AL$501,0)),"")</f>
        <v/>
      </c>
    </row>
    <row r="11">
      <c r="A11" s="30">
        <f>IF(ISNUMBER(SMALL(Responses!$AL$2:$AL$501,3)),3,"")</f>
        <v/>
      </c>
      <c r="B11" s="31">
        <f>IFERROR(INDEX(Responses!$AB$2:$AB$501,MATCH(SMALL(Responses!$AL$2:$AL$501,3),Responses!$AL$2:$AL$501,0)),"")</f>
        <v/>
      </c>
      <c r="C11" s="31">
        <f>IFERROR(INDEX(Responses!$AE$2:$AE$501,MATCH(SMALL(Responses!$AL$2:$AL$501,3),Responses!$AL$2:$AL$501,0)),"")</f>
        <v/>
      </c>
      <c r="D11" s="31">
        <f>IFERROR(INDEX(Responses!$AD$2:$AD$501,MATCH(SMALL(Responses!$AL$2:$AL$501,3),Responses!$AL$2:$AL$501,0)),"")</f>
        <v/>
      </c>
      <c r="E11" s="31">
        <f>IFERROR(INDEX(Responses!$AG$2:$AG$501,MATCH(SMALL(Responses!$AL$2:$AL$501,3),Responses!$AL$2:$AL$501,0)),"")</f>
        <v/>
      </c>
      <c r="F11" s="31">
        <f>IFERROR(INDEX(Responses!$AF$2:$AF$501,MATCH(SMALL(Responses!$AL$2:$AL$501,3),Responses!$AL$2:$AL$501,0)),"")</f>
        <v/>
      </c>
      <c r="G11" s="28">
        <f>IFERROR(INDEX(Responses!$Z$2:$Z$501,MATCH(SMALL(Responses!$AL$2:$AL$501,3),Responses!$AL$2:$AL$501,0)),"")</f>
        <v/>
      </c>
    </row>
    <row r="12">
      <c r="A12" s="30">
        <f>IF(ISNUMBER(SMALL(Responses!$AL$2:$AL$501,4)),4,"")</f>
        <v/>
      </c>
      <c r="B12" s="31">
        <f>IFERROR(INDEX(Responses!$AB$2:$AB$501,MATCH(SMALL(Responses!$AL$2:$AL$501,4),Responses!$AL$2:$AL$501,0)),"")</f>
        <v/>
      </c>
      <c r="C12" s="31">
        <f>IFERROR(INDEX(Responses!$AE$2:$AE$501,MATCH(SMALL(Responses!$AL$2:$AL$501,4),Responses!$AL$2:$AL$501,0)),"")</f>
        <v/>
      </c>
      <c r="D12" s="31">
        <f>IFERROR(INDEX(Responses!$AD$2:$AD$501,MATCH(SMALL(Responses!$AL$2:$AL$501,4),Responses!$AL$2:$AL$501,0)),"")</f>
        <v/>
      </c>
      <c r="E12" s="31">
        <f>IFERROR(INDEX(Responses!$AG$2:$AG$501,MATCH(SMALL(Responses!$AL$2:$AL$501,4),Responses!$AL$2:$AL$501,0)),"")</f>
        <v/>
      </c>
      <c r="F12" s="31">
        <f>IFERROR(INDEX(Responses!$AF$2:$AF$501,MATCH(SMALL(Responses!$AL$2:$AL$501,4),Responses!$AL$2:$AL$501,0)),"")</f>
        <v/>
      </c>
      <c r="G12" s="28">
        <f>IFERROR(INDEX(Responses!$Z$2:$Z$501,MATCH(SMALL(Responses!$AL$2:$AL$501,4),Responses!$AL$2:$AL$501,0)),"")</f>
        <v/>
      </c>
    </row>
    <row r="13">
      <c r="A13" s="30">
        <f>IF(ISNUMBER(SMALL(Responses!$AL$2:$AL$501,5)),5,"")</f>
        <v/>
      </c>
      <c r="B13" s="31">
        <f>IFERROR(INDEX(Responses!$AB$2:$AB$501,MATCH(SMALL(Responses!$AL$2:$AL$501,5),Responses!$AL$2:$AL$501,0)),"")</f>
        <v/>
      </c>
      <c r="C13" s="31">
        <f>IFERROR(INDEX(Responses!$AE$2:$AE$501,MATCH(SMALL(Responses!$AL$2:$AL$501,5),Responses!$AL$2:$AL$501,0)),"")</f>
        <v/>
      </c>
      <c r="D13" s="31">
        <f>IFERROR(INDEX(Responses!$AD$2:$AD$501,MATCH(SMALL(Responses!$AL$2:$AL$501,5),Responses!$AL$2:$AL$501,0)),"")</f>
        <v/>
      </c>
      <c r="E13" s="31">
        <f>IFERROR(INDEX(Responses!$AG$2:$AG$501,MATCH(SMALL(Responses!$AL$2:$AL$501,5),Responses!$AL$2:$AL$501,0)),"")</f>
        <v/>
      </c>
      <c r="F13" s="31">
        <f>IFERROR(INDEX(Responses!$AF$2:$AF$501,MATCH(SMALL(Responses!$AL$2:$AL$501,5),Responses!$AL$2:$AL$501,0)),"")</f>
        <v/>
      </c>
      <c r="G13" s="28">
        <f>IFERROR(INDEX(Responses!$Z$2:$Z$501,MATCH(SMALL(Responses!$AL$2:$AL$501,5),Responses!$AL$2:$AL$501,0)),"")</f>
        <v/>
      </c>
    </row>
    <row r="14">
      <c r="A14" s="30">
        <f>IF(ISNUMBER(SMALL(Responses!$AL$2:$AL$501,6)),6,"")</f>
        <v/>
      </c>
      <c r="B14" s="31">
        <f>IFERROR(INDEX(Responses!$AB$2:$AB$501,MATCH(SMALL(Responses!$AL$2:$AL$501,6),Responses!$AL$2:$AL$501,0)),"")</f>
        <v/>
      </c>
      <c r="C14" s="31">
        <f>IFERROR(INDEX(Responses!$AE$2:$AE$501,MATCH(SMALL(Responses!$AL$2:$AL$501,6),Responses!$AL$2:$AL$501,0)),"")</f>
        <v/>
      </c>
      <c r="D14" s="31">
        <f>IFERROR(INDEX(Responses!$AD$2:$AD$501,MATCH(SMALL(Responses!$AL$2:$AL$501,6),Responses!$AL$2:$AL$501,0)),"")</f>
        <v/>
      </c>
      <c r="E14" s="31">
        <f>IFERROR(INDEX(Responses!$AG$2:$AG$501,MATCH(SMALL(Responses!$AL$2:$AL$501,6),Responses!$AL$2:$AL$501,0)),"")</f>
        <v/>
      </c>
      <c r="F14" s="31">
        <f>IFERROR(INDEX(Responses!$AF$2:$AF$501,MATCH(SMALL(Responses!$AL$2:$AL$501,6),Responses!$AL$2:$AL$501,0)),"")</f>
        <v/>
      </c>
      <c r="G14" s="28">
        <f>IFERROR(INDEX(Responses!$Z$2:$Z$501,MATCH(SMALL(Responses!$AL$2:$AL$501,6),Responses!$AL$2:$AL$501,0)),"")</f>
        <v/>
      </c>
    </row>
    <row r="15">
      <c r="A15" s="30">
        <f>IF(ISNUMBER(SMALL(Responses!$AL$2:$AL$501,7)),7,"")</f>
        <v/>
      </c>
      <c r="B15" s="31">
        <f>IFERROR(INDEX(Responses!$AB$2:$AB$501,MATCH(SMALL(Responses!$AL$2:$AL$501,7),Responses!$AL$2:$AL$501,0)),"")</f>
        <v/>
      </c>
      <c r="C15" s="31">
        <f>IFERROR(INDEX(Responses!$AE$2:$AE$501,MATCH(SMALL(Responses!$AL$2:$AL$501,7),Responses!$AL$2:$AL$501,0)),"")</f>
        <v/>
      </c>
      <c r="D15" s="31">
        <f>IFERROR(INDEX(Responses!$AD$2:$AD$501,MATCH(SMALL(Responses!$AL$2:$AL$501,7),Responses!$AL$2:$AL$501,0)),"")</f>
        <v/>
      </c>
      <c r="E15" s="31">
        <f>IFERROR(INDEX(Responses!$AG$2:$AG$501,MATCH(SMALL(Responses!$AL$2:$AL$501,7),Responses!$AL$2:$AL$501,0)),"")</f>
        <v/>
      </c>
      <c r="F15" s="31">
        <f>IFERROR(INDEX(Responses!$AF$2:$AF$501,MATCH(SMALL(Responses!$AL$2:$AL$501,7),Responses!$AL$2:$AL$501,0)),"")</f>
        <v/>
      </c>
      <c r="G15" s="28">
        <f>IFERROR(INDEX(Responses!$Z$2:$Z$501,MATCH(SMALL(Responses!$AL$2:$AL$501,7),Responses!$AL$2:$AL$501,0)),"")</f>
        <v/>
      </c>
    </row>
    <row r="16">
      <c r="A16" s="30">
        <f>IF(ISNUMBER(SMALL(Responses!$AL$2:$AL$501,8)),8,"")</f>
        <v/>
      </c>
      <c r="B16" s="31">
        <f>IFERROR(INDEX(Responses!$AB$2:$AB$501,MATCH(SMALL(Responses!$AL$2:$AL$501,8),Responses!$AL$2:$AL$501,0)),"")</f>
        <v/>
      </c>
      <c r="C16" s="31">
        <f>IFERROR(INDEX(Responses!$AE$2:$AE$501,MATCH(SMALL(Responses!$AL$2:$AL$501,8),Responses!$AL$2:$AL$501,0)),"")</f>
        <v/>
      </c>
      <c r="D16" s="31">
        <f>IFERROR(INDEX(Responses!$AD$2:$AD$501,MATCH(SMALL(Responses!$AL$2:$AL$501,8),Responses!$AL$2:$AL$501,0)),"")</f>
        <v/>
      </c>
      <c r="E16" s="31">
        <f>IFERROR(INDEX(Responses!$AG$2:$AG$501,MATCH(SMALL(Responses!$AL$2:$AL$501,8),Responses!$AL$2:$AL$501,0)),"")</f>
        <v/>
      </c>
      <c r="F16" s="31">
        <f>IFERROR(INDEX(Responses!$AF$2:$AF$501,MATCH(SMALL(Responses!$AL$2:$AL$501,8),Responses!$AL$2:$AL$501,0)),"")</f>
        <v/>
      </c>
      <c r="G16" s="28">
        <f>IFERROR(INDEX(Responses!$Z$2:$Z$501,MATCH(SMALL(Responses!$AL$2:$AL$501,8),Responses!$AL$2:$AL$501,0)),"")</f>
        <v/>
      </c>
    </row>
    <row r="17">
      <c r="A17" s="30">
        <f>IF(ISNUMBER(SMALL(Responses!$AL$2:$AL$501,9)),9,"")</f>
        <v/>
      </c>
      <c r="B17" s="31">
        <f>IFERROR(INDEX(Responses!$AB$2:$AB$501,MATCH(SMALL(Responses!$AL$2:$AL$501,9),Responses!$AL$2:$AL$501,0)),"")</f>
        <v/>
      </c>
      <c r="C17" s="31">
        <f>IFERROR(INDEX(Responses!$AE$2:$AE$501,MATCH(SMALL(Responses!$AL$2:$AL$501,9),Responses!$AL$2:$AL$501,0)),"")</f>
        <v/>
      </c>
      <c r="D17" s="31">
        <f>IFERROR(INDEX(Responses!$AD$2:$AD$501,MATCH(SMALL(Responses!$AL$2:$AL$501,9),Responses!$AL$2:$AL$501,0)),"")</f>
        <v/>
      </c>
      <c r="E17" s="31">
        <f>IFERROR(INDEX(Responses!$AG$2:$AG$501,MATCH(SMALL(Responses!$AL$2:$AL$501,9),Responses!$AL$2:$AL$501,0)),"")</f>
        <v/>
      </c>
      <c r="F17" s="31">
        <f>IFERROR(INDEX(Responses!$AF$2:$AF$501,MATCH(SMALL(Responses!$AL$2:$AL$501,9),Responses!$AL$2:$AL$501,0)),"")</f>
        <v/>
      </c>
      <c r="G17" s="28">
        <f>IFERROR(INDEX(Responses!$Z$2:$Z$501,MATCH(SMALL(Responses!$AL$2:$AL$501,9),Responses!$AL$2:$AL$501,0)),"")</f>
        <v/>
      </c>
    </row>
    <row r="18">
      <c r="A18" s="30">
        <f>IF(ISNUMBER(SMALL(Responses!$AL$2:$AL$501,10)),10,"")</f>
        <v/>
      </c>
      <c r="B18" s="31">
        <f>IFERROR(INDEX(Responses!$AB$2:$AB$501,MATCH(SMALL(Responses!$AL$2:$AL$501,10),Responses!$AL$2:$AL$501,0)),"")</f>
        <v/>
      </c>
      <c r="C18" s="31">
        <f>IFERROR(INDEX(Responses!$AE$2:$AE$501,MATCH(SMALL(Responses!$AL$2:$AL$501,10),Responses!$AL$2:$AL$501,0)),"")</f>
        <v/>
      </c>
      <c r="D18" s="31">
        <f>IFERROR(INDEX(Responses!$AD$2:$AD$501,MATCH(SMALL(Responses!$AL$2:$AL$501,10),Responses!$AL$2:$AL$501,0)),"")</f>
        <v/>
      </c>
      <c r="E18" s="31">
        <f>IFERROR(INDEX(Responses!$AG$2:$AG$501,MATCH(SMALL(Responses!$AL$2:$AL$501,10),Responses!$AL$2:$AL$501,0)),"")</f>
        <v/>
      </c>
      <c r="F18" s="31">
        <f>IFERROR(INDEX(Responses!$AF$2:$AF$501,MATCH(SMALL(Responses!$AL$2:$AL$501,10),Responses!$AL$2:$AL$501,0)),"")</f>
        <v/>
      </c>
      <c r="G18" s="28">
        <f>IFERROR(INDEX(Responses!$Z$2:$Z$501,MATCH(SMALL(Responses!$AL$2:$AL$501,10),Responses!$AL$2:$AL$501,0)),"")</f>
        <v/>
      </c>
    </row>
    <row r="19">
      <c r="A19" s="30">
        <f>IF(ISNUMBER(SMALL(Responses!$AL$2:$AL$501,11)),11,"")</f>
        <v/>
      </c>
      <c r="B19" s="31">
        <f>IFERROR(INDEX(Responses!$AB$2:$AB$501,MATCH(SMALL(Responses!$AL$2:$AL$501,11),Responses!$AL$2:$AL$501,0)),"")</f>
        <v/>
      </c>
      <c r="C19" s="31">
        <f>IFERROR(INDEX(Responses!$AE$2:$AE$501,MATCH(SMALL(Responses!$AL$2:$AL$501,11),Responses!$AL$2:$AL$501,0)),"")</f>
        <v/>
      </c>
      <c r="D19" s="31">
        <f>IFERROR(INDEX(Responses!$AD$2:$AD$501,MATCH(SMALL(Responses!$AL$2:$AL$501,11),Responses!$AL$2:$AL$501,0)),"")</f>
        <v/>
      </c>
      <c r="E19" s="31">
        <f>IFERROR(INDEX(Responses!$AG$2:$AG$501,MATCH(SMALL(Responses!$AL$2:$AL$501,11),Responses!$AL$2:$AL$501,0)),"")</f>
        <v/>
      </c>
      <c r="F19" s="31">
        <f>IFERROR(INDEX(Responses!$AF$2:$AF$501,MATCH(SMALL(Responses!$AL$2:$AL$501,11),Responses!$AL$2:$AL$501,0)),"")</f>
        <v/>
      </c>
      <c r="G19" s="28">
        <f>IFERROR(INDEX(Responses!$Z$2:$Z$501,MATCH(SMALL(Responses!$AL$2:$AL$501,11),Responses!$AL$2:$AL$501,0)),"")</f>
        <v/>
      </c>
    </row>
    <row r="20">
      <c r="A20" s="30">
        <f>IF(ISNUMBER(SMALL(Responses!$AL$2:$AL$501,12)),12,"")</f>
        <v/>
      </c>
      <c r="B20" s="31">
        <f>IFERROR(INDEX(Responses!$AB$2:$AB$501,MATCH(SMALL(Responses!$AL$2:$AL$501,12),Responses!$AL$2:$AL$501,0)),"")</f>
        <v/>
      </c>
      <c r="C20" s="31">
        <f>IFERROR(INDEX(Responses!$AE$2:$AE$501,MATCH(SMALL(Responses!$AL$2:$AL$501,12),Responses!$AL$2:$AL$501,0)),"")</f>
        <v/>
      </c>
      <c r="D20" s="31">
        <f>IFERROR(INDEX(Responses!$AD$2:$AD$501,MATCH(SMALL(Responses!$AL$2:$AL$501,12),Responses!$AL$2:$AL$501,0)),"")</f>
        <v/>
      </c>
      <c r="E20" s="31">
        <f>IFERROR(INDEX(Responses!$AG$2:$AG$501,MATCH(SMALL(Responses!$AL$2:$AL$501,12),Responses!$AL$2:$AL$501,0)),"")</f>
        <v/>
      </c>
      <c r="F20" s="31">
        <f>IFERROR(INDEX(Responses!$AF$2:$AF$501,MATCH(SMALL(Responses!$AL$2:$AL$501,12),Responses!$AL$2:$AL$501,0)),"")</f>
        <v/>
      </c>
      <c r="G20" s="28">
        <f>IFERROR(INDEX(Responses!$Z$2:$Z$501,MATCH(SMALL(Responses!$AL$2:$AL$501,12),Responses!$AL$2:$AL$501,0)),"")</f>
        <v/>
      </c>
    </row>
    <row r="21">
      <c r="A21" s="30">
        <f>IF(ISNUMBER(SMALL(Responses!$AL$2:$AL$501,13)),13,"")</f>
        <v/>
      </c>
      <c r="B21" s="31">
        <f>IFERROR(INDEX(Responses!$AB$2:$AB$501,MATCH(SMALL(Responses!$AL$2:$AL$501,13),Responses!$AL$2:$AL$501,0)),"")</f>
        <v/>
      </c>
      <c r="C21" s="31">
        <f>IFERROR(INDEX(Responses!$AE$2:$AE$501,MATCH(SMALL(Responses!$AL$2:$AL$501,13),Responses!$AL$2:$AL$501,0)),"")</f>
        <v/>
      </c>
      <c r="D21" s="31">
        <f>IFERROR(INDEX(Responses!$AD$2:$AD$501,MATCH(SMALL(Responses!$AL$2:$AL$501,13),Responses!$AL$2:$AL$501,0)),"")</f>
        <v/>
      </c>
      <c r="E21" s="31">
        <f>IFERROR(INDEX(Responses!$AG$2:$AG$501,MATCH(SMALL(Responses!$AL$2:$AL$501,13),Responses!$AL$2:$AL$501,0)),"")</f>
        <v/>
      </c>
      <c r="F21" s="31">
        <f>IFERROR(INDEX(Responses!$AF$2:$AF$501,MATCH(SMALL(Responses!$AL$2:$AL$501,13),Responses!$AL$2:$AL$501,0)),"")</f>
        <v/>
      </c>
      <c r="G21" s="28">
        <f>IFERROR(INDEX(Responses!$Z$2:$Z$501,MATCH(SMALL(Responses!$AL$2:$AL$501,13),Responses!$AL$2:$AL$501,0)),"")</f>
        <v/>
      </c>
    </row>
    <row r="22">
      <c r="A22" s="30">
        <f>IF(ISNUMBER(SMALL(Responses!$AL$2:$AL$501,14)),14,"")</f>
        <v/>
      </c>
      <c r="B22" s="31">
        <f>IFERROR(INDEX(Responses!$AB$2:$AB$501,MATCH(SMALL(Responses!$AL$2:$AL$501,14),Responses!$AL$2:$AL$501,0)),"")</f>
        <v/>
      </c>
      <c r="C22" s="31">
        <f>IFERROR(INDEX(Responses!$AE$2:$AE$501,MATCH(SMALL(Responses!$AL$2:$AL$501,14),Responses!$AL$2:$AL$501,0)),"")</f>
        <v/>
      </c>
      <c r="D22" s="31">
        <f>IFERROR(INDEX(Responses!$AD$2:$AD$501,MATCH(SMALL(Responses!$AL$2:$AL$501,14),Responses!$AL$2:$AL$501,0)),"")</f>
        <v/>
      </c>
      <c r="E22" s="31">
        <f>IFERROR(INDEX(Responses!$AG$2:$AG$501,MATCH(SMALL(Responses!$AL$2:$AL$501,14),Responses!$AL$2:$AL$501,0)),"")</f>
        <v/>
      </c>
      <c r="F22" s="31">
        <f>IFERROR(INDEX(Responses!$AF$2:$AF$501,MATCH(SMALL(Responses!$AL$2:$AL$501,14),Responses!$AL$2:$AL$501,0)),"")</f>
        <v/>
      </c>
      <c r="G22" s="28">
        <f>IFERROR(INDEX(Responses!$Z$2:$Z$501,MATCH(SMALL(Responses!$AL$2:$AL$501,14),Responses!$AL$2:$AL$501,0)),"")</f>
        <v/>
      </c>
    </row>
    <row r="23">
      <c r="A23" s="30">
        <f>IF(ISNUMBER(SMALL(Responses!$AL$2:$AL$501,15)),15,"")</f>
        <v/>
      </c>
      <c r="B23" s="31">
        <f>IFERROR(INDEX(Responses!$AB$2:$AB$501,MATCH(SMALL(Responses!$AL$2:$AL$501,15),Responses!$AL$2:$AL$501,0)),"")</f>
        <v/>
      </c>
      <c r="C23" s="31">
        <f>IFERROR(INDEX(Responses!$AE$2:$AE$501,MATCH(SMALL(Responses!$AL$2:$AL$501,15),Responses!$AL$2:$AL$501,0)),"")</f>
        <v/>
      </c>
      <c r="D23" s="31">
        <f>IFERROR(INDEX(Responses!$AD$2:$AD$501,MATCH(SMALL(Responses!$AL$2:$AL$501,15),Responses!$AL$2:$AL$501,0)),"")</f>
        <v/>
      </c>
      <c r="E23" s="31">
        <f>IFERROR(INDEX(Responses!$AG$2:$AG$501,MATCH(SMALL(Responses!$AL$2:$AL$501,15),Responses!$AL$2:$AL$501,0)),"")</f>
        <v/>
      </c>
      <c r="F23" s="31">
        <f>IFERROR(INDEX(Responses!$AF$2:$AF$501,MATCH(SMALL(Responses!$AL$2:$AL$501,15),Responses!$AL$2:$AL$501,0)),"")</f>
        <v/>
      </c>
      <c r="G23" s="28">
        <f>IFERROR(INDEX(Responses!$Z$2:$Z$501,MATCH(SMALL(Responses!$AL$2:$AL$501,15),Responses!$AL$2:$AL$501,0)),"")</f>
        <v/>
      </c>
    </row>
    <row r="24">
      <c r="A24" s="30">
        <f>IF(ISNUMBER(SMALL(Responses!$AL$2:$AL$501,16)),16,"")</f>
        <v/>
      </c>
      <c r="B24" s="31">
        <f>IFERROR(INDEX(Responses!$AB$2:$AB$501,MATCH(SMALL(Responses!$AL$2:$AL$501,16),Responses!$AL$2:$AL$501,0)),"")</f>
        <v/>
      </c>
      <c r="C24" s="31">
        <f>IFERROR(INDEX(Responses!$AE$2:$AE$501,MATCH(SMALL(Responses!$AL$2:$AL$501,16),Responses!$AL$2:$AL$501,0)),"")</f>
        <v/>
      </c>
      <c r="D24" s="31">
        <f>IFERROR(INDEX(Responses!$AD$2:$AD$501,MATCH(SMALL(Responses!$AL$2:$AL$501,16),Responses!$AL$2:$AL$501,0)),"")</f>
        <v/>
      </c>
      <c r="E24" s="31">
        <f>IFERROR(INDEX(Responses!$AG$2:$AG$501,MATCH(SMALL(Responses!$AL$2:$AL$501,16),Responses!$AL$2:$AL$501,0)),"")</f>
        <v/>
      </c>
      <c r="F24" s="31">
        <f>IFERROR(INDEX(Responses!$AF$2:$AF$501,MATCH(SMALL(Responses!$AL$2:$AL$501,16),Responses!$AL$2:$AL$501,0)),"")</f>
        <v/>
      </c>
      <c r="G24" s="28">
        <f>IFERROR(INDEX(Responses!$Z$2:$Z$501,MATCH(SMALL(Responses!$AL$2:$AL$501,16),Responses!$AL$2:$AL$501,0)),"")</f>
        <v/>
      </c>
    </row>
    <row r="25">
      <c r="A25" s="30">
        <f>IF(ISNUMBER(SMALL(Responses!$AL$2:$AL$501,17)),17,"")</f>
        <v/>
      </c>
      <c r="B25" s="31">
        <f>IFERROR(INDEX(Responses!$AB$2:$AB$501,MATCH(SMALL(Responses!$AL$2:$AL$501,17),Responses!$AL$2:$AL$501,0)),"")</f>
        <v/>
      </c>
      <c r="C25" s="31">
        <f>IFERROR(INDEX(Responses!$AE$2:$AE$501,MATCH(SMALL(Responses!$AL$2:$AL$501,17),Responses!$AL$2:$AL$501,0)),"")</f>
        <v/>
      </c>
      <c r="D25" s="31">
        <f>IFERROR(INDEX(Responses!$AD$2:$AD$501,MATCH(SMALL(Responses!$AL$2:$AL$501,17),Responses!$AL$2:$AL$501,0)),"")</f>
        <v/>
      </c>
      <c r="E25" s="31">
        <f>IFERROR(INDEX(Responses!$AG$2:$AG$501,MATCH(SMALL(Responses!$AL$2:$AL$501,17),Responses!$AL$2:$AL$501,0)),"")</f>
        <v/>
      </c>
      <c r="F25" s="31">
        <f>IFERROR(INDEX(Responses!$AF$2:$AF$501,MATCH(SMALL(Responses!$AL$2:$AL$501,17),Responses!$AL$2:$AL$501,0)),"")</f>
        <v/>
      </c>
      <c r="G25" s="28">
        <f>IFERROR(INDEX(Responses!$Z$2:$Z$501,MATCH(SMALL(Responses!$AL$2:$AL$501,17),Responses!$AL$2:$AL$501,0)),"")</f>
        <v/>
      </c>
    </row>
    <row r="26">
      <c r="A26" s="30">
        <f>IF(ISNUMBER(SMALL(Responses!$AL$2:$AL$501,18)),18,"")</f>
        <v/>
      </c>
      <c r="B26" s="31">
        <f>IFERROR(INDEX(Responses!$AB$2:$AB$501,MATCH(SMALL(Responses!$AL$2:$AL$501,18),Responses!$AL$2:$AL$501,0)),"")</f>
        <v/>
      </c>
      <c r="C26" s="31">
        <f>IFERROR(INDEX(Responses!$AE$2:$AE$501,MATCH(SMALL(Responses!$AL$2:$AL$501,18),Responses!$AL$2:$AL$501,0)),"")</f>
        <v/>
      </c>
      <c r="D26" s="31">
        <f>IFERROR(INDEX(Responses!$AD$2:$AD$501,MATCH(SMALL(Responses!$AL$2:$AL$501,18),Responses!$AL$2:$AL$501,0)),"")</f>
        <v/>
      </c>
      <c r="E26" s="31">
        <f>IFERROR(INDEX(Responses!$AG$2:$AG$501,MATCH(SMALL(Responses!$AL$2:$AL$501,18),Responses!$AL$2:$AL$501,0)),"")</f>
        <v/>
      </c>
      <c r="F26" s="31">
        <f>IFERROR(INDEX(Responses!$AF$2:$AF$501,MATCH(SMALL(Responses!$AL$2:$AL$501,18),Responses!$AL$2:$AL$501,0)),"")</f>
        <v/>
      </c>
      <c r="G26" s="28">
        <f>IFERROR(INDEX(Responses!$Z$2:$Z$501,MATCH(SMALL(Responses!$AL$2:$AL$501,18),Responses!$AL$2:$AL$501,0)),"")</f>
        <v/>
      </c>
    </row>
    <row r="27">
      <c r="A27" s="30">
        <f>IF(ISNUMBER(SMALL(Responses!$AL$2:$AL$501,19)),19,"")</f>
        <v/>
      </c>
      <c r="B27" s="31">
        <f>IFERROR(INDEX(Responses!$AB$2:$AB$501,MATCH(SMALL(Responses!$AL$2:$AL$501,19),Responses!$AL$2:$AL$501,0)),"")</f>
        <v/>
      </c>
      <c r="C27" s="31">
        <f>IFERROR(INDEX(Responses!$AE$2:$AE$501,MATCH(SMALL(Responses!$AL$2:$AL$501,19),Responses!$AL$2:$AL$501,0)),"")</f>
        <v/>
      </c>
      <c r="D27" s="31">
        <f>IFERROR(INDEX(Responses!$AD$2:$AD$501,MATCH(SMALL(Responses!$AL$2:$AL$501,19),Responses!$AL$2:$AL$501,0)),"")</f>
        <v/>
      </c>
      <c r="E27" s="31">
        <f>IFERROR(INDEX(Responses!$AG$2:$AG$501,MATCH(SMALL(Responses!$AL$2:$AL$501,19),Responses!$AL$2:$AL$501,0)),"")</f>
        <v/>
      </c>
      <c r="F27" s="31">
        <f>IFERROR(INDEX(Responses!$AF$2:$AF$501,MATCH(SMALL(Responses!$AL$2:$AL$501,19),Responses!$AL$2:$AL$501,0)),"")</f>
        <v/>
      </c>
      <c r="G27" s="28">
        <f>IFERROR(INDEX(Responses!$Z$2:$Z$501,MATCH(SMALL(Responses!$AL$2:$AL$501,19),Responses!$AL$2:$AL$501,0)),"")</f>
        <v/>
      </c>
    </row>
    <row r="28">
      <c r="A28" s="30">
        <f>IF(ISNUMBER(SMALL(Responses!$AL$2:$AL$501,20)),20,"")</f>
        <v/>
      </c>
      <c r="B28" s="31">
        <f>IFERROR(INDEX(Responses!$AB$2:$AB$501,MATCH(SMALL(Responses!$AL$2:$AL$501,20),Responses!$AL$2:$AL$501,0)),"")</f>
        <v/>
      </c>
      <c r="C28" s="31">
        <f>IFERROR(INDEX(Responses!$AE$2:$AE$501,MATCH(SMALL(Responses!$AL$2:$AL$501,20),Responses!$AL$2:$AL$501,0)),"")</f>
        <v/>
      </c>
      <c r="D28" s="31">
        <f>IFERROR(INDEX(Responses!$AD$2:$AD$501,MATCH(SMALL(Responses!$AL$2:$AL$501,20),Responses!$AL$2:$AL$501,0)),"")</f>
        <v/>
      </c>
      <c r="E28" s="31">
        <f>IFERROR(INDEX(Responses!$AG$2:$AG$501,MATCH(SMALL(Responses!$AL$2:$AL$501,20),Responses!$AL$2:$AL$501,0)),"")</f>
        <v/>
      </c>
      <c r="F28" s="31">
        <f>IFERROR(INDEX(Responses!$AF$2:$AF$501,MATCH(SMALL(Responses!$AL$2:$AL$501,20),Responses!$AL$2:$AL$501,0)),"")</f>
        <v/>
      </c>
      <c r="G28" s="28">
        <f>IFERROR(INDEX(Responses!$Z$2:$Z$501,MATCH(SMALL(Responses!$AL$2:$AL$501,20),Responses!$AL$2:$AL$501,0)),"")</f>
        <v/>
      </c>
    </row>
    <row r="29">
      <c r="A29" s="30">
        <f>IF(ISNUMBER(SMALL(Responses!$AL$2:$AL$501,21)),21,"")</f>
        <v/>
      </c>
      <c r="B29" s="31">
        <f>IFERROR(INDEX(Responses!$AB$2:$AB$501,MATCH(SMALL(Responses!$AL$2:$AL$501,21),Responses!$AL$2:$AL$501,0)),"")</f>
        <v/>
      </c>
      <c r="C29" s="31">
        <f>IFERROR(INDEX(Responses!$AE$2:$AE$501,MATCH(SMALL(Responses!$AL$2:$AL$501,21),Responses!$AL$2:$AL$501,0)),"")</f>
        <v/>
      </c>
      <c r="D29" s="31">
        <f>IFERROR(INDEX(Responses!$AD$2:$AD$501,MATCH(SMALL(Responses!$AL$2:$AL$501,21),Responses!$AL$2:$AL$501,0)),"")</f>
        <v/>
      </c>
      <c r="E29" s="31">
        <f>IFERROR(INDEX(Responses!$AG$2:$AG$501,MATCH(SMALL(Responses!$AL$2:$AL$501,21),Responses!$AL$2:$AL$501,0)),"")</f>
        <v/>
      </c>
      <c r="F29" s="31">
        <f>IFERROR(INDEX(Responses!$AF$2:$AF$501,MATCH(SMALL(Responses!$AL$2:$AL$501,21),Responses!$AL$2:$AL$501,0)),"")</f>
        <v/>
      </c>
      <c r="G29" s="28">
        <f>IFERROR(INDEX(Responses!$Z$2:$Z$501,MATCH(SMALL(Responses!$AL$2:$AL$501,21),Responses!$AL$2:$AL$501,0)),"")</f>
        <v/>
      </c>
    </row>
    <row r="30">
      <c r="A30" s="30">
        <f>IF(ISNUMBER(SMALL(Responses!$AL$2:$AL$501,22)),22,"")</f>
        <v/>
      </c>
      <c r="B30" s="31">
        <f>IFERROR(INDEX(Responses!$AB$2:$AB$501,MATCH(SMALL(Responses!$AL$2:$AL$501,22),Responses!$AL$2:$AL$501,0)),"")</f>
        <v/>
      </c>
      <c r="C30" s="31">
        <f>IFERROR(INDEX(Responses!$AE$2:$AE$501,MATCH(SMALL(Responses!$AL$2:$AL$501,22),Responses!$AL$2:$AL$501,0)),"")</f>
        <v/>
      </c>
      <c r="D30" s="31">
        <f>IFERROR(INDEX(Responses!$AD$2:$AD$501,MATCH(SMALL(Responses!$AL$2:$AL$501,22),Responses!$AL$2:$AL$501,0)),"")</f>
        <v/>
      </c>
      <c r="E30" s="31">
        <f>IFERROR(INDEX(Responses!$AG$2:$AG$501,MATCH(SMALL(Responses!$AL$2:$AL$501,22),Responses!$AL$2:$AL$501,0)),"")</f>
        <v/>
      </c>
      <c r="F30" s="31">
        <f>IFERROR(INDEX(Responses!$AF$2:$AF$501,MATCH(SMALL(Responses!$AL$2:$AL$501,22),Responses!$AL$2:$AL$501,0)),"")</f>
        <v/>
      </c>
      <c r="G30" s="28">
        <f>IFERROR(INDEX(Responses!$Z$2:$Z$501,MATCH(SMALL(Responses!$AL$2:$AL$501,22),Responses!$AL$2:$AL$501,0)),"")</f>
        <v/>
      </c>
    </row>
    <row r="31">
      <c r="A31" s="30">
        <f>IF(ISNUMBER(SMALL(Responses!$AL$2:$AL$501,23)),23,"")</f>
        <v/>
      </c>
      <c r="B31" s="31">
        <f>IFERROR(INDEX(Responses!$AB$2:$AB$501,MATCH(SMALL(Responses!$AL$2:$AL$501,23),Responses!$AL$2:$AL$501,0)),"")</f>
        <v/>
      </c>
      <c r="C31" s="31">
        <f>IFERROR(INDEX(Responses!$AE$2:$AE$501,MATCH(SMALL(Responses!$AL$2:$AL$501,23),Responses!$AL$2:$AL$501,0)),"")</f>
        <v/>
      </c>
      <c r="D31" s="31">
        <f>IFERROR(INDEX(Responses!$AD$2:$AD$501,MATCH(SMALL(Responses!$AL$2:$AL$501,23),Responses!$AL$2:$AL$501,0)),"")</f>
        <v/>
      </c>
      <c r="E31" s="31">
        <f>IFERROR(INDEX(Responses!$AG$2:$AG$501,MATCH(SMALL(Responses!$AL$2:$AL$501,23),Responses!$AL$2:$AL$501,0)),"")</f>
        <v/>
      </c>
      <c r="F31" s="31">
        <f>IFERROR(INDEX(Responses!$AF$2:$AF$501,MATCH(SMALL(Responses!$AL$2:$AL$501,23),Responses!$AL$2:$AL$501,0)),"")</f>
        <v/>
      </c>
      <c r="G31" s="28">
        <f>IFERROR(INDEX(Responses!$Z$2:$Z$501,MATCH(SMALL(Responses!$AL$2:$AL$501,23),Responses!$AL$2:$AL$501,0)),"")</f>
        <v/>
      </c>
    </row>
    <row r="32">
      <c r="A32" s="30">
        <f>IF(ISNUMBER(SMALL(Responses!$AL$2:$AL$501,24)),24,"")</f>
        <v/>
      </c>
      <c r="B32" s="31">
        <f>IFERROR(INDEX(Responses!$AB$2:$AB$501,MATCH(SMALL(Responses!$AL$2:$AL$501,24),Responses!$AL$2:$AL$501,0)),"")</f>
        <v/>
      </c>
      <c r="C32" s="31">
        <f>IFERROR(INDEX(Responses!$AE$2:$AE$501,MATCH(SMALL(Responses!$AL$2:$AL$501,24),Responses!$AL$2:$AL$501,0)),"")</f>
        <v/>
      </c>
      <c r="D32" s="31">
        <f>IFERROR(INDEX(Responses!$AD$2:$AD$501,MATCH(SMALL(Responses!$AL$2:$AL$501,24),Responses!$AL$2:$AL$501,0)),"")</f>
        <v/>
      </c>
      <c r="E32" s="31">
        <f>IFERROR(INDEX(Responses!$AG$2:$AG$501,MATCH(SMALL(Responses!$AL$2:$AL$501,24),Responses!$AL$2:$AL$501,0)),"")</f>
        <v/>
      </c>
      <c r="F32" s="31">
        <f>IFERROR(INDEX(Responses!$AF$2:$AF$501,MATCH(SMALL(Responses!$AL$2:$AL$501,24),Responses!$AL$2:$AL$501,0)),"")</f>
        <v/>
      </c>
      <c r="G32" s="28">
        <f>IFERROR(INDEX(Responses!$Z$2:$Z$501,MATCH(SMALL(Responses!$AL$2:$AL$501,24),Responses!$AL$2:$AL$501,0)),"")</f>
        <v/>
      </c>
    </row>
    <row r="33">
      <c r="A33" s="30">
        <f>IF(ISNUMBER(SMALL(Responses!$AL$2:$AL$501,25)),25,"")</f>
        <v/>
      </c>
      <c r="B33" s="31">
        <f>IFERROR(INDEX(Responses!$AB$2:$AB$501,MATCH(SMALL(Responses!$AL$2:$AL$501,25),Responses!$AL$2:$AL$501,0)),"")</f>
        <v/>
      </c>
      <c r="C33" s="31">
        <f>IFERROR(INDEX(Responses!$AE$2:$AE$501,MATCH(SMALL(Responses!$AL$2:$AL$501,25),Responses!$AL$2:$AL$501,0)),"")</f>
        <v/>
      </c>
      <c r="D33" s="31">
        <f>IFERROR(INDEX(Responses!$AD$2:$AD$501,MATCH(SMALL(Responses!$AL$2:$AL$501,25),Responses!$AL$2:$AL$501,0)),"")</f>
        <v/>
      </c>
      <c r="E33" s="31">
        <f>IFERROR(INDEX(Responses!$AG$2:$AG$501,MATCH(SMALL(Responses!$AL$2:$AL$501,25),Responses!$AL$2:$AL$501,0)),"")</f>
        <v/>
      </c>
      <c r="F33" s="31">
        <f>IFERROR(INDEX(Responses!$AF$2:$AF$501,MATCH(SMALL(Responses!$AL$2:$AL$501,25),Responses!$AL$2:$AL$501,0)),"")</f>
        <v/>
      </c>
      <c r="G33" s="28">
        <f>IFERROR(INDEX(Responses!$Z$2:$Z$501,MATCH(SMALL(Responses!$AL$2:$AL$501,25),Responses!$AL$2:$AL$501,0)),"")</f>
        <v/>
      </c>
    </row>
    <row r="34">
      <c r="A34" s="30">
        <f>IF(ISNUMBER(SMALL(Responses!$AL$2:$AL$501,26)),26,"")</f>
        <v/>
      </c>
      <c r="B34" s="31">
        <f>IFERROR(INDEX(Responses!$AB$2:$AB$501,MATCH(SMALL(Responses!$AL$2:$AL$501,26),Responses!$AL$2:$AL$501,0)),"")</f>
        <v/>
      </c>
      <c r="C34" s="31">
        <f>IFERROR(INDEX(Responses!$AE$2:$AE$501,MATCH(SMALL(Responses!$AL$2:$AL$501,26),Responses!$AL$2:$AL$501,0)),"")</f>
        <v/>
      </c>
      <c r="D34" s="31">
        <f>IFERROR(INDEX(Responses!$AD$2:$AD$501,MATCH(SMALL(Responses!$AL$2:$AL$501,26),Responses!$AL$2:$AL$501,0)),"")</f>
        <v/>
      </c>
      <c r="E34" s="31">
        <f>IFERROR(INDEX(Responses!$AG$2:$AG$501,MATCH(SMALL(Responses!$AL$2:$AL$501,26),Responses!$AL$2:$AL$501,0)),"")</f>
        <v/>
      </c>
      <c r="F34" s="31">
        <f>IFERROR(INDEX(Responses!$AF$2:$AF$501,MATCH(SMALL(Responses!$AL$2:$AL$501,26),Responses!$AL$2:$AL$501,0)),"")</f>
        <v/>
      </c>
      <c r="G34" s="28">
        <f>IFERROR(INDEX(Responses!$Z$2:$Z$501,MATCH(SMALL(Responses!$AL$2:$AL$501,26),Responses!$AL$2:$AL$501,0)),"")</f>
        <v/>
      </c>
    </row>
    <row r="35">
      <c r="A35" s="30">
        <f>IF(ISNUMBER(SMALL(Responses!$AL$2:$AL$501,27)),27,"")</f>
        <v/>
      </c>
      <c r="B35" s="31">
        <f>IFERROR(INDEX(Responses!$AB$2:$AB$501,MATCH(SMALL(Responses!$AL$2:$AL$501,27),Responses!$AL$2:$AL$501,0)),"")</f>
        <v/>
      </c>
      <c r="C35" s="31">
        <f>IFERROR(INDEX(Responses!$AE$2:$AE$501,MATCH(SMALL(Responses!$AL$2:$AL$501,27),Responses!$AL$2:$AL$501,0)),"")</f>
        <v/>
      </c>
      <c r="D35" s="31">
        <f>IFERROR(INDEX(Responses!$AD$2:$AD$501,MATCH(SMALL(Responses!$AL$2:$AL$501,27),Responses!$AL$2:$AL$501,0)),"")</f>
        <v/>
      </c>
      <c r="E35" s="31">
        <f>IFERROR(INDEX(Responses!$AG$2:$AG$501,MATCH(SMALL(Responses!$AL$2:$AL$501,27),Responses!$AL$2:$AL$501,0)),"")</f>
        <v/>
      </c>
      <c r="F35" s="31">
        <f>IFERROR(INDEX(Responses!$AF$2:$AF$501,MATCH(SMALL(Responses!$AL$2:$AL$501,27),Responses!$AL$2:$AL$501,0)),"")</f>
        <v/>
      </c>
      <c r="G35" s="28">
        <f>IFERROR(INDEX(Responses!$Z$2:$Z$501,MATCH(SMALL(Responses!$AL$2:$AL$501,27),Responses!$AL$2:$AL$501,0)),"")</f>
        <v/>
      </c>
    </row>
    <row r="36">
      <c r="A36" s="30">
        <f>IF(ISNUMBER(SMALL(Responses!$AL$2:$AL$501,28)),28,"")</f>
        <v/>
      </c>
      <c r="B36" s="31">
        <f>IFERROR(INDEX(Responses!$AB$2:$AB$501,MATCH(SMALL(Responses!$AL$2:$AL$501,28),Responses!$AL$2:$AL$501,0)),"")</f>
        <v/>
      </c>
      <c r="C36" s="31">
        <f>IFERROR(INDEX(Responses!$AE$2:$AE$501,MATCH(SMALL(Responses!$AL$2:$AL$501,28),Responses!$AL$2:$AL$501,0)),"")</f>
        <v/>
      </c>
      <c r="D36" s="31">
        <f>IFERROR(INDEX(Responses!$AD$2:$AD$501,MATCH(SMALL(Responses!$AL$2:$AL$501,28),Responses!$AL$2:$AL$501,0)),"")</f>
        <v/>
      </c>
      <c r="E36" s="31">
        <f>IFERROR(INDEX(Responses!$AG$2:$AG$501,MATCH(SMALL(Responses!$AL$2:$AL$501,28),Responses!$AL$2:$AL$501,0)),"")</f>
        <v/>
      </c>
      <c r="F36" s="31">
        <f>IFERROR(INDEX(Responses!$AF$2:$AF$501,MATCH(SMALL(Responses!$AL$2:$AL$501,28),Responses!$AL$2:$AL$501,0)),"")</f>
        <v/>
      </c>
      <c r="G36" s="28">
        <f>IFERROR(INDEX(Responses!$Z$2:$Z$501,MATCH(SMALL(Responses!$AL$2:$AL$501,28),Responses!$AL$2:$AL$501,0)),"")</f>
        <v/>
      </c>
    </row>
    <row r="37">
      <c r="A37" s="30">
        <f>IF(ISNUMBER(SMALL(Responses!$AL$2:$AL$501,29)),29,"")</f>
        <v/>
      </c>
      <c r="B37" s="31">
        <f>IFERROR(INDEX(Responses!$AB$2:$AB$501,MATCH(SMALL(Responses!$AL$2:$AL$501,29),Responses!$AL$2:$AL$501,0)),"")</f>
        <v/>
      </c>
      <c r="C37" s="31">
        <f>IFERROR(INDEX(Responses!$AE$2:$AE$501,MATCH(SMALL(Responses!$AL$2:$AL$501,29),Responses!$AL$2:$AL$501,0)),"")</f>
        <v/>
      </c>
      <c r="D37" s="31">
        <f>IFERROR(INDEX(Responses!$AD$2:$AD$501,MATCH(SMALL(Responses!$AL$2:$AL$501,29),Responses!$AL$2:$AL$501,0)),"")</f>
        <v/>
      </c>
      <c r="E37" s="31">
        <f>IFERROR(INDEX(Responses!$AG$2:$AG$501,MATCH(SMALL(Responses!$AL$2:$AL$501,29),Responses!$AL$2:$AL$501,0)),"")</f>
        <v/>
      </c>
      <c r="F37" s="31">
        <f>IFERROR(INDEX(Responses!$AF$2:$AF$501,MATCH(SMALL(Responses!$AL$2:$AL$501,29),Responses!$AL$2:$AL$501,0)),"")</f>
        <v/>
      </c>
      <c r="G37" s="28">
        <f>IFERROR(INDEX(Responses!$Z$2:$Z$501,MATCH(SMALL(Responses!$AL$2:$AL$501,29),Responses!$AL$2:$AL$501,0)),"")</f>
        <v/>
      </c>
    </row>
    <row r="38">
      <c r="A38" s="30">
        <f>IF(ISNUMBER(SMALL(Responses!$AL$2:$AL$501,30)),30,"")</f>
        <v/>
      </c>
      <c r="B38" s="31">
        <f>IFERROR(INDEX(Responses!$AB$2:$AB$501,MATCH(SMALL(Responses!$AL$2:$AL$501,30),Responses!$AL$2:$AL$501,0)),"")</f>
        <v/>
      </c>
      <c r="C38" s="31">
        <f>IFERROR(INDEX(Responses!$AE$2:$AE$501,MATCH(SMALL(Responses!$AL$2:$AL$501,30),Responses!$AL$2:$AL$501,0)),"")</f>
        <v/>
      </c>
      <c r="D38" s="31">
        <f>IFERROR(INDEX(Responses!$AD$2:$AD$501,MATCH(SMALL(Responses!$AL$2:$AL$501,30),Responses!$AL$2:$AL$501,0)),"")</f>
        <v/>
      </c>
      <c r="E38" s="31">
        <f>IFERROR(INDEX(Responses!$AG$2:$AG$501,MATCH(SMALL(Responses!$AL$2:$AL$501,30),Responses!$AL$2:$AL$501,0)),"")</f>
        <v/>
      </c>
      <c r="F38" s="31">
        <f>IFERROR(INDEX(Responses!$AF$2:$AF$501,MATCH(SMALL(Responses!$AL$2:$AL$501,30),Responses!$AL$2:$AL$501,0)),"")</f>
        <v/>
      </c>
      <c r="G38" s="28">
        <f>IFERROR(INDEX(Responses!$Z$2:$Z$501,MATCH(SMALL(Responses!$AL$2:$AL$501,30),Responses!$AL$2:$AL$501,0)),"")</f>
        <v/>
      </c>
    </row>
    <row r="39">
      <c r="A39" s="30">
        <f>IF(ISNUMBER(SMALL(Responses!$AL$2:$AL$501,31)),31,"")</f>
        <v/>
      </c>
      <c r="B39" s="31">
        <f>IFERROR(INDEX(Responses!$AB$2:$AB$501,MATCH(SMALL(Responses!$AL$2:$AL$501,31),Responses!$AL$2:$AL$501,0)),"")</f>
        <v/>
      </c>
      <c r="C39" s="31">
        <f>IFERROR(INDEX(Responses!$AE$2:$AE$501,MATCH(SMALL(Responses!$AL$2:$AL$501,31),Responses!$AL$2:$AL$501,0)),"")</f>
        <v/>
      </c>
      <c r="D39" s="31">
        <f>IFERROR(INDEX(Responses!$AD$2:$AD$501,MATCH(SMALL(Responses!$AL$2:$AL$501,31),Responses!$AL$2:$AL$501,0)),"")</f>
        <v/>
      </c>
      <c r="E39" s="31">
        <f>IFERROR(INDEX(Responses!$AG$2:$AG$501,MATCH(SMALL(Responses!$AL$2:$AL$501,31),Responses!$AL$2:$AL$501,0)),"")</f>
        <v/>
      </c>
      <c r="F39" s="31">
        <f>IFERROR(INDEX(Responses!$AF$2:$AF$501,MATCH(SMALL(Responses!$AL$2:$AL$501,31),Responses!$AL$2:$AL$501,0)),"")</f>
        <v/>
      </c>
      <c r="G39" s="28">
        <f>IFERROR(INDEX(Responses!$Z$2:$Z$501,MATCH(SMALL(Responses!$AL$2:$AL$501,31),Responses!$AL$2:$AL$501,0)),"")</f>
        <v/>
      </c>
    </row>
    <row r="40">
      <c r="A40" s="30">
        <f>IF(ISNUMBER(SMALL(Responses!$AL$2:$AL$501,32)),32,"")</f>
        <v/>
      </c>
      <c r="B40" s="31">
        <f>IFERROR(INDEX(Responses!$AB$2:$AB$501,MATCH(SMALL(Responses!$AL$2:$AL$501,32),Responses!$AL$2:$AL$501,0)),"")</f>
        <v/>
      </c>
      <c r="C40" s="31">
        <f>IFERROR(INDEX(Responses!$AE$2:$AE$501,MATCH(SMALL(Responses!$AL$2:$AL$501,32),Responses!$AL$2:$AL$501,0)),"")</f>
        <v/>
      </c>
      <c r="D40" s="31">
        <f>IFERROR(INDEX(Responses!$AD$2:$AD$501,MATCH(SMALL(Responses!$AL$2:$AL$501,32),Responses!$AL$2:$AL$501,0)),"")</f>
        <v/>
      </c>
      <c r="E40" s="31">
        <f>IFERROR(INDEX(Responses!$AG$2:$AG$501,MATCH(SMALL(Responses!$AL$2:$AL$501,32),Responses!$AL$2:$AL$501,0)),"")</f>
        <v/>
      </c>
      <c r="F40" s="31">
        <f>IFERROR(INDEX(Responses!$AF$2:$AF$501,MATCH(SMALL(Responses!$AL$2:$AL$501,32),Responses!$AL$2:$AL$501,0)),"")</f>
        <v/>
      </c>
      <c r="G40" s="28">
        <f>IFERROR(INDEX(Responses!$Z$2:$Z$501,MATCH(SMALL(Responses!$AL$2:$AL$501,32),Responses!$AL$2:$AL$501,0)),"")</f>
        <v/>
      </c>
    </row>
    <row r="41">
      <c r="A41" s="30">
        <f>IF(ISNUMBER(SMALL(Responses!$AL$2:$AL$501,33)),33,"")</f>
        <v/>
      </c>
      <c r="B41" s="31">
        <f>IFERROR(INDEX(Responses!$AB$2:$AB$501,MATCH(SMALL(Responses!$AL$2:$AL$501,33),Responses!$AL$2:$AL$501,0)),"")</f>
        <v/>
      </c>
      <c r="C41" s="31">
        <f>IFERROR(INDEX(Responses!$AE$2:$AE$501,MATCH(SMALL(Responses!$AL$2:$AL$501,33),Responses!$AL$2:$AL$501,0)),"")</f>
        <v/>
      </c>
      <c r="D41" s="31">
        <f>IFERROR(INDEX(Responses!$AD$2:$AD$501,MATCH(SMALL(Responses!$AL$2:$AL$501,33),Responses!$AL$2:$AL$501,0)),"")</f>
        <v/>
      </c>
      <c r="E41" s="31">
        <f>IFERROR(INDEX(Responses!$AG$2:$AG$501,MATCH(SMALL(Responses!$AL$2:$AL$501,33),Responses!$AL$2:$AL$501,0)),"")</f>
        <v/>
      </c>
      <c r="F41" s="31">
        <f>IFERROR(INDEX(Responses!$AF$2:$AF$501,MATCH(SMALL(Responses!$AL$2:$AL$501,33),Responses!$AL$2:$AL$501,0)),"")</f>
        <v/>
      </c>
      <c r="G41" s="28">
        <f>IFERROR(INDEX(Responses!$Z$2:$Z$501,MATCH(SMALL(Responses!$AL$2:$AL$501,33),Responses!$AL$2:$AL$501,0)),"")</f>
        <v/>
      </c>
    </row>
    <row r="42">
      <c r="A42" s="30">
        <f>IF(ISNUMBER(SMALL(Responses!$AL$2:$AL$501,34)),34,"")</f>
        <v/>
      </c>
      <c r="B42" s="31">
        <f>IFERROR(INDEX(Responses!$AB$2:$AB$501,MATCH(SMALL(Responses!$AL$2:$AL$501,34),Responses!$AL$2:$AL$501,0)),"")</f>
        <v/>
      </c>
      <c r="C42" s="31">
        <f>IFERROR(INDEX(Responses!$AE$2:$AE$501,MATCH(SMALL(Responses!$AL$2:$AL$501,34),Responses!$AL$2:$AL$501,0)),"")</f>
        <v/>
      </c>
      <c r="D42" s="31">
        <f>IFERROR(INDEX(Responses!$AD$2:$AD$501,MATCH(SMALL(Responses!$AL$2:$AL$501,34),Responses!$AL$2:$AL$501,0)),"")</f>
        <v/>
      </c>
      <c r="E42" s="31">
        <f>IFERROR(INDEX(Responses!$AG$2:$AG$501,MATCH(SMALL(Responses!$AL$2:$AL$501,34),Responses!$AL$2:$AL$501,0)),"")</f>
        <v/>
      </c>
      <c r="F42" s="31">
        <f>IFERROR(INDEX(Responses!$AF$2:$AF$501,MATCH(SMALL(Responses!$AL$2:$AL$501,34),Responses!$AL$2:$AL$501,0)),"")</f>
        <v/>
      </c>
      <c r="G42" s="28">
        <f>IFERROR(INDEX(Responses!$Z$2:$Z$501,MATCH(SMALL(Responses!$AL$2:$AL$501,34),Responses!$AL$2:$AL$501,0)),"")</f>
        <v/>
      </c>
    </row>
    <row r="43">
      <c r="A43" s="30">
        <f>IF(ISNUMBER(SMALL(Responses!$AL$2:$AL$501,35)),35,"")</f>
        <v/>
      </c>
      <c r="B43" s="31">
        <f>IFERROR(INDEX(Responses!$AB$2:$AB$501,MATCH(SMALL(Responses!$AL$2:$AL$501,35),Responses!$AL$2:$AL$501,0)),"")</f>
        <v/>
      </c>
      <c r="C43" s="31">
        <f>IFERROR(INDEX(Responses!$AE$2:$AE$501,MATCH(SMALL(Responses!$AL$2:$AL$501,35),Responses!$AL$2:$AL$501,0)),"")</f>
        <v/>
      </c>
      <c r="D43" s="31">
        <f>IFERROR(INDEX(Responses!$AD$2:$AD$501,MATCH(SMALL(Responses!$AL$2:$AL$501,35),Responses!$AL$2:$AL$501,0)),"")</f>
        <v/>
      </c>
      <c r="E43" s="31">
        <f>IFERROR(INDEX(Responses!$AG$2:$AG$501,MATCH(SMALL(Responses!$AL$2:$AL$501,35),Responses!$AL$2:$AL$501,0)),"")</f>
        <v/>
      </c>
      <c r="F43" s="31">
        <f>IFERROR(INDEX(Responses!$AF$2:$AF$501,MATCH(SMALL(Responses!$AL$2:$AL$501,35),Responses!$AL$2:$AL$501,0)),"")</f>
        <v/>
      </c>
      <c r="G43" s="28">
        <f>IFERROR(INDEX(Responses!$Z$2:$Z$501,MATCH(SMALL(Responses!$AL$2:$AL$501,35),Responses!$AL$2:$AL$501,0)),"")</f>
        <v/>
      </c>
    </row>
    <row r="44">
      <c r="A44" s="30">
        <f>IF(ISNUMBER(SMALL(Responses!$AL$2:$AL$501,36)),36,"")</f>
        <v/>
      </c>
      <c r="B44" s="31">
        <f>IFERROR(INDEX(Responses!$AB$2:$AB$501,MATCH(SMALL(Responses!$AL$2:$AL$501,36),Responses!$AL$2:$AL$501,0)),"")</f>
        <v/>
      </c>
      <c r="C44" s="31">
        <f>IFERROR(INDEX(Responses!$AE$2:$AE$501,MATCH(SMALL(Responses!$AL$2:$AL$501,36),Responses!$AL$2:$AL$501,0)),"")</f>
        <v/>
      </c>
      <c r="D44" s="31">
        <f>IFERROR(INDEX(Responses!$AD$2:$AD$501,MATCH(SMALL(Responses!$AL$2:$AL$501,36),Responses!$AL$2:$AL$501,0)),"")</f>
        <v/>
      </c>
      <c r="E44" s="31">
        <f>IFERROR(INDEX(Responses!$AG$2:$AG$501,MATCH(SMALL(Responses!$AL$2:$AL$501,36),Responses!$AL$2:$AL$501,0)),"")</f>
        <v/>
      </c>
      <c r="F44" s="31">
        <f>IFERROR(INDEX(Responses!$AF$2:$AF$501,MATCH(SMALL(Responses!$AL$2:$AL$501,36),Responses!$AL$2:$AL$501,0)),"")</f>
        <v/>
      </c>
      <c r="G44" s="28">
        <f>IFERROR(INDEX(Responses!$Z$2:$Z$501,MATCH(SMALL(Responses!$AL$2:$AL$501,36),Responses!$AL$2:$AL$501,0)),"")</f>
        <v/>
      </c>
    </row>
    <row r="45">
      <c r="A45" s="30">
        <f>IF(ISNUMBER(SMALL(Responses!$AL$2:$AL$501,37)),37,"")</f>
        <v/>
      </c>
      <c r="B45" s="31">
        <f>IFERROR(INDEX(Responses!$AB$2:$AB$501,MATCH(SMALL(Responses!$AL$2:$AL$501,37),Responses!$AL$2:$AL$501,0)),"")</f>
        <v/>
      </c>
      <c r="C45" s="31">
        <f>IFERROR(INDEX(Responses!$AE$2:$AE$501,MATCH(SMALL(Responses!$AL$2:$AL$501,37),Responses!$AL$2:$AL$501,0)),"")</f>
        <v/>
      </c>
      <c r="D45" s="31">
        <f>IFERROR(INDEX(Responses!$AD$2:$AD$501,MATCH(SMALL(Responses!$AL$2:$AL$501,37),Responses!$AL$2:$AL$501,0)),"")</f>
        <v/>
      </c>
      <c r="E45" s="31">
        <f>IFERROR(INDEX(Responses!$AG$2:$AG$501,MATCH(SMALL(Responses!$AL$2:$AL$501,37),Responses!$AL$2:$AL$501,0)),"")</f>
        <v/>
      </c>
      <c r="F45" s="31">
        <f>IFERROR(INDEX(Responses!$AF$2:$AF$501,MATCH(SMALL(Responses!$AL$2:$AL$501,37),Responses!$AL$2:$AL$501,0)),"")</f>
        <v/>
      </c>
      <c r="G45" s="28">
        <f>IFERROR(INDEX(Responses!$Z$2:$Z$501,MATCH(SMALL(Responses!$AL$2:$AL$501,37),Responses!$AL$2:$AL$501,0)),"")</f>
        <v/>
      </c>
    </row>
    <row r="46">
      <c r="A46" s="30">
        <f>IF(ISNUMBER(SMALL(Responses!$AL$2:$AL$501,38)),38,"")</f>
        <v/>
      </c>
      <c r="B46" s="31">
        <f>IFERROR(INDEX(Responses!$AB$2:$AB$501,MATCH(SMALL(Responses!$AL$2:$AL$501,38),Responses!$AL$2:$AL$501,0)),"")</f>
        <v/>
      </c>
      <c r="C46" s="31">
        <f>IFERROR(INDEX(Responses!$AE$2:$AE$501,MATCH(SMALL(Responses!$AL$2:$AL$501,38),Responses!$AL$2:$AL$501,0)),"")</f>
        <v/>
      </c>
      <c r="D46" s="31">
        <f>IFERROR(INDEX(Responses!$AD$2:$AD$501,MATCH(SMALL(Responses!$AL$2:$AL$501,38),Responses!$AL$2:$AL$501,0)),"")</f>
        <v/>
      </c>
      <c r="E46" s="31">
        <f>IFERROR(INDEX(Responses!$AG$2:$AG$501,MATCH(SMALL(Responses!$AL$2:$AL$501,38),Responses!$AL$2:$AL$501,0)),"")</f>
        <v/>
      </c>
      <c r="F46" s="31">
        <f>IFERROR(INDEX(Responses!$AF$2:$AF$501,MATCH(SMALL(Responses!$AL$2:$AL$501,38),Responses!$AL$2:$AL$501,0)),"")</f>
        <v/>
      </c>
      <c r="G46" s="28">
        <f>IFERROR(INDEX(Responses!$Z$2:$Z$501,MATCH(SMALL(Responses!$AL$2:$AL$501,38),Responses!$AL$2:$AL$501,0)),"")</f>
        <v/>
      </c>
    </row>
    <row r="47">
      <c r="A47" s="30">
        <f>IF(ISNUMBER(SMALL(Responses!$AL$2:$AL$501,39)),39,"")</f>
        <v/>
      </c>
      <c r="B47" s="31">
        <f>IFERROR(INDEX(Responses!$AB$2:$AB$501,MATCH(SMALL(Responses!$AL$2:$AL$501,39),Responses!$AL$2:$AL$501,0)),"")</f>
        <v/>
      </c>
      <c r="C47" s="31">
        <f>IFERROR(INDEX(Responses!$AE$2:$AE$501,MATCH(SMALL(Responses!$AL$2:$AL$501,39),Responses!$AL$2:$AL$501,0)),"")</f>
        <v/>
      </c>
      <c r="D47" s="31">
        <f>IFERROR(INDEX(Responses!$AD$2:$AD$501,MATCH(SMALL(Responses!$AL$2:$AL$501,39),Responses!$AL$2:$AL$501,0)),"")</f>
        <v/>
      </c>
      <c r="E47" s="31">
        <f>IFERROR(INDEX(Responses!$AG$2:$AG$501,MATCH(SMALL(Responses!$AL$2:$AL$501,39),Responses!$AL$2:$AL$501,0)),"")</f>
        <v/>
      </c>
      <c r="F47" s="31">
        <f>IFERROR(INDEX(Responses!$AF$2:$AF$501,MATCH(SMALL(Responses!$AL$2:$AL$501,39),Responses!$AL$2:$AL$501,0)),"")</f>
        <v/>
      </c>
      <c r="G47" s="28">
        <f>IFERROR(INDEX(Responses!$Z$2:$Z$501,MATCH(SMALL(Responses!$AL$2:$AL$501,39),Responses!$AL$2:$AL$501,0)),"")</f>
        <v/>
      </c>
    </row>
    <row r="48">
      <c r="A48" s="30">
        <f>IF(ISNUMBER(SMALL(Responses!$AL$2:$AL$501,40)),40,"")</f>
        <v/>
      </c>
      <c r="B48" s="31">
        <f>IFERROR(INDEX(Responses!$AB$2:$AB$501,MATCH(SMALL(Responses!$AL$2:$AL$501,40),Responses!$AL$2:$AL$501,0)),"")</f>
        <v/>
      </c>
      <c r="C48" s="31">
        <f>IFERROR(INDEX(Responses!$AE$2:$AE$501,MATCH(SMALL(Responses!$AL$2:$AL$501,40),Responses!$AL$2:$AL$501,0)),"")</f>
        <v/>
      </c>
      <c r="D48" s="31">
        <f>IFERROR(INDEX(Responses!$AD$2:$AD$501,MATCH(SMALL(Responses!$AL$2:$AL$501,40),Responses!$AL$2:$AL$501,0)),"")</f>
        <v/>
      </c>
      <c r="E48" s="31">
        <f>IFERROR(INDEX(Responses!$AG$2:$AG$501,MATCH(SMALL(Responses!$AL$2:$AL$501,40),Responses!$AL$2:$AL$501,0)),"")</f>
        <v/>
      </c>
      <c r="F48" s="31">
        <f>IFERROR(INDEX(Responses!$AF$2:$AF$501,MATCH(SMALL(Responses!$AL$2:$AL$501,40),Responses!$AL$2:$AL$501,0)),"")</f>
        <v/>
      </c>
      <c r="G48" s="28">
        <f>IFERROR(INDEX(Responses!$Z$2:$Z$501,MATCH(SMALL(Responses!$AL$2:$AL$501,40),Responses!$AL$2:$AL$501,0)),"")</f>
        <v/>
      </c>
    </row>
    <row r="49">
      <c r="A49" s="30">
        <f>IF(ISNUMBER(SMALL(Responses!$AL$2:$AL$501,41)),41,"")</f>
        <v/>
      </c>
      <c r="B49" s="31">
        <f>IFERROR(INDEX(Responses!$AB$2:$AB$501,MATCH(SMALL(Responses!$AL$2:$AL$501,41),Responses!$AL$2:$AL$501,0)),"")</f>
        <v/>
      </c>
      <c r="C49" s="31">
        <f>IFERROR(INDEX(Responses!$AE$2:$AE$501,MATCH(SMALL(Responses!$AL$2:$AL$501,41),Responses!$AL$2:$AL$501,0)),"")</f>
        <v/>
      </c>
      <c r="D49" s="31">
        <f>IFERROR(INDEX(Responses!$AD$2:$AD$501,MATCH(SMALL(Responses!$AL$2:$AL$501,41),Responses!$AL$2:$AL$501,0)),"")</f>
        <v/>
      </c>
      <c r="E49" s="31">
        <f>IFERROR(INDEX(Responses!$AG$2:$AG$501,MATCH(SMALL(Responses!$AL$2:$AL$501,41),Responses!$AL$2:$AL$501,0)),"")</f>
        <v/>
      </c>
      <c r="F49" s="31">
        <f>IFERROR(INDEX(Responses!$AF$2:$AF$501,MATCH(SMALL(Responses!$AL$2:$AL$501,41),Responses!$AL$2:$AL$501,0)),"")</f>
        <v/>
      </c>
      <c r="G49" s="28">
        <f>IFERROR(INDEX(Responses!$Z$2:$Z$501,MATCH(SMALL(Responses!$AL$2:$AL$501,41),Responses!$AL$2:$AL$501,0)),"")</f>
        <v/>
      </c>
    </row>
    <row r="50">
      <c r="A50" s="30">
        <f>IF(ISNUMBER(SMALL(Responses!$AL$2:$AL$501,42)),42,"")</f>
        <v/>
      </c>
      <c r="B50" s="31">
        <f>IFERROR(INDEX(Responses!$AB$2:$AB$501,MATCH(SMALL(Responses!$AL$2:$AL$501,42),Responses!$AL$2:$AL$501,0)),"")</f>
        <v/>
      </c>
      <c r="C50" s="31">
        <f>IFERROR(INDEX(Responses!$AE$2:$AE$501,MATCH(SMALL(Responses!$AL$2:$AL$501,42),Responses!$AL$2:$AL$501,0)),"")</f>
        <v/>
      </c>
      <c r="D50" s="31">
        <f>IFERROR(INDEX(Responses!$AD$2:$AD$501,MATCH(SMALL(Responses!$AL$2:$AL$501,42),Responses!$AL$2:$AL$501,0)),"")</f>
        <v/>
      </c>
      <c r="E50" s="31">
        <f>IFERROR(INDEX(Responses!$AG$2:$AG$501,MATCH(SMALL(Responses!$AL$2:$AL$501,42),Responses!$AL$2:$AL$501,0)),"")</f>
        <v/>
      </c>
      <c r="F50" s="31">
        <f>IFERROR(INDEX(Responses!$AF$2:$AF$501,MATCH(SMALL(Responses!$AL$2:$AL$501,42),Responses!$AL$2:$AL$501,0)),"")</f>
        <v/>
      </c>
      <c r="G50" s="28">
        <f>IFERROR(INDEX(Responses!$Z$2:$Z$501,MATCH(SMALL(Responses!$AL$2:$AL$501,42),Responses!$AL$2:$AL$501,0)),"")</f>
        <v/>
      </c>
    </row>
    <row r="51">
      <c r="A51" s="30">
        <f>IF(ISNUMBER(SMALL(Responses!$AL$2:$AL$501,43)),43,"")</f>
        <v/>
      </c>
      <c r="B51" s="31">
        <f>IFERROR(INDEX(Responses!$AB$2:$AB$501,MATCH(SMALL(Responses!$AL$2:$AL$501,43),Responses!$AL$2:$AL$501,0)),"")</f>
        <v/>
      </c>
      <c r="C51" s="31">
        <f>IFERROR(INDEX(Responses!$AE$2:$AE$501,MATCH(SMALL(Responses!$AL$2:$AL$501,43),Responses!$AL$2:$AL$501,0)),"")</f>
        <v/>
      </c>
      <c r="D51" s="31">
        <f>IFERROR(INDEX(Responses!$AD$2:$AD$501,MATCH(SMALL(Responses!$AL$2:$AL$501,43),Responses!$AL$2:$AL$501,0)),"")</f>
        <v/>
      </c>
      <c r="E51" s="31">
        <f>IFERROR(INDEX(Responses!$AG$2:$AG$501,MATCH(SMALL(Responses!$AL$2:$AL$501,43),Responses!$AL$2:$AL$501,0)),"")</f>
        <v/>
      </c>
      <c r="F51" s="31">
        <f>IFERROR(INDEX(Responses!$AF$2:$AF$501,MATCH(SMALL(Responses!$AL$2:$AL$501,43),Responses!$AL$2:$AL$501,0)),"")</f>
        <v/>
      </c>
      <c r="G51" s="28">
        <f>IFERROR(INDEX(Responses!$Z$2:$Z$501,MATCH(SMALL(Responses!$AL$2:$AL$501,43),Responses!$AL$2:$AL$501,0)),"")</f>
        <v/>
      </c>
    </row>
    <row r="52">
      <c r="A52" s="30">
        <f>IF(ISNUMBER(SMALL(Responses!$AL$2:$AL$501,44)),44,"")</f>
        <v/>
      </c>
      <c r="B52" s="31">
        <f>IFERROR(INDEX(Responses!$AB$2:$AB$501,MATCH(SMALL(Responses!$AL$2:$AL$501,44),Responses!$AL$2:$AL$501,0)),"")</f>
        <v/>
      </c>
      <c r="C52" s="31">
        <f>IFERROR(INDEX(Responses!$AE$2:$AE$501,MATCH(SMALL(Responses!$AL$2:$AL$501,44),Responses!$AL$2:$AL$501,0)),"")</f>
        <v/>
      </c>
      <c r="D52" s="31">
        <f>IFERROR(INDEX(Responses!$AD$2:$AD$501,MATCH(SMALL(Responses!$AL$2:$AL$501,44),Responses!$AL$2:$AL$501,0)),"")</f>
        <v/>
      </c>
      <c r="E52" s="31">
        <f>IFERROR(INDEX(Responses!$AG$2:$AG$501,MATCH(SMALL(Responses!$AL$2:$AL$501,44),Responses!$AL$2:$AL$501,0)),"")</f>
        <v/>
      </c>
      <c r="F52" s="31">
        <f>IFERROR(INDEX(Responses!$AF$2:$AF$501,MATCH(SMALL(Responses!$AL$2:$AL$501,44),Responses!$AL$2:$AL$501,0)),"")</f>
        <v/>
      </c>
      <c r="G52" s="28">
        <f>IFERROR(INDEX(Responses!$Z$2:$Z$501,MATCH(SMALL(Responses!$AL$2:$AL$501,44),Responses!$AL$2:$AL$501,0)),"")</f>
        <v/>
      </c>
    </row>
    <row r="53">
      <c r="A53" s="30">
        <f>IF(ISNUMBER(SMALL(Responses!$AL$2:$AL$501,45)),45,"")</f>
        <v/>
      </c>
      <c r="B53" s="31">
        <f>IFERROR(INDEX(Responses!$AB$2:$AB$501,MATCH(SMALL(Responses!$AL$2:$AL$501,45),Responses!$AL$2:$AL$501,0)),"")</f>
        <v/>
      </c>
      <c r="C53" s="31">
        <f>IFERROR(INDEX(Responses!$AE$2:$AE$501,MATCH(SMALL(Responses!$AL$2:$AL$501,45),Responses!$AL$2:$AL$501,0)),"")</f>
        <v/>
      </c>
      <c r="D53" s="31">
        <f>IFERROR(INDEX(Responses!$AD$2:$AD$501,MATCH(SMALL(Responses!$AL$2:$AL$501,45),Responses!$AL$2:$AL$501,0)),"")</f>
        <v/>
      </c>
      <c r="E53" s="31">
        <f>IFERROR(INDEX(Responses!$AG$2:$AG$501,MATCH(SMALL(Responses!$AL$2:$AL$501,45),Responses!$AL$2:$AL$501,0)),"")</f>
        <v/>
      </c>
      <c r="F53" s="31">
        <f>IFERROR(INDEX(Responses!$AF$2:$AF$501,MATCH(SMALL(Responses!$AL$2:$AL$501,45),Responses!$AL$2:$AL$501,0)),"")</f>
        <v/>
      </c>
      <c r="G53" s="28">
        <f>IFERROR(INDEX(Responses!$Z$2:$Z$501,MATCH(SMALL(Responses!$AL$2:$AL$501,45),Responses!$AL$2:$AL$501,0)),"")</f>
        <v/>
      </c>
    </row>
    <row r="54">
      <c r="A54" s="30">
        <f>IF(ISNUMBER(SMALL(Responses!$AL$2:$AL$501,46)),46,"")</f>
        <v/>
      </c>
      <c r="B54" s="31">
        <f>IFERROR(INDEX(Responses!$AB$2:$AB$501,MATCH(SMALL(Responses!$AL$2:$AL$501,46),Responses!$AL$2:$AL$501,0)),"")</f>
        <v/>
      </c>
      <c r="C54" s="31">
        <f>IFERROR(INDEX(Responses!$AE$2:$AE$501,MATCH(SMALL(Responses!$AL$2:$AL$501,46),Responses!$AL$2:$AL$501,0)),"")</f>
        <v/>
      </c>
      <c r="D54" s="31">
        <f>IFERROR(INDEX(Responses!$AD$2:$AD$501,MATCH(SMALL(Responses!$AL$2:$AL$501,46),Responses!$AL$2:$AL$501,0)),"")</f>
        <v/>
      </c>
      <c r="E54" s="31">
        <f>IFERROR(INDEX(Responses!$AG$2:$AG$501,MATCH(SMALL(Responses!$AL$2:$AL$501,46),Responses!$AL$2:$AL$501,0)),"")</f>
        <v/>
      </c>
      <c r="F54" s="31">
        <f>IFERROR(INDEX(Responses!$AF$2:$AF$501,MATCH(SMALL(Responses!$AL$2:$AL$501,46),Responses!$AL$2:$AL$501,0)),"")</f>
        <v/>
      </c>
      <c r="G54" s="28">
        <f>IFERROR(INDEX(Responses!$Z$2:$Z$501,MATCH(SMALL(Responses!$AL$2:$AL$501,46),Responses!$AL$2:$AL$501,0)),"")</f>
        <v/>
      </c>
    </row>
    <row r="55">
      <c r="A55" s="30">
        <f>IF(ISNUMBER(SMALL(Responses!$AL$2:$AL$501,47)),47,"")</f>
        <v/>
      </c>
      <c r="B55" s="31">
        <f>IFERROR(INDEX(Responses!$AB$2:$AB$501,MATCH(SMALL(Responses!$AL$2:$AL$501,47),Responses!$AL$2:$AL$501,0)),"")</f>
        <v/>
      </c>
      <c r="C55" s="31">
        <f>IFERROR(INDEX(Responses!$AE$2:$AE$501,MATCH(SMALL(Responses!$AL$2:$AL$501,47),Responses!$AL$2:$AL$501,0)),"")</f>
        <v/>
      </c>
      <c r="D55" s="31">
        <f>IFERROR(INDEX(Responses!$AD$2:$AD$501,MATCH(SMALL(Responses!$AL$2:$AL$501,47),Responses!$AL$2:$AL$501,0)),"")</f>
        <v/>
      </c>
      <c r="E55" s="31">
        <f>IFERROR(INDEX(Responses!$AG$2:$AG$501,MATCH(SMALL(Responses!$AL$2:$AL$501,47),Responses!$AL$2:$AL$501,0)),"")</f>
        <v/>
      </c>
      <c r="F55" s="31">
        <f>IFERROR(INDEX(Responses!$AF$2:$AF$501,MATCH(SMALL(Responses!$AL$2:$AL$501,47),Responses!$AL$2:$AL$501,0)),"")</f>
        <v/>
      </c>
      <c r="G55" s="28">
        <f>IFERROR(INDEX(Responses!$Z$2:$Z$501,MATCH(SMALL(Responses!$AL$2:$AL$501,47),Responses!$AL$2:$AL$501,0)),"")</f>
        <v/>
      </c>
    </row>
    <row r="56">
      <c r="A56" s="30">
        <f>IF(ISNUMBER(SMALL(Responses!$AL$2:$AL$501,48)),48,"")</f>
        <v/>
      </c>
      <c r="B56" s="31">
        <f>IFERROR(INDEX(Responses!$AB$2:$AB$501,MATCH(SMALL(Responses!$AL$2:$AL$501,48),Responses!$AL$2:$AL$501,0)),"")</f>
        <v/>
      </c>
      <c r="C56" s="31">
        <f>IFERROR(INDEX(Responses!$AE$2:$AE$501,MATCH(SMALL(Responses!$AL$2:$AL$501,48),Responses!$AL$2:$AL$501,0)),"")</f>
        <v/>
      </c>
      <c r="D56" s="31">
        <f>IFERROR(INDEX(Responses!$AD$2:$AD$501,MATCH(SMALL(Responses!$AL$2:$AL$501,48),Responses!$AL$2:$AL$501,0)),"")</f>
        <v/>
      </c>
      <c r="E56" s="31">
        <f>IFERROR(INDEX(Responses!$AG$2:$AG$501,MATCH(SMALL(Responses!$AL$2:$AL$501,48),Responses!$AL$2:$AL$501,0)),"")</f>
        <v/>
      </c>
      <c r="F56" s="31">
        <f>IFERROR(INDEX(Responses!$AF$2:$AF$501,MATCH(SMALL(Responses!$AL$2:$AL$501,48),Responses!$AL$2:$AL$501,0)),"")</f>
        <v/>
      </c>
      <c r="G56" s="28">
        <f>IFERROR(INDEX(Responses!$Z$2:$Z$501,MATCH(SMALL(Responses!$AL$2:$AL$501,48),Responses!$AL$2:$AL$501,0)),"")</f>
        <v/>
      </c>
    </row>
    <row r="57">
      <c r="A57" s="30">
        <f>IF(ISNUMBER(SMALL(Responses!$AL$2:$AL$501,49)),49,"")</f>
        <v/>
      </c>
      <c r="B57" s="31">
        <f>IFERROR(INDEX(Responses!$AB$2:$AB$501,MATCH(SMALL(Responses!$AL$2:$AL$501,49),Responses!$AL$2:$AL$501,0)),"")</f>
        <v/>
      </c>
      <c r="C57" s="31">
        <f>IFERROR(INDEX(Responses!$AE$2:$AE$501,MATCH(SMALL(Responses!$AL$2:$AL$501,49),Responses!$AL$2:$AL$501,0)),"")</f>
        <v/>
      </c>
      <c r="D57" s="31">
        <f>IFERROR(INDEX(Responses!$AD$2:$AD$501,MATCH(SMALL(Responses!$AL$2:$AL$501,49),Responses!$AL$2:$AL$501,0)),"")</f>
        <v/>
      </c>
      <c r="E57" s="31">
        <f>IFERROR(INDEX(Responses!$AG$2:$AG$501,MATCH(SMALL(Responses!$AL$2:$AL$501,49),Responses!$AL$2:$AL$501,0)),"")</f>
        <v/>
      </c>
      <c r="F57" s="31">
        <f>IFERROR(INDEX(Responses!$AF$2:$AF$501,MATCH(SMALL(Responses!$AL$2:$AL$501,49),Responses!$AL$2:$AL$501,0)),"")</f>
        <v/>
      </c>
      <c r="G57" s="28">
        <f>IFERROR(INDEX(Responses!$Z$2:$Z$501,MATCH(SMALL(Responses!$AL$2:$AL$501,49),Responses!$AL$2:$AL$501,0)),"")</f>
        <v/>
      </c>
    </row>
    <row r="58">
      <c r="A58" s="30">
        <f>IF(ISNUMBER(SMALL(Responses!$AL$2:$AL$501,50)),50,"")</f>
        <v/>
      </c>
      <c r="B58" s="31">
        <f>IFERROR(INDEX(Responses!$AB$2:$AB$501,MATCH(SMALL(Responses!$AL$2:$AL$501,50),Responses!$AL$2:$AL$501,0)),"")</f>
        <v/>
      </c>
      <c r="C58" s="31">
        <f>IFERROR(INDEX(Responses!$AE$2:$AE$501,MATCH(SMALL(Responses!$AL$2:$AL$501,50),Responses!$AL$2:$AL$501,0)),"")</f>
        <v/>
      </c>
      <c r="D58" s="31">
        <f>IFERROR(INDEX(Responses!$AD$2:$AD$501,MATCH(SMALL(Responses!$AL$2:$AL$501,50),Responses!$AL$2:$AL$501,0)),"")</f>
        <v/>
      </c>
      <c r="E58" s="31">
        <f>IFERROR(INDEX(Responses!$AG$2:$AG$501,MATCH(SMALL(Responses!$AL$2:$AL$501,50),Responses!$AL$2:$AL$501,0)),"")</f>
        <v/>
      </c>
      <c r="F58" s="31">
        <f>IFERROR(INDEX(Responses!$AF$2:$AF$501,MATCH(SMALL(Responses!$AL$2:$AL$501,50),Responses!$AL$2:$AL$501,0)),"")</f>
        <v/>
      </c>
      <c r="G58" s="28">
        <f>IFERROR(INDEX(Responses!$Z$2:$Z$501,MATCH(SMALL(Responses!$AL$2:$AL$501,50),Responses!$AL$2:$AL$501,0)),"")</f>
        <v/>
      </c>
    </row>
    <row r="59">
      <c r="A59" s="30">
        <f>IF(ISNUMBER(SMALL(Responses!$AL$2:$AL$501,51)),51,"")</f>
        <v/>
      </c>
      <c r="B59" s="31">
        <f>IFERROR(INDEX(Responses!$AB$2:$AB$501,MATCH(SMALL(Responses!$AL$2:$AL$501,51),Responses!$AL$2:$AL$501,0)),"")</f>
        <v/>
      </c>
      <c r="C59" s="31">
        <f>IFERROR(INDEX(Responses!$AE$2:$AE$501,MATCH(SMALL(Responses!$AL$2:$AL$501,51),Responses!$AL$2:$AL$501,0)),"")</f>
        <v/>
      </c>
      <c r="D59" s="31">
        <f>IFERROR(INDEX(Responses!$AD$2:$AD$501,MATCH(SMALL(Responses!$AL$2:$AL$501,51),Responses!$AL$2:$AL$501,0)),"")</f>
        <v/>
      </c>
      <c r="E59" s="31">
        <f>IFERROR(INDEX(Responses!$AG$2:$AG$501,MATCH(SMALL(Responses!$AL$2:$AL$501,51),Responses!$AL$2:$AL$501,0)),"")</f>
        <v/>
      </c>
      <c r="F59" s="31">
        <f>IFERROR(INDEX(Responses!$AF$2:$AF$501,MATCH(SMALL(Responses!$AL$2:$AL$501,51),Responses!$AL$2:$AL$501,0)),"")</f>
        <v/>
      </c>
      <c r="G59" s="28">
        <f>IFERROR(INDEX(Responses!$Z$2:$Z$501,MATCH(SMALL(Responses!$AL$2:$AL$501,51),Responses!$AL$2:$AL$501,0)),"")</f>
        <v/>
      </c>
    </row>
    <row r="60">
      <c r="A60" s="30">
        <f>IF(ISNUMBER(SMALL(Responses!$AL$2:$AL$501,52)),52,"")</f>
        <v/>
      </c>
      <c r="B60" s="31">
        <f>IFERROR(INDEX(Responses!$AB$2:$AB$501,MATCH(SMALL(Responses!$AL$2:$AL$501,52),Responses!$AL$2:$AL$501,0)),"")</f>
        <v/>
      </c>
      <c r="C60" s="31">
        <f>IFERROR(INDEX(Responses!$AE$2:$AE$501,MATCH(SMALL(Responses!$AL$2:$AL$501,52),Responses!$AL$2:$AL$501,0)),"")</f>
        <v/>
      </c>
      <c r="D60" s="31">
        <f>IFERROR(INDEX(Responses!$AD$2:$AD$501,MATCH(SMALL(Responses!$AL$2:$AL$501,52),Responses!$AL$2:$AL$501,0)),"")</f>
        <v/>
      </c>
      <c r="E60" s="31">
        <f>IFERROR(INDEX(Responses!$AG$2:$AG$501,MATCH(SMALL(Responses!$AL$2:$AL$501,52),Responses!$AL$2:$AL$501,0)),"")</f>
        <v/>
      </c>
      <c r="F60" s="31">
        <f>IFERROR(INDEX(Responses!$AF$2:$AF$501,MATCH(SMALL(Responses!$AL$2:$AL$501,52),Responses!$AL$2:$AL$501,0)),"")</f>
        <v/>
      </c>
      <c r="G60" s="28">
        <f>IFERROR(INDEX(Responses!$Z$2:$Z$501,MATCH(SMALL(Responses!$AL$2:$AL$501,52),Responses!$AL$2:$AL$501,0)),"")</f>
        <v/>
      </c>
    </row>
    <row r="61">
      <c r="A61" s="30">
        <f>IF(ISNUMBER(SMALL(Responses!$AL$2:$AL$501,53)),53,"")</f>
        <v/>
      </c>
      <c r="B61" s="31">
        <f>IFERROR(INDEX(Responses!$AB$2:$AB$501,MATCH(SMALL(Responses!$AL$2:$AL$501,53),Responses!$AL$2:$AL$501,0)),"")</f>
        <v/>
      </c>
      <c r="C61" s="31">
        <f>IFERROR(INDEX(Responses!$AE$2:$AE$501,MATCH(SMALL(Responses!$AL$2:$AL$501,53),Responses!$AL$2:$AL$501,0)),"")</f>
        <v/>
      </c>
      <c r="D61" s="31">
        <f>IFERROR(INDEX(Responses!$AD$2:$AD$501,MATCH(SMALL(Responses!$AL$2:$AL$501,53),Responses!$AL$2:$AL$501,0)),"")</f>
        <v/>
      </c>
      <c r="E61" s="31">
        <f>IFERROR(INDEX(Responses!$AG$2:$AG$501,MATCH(SMALL(Responses!$AL$2:$AL$501,53),Responses!$AL$2:$AL$501,0)),"")</f>
        <v/>
      </c>
      <c r="F61" s="31">
        <f>IFERROR(INDEX(Responses!$AF$2:$AF$501,MATCH(SMALL(Responses!$AL$2:$AL$501,53),Responses!$AL$2:$AL$501,0)),"")</f>
        <v/>
      </c>
      <c r="G61" s="28">
        <f>IFERROR(INDEX(Responses!$Z$2:$Z$501,MATCH(SMALL(Responses!$AL$2:$AL$501,53),Responses!$AL$2:$AL$501,0)),"")</f>
        <v/>
      </c>
    </row>
    <row r="62">
      <c r="A62" s="30">
        <f>IF(ISNUMBER(SMALL(Responses!$AL$2:$AL$501,54)),54,"")</f>
        <v/>
      </c>
      <c r="B62" s="31">
        <f>IFERROR(INDEX(Responses!$AB$2:$AB$501,MATCH(SMALL(Responses!$AL$2:$AL$501,54),Responses!$AL$2:$AL$501,0)),"")</f>
        <v/>
      </c>
      <c r="C62" s="31">
        <f>IFERROR(INDEX(Responses!$AE$2:$AE$501,MATCH(SMALL(Responses!$AL$2:$AL$501,54),Responses!$AL$2:$AL$501,0)),"")</f>
        <v/>
      </c>
      <c r="D62" s="31">
        <f>IFERROR(INDEX(Responses!$AD$2:$AD$501,MATCH(SMALL(Responses!$AL$2:$AL$501,54),Responses!$AL$2:$AL$501,0)),"")</f>
        <v/>
      </c>
      <c r="E62" s="31">
        <f>IFERROR(INDEX(Responses!$AG$2:$AG$501,MATCH(SMALL(Responses!$AL$2:$AL$501,54),Responses!$AL$2:$AL$501,0)),"")</f>
        <v/>
      </c>
      <c r="F62" s="31">
        <f>IFERROR(INDEX(Responses!$AF$2:$AF$501,MATCH(SMALL(Responses!$AL$2:$AL$501,54),Responses!$AL$2:$AL$501,0)),"")</f>
        <v/>
      </c>
      <c r="G62" s="28">
        <f>IFERROR(INDEX(Responses!$Z$2:$Z$501,MATCH(SMALL(Responses!$AL$2:$AL$501,54),Responses!$AL$2:$AL$501,0)),"")</f>
        <v/>
      </c>
    </row>
    <row r="63">
      <c r="A63" s="30">
        <f>IF(ISNUMBER(SMALL(Responses!$AL$2:$AL$501,55)),55,"")</f>
        <v/>
      </c>
      <c r="B63" s="31">
        <f>IFERROR(INDEX(Responses!$AB$2:$AB$501,MATCH(SMALL(Responses!$AL$2:$AL$501,55),Responses!$AL$2:$AL$501,0)),"")</f>
        <v/>
      </c>
      <c r="C63" s="31">
        <f>IFERROR(INDEX(Responses!$AE$2:$AE$501,MATCH(SMALL(Responses!$AL$2:$AL$501,55),Responses!$AL$2:$AL$501,0)),"")</f>
        <v/>
      </c>
      <c r="D63" s="31">
        <f>IFERROR(INDEX(Responses!$AD$2:$AD$501,MATCH(SMALL(Responses!$AL$2:$AL$501,55),Responses!$AL$2:$AL$501,0)),"")</f>
        <v/>
      </c>
      <c r="E63" s="31">
        <f>IFERROR(INDEX(Responses!$AG$2:$AG$501,MATCH(SMALL(Responses!$AL$2:$AL$501,55),Responses!$AL$2:$AL$501,0)),"")</f>
        <v/>
      </c>
      <c r="F63" s="31">
        <f>IFERROR(INDEX(Responses!$AF$2:$AF$501,MATCH(SMALL(Responses!$AL$2:$AL$501,55),Responses!$AL$2:$AL$501,0)),"")</f>
        <v/>
      </c>
      <c r="G63" s="28">
        <f>IFERROR(INDEX(Responses!$Z$2:$Z$501,MATCH(SMALL(Responses!$AL$2:$AL$501,55),Responses!$AL$2:$AL$501,0)),"")</f>
        <v/>
      </c>
    </row>
    <row r="64">
      <c r="A64" s="30">
        <f>IF(ISNUMBER(SMALL(Responses!$AL$2:$AL$501,56)),56,"")</f>
        <v/>
      </c>
      <c r="B64" s="31">
        <f>IFERROR(INDEX(Responses!$AB$2:$AB$501,MATCH(SMALL(Responses!$AL$2:$AL$501,56),Responses!$AL$2:$AL$501,0)),"")</f>
        <v/>
      </c>
      <c r="C64" s="31">
        <f>IFERROR(INDEX(Responses!$AE$2:$AE$501,MATCH(SMALL(Responses!$AL$2:$AL$501,56),Responses!$AL$2:$AL$501,0)),"")</f>
        <v/>
      </c>
      <c r="D64" s="31">
        <f>IFERROR(INDEX(Responses!$AD$2:$AD$501,MATCH(SMALL(Responses!$AL$2:$AL$501,56),Responses!$AL$2:$AL$501,0)),"")</f>
        <v/>
      </c>
      <c r="E64" s="31">
        <f>IFERROR(INDEX(Responses!$AG$2:$AG$501,MATCH(SMALL(Responses!$AL$2:$AL$501,56),Responses!$AL$2:$AL$501,0)),"")</f>
        <v/>
      </c>
      <c r="F64" s="31">
        <f>IFERROR(INDEX(Responses!$AF$2:$AF$501,MATCH(SMALL(Responses!$AL$2:$AL$501,56),Responses!$AL$2:$AL$501,0)),"")</f>
        <v/>
      </c>
      <c r="G64" s="28">
        <f>IFERROR(INDEX(Responses!$Z$2:$Z$501,MATCH(SMALL(Responses!$AL$2:$AL$501,56),Responses!$AL$2:$AL$501,0)),"")</f>
        <v/>
      </c>
    </row>
    <row r="65">
      <c r="A65" s="30">
        <f>IF(ISNUMBER(SMALL(Responses!$AL$2:$AL$501,57)),57,"")</f>
        <v/>
      </c>
      <c r="B65" s="31">
        <f>IFERROR(INDEX(Responses!$AB$2:$AB$501,MATCH(SMALL(Responses!$AL$2:$AL$501,57),Responses!$AL$2:$AL$501,0)),"")</f>
        <v/>
      </c>
      <c r="C65" s="31">
        <f>IFERROR(INDEX(Responses!$AE$2:$AE$501,MATCH(SMALL(Responses!$AL$2:$AL$501,57),Responses!$AL$2:$AL$501,0)),"")</f>
        <v/>
      </c>
      <c r="D65" s="31">
        <f>IFERROR(INDEX(Responses!$AD$2:$AD$501,MATCH(SMALL(Responses!$AL$2:$AL$501,57),Responses!$AL$2:$AL$501,0)),"")</f>
        <v/>
      </c>
      <c r="E65" s="31">
        <f>IFERROR(INDEX(Responses!$AG$2:$AG$501,MATCH(SMALL(Responses!$AL$2:$AL$501,57),Responses!$AL$2:$AL$501,0)),"")</f>
        <v/>
      </c>
      <c r="F65" s="31">
        <f>IFERROR(INDEX(Responses!$AF$2:$AF$501,MATCH(SMALL(Responses!$AL$2:$AL$501,57),Responses!$AL$2:$AL$501,0)),"")</f>
        <v/>
      </c>
      <c r="G65" s="28">
        <f>IFERROR(INDEX(Responses!$Z$2:$Z$501,MATCH(SMALL(Responses!$AL$2:$AL$501,57),Responses!$AL$2:$AL$501,0)),"")</f>
        <v/>
      </c>
    </row>
    <row r="66">
      <c r="A66" s="30">
        <f>IF(ISNUMBER(SMALL(Responses!$AL$2:$AL$501,58)),58,"")</f>
        <v/>
      </c>
      <c r="B66" s="31">
        <f>IFERROR(INDEX(Responses!$AB$2:$AB$501,MATCH(SMALL(Responses!$AL$2:$AL$501,58),Responses!$AL$2:$AL$501,0)),"")</f>
        <v/>
      </c>
      <c r="C66" s="31">
        <f>IFERROR(INDEX(Responses!$AE$2:$AE$501,MATCH(SMALL(Responses!$AL$2:$AL$501,58),Responses!$AL$2:$AL$501,0)),"")</f>
        <v/>
      </c>
      <c r="D66" s="31">
        <f>IFERROR(INDEX(Responses!$AD$2:$AD$501,MATCH(SMALL(Responses!$AL$2:$AL$501,58),Responses!$AL$2:$AL$501,0)),"")</f>
        <v/>
      </c>
      <c r="E66" s="31">
        <f>IFERROR(INDEX(Responses!$AG$2:$AG$501,MATCH(SMALL(Responses!$AL$2:$AL$501,58),Responses!$AL$2:$AL$501,0)),"")</f>
        <v/>
      </c>
      <c r="F66" s="31">
        <f>IFERROR(INDEX(Responses!$AF$2:$AF$501,MATCH(SMALL(Responses!$AL$2:$AL$501,58),Responses!$AL$2:$AL$501,0)),"")</f>
        <v/>
      </c>
      <c r="G66" s="28">
        <f>IFERROR(INDEX(Responses!$Z$2:$Z$501,MATCH(SMALL(Responses!$AL$2:$AL$501,58),Responses!$AL$2:$AL$501,0)),"")</f>
        <v/>
      </c>
    </row>
    <row r="67">
      <c r="A67" s="30">
        <f>IF(ISNUMBER(SMALL(Responses!$AL$2:$AL$501,59)),59,"")</f>
        <v/>
      </c>
      <c r="B67" s="31">
        <f>IFERROR(INDEX(Responses!$AB$2:$AB$501,MATCH(SMALL(Responses!$AL$2:$AL$501,59),Responses!$AL$2:$AL$501,0)),"")</f>
        <v/>
      </c>
      <c r="C67" s="31">
        <f>IFERROR(INDEX(Responses!$AE$2:$AE$501,MATCH(SMALL(Responses!$AL$2:$AL$501,59),Responses!$AL$2:$AL$501,0)),"")</f>
        <v/>
      </c>
      <c r="D67" s="31">
        <f>IFERROR(INDEX(Responses!$AD$2:$AD$501,MATCH(SMALL(Responses!$AL$2:$AL$501,59),Responses!$AL$2:$AL$501,0)),"")</f>
        <v/>
      </c>
      <c r="E67" s="31">
        <f>IFERROR(INDEX(Responses!$AG$2:$AG$501,MATCH(SMALL(Responses!$AL$2:$AL$501,59),Responses!$AL$2:$AL$501,0)),"")</f>
        <v/>
      </c>
      <c r="F67" s="31">
        <f>IFERROR(INDEX(Responses!$AF$2:$AF$501,MATCH(SMALL(Responses!$AL$2:$AL$501,59),Responses!$AL$2:$AL$501,0)),"")</f>
        <v/>
      </c>
      <c r="G67" s="28">
        <f>IFERROR(INDEX(Responses!$Z$2:$Z$501,MATCH(SMALL(Responses!$AL$2:$AL$501,59),Responses!$AL$2:$AL$501,0)),"")</f>
        <v/>
      </c>
    </row>
    <row r="68">
      <c r="A68" s="30">
        <f>IF(ISNUMBER(SMALL(Responses!$AL$2:$AL$501,60)),60,"")</f>
        <v/>
      </c>
      <c r="B68" s="31">
        <f>IFERROR(INDEX(Responses!$AB$2:$AB$501,MATCH(SMALL(Responses!$AL$2:$AL$501,60),Responses!$AL$2:$AL$501,0)),"")</f>
        <v/>
      </c>
      <c r="C68" s="31">
        <f>IFERROR(INDEX(Responses!$AE$2:$AE$501,MATCH(SMALL(Responses!$AL$2:$AL$501,60),Responses!$AL$2:$AL$501,0)),"")</f>
        <v/>
      </c>
      <c r="D68" s="31">
        <f>IFERROR(INDEX(Responses!$AD$2:$AD$501,MATCH(SMALL(Responses!$AL$2:$AL$501,60),Responses!$AL$2:$AL$501,0)),"")</f>
        <v/>
      </c>
      <c r="E68" s="31">
        <f>IFERROR(INDEX(Responses!$AG$2:$AG$501,MATCH(SMALL(Responses!$AL$2:$AL$501,60),Responses!$AL$2:$AL$501,0)),"")</f>
        <v/>
      </c>
      <c r="F68" s="31">
        <f>IFERROR(INDEX(Responses!$AF$2:$AF$501,MATCH(SMALL(Responses!$AL$2:$AL$501,60),Responses!$AL$2:$AL$501,0)),"")</f>
        <v/>
      </c>
      <c r="G68" s="28">
        <f>IFERROR(INDEX(Responses!$Z$2:$Z$501,MATCH(SMALL(Responses!$AL$2:$AL$501,60),Responses!$AL$2:$AL$501,0)),"")</f>
        <v/>
      </c>
    </row>
  </sheetData>
  <dataValidations count="1">
    <dataValidation sqref="B5" showDropDown="0" showInputMessage="1" showErrorMessage="1" allowBlank="1" errorTitle="Item" error="Pick a value from the list. Items come from the Tally tab." promptTitle="Item" prompt="Items come from the Tally tab." type="list" errorStyle="warning">
      <formula1>Tally!$A$9:$A$48</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tabColor rgb="008F8499"/>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12" customWidth="1" min="1" max="1"/>
    <col width="3" customWidth="1" min="2" max="2"/>
    <col width="3" customWidth="1" min="3" max="3"/>
    <col width="3" customWidth="1" min="4" max="4"/>
    <col width="30" customWidth="1" min="5" max="5"/>
    <col width="60" customWidth="1" min="6" max="6"/>
  </cols>
  <sheetData>
    <row r="1" ht="32" customHeight="1">
      <c r="A1" s="3" t="inlineStr">
        <is>
          <t>Yes or No</t>
        </is>
      </c>
      <c r="E1" s="3" t="inlineStr">
        <is>
          <t>Column names to look for</t>
        </is>
      </c>
      <c r="F1" s="3" t="inlineStr">
        <is>
          <t>Header in your export (edit if you renamed a question)</t>
        </is>
      </c>
    </row>
    <row r="2">
      <c r="A2" s="24" t="inlineStr">
        <is>
          <t>Yes</t>
        </is>
      </c>
      <c r="E2" s="35" t="inlineStr">
        <is>
          <t>Response ID</t>
        </is>
      </c>
      <c r="F2" s="24" t="inlineStr">
        <is>
          <t>Response ID</t>
        </is>
      </c>
    </row>
    <row r="3">
      <c r="A3" s="24" t="inlineStr">
        <is>
          <t>No</t>
        </is>
      </c>
      <c r="E3" s="35" t="inlineStr">
        <is>
          <t>When it was sent</t>
        </is>
      </c>
      <c r="F3" s="24" t="inlineStr">
        <is>
          <t>Submitted at</t>
        </is>
      </c>
    </row>
    <row r="4">
      <c r="E4" s="35" t="inlineStr">
        <is>
          <t>Meeting date</t>
        </is>
      </c>
      <c r="F4" s="24" t="inlineStr">
        <is>
          <t>Meeting date</t>
        </is>
      </c>
    </row>
    <row r="5">
      <c r="E5" s="35" t="inlineStr">
        <is>
          <t>Meeting (from the link)</t>
        </is>
      </c>
      <c r="F5" s="24" t="inlineStr">
        <is>
          <t>meeting</t>
        </is>
      </c>
    </row>
    <row r="6">
      <c r="E6" s="35" t="inlineStr">
        <is>
          <t>About an agenda item?</t>
        </is>
      </c>
      <c r="F6" s="24" t="inlineStr">
        <is>
          <t>Is your comment about an agenda item?</t>
        </is>
      </c>
    </row>
    <row r="7">
      <c r="E7" s="35" t="inlineStr">
        <is>
          <t>Agenda item typed</t>
        </is>
      </c>
      <c r="F7" s="24" t="inlineStr">
        <is>
          <t>Agenda item number or title</t>
        </is>
      </c>
    </row>
    <row r="8">
      <c r="E8" s="35" t="inlineStr">
        <is>
          <t>Item (from the link)</t>
        </is>
      </c>
      <c r="F8" s="24" t="inlineStr">
        <is>
          <t>item</t>
        </is>
      </c>
    </row>
    <row r="9">
      <c r="E9" s="35" t="inlineStr">
        <is>
          <t>Position</t>
        </is>
      </c>
      <c r="F9" s="24" t="inlineStr">
        <is>
          <t>Your position</t>
        </is>
      </c>
    </row>
    <row r="10">
      <c r="E10" s="35" t="inlineStr">
        <is>
          <t>Comment</t>
        </is>
      </c>
      <c r="F10" s="24" t="inlineStr">
        <is>
          <t>Your comment</t>
        </is>
      </c>
    </row>
    <row r="11">
      <c r="E11" s="35" t="inlineStr">
        <is>
          <t>Name</t>
        </is>
      </c>
      <c r="F11" s="24" t="inlineStr">
        <is>
          <t>Full name</t>
        </is>
      </c>
    </row>
    <row r="12">
      <c r="E12" s="35" t="inlineStr">
        <is>
          <t>City or neighborhood</t>
        </is>
      </c>
      <c r="F12" s="24" t="inlineStr">
        <is>
          <t>City or neighborhood</t>
        </is>
      </c>
    </row>
    <row r="13">
      <c r="E13" s="35" t="inlineStr">
        <is>
          <t>Wants to speak?</t>
        </is>
      </c>
      <c r="F13" s="24" t="inlineStr">
        <is>
          <t>Would you also like to speak at the meeting?</t>
        </is>
      </c>
    </row>
    <row r="14">
      <c r="E14" s="35" t="inlineStr">
        <is>
          <t>Phone to join online</t>
        </is>
      </c>
      <c r="F14" s="24" t="inlineStr">
        <is>
          <t>Phone number for joining online</t>
        </is>
      </c>
    </row>
    <row r="16">
      <c r="E16" s="14" t="inlineStr">
        <is>
          <t>The sheet finds columns by these names, so column order does not matter.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2026-10-26T23:09:18Z</dcterms:created>
  <dcterms:modified xmlns:dcterms="http://purl.org/dc/terms/" xmlns:xsi="http://www.w3.org/2001/XMLSchema-instance" xsi:type="dcterms:W3CDTF">2026-10-26T23:09:22Z</dcterms:modified>
</cp:coreProperties>
</file>